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carsonstones/Downloads/"/>
    </mc:Choice>
  </mc:AlternateContent>
  <xr:revisionPtr revIDLastSave="0" documentId="13_ncr:1_{4EF4388B-65A6-0C4B-BFD2-8F8C9BB60BF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Cocktail Finder" sheetId="1" r:id="rId1"/>
    <sheet name="Data" sheetId="2" state="hidden" r:id="rId2"/>
    <sheet name="Data NEW" sheetId="3" r:id="rId3"/>
    <sheet name="Data v2" sheetId="4" r:id="rId4"/>
    <sheet name="Dropdown" sheetId="5" r:id="rId5"/>
    <sheet name="Brands" sheetId="6" r:id="rId6"/>
    <sheet name="Sheet1" sheetId="7" state="hidden" r:id="rId7"/>
    <sheet name="Sheet2" sheetId="8" state="hidden" r:id="rId8"/>
    <sheet name="Sheet3" sheetId="9" state="hidden" r:id="rId9"/>
    <sheet name="Sheet5" sheetId="10" state="hidden" r:id="rId10"/>
    <sheet name="Sheet6" sheetId="11" state="hidden" r:id="rId11"/>
  </sheets>
  <definedNames>
    <definedName name="_xlnm._FilterDatabase" localSheetId="1" hidden="1">Data!$A$1:$Q$1000</definedName>
    <definedName name="_xlnm._FilterDatabase" localSheetId="2" hidden="1">'Data NEW'!$A$1:$S$1000</definedName>
    <definedName name="_xlnm._FilterDatabase" localSheetId="3" hidden="1">'Data v2'!$A$1:$S$1000</definedName>
    <definedName name="_xlnm._FilterDatabase" localSheetId="7" hidden="1">Sheet2!$A$1:$I$1</definedName>
    <definedName name="_xlnm._FilterDatabase" localSheetId="9" hidden="1">Sheet5!$AT$2:$AT$211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53" i="11" l="1"/>
  <c r="AX253" i="11"/>
  <c r="AW253" i="11"/>
  <c r="AV253" i="11"/>
  <c r="AU253" i="11"/>
  <c r="AT253" i="11"/>
  <c r="AS253" i="11"/>
  <c r="AY252" i="11"/>
  <c r="AX252" i="11"/>
  <c r="AW252" i="11"/>
  <c r="AV252" i="11"/>
  <c r="AU252" i="11"/>
  <c r="AT252" i="11"/>
  <c r="AS252" i="11"/>
  <c r="AY251" i="11"/>
  <c r="AX251" i="11"/>
  <c r="AW251" i="11"/>
  <c r="AV251" i="11"/>
  <c r="AU251" i="11"/>
  <c r="AT251" i="11"/>
  <c r="AS251" i="11"/>
  <c r="AY250" i="11"/>
  <c r="AX250" i="11"/>
  <c r="AW250" i="11"/>
  <c r="AV250" i="11"/>
  <c r="AU250" i="11"/>
  <c r="AT250" i="11"/>
  <c r="AS250" i="11"/>
  <c r="AY249" i="11"/>
  <c r="AX249" i="11"/>
  <c r="AW249" i="11"/>
  <c r="AV249" i="11"/>
  <c r="AU249" i="11"/>
  <c r="AT249" i="11"/>
  <c r="AS249" i="11"/>
  <c r="AY248" i="11"/>
  <c r="AX248" i="11"/>
  <c r="AW248" i="11"/>
  <c r="AV248" i="11"/>
  <c r="AU248" i="11"/>
  <c r="AT248" i="11"/>
  <c r="AS248" i="11"/>
  <c r="AY247" i="11"/>
  <c r="AX247" i="11"/>
  <c r="AW247" i="11"/>
  <c r="AV247" i="11"/>
  <c r="AU247" i="11"/>
  <c r="AT247" i="11"/>
  <c r="AS247" i="11"/>
  <c r="AY246" i="11"/>
  <c r="AX246" i="11"/>
  <c r="AW246" i="11"/>
  <c r="AV246" i="11"/>
  <c r="AU246" i="11"/>
  <c r="AT246" i="11"/>
  <c r="AS246" i="11"/>
  <c r="AY245" i="11"/>
  <c r="AX245" i="11"/>
  <c r="AW245" i="11"/>
  <c r="AV245" i="11"/>
  <c r="AU245" i="11"/>
  <c r="AT245" i="11"/>
  <c r="AS245" i="11"/>
  <c r="AY244" i="11"/>
  <c r="AX244" i="11"/>
  <c r="AW244" i="11"/>
  <c r="AV244" i="11"/>
  <c r="AU244" i="11"/>
  <c r="AT244" i="11"/>
  <c r="AS244" i="11"/>
  <c r="AY243" i="11"/>
  <c r="AX243" i="11"/>
  <c r="AW243" i="11"/>
  <c r="AV243" i="11"/>
  <c r="AU243" i="11"/>
  <c r="AT243" i="11"/>
  <c r="AS243" i="11"/>
  <c r="AY242" i="11"/>
  <c r="AX242" i="11"/>
  <c r="AW242" i="11"/>
  <c r="AV242" i="11"/>
  <c r="AU242" i="11"/>
  <c r="AT242" i="11"/>
  <c r="AS242" i="11"/>
  <c r="AY241" i="11"/>
  <c r="AX241" i="11"/>
  <c r="AW241" i="11"/>
  <c r="AV241" i="11"/>
  <c r="AU241" i="11"/>
  <c r="AT241" i="11"/>
  <c r="AS241" i="11"/>
  <c r="AY240" i="11"/>
  <c r="AX240" i="11"/>
  <c r="AW240" i="11"/>
  <c r="AV240" i="11"/>
  <c r="AU240" i="11"/>
  <c r="AT240" i="11"/>
  <c r="AS240" i="11"/>
  <c r="AY239" i="11"/>
  <c r="AX239" i="11"/>
  <c r="AW239" i="11"/>
  <c r="AV239" i="11"/>
  <c r="AU239" i="11"/>
  <c r="AT239" i="11"/>
  <c r="AS239" i="11"/>
  <c r="AY238" i="11"/>
  <c r="AX238" i="11"/>
  <c r="AW238" i="11"/>
  <c r="AV238" i="11"/>
  <c r="AU238" i="11"/>
  <c r="AT238" i="11"/>
  <c r="AS238" i="11"/>
  <c r="AY237" i="11"/>
  <c r="AX237" i="11"/>
  <c r="AW237" i="11"/>
  <c r="AV237" i="11"/>
  <c r="AU237" i="11"/>
  <c r="AT237" i="11"/>
  <c r="AS237" i="11"/>
  <c r="AY236" i="11"/>
  <c r="AX236" i="11"/>
  <c r="AW236" i="11"/>
  <c r="AV236" i="11"/>
  <c r="AU236" i="11"/>
  <c r="AT236" i="11"/>
  <c r="AS236" i="11"/>
  <c r="AY235" i="11"/>
  <c r="AX235" i="11"/>
  <c r="AW235" i="11"/>
  <c r="AV235" i="11"/>
  <c r="AU235" i="11"/>
  <c r="AT235" i="11"/>
  <c r="AS235" i="11"/>
  <c r="AY234" i="11"/>
  <c r="AX234" i="11"/>
  <c r="AW234" i="11"/>
  <c r="AV234" i="11"/>
  <c r="AU234" i="11"/>
  <c r="AT234" i="11"/>
  <c r="AS234" i="11"/>
  <c r="AY233" i="11"/>
  <c r="AX233" i="11"/>
  <c r="AW233" i="11"/>
  <c r="AV233" i="11"/>
  <c r="AU233" i="11"/>
  <c r="AT233" i="11"/>
  <c r="AS233" i="11"/>
  <c r="AY232" i="11"/>
  <c r="AX232" i="11"/>
  <c r="AW232" i="11"/>
  <c r="AV232" i="11"/>
  <c r="AU232" i="11"/>
  <c r="AT232" i="11"/>
  <c r="AS232" i="11"/>
  <c r="AY231" i="11"/>
  <c r="AX231" i="11"/>
  <c r="AW231" i="11"/>
  <c r="AV231" i="11"/>
  <c r="AU231" i="11"/>
  <c r="AT231" i="11"/>
  <c r="AS231" i="11"/>
  <c r="AY230" i="11"/>
  <c r="AX230" i="11"/>
  <c r="AW230" i="11"/>
  <c r="AV230" i="11"/>
  <c r="AU230" i="11"/>
  <c r="AT230" i="11"/>
  <c r="AS230" i="11"/>
  <c r="AY229" i="11"/>
  <c r="AX229" i="11"/>
  <c r="AW229" i="11"/>
  <c r="AV229" i="11"/>
  <c r="AU229" i="11"/>
  <c r="AT229" i="11"/>
  <c r="AS229" i="11"/>
  <c r="AY228" i="11"/>
  <c r="AX228" i="11"/>
  <c r="AW228" i="11"/>
  <c r="AV228" i="11"/>
  <c r="AU228" i="11"/>
  <c r="AT228" i="11"/>
  <c r="AS228" i="11"/>
  <c r="AY227" i="11"/>
  <c r="AX227" i="11"/>
  <c r="AW227" i="11"/>
  <c r="AV227" i="11"/>
  <c r="AU227" i="11"/>
  <c r="AT227" i="11"/>
  <c r="AS227" i="11"/>
  <c r="AY226" i="11"/>
  <c r="AX226" i="11"/>
  <c r="AW226" i="11"/>
  <c r="AV226" i="11"/>
  <c r="AU226" i="11"/>
  <c r="AT226" i="11"/>
  <c r="AS226" i="11"/>
  <c r="AY225" i="11"/>
  <c r="AX225" i="11"/>
  <c r="AW225" i="11"/>
  <c r="AV225" i="11"/>
  <c r="AU225" i="11"/>
  <c r="AT225" i="11"/>
  <c r="AS225" i="11"/>
  <c r="AY224" i="11"/>
  <c r="AX224" i="11"/>
  <c r="AW224" i="11"/>
  <c r="AV224" i="11"/>
  <c r="AU224" i="11"/>
  <c r="AT224" i="11"/>
  <c r="AS224" i="11"/>
  <c r="AY223" i="11"/>
  <c r="AX223" i="11"/>
  <c r="AW223" i="11"/>
  <c r="AV223" i="11"/>
  <c r="AU223" i="11"/>
  <c r="AT223" i="11"/>
  <c r="AS223" i="11"/>
  <c r="AY222" i="11"/>
  <c r="AX222" i="11"/>
  <c r="AW222" i="11"/>
  <c r="AV222" i="11"/>
  <c r="AU222" i="11"/>
  <c r="AT222" i="11"/>
  <c r="AS222" i="11"/>
  <c r="AY221" i="11"/>
  <c r="AX221" i="11"/>
  <c r="AW221" i="11"/>
  <c r="AV221" i="11"/>
  <c r="AU221" i="11"/>
  <c r="AT221" i="11"/>
  <c r="AS221" i="11"/>
  <c r="AY220" i="11"/>
  <c r="AX220" i="11"/>
  <c r="AW220" i="11"/>
  <c r="AV220" i="11"/>
  <c r="AU220" i="11"/>
  <c r="AT220" i="11"/>
  <c r="AS220" i="11"/>
  <c r="AY219" i="11"/>
  <c r="AX219" i="11"/>
  <c r="AW219" i="11"/>
  <c r="AV219" i="11"/>
  <c r="AU219" i="11"/>
  <c r="AT219" i="11"/>
  <c r="AS219" i="11"/>
  <c r="AY218" i="11"/>
  <c r="AX218" i="11"/>
  <c r="AW218" i="11"/>
  <c r="AV218" i="11"/>
  <c r="AU218" i="11"/>
  <c r="AT218" i="11"/>
  <c r="AS218" i="11"/>
  <c r="AY217" i="11"/>
  <c r="AX217" i="11"/>
  <c r="AW217" i="11"/>
  <c r="AV217" i="11"/>
  <c r="AU217" i="11"/>
  <c r="AT217" i="11"/>
  <c r="AS217" i="11"/>
  <c r="AY216" i="11"/>
  <c r="AX216" i="11"/>
  <c r="AW216" i="11"/>
  <c r="AV216" i="11"/>
  <c r="AU216" i="11"/>
  <c r="AT216" i="11"/>
  <c r="AS216" i="11"/>
  <c r="AY215" i="11"/>
  <c r="AX215" i="11"/>
  <c r="AW215" i="11"/>
  <c r="AV215" i="11"/>
  <c r="AU215" i="11"/>
  <c r="AT215" i="11"/>
  <c r="AS215" i="11"/>
  <c r="AY214" i="11"/>
  <c r="AX214" i="11"/>
  <c r="AW214" i="11"/>
  <c r="AV214" i="11"/>
  <c r="AU214" i="11"/>
  <c r="AT214" i="11"/>
  <c r="AS214" i="11"/>
  <c r="AY213" i="11"/>
  <c r="AX213" i="11"/>
  <c r="AW213" i="11"/>
  <c r="AV213" i="11"/>
  <c r="AU213" i="11"/>
  <c r="AT213" i="11"/>
  <c r="AS213" i="11"/>
  <c r="AY212" i="11"/>
  <c r="AX212" i="11"/>
  <c r="AW212" i="11"/>
  <c r="AV212" i="11"/>
  <c r="AU212" i="11"/>
  <c r="AT212" i="11"/>
  <c r="AS212" i="11"/>
  <c r="AY211" i="11"/>
  <c r="W211" i="11"/>
  <c r="AD211" i="11" s="1"/>
  <c r="AK211" i="11" s="1"/>
  <c r="AR211" i="11" s="1"/>
  <c r="R211" i="11"/>
  <c r="Y211" i="11" s="1"/>
  <c r="AF211" i="11" s="1"/>
  <c r="AM211" i="11" s="1"/>
  <c r="P211" i="11"/>
  <c r="O211" i="11"/>
  <c r="AX211" i="11" s="1"/>
  <c r="N211" i="11"/>
  <c r="AW211" i="11" s="1"/>
  <c r="L211" i="11"/>
  <c r="S211" i="11" s="1"/>
  <c r="Z211" i="11" s="1"/>
  <c r="AG211" i="11" s="1"/>
  <c r="AN211" i="11" s="1"/>
  <c r="K211" i="11"/>
  <c r="AT211" i="11" s="1"/>
  <c r="J211" i="11"/>
  <c r="Q211" i="11" s="1"/>
  <c r="X211" i="11" s="1"/>
  <c r="AE211" i="11" s="1"/>
  <c r="AL211" i="11" s="1"/>
  <c r="AV210" i="11"/>
  <c r="AA210" i="11"/>
  <c r="AH210" i="11" s="1"/>
  <c r="AO210" i="11" s="1"/>
  <c r="T210" i="11"/>
  <c r="P210" i="11"/>
  <c r="W210" i="11" s="1"/>
  <c r="AD210" i="11" s="1"/>
  <c r="AK210" i="11" s="1"/>
  <c r="AR210" i="11" s="1"/>
  <c r="O210" i="11"/>
  <c r="V210" i="11" s="1"/>
  <c r="AC210" i="11" s="1"/>
  <c r="AJ210" i="11" s="1"/>
  <c r="AQ210" i="11" s="1"/>
  <c r="N210" i="11"/>
  <c r="U210" i="11" s="1"/>
  <c r="AB210" i="11" s="1"/>
  <c r="AI210" i="11" s="1"/>
  <c r="AP210" i="11" s="1"/>
  <c r="M210" i="11"/>
  <c r="K210" i="11"/>
  <c r="AT210" i="11" s="1"/>
  <c r="J210" i="11"/>
  <c r="AS210" i="11" s="1"/>
  <c r="AX209" i="11"/>
  <c r="W209" i="11"/>
  <c r="AD209" i="11" s="1"/>
  <c r="AK209" i="11" s="1"/>
  <c r="AR209" i="11" s="1"/>
  <c r="R209" i="11"/>
  <c r="Y209" i="11" s="1"/>
  <c r="AF209" i="11" s="1"/>
  <c r="AM209" i="11" s="1"/>
  <c r="P209" i="11"/>
  <c r="AY209" i="11" s="1"/>
  <c r="O209" i="11"/>
  <c r="V209" i="11" s="1"/>
  <c r="AC209" i="11" s="1"/>
  <c r="AJ209" i="11" s="1"/>
  <c r="AQ209" i="11" s="1"/>
  <c r="N209" i="11"/>
  <c r="AW209" i="11" s="1"/>
  <c r="L209" i="11"/>
  <c r="S209" i="11" s="1"/>
  <c r="Z209" i="11" s="1"/>
  <c r="AG209" i="11" s="1"/>
  <c r="AN209" i="11" s="1"/>
  <c r="K209" i="11"/>
  <c r="AT209" i="11" s="1"/>
  <c r="J209" i="11"/>
  <c r="Q209" i="11" s="1"/>
  <c r="X209" i="11" s="1"/>
  <c r="AE209" i="11" s="1"/>
  <c r="AL209" i="11" s="1"/>
  <c r="AT208" i="11"/>
  <c r="V208" i="11"/>
  <c r="AC208" i="11" s="1"/>
  <c r="AJ208" i="11" s="1"/>
  <c r="AQ208" i="11" s="1"/>
  <c r="S208" i="11"/>
  <c r="Z208" i="11" s="1"/>
  <c r="AG208" i="11" s="1"/>
  <c r="AN208" i="11" s="1"/>
  <c r="P208" i="11"/>
  <c r="W208" i="11" s="1"/>
  <c r="AD208" i="11" s="1"/>
  <c r="AK208" i="11" s="1"/>
  <c r="AR208" i="11" s="1"/>
  <c r="O208" i="11"/>
  <c r="AX208" i="11" s="1"/>
  <c r="N208" i="11"/>
  <c r="U208" i="11" s="1"/>
  <c r="AB208" i="11" s="1"/>
  <c r="AI208" i="11" s="1"/>
  <c r="AP208" i="11" s="1"/>
  <c r="L208" i="11"/>
  <c r="AU208" i="11" s="1"/>
  <c r="K208" i="11"/>
  <c r="R208" i="11" s="1"/>
  <c r="Y208" i="11" s="1"/>
  <c r="AF208" i="11" s="1"/>
  <c r="AM208" i="11" s="1"/>
  <c r="J208" i="11"/>
  <c r="AS208" i="11" s="1"/>
  <c r="AY207" i="11"/>
  <c r="AX207" i="11"/>
  <c r="W207" i="11"/>
  <c r="AD207" i="11" s="1"/>
  <c r="AK207" i="11" s="1"/>
  <c r="AR207" i="11" s="1"/>
  <c r="R207" i="11"/>
  <c r="Y207" i="11" s="1"/>
  <c r="AF207" i="11" s="1"/>
  <c r="AM207" i="11" s="1"/>
  <c r="P207" i="11"/>
  <c r="O207" i="11"/>
  <c r="V207" i="11" s="1"/>
  <c r="AC207" i="11" s="1"/>
  <c r="AJ207" i="11" s="1"/>
  <c r="AQ207" i="11" s="1"/>
  <c r="N207" i="11"/>
  <c r="AW207" i="11" s="1"/>
  <c r="L207" i="11"/>
  <c r="S207" i="11" s="1"/>
  <c r="Z207" i="11" s="1"/>
  <c r="AG207" i="11" s="1"/>
  <c r="AN207" i="11" s="1"/>
  <c r="K207" i="11"/>
  <c r="AT207" i="11" s="1"/>
  <c r="J207" i="11"/>
  <c r="Q207" i="11" s="1"/>
  <c r="X207" i="11" s="1"/>
  <c r="AE207" i="11" s="1"/>
  <c r="AL207" i="11" s="1"/>
  <c r="AU206" i="11"/>
  <c r="AS206" i="11"/>
  <c r="Z206" i="11"/>
  <c r="AG206" i="11" s="1"/>
  <c r="AN206" i="11" s="1"/>
  <c r="W206" i="11"/>
  <c r="AD206" i="11" s="1"/>
  <c r="AK206" i="11" s="1"/>
  <c r="AR206" i="11" s="1"/>
  <c r="U206" i="11"/>
  <c r="AB206" i="11" s="1"/>
  <c r="AI206" i="11" s="1"/>
  <c r="AP206" i="11" s="1"/>
  <c r="S206" i="11"/>
  <c r="P206" i="11"/>
  <c r="O206" i="11"/>
  <c r="V206" i="11" s="1"/>
  <c r="AC206" i="11" s="1"/>
  <c r="AJ206" i="11" s="1"/>
  <c r="AQ206" i="11" s="1"/>
  <c r="N206" i="11"/>
  <c r="AW206" i="11" s="1"/>
  <c r="L206" i="11"/>
  <c r="K206" i="11"/>
  <c r="AT206" i="11" s="1"/>
  <c r="J206" i="11"/>
  <c r="AY205" i="11"/>
  <c r="AW205" i="11"/>
  <c r="AD205" i="11"/>
  <c r="AK205" i="11" s="1"/>
  <c r="AR205" i="11" s="1"/>
  <c r="W205" i="11"/>
  <c r="S205" i="11"/>
  <c r="Z205" i="11" s="1"/>
  <c r="AG205" i="11" s="1"/>
  <c r="AN205" i="11" s="1"/>
  <c r="Q205" i="11"/>
  <c r="X205" i="11" s="1"/>
  <c r="AE205" i="11" s="1"/>
  <c r="AL205" i="11" s="1"/>
  <c r="P205" i="11"/>
  <c r="O205" i="11"/>
  <c r="AX205" i="11" s="1"/>
  <c r="N205" i="11"/>
  <c r="U205" i="11" s="1"/>
  <c r="AB205" i="11" s="1"/>
  <c r="AI205" i="11" s="1"/>
  <c r="AP205" i="11" s="1"/>
  <c r="L205" i="11"/>
  <c r="AU205" i="11" s="1"/>
  <c r="K205" i="11"/>
  <c r="R205" i="11" s="1"/>
  <c r="Y205" i="11" s="1"/>
  <c r="AF205" i="11" s="1"/>
  <c r="AM205" i="11" s="1"/>
  <c r="J205" i="11"/>
  <c r="AS205" i="11" s="1"/>
  <c r="AY204" i="11"/>
  <c r="AU204" i="11"/>
  <c r="AS204" i="11"/>
  <c r="Z204" i="11"/>
  <c r="AG204" i="11" s="1"/>
  <c r="AN204" i="11" s="1"/>
  <c r="W204" i="11"/>
  <c r="AD204" i="11" s="1"/>
  <c r="AK204" i="11" s="1"/>
  <c r="AR204" i="11" s="1"/>
  <c r="U204" i="11"/>
  <c r="AB204" i="11" s="1"/>
  <c r="AI204" i="11" s="1"/>
  <c r="AP204" i="11" s="1"/>
  <c r="S204" i="11"/>
  <c r="R204" i="11"/>
  <c r="Y204" i="11" s="1"/>
  <c r="AF204" i="11" s="1"/>
  <c r="AM204" i="11" s="1"/>
  <c r="P204" i="11"/>
  <c r="O204" i="11"/>
  <c r="V204" i="11" s="1"/>
  <c r="AC204" i="11" s="1"/>
  <c r="AJ204" i="11" s="1"/>
  <c r="AQ204" i="11" s="1"/>
  <c r="N204" i="11"/>
  <c r="AW204" i="11" s="1"/>
  <c r="L204" i="11"/>
  <c r="K204" i="11"/>
  <c r="AT204" i="11" s="1"/>
  <c r="J204" i="11"/>
  <c r="AY203" i="11"/>
  <c r="AD203" i="11"/>
  <c r="AK203" i="11" s="1"/>
  <c r="AR203" i="11" s="1"/>
  <c r="W203" i="11"/>
  <c r="Q203" i="11"/>
  <c r="X203" i="11" s="1"/>
  <c r="AE203" i="11" s="1"/>
  <c r="AL203" i="11" s="1"/>
  <c r="P203" i="11"/>
  <c r="O203" i="11"/>
  <c r="AX203" i="11" s="1"/>
  <c r="N203" i="11"/>
  <c r="AW203" i="11" s="1"/>
  <c r="M203" i="11"/>
  <c r="AV203" i="11" s="1"/>
  <c r="K203" i="11"/>
  <c r="R203" i="11" s="1"/>
  <c r="Y203" i="11" s="1"/>
  <c r="AF203" i="11" s="1"/>
  <c r="AM203" i="11" s="1"/>
  <c r="J203" i="11"/>
  <c r="AS203" i="11" s="1"/>
  <c r="AY202" i="11"/>
  <c r="AU202" i="11"/>
  <c r="Z202" i="11"/>
  <c r="AG202" i="11" s="1"/>
  <c r="AN202" i="11" s="1"/>
  <c r="W202" i="11"/>
  <c r="AD202" i="11" s="1"/>
  <c r="AK202" i="11" s="1"/>
  <c r="AR202" i="11" s="1"/>
  <c r="U202" i="11"/>
  <c r="AB202" i="11" s="1"/>
  <c r="AI202" i="11" s="1"/>
  <c r="AP202" i="11" s="1"/>
  <c r="S202" i="11"/>
  <c r="P202" i="11"/>
  <c r="O202" i="11"/>
  <c r="V202" i="11" s="1"/>
  <c r="AC202" i="11" s="1"/>
  <c r="AJ202" i="11" s="1"/>
  <c r="AQ202" i="11" s="1"/>
  <c r="N202" i="11"/>
  <c r="AW202" i="11" s="1"/>
  <c r="L202" i="11"/>
  <c r="K202" i="11"/>
  <c r="AT202" i="11" s="1"/>
  <c r="J202" i="11"/>
  <c r="AS202" i="11" s="1"/>
  <c r="AY201" i="11"/>
  <c r="AX201" i="11"/>
  <c r="AT201" i="11"/>
  <c r="AC201" i="11"/>
  <c r="AJ201" i="11" s="1"/>
  <c r="AQ201" i="11" s="1"/>
  <c r="V201" i="11"/>
  <c r="R201" i="11"/>
  <c r="Y201" i="11" s="1"/>
  <c r="AF201" i="11" s="1"/>
  <c r="AM201" i="11" s="1"/>
  <c r="P201" i="11"/>
  <c r="W201" i="11" s="1"/>
  <c r="AD201" i="11" s="1"/>
  <c r="AK201" i="11" s="1"/>
  <c r="AR201" i="11" s="1"/>
  <c r="O201" i="11"/>
  <c r="N201" i="11"/>
  <c r="U201" i="11" s="1"/>
  <c r="AB201" i="11" s="1"/>
  <c r="AI201" i="11" s="1"/>
  <c r="AP201" i="11" s="1"/>
  <c r="L201" i="11"/>
  <c r="AU201" i="11" s="1"/>
  <c r="K201" i="11"/>
  <c r="J201" i="11"/>
  <c r="Q201" i="11" s="1"/>
  <c r="X201" i="11" s="1"/>
  <c r="AE201" i="11" s="1"/>
  <c r="AL201" i="11" s="1"/>
  <c r="AT200" i="11"/>
  <c r="Y200" i="11"/>
  <c r="AF200" i="11" s="1"/>
  <c r="AM200" i="11" s="1"/>
  <c r="V200" i="11"/>
  <c r="AC200" i="11" s="1"/>
  <c r="AJ200" i="11" s="1"/>
  <c r="AQ200" i="11" s="1"/>
  <c r="T200" i="11"/>
  <c r="AA200" i="11" s="1"/>
  <c r="AH200" i="11" s="1"/>
  <c r="AO200" i="11" s="1"/>
  <c r="R200" i="11"/>
  <c r="P200" i="11"/>
  <c r="AY200" i="11" s="1"/>
  <c r="O200" i="11"/>
  <c r="AX200" i="11" s="1"/>
  <c r="N200" i="11"/>
  <c r="U200" i="11" s="1"/>
  <c r="AB200" i="11" s="1"/>
  <c r="AI200" i="11" s="1"/>
  <c r="AP200" i="11" s="1"/>
  <c r="M200" i="11"/>
  <c r="AV200" i="11" s="1"/>
  <c r="K200" i="11"/>
  <c r="J200" i="11"/>
  <c r="AS200" i="11" s="1"/>
  <c r="AX199" i="11"/>
  <c r="AV199" i="11"/>
  <c r="V199" i="11"/>
  <c r="AC199" i="11" s="1"/>
  <c r="AJ199" i="11" s="1"/>
  <c r="AQ199" i="11" s="1"/>
  <c r="R199" i="11"/>
  <c r="Y199" i="11" s="1"/>
  <c r="AF199" i="11" s="1"/>
  <c r="AM199" i="11" s="1"/>
  <c r="P199" i="11"/>
  <c r="W199" i="11" s="1"/>
  <c r="AD199" i="11" s="1"/>
  <c r="AK199" i="11" s="1"/>
  <c r="AR199" i="11" s="1"/>
  <c r="O199" i="11"/>
  <c r="N199" i="11"/>
  <c r="AW199" i="11" s="1"/>
  <c r="M199" i="11"/>
  <c r="T199" i="11" s="1"/>
  <c r="AA199" i="11" s="1"/>
  <c r="AH199" i="11" s="1"/>
  <c r="AO199" i="11" s="1"/>
  <c r="K199" i="11"/>
  <c r="AT199" i="11" s="1"/>
  <c r="J199" i="11"/>
  <c r="Q199" i="11" s="1"/>
  <c r="X199" i="11" s="1"/>
  <c r="AE199" i="11" s="1"/>
  <c r="AL199" i="11" s="1"/>
  <c r="AX198" i="11"/>
  <c r="AT198" i="11"/>
  <c r="V198" i="11"/>
  <c r="AC198" i="11" s="1"/>
  <c r="AJ198" i="11" s="1"/>
  <c r="AQ198" i="11" s="1"/>
  <c r="T198" i="11"/>
  <c r="AA198" i="11" s="1"/>
  <c r="AH198" i="11" s="1"/>
  <c r="AO198" i="11" s="1"/>
  <c r="R198" i="11"/>
  <c r="Y198" i="11" s="1"/>
  <c r="AF198" i="11" s="1"/>
  <c r="AM198" i="11" s="1"/>
  <c r="P198" i="11"/>
  <c r="AY198" i="11" s="1"/>
  <c r="O198" i="11"/>
  <c r="N198" i="11"/>
  <c r="M198" i="11"/>
  <c r="AV198" i="11" s="1"/>
  <c r="K198" i="11"/>
  <c r="J198" i="11"/>
  <c r="AS198" i="11" s="1"/>
  <c r="AX197" i="11"/>
  <c r="AV197" i="11"/>
  <c r="AT197" i="11"/>
  <c r="AH197" i="11"/>
  <c r="AO197" i="11" s="1"/>
  <c r="AF197" i="11"/>
  <c r="AM197" i="11" s="1"/>
  <c r="V197" i="11"/>
  <c r="AC197" i="11" s="1"/>
  <c r="AJ197" i="11" s="1"/>
  <c r="AQ197" i="11" s="1"/>
  <c r="R197" i="11"/>
  <c r="Y197" i="11" s="1"/>
  <c r="P197" i="11"/>
  <c r="O197" i="11"/>
  <c r="N197" i="11"/>
  <c r="AW197" i="11" s="1"/>
  <c r="M197" i="11"/>
  <c r="T197" i="11" s="1"/>
  <c r="AA197" i="11" s="1"/>
  <c r="K197" i="11"/>
  <c r="J197" i="11"/>
  <c r="AX196" i="11"/>
  <c r="AV196" i="11"/>
  <c r="AT196" i="11"/>
  <c r="AJ196" i="11"/>
  <c r="AQ196" i="11" s="1"/>
  <c r="AH196" i="11"/>
  <c r="AO196" i="11" s="1"/>
  <c r="V196" i="11"/>
  <c r="AC196" i="11" s="1"/>
  <c r="T196" i="11"/>
  <c r="AA196" i="11" s="1"/>
  <c r="R196" i="11"/>
  <c r="Y196" i="11" s="1"/>
  <c r="AF196" i="11" s="1"/>
  <c r="AM196" i="11" s="1"/>
  <c r="P196" i="11"/>
  <c r="AY196" i="11" s="1"/>
  <c r="O196" i="11"/>
  <c r="N196" i="11"/>
  <c r="M196" i="11"/>
  <c r="K196" i="11"/>
  <c r="J196" i="11"/>
  <c r="AY195" i="11"/>
  <c r="AX195" i="11"/>
  <c r="AV195" i="11"/>
  <c r="AJ195" i="11"/>
  <c r="AQ195" i="11" s="1"/>
  <c r="AA195" i="11"/>
  <c r="AH195" i="11" s="1"/>
  <c r="AO195" i="11" s="1"/>
  <c r="Z195" i="11"/>
  <c r="AG195" i="11" s="1"/>
  <c r="AN195" i="11" s="1"/>
  <c r="V195" i="11"/>
  <c r="AC195" i="11" s="1"/>
  <c r="T195" i="11"/>
  <c r="S195" i="11"/>
  <c r="R195" i="11"/>
  <c r="Y195" i="11" s="1"/>
  <c r="AF195" i="11" s="1"/>
  <c r="AM195" i="11" s="1"/>
  <c r="P195" i="11"/>
  <c r="W195" i="11" s="1"/>
  <c r="AD195" i="11" s="1"/>
  <c r="AK195" i="11" s="1"/>
  <c r="AR195" i="11" s="1"/>
  <c r="O195" i="11"/>
  <c r="N195" i="11"/>
  <c r="M195" i="11"/>
  <c r="L195" i="11"/>
  <c r="AU195" i="11" s="1"/>
  <c r="K195" i="11"/>
  <c r="AT195" i="11" s="1"/>
  <c r="AV194" i="11"/>
  <c r="AU194" i="11"/>
  <c r="AA194" i="11"/>
  <c r="AH194" i="11" s="1"/>
  <c r="AO194" i="11" s="1"/>
  <c r="Z194" i="11"/>
  <c r="AG194" i="11" s="1"/>
  <c r="AN194" i="11" s="1"/>
  <c r="T194" i="11"/>
  <c r="P194" i="11"/>
  <c r="O194" i="11"/>
  <c r="N194" i="11"/>
  <c r="M194" i="11"/>
  <c r="L194" i="11"/>
  <c r="S194" i="11" s="1"/>
  <c r="K194" i="11"/>
  <c r="AT194" i="11" s="1"/>
  <c r="AX193" i="11"/>
  <c r="S193" i="11"/>
  <c r="Z193" i="11" s="1"/>
  <c r="AG193" i="11" s="1"/>
  <c r="AN193" i="11" s="1"/>
  <c r="P193" i="11"/>
  <c r="W193" i="11" s="1"/>
  <c r="AD193" i="11" s="1"/>
  <c r="AK193" i="11" s="1"/>
  <c r="AR193" i="11" s="1"/>
  <c r="O193" i="11"/>
  <c r="V193" i="11" s="1"/>
  <c r="AC193" i="11" s="1"/>
  <c r="AJ193" i="11" s="1"/>
  <c r="AQ193" i="11" s="1"/>
  <c r="N193" i="11"/>
  <c r="AW193" i="11" s="1"/>
  <c r="L193" i="11"/>
  <c r="AU193" i="11" s="1"/>
  <c r="K193" i="11"/>
  <c r="AT193" i="11" s="1"/>
  <c r="J193" i="11"/>
  <c r="AS193" i="11" s="1"/>
  <c r="AY192" i="11"/>
  <c r="S192" i="11"/>
  <c r="Z192" i="11" s="1"/>
  <c r="AG192" i="11" s="1"/>
  <c r="AN192" i="11" s="1"/>
  <c r="P192" i="11"/>
  <c r="W192" i="11" s="1"/>
  <c r="AD192" i="11" s="1"/>
  <c r="AK192" i="11" s="1"/>
  <c r="AR192" i="11" s="1"/>
  <c r="O192" i="11"/>
  <c r="AX192" i="11" s="1"/>
  <c r="N192" i="11"/>
  <c r="AW192" i="11" s="1"/>
  <c r="L192" i="11"/>
  <c r="AU192" i="11" s="1"/>
  <c r="K192" i="11"/>
  <c r="J192" i="11"/>
  <c r="Q192" i="11" s="1"/>
  <c r="X192" i="11" s="1"/>
  <c r="AE192" i="11" s="1"/>
  <c r="AL192" i="11" s="1"/>
  <c r="AV191" i="11"/>
  <c r="AA191" i="11"/>
  <c r="AH191" i="11" s="1"/>
  <c r="AO191" i="11" s="1"/>
  <c r="T191" i="11"/>
  <c r="P191" i="11"/>
  <c r="AY191" i="11" s="1"/>
  <c r="O191" i="11"/>
  <c r="N191" i="11"/>
  <c r="U191" i="11" s="1"/>
  <c r="AB191" i="11" s="1"/>
  <c r="AI191" i="11" s="1"/>
  <c r="AP191" i="11" s="1"/>
  <c r="M191" i="11"/>
  <c r="K191" i="11"/>
  <c r="AT191" i="11" s="1"/>
  <c r="J191" i="11"/>
  <c r="AS191" i="11" s="1"/>
  <c r="AY190" i="11"/>
  <c r="AV190" i="11"/>
  <c r="T190" i="11"/>
  <c r="AA190" i="11" s="1"/>
  <c r="AH190" i="11" s="1"/>
  <c r="AO190" i="11" s="1"/>
  <c r="S190" i="11"/>
  <c r="Z190" i="11" s="1"/>
  <c r="AG190" i="11" s="1"/>
  <c r="AN190" i="11" s="1"/>
  <c r="P190" i="11"/>
  <c r="W190" i="11" s="1"/>
  <c r="AD190" i="11" s="1"/>
  <c r="AK190" i="11" s="1"/>
  <c r="AR190" i="11" s="1"/>
  <c r="O190" i="11"/>
  <c r="AX190" i="11" s="1"/>
  <c r="N190" i="11"/>
  <c r="AW190" i="11" s="1"/>
  <c r="M190" i="11"/>
  <c r="L190" i="11"/>
  <c r="AU190" i="11" s="1"/>
  <c r="J190" i="11"/>
  <c r="Q190" i="11" s="1"/>
  <c r="X190" i="11" s="1"/>
  <c r="AE190" i="11" s="1"/>
  <c r="AL190" i="11" s="1"/>
  <c r="AV189" i="11"/>
  <c r="AU189" i="11"/>
  <c r="AA189" i="11"/>
  <c r="AH189" i="11" s="1"/>
  <c r="AO189" i="11" s="1"/>
  <c r="W189" i="11"/>
  <c r="AD189" i="11" s="1"/>
  <c r="AK189" i="11" s="1"/>
  <c r="AR189" i="11" s="1"/>
  <c r="T189" i="11"/>
  <c r="P189" i="11"/>
  <c r="AY189" i="11" s="1"/>
  <c r="O189" i="11"/>
  <c r="N189" i="11"/>
  <c r="U189" i="11" s="1"/>
  <c r="AB189" i="11" s="1"/>
  <c r="AI189" i="11" s="1"/>
  <c r="AP189" i="11" s="1"/>
  <c r="M189" i="11"/>
  <c r="L189" i="11"/>
  <c r="S189" i="11" s="1"/>
  <c r="Z189" i="11" s="1"/>
  <c r="AG189" i="11" s="1"/>
  <c r="AN189" i="11" s="1"/>
  <c r="J189" i="11"/>
  <c r="AS189" i="11" s="1"/>
  <c r="X188" i="11"/>
  <c r="AE188" i="11" s="1"/>
  <c r="AL188" i="11" s="1"/>
  <c r="W188" i="11"/>
  <c r="AD188" i="11" s="1"/>
  <c r="AK188" i="11" s="1"/>
  <c r="AR188" i="11" s="1"/>
  <c r="P188" i="11"/>
  <c r="AY188" i="11" s="1"/>
  <c r="O188" i="11"/>
  <c r="AX188" i="11" s="1"/>
  <c r="N188" i="11"/>
  <c r="L188" i="11"/>
  <c r="AU188" i="11" s="1"/>
  <c r="K188" i="11"/>
  <c r="J188" i="11"/>
  <c r="Q188" i="11" s="1"/>
  <c r="AX187" i="11"/>
  <c r="AR187" i="11"/>
  <c r="AQ187" i="11"/>
  <c r="AJ187" i="11"/>
  <c r="W187" i="11"/>
  <c r="AD187" i="11" s="1"/>
  <c r="AK187" i="11" s="1"/>
  <c r="S187" i="11"/>
  <c r="Z187" i="11" s="1"/>
  <c r="AG187" i="11" s="1"/>
  <c r="AN187" i="11" s="1"/>
  <c r="R187" i="11"/>
  <c r="Y187" i="11" s="1"/>
  <c r="AF187" i="11" s="1"/>
  <c r="AM187" i="11" s="1"/>
  <c r="P187" i="11"/>
  <c r="AY187" i="11" s="1"/>
  <c r="O187" i="11"/>
  <c r="V187" i="11" s="1"/>
  <c r="AC187" i="11" s="1"/>
  <c r="N187" i="11"/>
  <c r="U187" i="11" s="1"/>
  <c r="AB187" i="11" s="1"/>
  <c r="AI187" i="11" s="1"/>
  <c r="AP187" i="11" s="1"/>
  <c r="L187" i="11"/>
  <c r="AU187" i="11" s="1"/>
  <c r="K187" i="11"/>
  <c r="AT187" i="11" s="1"/>
  <c r="J187" i="11"/>
  <c r="AY186" i="11"/>
  <c r="X186" i="11"/>
  <c r="AE186" i="11" s="1"/>
  <c r="AL186" i="11" s="1"/>
  <c r="P186" i="11"/>
  <c r="W186" i="11" s="1"/>
  <c r="AD186" i="11" s="1"/>
  <c r="AK186" i="11" s="1"/>
  <c r="AR186" i="11" s="1"/>
  <c r="O186" i="11"/>
  <c r="AX186" i="11" s="1"/>
  <c r="N186" i="11"/>
  <c r="L186" i="11"/>
  <c r="AU186" i="11" s="1"/>
  <c r="K186" i="11"/>
  <c r="R186" i="11" s="1"/>
  <c r="Y186" i="11" s="1"/>
  <c r="AF186" i="11" s="1"/>
  <c r="AM186" i="11" s="1"/>
  <c r="J186" i="11"/>
  <c r="Q186" i="11" s="1"/>
  <c r="AY185" i="11"/>
  <c r="AX185" i="11"/>
  <c r="AU185" i="11"/>
  <c r="AR185" i="11"/>
  <c r="AJ185" i="11"/>
  <c r="AQ185" i="11" s="1"/>
  <c r="W185" i="11"/>
  <c r="AD185" i="11" s="1"/>
  <c r="AK185" i="11" s="1"/>
  <c r="S185" i="11"/>
  <c r="Z185" i="11" s="1"/>
  <c r="AG185" i="11" s="1"/>
  <c r="AN185" i="11" s="1"/>
  <c r="P185" i="11"/>
  <c r="O185" i="11"/>
  <c r="V185" i="11" s="1"/>
  <c r="AC185" i="11" s="1"/>
  <c r="N185" i="11"/>
  <c r="U185" i="11" s="1"/>
  <c r="AB185" i="11" s="1"/>
  <c r="AI185" i="11" s="1"/>
  <c r="AP185" i="11" s="1"/>
  <c r="L185" i="11"/>
  <c r="K185" i="11"/>
  <c r="AT185" i="11" s="1"/>
  <c r="J185" i="11"/>
  <c r="W184" i="11"/>
  <c r="AD184" i="11" s="1"/>
  <c r="AK184" i="11" s="1"/>
  <c r="AR184" i="11" s="1"/>
  <c r="V184" i="11"/>
  <c r="AC184" i="11" s="1"/>
  <c r="AJ184" i="11" s="1"/>
  <c r="AQ184" i="11" s="1"/>
  <c r="P184" i="11"/>
  <c r="AY184" i="11" s="1"/>
  <c r="O184" i="11"/>
  <c r="AX184" i="11" s="1"/>
  <c r="N184" i="11"/>
  <c r="L184" i="11"/>
  <c r="S184" i="11" s="1"/>
  <c r="Z184" i="11" s="1"/>
  <c r="AG184" i="11" s="1"/>
  <c r="AN184" i="11" s="1"/>
  <c r="K184" i="11"/>
  <c r="R184" i="11" s="1"/>
  <c r="Y184" i="11" s="1"/>
  <c r="AF184" i="11" s="1"/>
  <c r="AM184" i="11" s="1"/>
  <c r="J184" i="11"/>
  <c r="W183" i="11"/>
  <c r="AD183" i="11" s="1"/>
  <c r="AK183" i="11" s="1"/>
  <c r="AR183" i="11" s="1"/>
  <c r="V183" i="11"/>
  <c r="AC183" i="11" s="1"/>
  <c r="AJ183" i="11" s="1"/>
  <c r="AQ183" i="11" s="1"/>
  <c r="P183" i="11"/>
  <c r="AY183" i="11" s="1"/>
  <c r="O183" i="11"/>
  <c r="AX183" i="11" s="1"/>
  <c r="N183" i="11"/>
  <c r="L183" i="11"/>
  <c r="S183" i="11" s="1"/>
  <c r="Z183" i="11" s="1"/>
  <c r="AG183" i="11" s="1"/>
  <c r="AN183" i="11" s="1"/>
  <c r="K183" i="11"/>
  <c r="J183" i="11"/>
  <c r="AT182" i="11"/>
  <c r="W182" i="11"/>
  <c r="AD182" i="11" s="1"/>
  <c r="AK182" i="11" s="1"/>
  <c r="AR182" i="11" s="1"/>
  <c r="R182" i="11"/>
  <c r="Y182" i="11" s="1"/>
  <c r="AF182" i="11" s="1"/>
  <c r="AM182" i="11" s="1"/>
  <c r="P182" i="11"/>
  <c r="AY182" i="11" s="1"/>
  <c r="O182" i="11"/>
  <c r="V182" i="11" s="1"/>
  <c r="AC182" i="11" s="1"/>
  <c r="AJ182" i="11" s="1"/>
  <c r="AQ182" i="11" s="1"/>
  <c r="N182" i="11"/>
  <c r="L182" i="11"/>
  <c r="K182" i="11"/>
  <c r="J182" i="11"/>
  <c r="AU181" i="11"/>
  <c r="AT181" i="11"/>
  <c r="Z181" i="11"/>
  <c r="AG181" i="11" s="1"/>
  <c r="AN181" i="11" s="1"/>
  <c r="S181" i="11"/>
  <c r="R181" i="11"/>
  <c r="Y181" i="11" s="1"/>
  <c r="AF181" i="11" s="1"/>
  <c r="AM181" i="11" s="1"/>
  <c r="P181" i="11"/>
  <c r="W181" i="11" s="1"/>
  <c r="AD181" i="11" s="1"/>
  <c r="AK181" i="11" s="1"/>
  <c r="AR181" i="11" s="1"/>
  <c r="O181" i="11"/>
  <c r="N181" i="11"/>
  <c r="L181" i="11"/>
  <c r="K181" i="11"/>
  <c r="J181" i="11"/>
  <c r="AU180" i="11"/>
  <c r="Z180" i="11"/>
  <c r="AG180" i="11" s="1"/>
  <c r="AN180" i="11" s="1"/>
  <c r="S180" i="11"/>
  <c r="R180" i="11"/>
  <c r="Y180" i="11" s="1"/>
  <c r="AF180" i="11" s="1"/>
  <c r="AM180" i="11" s="1"/>
  <c r="P180" i="11"/>
  <c r="O180" i="11"/>
  <c r="N180" i="11"/>
  <c r="L180" i="11"/>
  <c r="K180" i="11"/>
  <c r="AT180" i="11" s="1"/>
  <c r="J180" i="11"/>
  <c r="AU179" i="11"/>
  <c r="AN179" i="11"/>
  <c r="AG179" i="11"/>
  <c r="Z179" i="11"/>
  <c r="Y179" i="11"/>
  <c r="AF179" i="11" s="1"/>
  <c r="AM179" i="11" s="1"/>
  <c r="W179" i="11"/>
  <c r="AD179" i="11" s="1"/>
  <c r="AK179" i="11" s="1"/>
  <c r="AR179" i="11" s="1"/>
  <c r="V179" i="11"/>
  <c r="AC179" i="11" s="1"/>
  <c r="AJ179" i="11" s="1"/>
  <c r="AQ179" i="11" s="1"/>
  <c r="S179" i="11"/>
  <c r="R179" i="11"/>
  <c r="Q179" i="11"/>
  <c r="X179" i="11" s="1"/>
  <c r="AE179" i="11" s="1"/>
  <c r="AL179" i="11" s="1"/>
  <c r="P179" i="11"/>
  <c r="AY179" i="11" s="1"/>
  <c r="O179" i="11"/>
  <c r="AX179" i="11" s="1"/>
  <c r="N179" i="11"/>
  <c r="L179" i="11"/>
  <c r="K179" i="11"/>
  <c r="AT179" i="11" s="1"/>
  <c r="J179" i="11"/>
  <c r="AS179" i="11" s="1"/>
  <c r="AY178" i="11"/>
  <c r="AX178" i="11"/>
  <c r="AQ178" i="11"/>
  <c r="AJ178" i="11"/>
  <c r="AI178" i="11"/>
  <c r="AP178" i="11" s="1"/>
  <c r="AC178" i="11"/>
  <c r="AB178" i="11"/>
  <c r="V178" i="11"/>
  <c r="U178" i="11"/>
  <c r="S178" i="11"/>
  <c r="Z178" i="11" s="1"/>
  <c r="AG178" i="11" s="1"/>
  <c r="AN178" i="11" s="1"/>
  <c r="R178" i="11"/>
  <c r="Y178" i="11" s="1"/>
  <c r="AF178" i="11" s="1"/>
  <c r="AM178" i="11" s="1"/>
  <c r="P178" i="11"/>
  <c r="W178" i="11" s="1"/>
  <c r="AD178" i="11" s="1"/>
  <c r="AK178" i="11" s="1"/>
  <c r="AR178" i="11" s="1"/>
  <c r="O178" i="11"/>
  <c r="N178" i="11"/>
  <c r="AW178" i="11" s="1"/>
  <c r="L178" i="11"/>
  <c r="AU178" i="11" s="1"/>
  <c r="K178" i="11"/>
  <c r="AT178" i="11" s="1"/>
  <c r="J178" i="11"/>
  <c r="AU177" i="11"/>
  <c r="AT177" i="11"/>
  <c r="AN177" i="11"/>
  <c r="AM177" i="11"/>
  <c r="AG177" i="11"/>
  <c r="AF177" i="11"/>
  <c r="AE177" i="11"/>
  <c r="AL177" i="11" s="1"/>
  <c r="AD177" i="11"/>
  <c r="AK177" i="11" s="1"/>
  <c r="AR177" i="11" s="1"/>
  <c r="Z177" i="11"/>
  <c r="Y177" i="11"/>
  <c r="X177" i="11"/>
  <c r="W177" i="11"/>
  <c r="S177" i="11"/>
  <c r="R177" i="11"/>
  <c r="Q177" i="11"/>
  <c r="P177" i="11"/>
  <c r="AY177" i="11" s="1"/>
  <c r="O177" i="11"/>
  <c r="AX177" i="11" s="1"/>
  <c r="N177" i="11"/>
  <c r="L177" i="11"/>
  <c r="K177" i="11"/>
  <c r="J177" i="11"/>
  <c r="AS177" i="11" s="1"/>
  <c r="AY176" i="11"/>
  <c r="AX176" i="11"/>
  <c r="AR176" i="11"/>
  <c r="AQ176" i="11"/>
  <c r="AK176" i="11"/>
  <c r="AJ176" i="11"/>
  <c r="AI176" i="11"/>
  <c r="AP176" i="11" s="1"/>
  <c r="AD176" i="11"/>
  <c r="AC176" i="11"/>
  <c r="AB176" i="11"/>
  <c r="W176" i="11"/>
  <c r="V176" i="11"/>
  <c r="U176" i="11"/>
  <c r="S176" i="11"/>
  <c r="Z176" i="11" s="1"/>
  <c r="AG176" i="11" s="1"/>
  <c r="AN176" i="11" s="1"/>
  <c r="R176" i="11"/>
  <c r="Y176" i="11" s="1"/>
  <c r="AF176" i="11" s="1"/>
  <c r="AM176" i="11" s="1"/>
  <c r="P176" i="11"/>
  <c r="O176" i="11"/>
  <c r="N176" i="11"/>
  <c r="AW176" i="11" s="1"/>
  <c r="L176" i="11"/>
  <c r="AU176" i="11" s="1"/>
  <c r="K176" i="11"/>
  <c r="AT176" i="11" s="1"/>
  <c r="J176" i="11"/>
  <c r="AV175" i="11"/>
  <c r="AT175" i="11"/>
  <c r="AM175" i="11"/>
  <c r="AF175" i="11"/>
  <c r="Y175" i="11"/>
  <c r="W175" i="11"/>
  <c r="AD175" i="11" s="1"/>
  <c r="AK175" i="11" s="1"/>
  <c r="AR175" i="11" s="1"/>
  <c r="V175" i="11"/>
  <c r="AC175" i="11" s="1"/>
  <c r="AJ175" i="11" s="1"/>
  <c r="AQ175" i="11" s="1"/>
  <c r="R175" i="11"/>
  <c r="P175" i="11"/>
  <c r="AY175" i="11" s="1"/>
  <c r="O175" i="11"/>
  <c r="AX175" i="11" s="1"/>
  <c r="N175" i="11"/>
  <c r="M175" i="11"/>
  <c r="T175" i="11" s="1"/>
  <c r="AA175" i="11" s="1"/>
  <c r="AH175" i="11" s="1"/>
  <c r="AO175" i="11" s="1"/>
  <c r="K175" i="11"/>
  <c r="J175" i="11"/>
  <c r="AS175" i="11" s="1"/>
  <c r="AY174" i="11"/>
  <c r="AX174" i="11"/>
  <c r="AH174" i="11"/>
  <c r="AO174" i="11" s="1"/>
  <c r="AA174" i="11"/>
  <c r="Z174" i="11"/>
  <c r="AG174" i="11" s="1"/>
  <c r="AN174" i="11" s="1"/>
  <c r="V174" i="11"/>
  <c r="AC174" i="11" s="1"/>
  <c r="AJ174" i="11" s="1"/>
  <c r="AQ174" i="11" s="1"/>
  <c r="T174" i="11"/>
  <c r="S174" i="11"/>
  <c r="P174" i="11"/>
  <c r="W174" i="11" s="1"/>
  <c r="AD174" i="11" s="1"/>
  <c r="AK174" i="11" s="1"/>
  <c r="AR174" i="11" s="1"/>
  <c r="O174" i="11"/>
  <c r="N174" i="11"/>
  <c r="AW174" i="11" s="1"/>
  <c r="M174" i="11"/>
  <c r="AV174" i="11" s="1"/>
  <c r="L174" i="11"/>
  <c r="AU174" i="11" s="1"/>
  <c r="J174" i="11"/>
  <c r="AU173" i="11"/>
  <c r="AT173" i="11"/>
  <c r="AM173" i="11"/>
  <c r="AD173" i="11"/>
  <c r="AK173" i="11" s="1"/>
  <c r="AR173" i="11" s="1"/>
  <c r="W173" i="11"/>
  <c r="R173" i="11"/>
  <c r="Y173" i="11" s="1"/>
  <c r="AF173" i="11" s="1"/>
  <c r="P173" i="11"/>
  <c r="AY173" i="11" s="1"/>
  <c r="O173" i="11"/>
  <c r="AX173" i="11" s="1"/>
  <c r="N173" i="11"/>
  <c r="L173" i="11"/>
  <c r="S173" i="11" s="1"/>
  <c r="Z173" i="11" s="1"/>
  <c r="AG173" i="11" s="1"/>
  <c r="AN173" i="11" s="1"/>
  <c r="K173" i="11"/>
  <c r="J173" i="11"/>
  <c r="AS173" i="11" s="1"/>
  <c r="AY172" i="11"/>
  <c r="AX172" i="11"/>
  <c r="AR172" i="11"/>
  <c r="V172" i="11"/>
  <c r="AC172" i="11" s="1"/>
  <c r="AJ172" i="11" s="1"/>
  <c r="AQ172" i="11" s="1"/>
  <c r="S172" i="11"/>
  <c r="Z172" i="11" s="1"/>
  <c r="AG172" i="11" s="1"/>
  <c r="AN172" i="11" s="1"/>
  <c r="P172" i="11"/>
  <c r="W172" i="11" s="1"/>
  <c r="AD172" i="11" s="1"/>
  <c r="AK172" i="11" s="1"/>
  <c r="O172" i="11"/>
  <c r="N172" i="11"/>
  <c r="AW172" i="11" s="1"/>
  <c r="L172" i="11"/>
  <c r="AU172" i="11" s="1"/>
  <c r="K172" i="11"/>
  <c r="AT172" i="11" s="1"/>
  <c r="J172" i="11"/>
  <c r="AU171" i="11"/>
  <c r="AT171" i="11"/>
  <c r="AF171" i="11"/>
  <c r="AM171" i="11" s="1"/>
  <c r="R171" i="11"/>
  <c r="Y171" i="11" s="1"/>
  <c r="P171" i="11"/>
  <c r="AY171" i="11" s="1"/>
  <c r="O171" i="11"/>
  <c r="AX171" i="11" s="1"/>
  <c r="N171" i="11"/>
  <c r="L171" i="11"/>
  <c r="S171" i="11" s="1"/>
  <c r="Z171" i="11" s="1"/>
  <c r="AG171" i="11" s="1"/>
  <c r="AN171" i="11" s="1"/>
  <c r="K171" i="11"/>
  <c r="J171" i="11"/>
  <c r="AS171" i="11" s="1"/>
  <c r="AY170" i="11"/>
  <c r="AX170" i="11"/>
  <c r="AT170" i="11"/>
  <c r="AQ170" i="11"/>
  <c r="AJ170" i="11"/>
  <c r="AA170" i="11"/>
  <c r="AH170" i="11" s="1"/>
  <c r="AO170" i="11" s="1"/>
  <c r="Z170" i="11"/>
  <c r="AG170" i="11" s="1"/>
  <c r="AN170" i="11" s="1"/>
  <c r="V170" i="11"/>
  <c r="AC170" i="11" s="1"/>
  <c r="T170" i="11"/>
  <c r="S170" i="11"/>
  <c r="R170" i="11"/>
  <c r="Y170" i="11" s="1"/>
  <c r="AF170" i="11" s="1"/>
  <c r="AM170" i="11" s="1"/>
  <c r="P170" i="11"/>
  <c r="W170" i="11" s="1"/>
  <c r="AD170" i="11" s="1"/>
  <c r="AK170" i="11" s="1"/>
  <c r="AR170" i="11" s="1"/>
  <c r="O170" i="11"/>
  <c r="N170" i="11"/>
  <c r="M170" i="11"/>
  <c r="AV170" i="11" s="1"/>
  <c r="L170" i="11"/>
  <c r="AU170" i="11" s="1"/>
  <c r="K170" i="11"/>
  <c r="AV169" i="11"/>
  <c r="AU169" i="11"/>
  <c r="Z169" i="11"/>
  <c r="AG169" i="11" s="1"/>
  <c r="AN169" i="11" s="1"/>
  <c r="T169" i="11"/>
  <c r="AA169" i="11" s="1"/>
  <c r="AH169" i="11" s="1"/>
  <c r="AO169" i="11" s="1"/>
  <c r="P169" i="11"/>
  <c r="AY169" i="11" s="1"/>
  <c r="O169" i="11"/>
  <c r="V169" i="11" s="1"/>
  <c r="AC169" i="11" s="1"/>
  <c r="AJ169" i="11" s="1"/>
  <c r="AQ169" i="11" s="1"/>
  <c r="N169" i="11"/>
  <c r="M169" i="11"/>
  <c r="L169" i="11"/>
  <c r="S169" i="11" s="1"/>
  <c r="J169" i="11"/>
  <c r="AY168" i="11"/>
  <c r="AV168" i="11"/>
  <c r="AA168" i="11"/>
  <c r="AH168" i="11" s="1"/>
  <c r="AO168" i="11" s="1"/>
  <c r="Z168" i="11"/>
  <c r="AG168" i="11" s="1"/>
  <c r="AN168" i="11" s="1"/>
  <c r="T168" i="11"/>
  <c r="S168" i="11"/>
  <c r="P168" i="11"/>
  <c r="W168" i="11" s="1"/>
  <c r="AD168" i="11" s="1"/>
  <c r="AK168" i="11" s="1"/>
  <c r="AR168" i="11" s="1"/>
  <c r="O168" i="11"/>
  <c r="V168" i="11" s="1"/>
  <c r="AC168" i="11" s="1"/>
  <c r="AJ168" i="11" s="1"/>
  <c r="AQ168" i="11" s="1"/>
  <c r="N168" i="11"/>
  <c r="M168" i="11"/>
  <c r="L168" i="11"/>
  <c r="AU168" i="11" s="1"/>
  <c r="J168" i="11"/>
  <c r="AX167" i="11"/>
  <c r="AT167" i="11"/>
  <c r="AF167" i="11"/>
  <c r="AM167" i="11" s="1"/>
  <c r="AE167" i="11"/>
  <c r="AL167" i="11" s="1"/>
  <c r="Y167" i="11"/>
  <c r="X167" i="11"/>
  <c r="R167" i="11"/>
  <c r="Q167" i="11"/>
  <c r="P167" i="11"/>
  <c r="AY167" i="11" s="1"/>
  <c r="O167" i="11"/>
  <c r="V167" i="11" s="1"/>
  <c r="AC167" i="11" s="1"/>
  <c r="AJ167" i="11" s="1"/>
  <c r="AQ167" i="11" s="1"/>
  <c r="N167" i="11"/>
  <c r="U167" i="11" s="1"/>
  <c r="AB167" i="11" s="1"/>
  <c r="AI167" i="11" s="1"/>
  <c r="AP167" i="11" s="1"/>
  <c r="L167" i="11"/>
  <c r="AU167" i="11" s="1"/>
  <c r="K167" i="11"/>
  <c r="J167" i="11"/>
  <c r="AS167" i="11" s="1"/>
  <c r="AY166" i="11"/>
  <c r="AX166" i="11"/>
  <c r="AS166" i="11"/>
  <c r="AL166" i="11"/>
  <c r="AE166" i="11"/>
  <c r="AD166" i="11"/>
  <c r="AK166" i="11" s="1"/>
  <c r="AR166" i="11" s="1"/>
  <c r="AC166" i="11"/>
  <c r="AJ166" i="11" s="1"/>
  <c r="AQ166" i="11" s="1"/>
  <c r="X166" i="11"/>
  <c r="W166" i="11"/>
  <c r="V166" i="11"/>
  <c r="P166" i="11"/>
  <c r="O166" i="11"/>
  <c r="N166" i="11"/>
  <c r="AW166" i="11" s="1"/>
  <c r="L166" i="11"/>
  <c r="S166" i="11" s="1"/>
  <c r="Z166" i="11" s="1"/>
  <c r="AG166" i="11" s="1"/>
  <c r="AN166" i="11" s="1"/>
  <c r="K166" i="11"/>
  <c r="AT166" i="11" s="1"/>
  <c r="J166" i="11"/>
  <c r="Q166" i="11" s="1"/>
  <c r="W165" i="11"/>
  <c r="AD165" i="11" s="1"/>
  <c r="AK165" i="11" s="1"/>
  <c r="AR165" i="11" s="1"/>
  <c r="U165" i="11"/>
  <c r="AB165" i="11" s="1"/>
  <c r="AI165" i="11" s="1"/>
  <c r="AP165" i="11" s="1"/>
  <c r="P165" i="11"/>
  <c r="AY165" i="11" s="1"/>
  <c r="O165" i="11"/>
  <c r="AX165" i="11" s="1"/>
  <c r="N165" i="11"/>
  <c r="AW165" i="11" s="1"/>
  <c r="M165" i="11"/>
  <c r="AV165" i="11" s="1"/>
  <c r="L165" i="11"/>
  <c r="S165" i="11" s="1"/>
  <c r="Z165" i="11" s="1"/>
  <c r="AG165" i="11" s="1"/>
  <c r="AN165" i="11" s="1"/>
  <c r="J165" i="11"/>
  <c r="AS165" i="11" s="1"/>
  <c r="AX164" i="11"/>
  <c r="AW164" i="11"/>
  <c r="AV164" i="11"/>
  <c r="AA164" i="11"/>
  <c r="AH164" i="11" s="1"/>
  <c r="AO164" i="11" s="1"/>
  <c r="V164" i="11"/>
  <c r="AC164" i="11" s="1"/>
  <c r="AJ164" i="11" s="1"/>
  <c r="AQ164" i="11" s="1"/>
  <c r="T164" i="11"/>
  <c r="S164" i="11"/>
  <c r="Z164" i="11" s="1"/>
  <c r="AG164" i="11" s="1"/>
  <c r="AN164" i="11" s="1"/>
  <c r="Q164" i="11"/>
  <c r="X164" i="11" s="1"/>
  <c r="AE164" i="11" s="1"/>
  <c r="AL164" i="11" s="1"/>
  <c r="P164" i="11"/>
  <c r="W164" i="11" s="1"/>
  <c r="AD164" i="11" s="1"/>
  <c r="AK164" i="11" s="1"/>
  <c r="AR164" i="11" s="1"/>
  <c r="O164" i="11"/>
  <c r="N164" i="11"/>
  <c r="U164" i="11" s="1"/>
  <c r="AB164" i="11" s="1"/>
  <c r="AI164" i="11" s="1"/>
  <c r="AP164" i="11" s="1"/>
  <c r="M164" i="11"/>
  <c r="L164" i="11"/>
  <c r="AU164" i="11" s="1"/>
  <c r="J164" i="11"/>
  <c r="AS164" i="11" s="1"/>
  <c r="AT163" i="11"/>
  <c r="AS163" i="11"/>
  <c r="W163" i="11"/>
  <c r="AD163" i="11" s="1"/>
  <c r="AK163" i="11" s="1"/>
  <c r="AR163" i="11" s="1"/>
  <c r="R163" i="11"/>
  <c r="Y163" i="11" s="1"/>
  <c r="AF163" i="11" s="1"/>
  <c r="AM163" i="11" s="1"/>
  <c r="P163" i="11"/>
  <c r="AY163" i="11" s="1"/>
  <c r="O163" i="11"/>
  <c r="AX163" i="11" s="1"/>
  <c r="N163" i="11"/>
  <c r="AW163" i="11" s="1"/>
  <c r="M163" i="11"/>
  <c r="AV163" i="11" s="1"/>
  <c r="L163" i="11"/>
  <c r="S163" i="11" s="1"/>
  <c r="Z163" i="11" s="1"/>
  <c r="AG163" i="11" s="1"/>
  <c r="AN163" i="11" s="1"/>
  <c r="K163" i="11"/>
  <c r="J163" i="11"/>
  <c r="Q163" i="11" s="1"/>
  <c r="X163" i="11" s="1"/>
  <c r="AE163" i="11" s="1"/>
  <c r="AL163" i="11" s="1"/>
  <c r="AX162" i="11"/>
  <c r="AW162" i="11"/>
  <c r="V162" i="11"/>
  <c r="AC162" i="11" s="1"/>
  <c r="AJ162" i="11" s="1"/>
  <c r="AQ162" i="11" s="1"/>
  <c r="S162" i="11"/>
  <c r="Z162" i="11" s="1"/>
  <c r="AG162" i="11" s="1"/>
  <c r="AN162" i="11" s="1"/>
  <c r="P162" i="11"/>
  <c r="W162" i="11" s="1"/>
  <c r="AD162" i="11" s="1"/>
  <c r="AK162" i="11" s="1"/>
  <c r="AR162" i="11" s="1"/>
  <c r="O162" i="11"/>
  <c r="N162" i="11"/>
  <c r="U162" i="11" s="1"/>
  <c r="AB162" i="11" s="1"/>
  <c r="AI162" i="11" s="1"/>
  <c r="AP162" i="11" s="1"/>
  <c r="L162" i="11"/>
  <c r="AU162" i="11" s="1"/>
  <c r="K162" i="11"/>
  <c r="AT162" i="11" s="1"/>
  <c r="J162" i="11"/>
  <c r="AS162" i="11" s="1"/>
  <c r="AT161" i="11"/>
  <c r="AS161" i="11"/>
  <c r="W161" i="11"/>
  <c r="AD161" i="11" s="1"/>
  <c r="AK161" i="11" s="1"/>
  <c r="AR161" i="11" s="1"/>
  <c r="R161" i="11"/>
  <c r="Y161" i="11" s="1"/>
  <c r="AF161" i="11" s="1"/>
  <c r="AM161" i="11" s="1"/>
  <c r="P161" i="11"/>
  <c r="AY161" i="11" s="1"/>
  <c r="O161" i="11"/>
  <c r="AX161" i="11" s="1"/>
  <c r="N161" i="11"/>
  <c r="AW161" i="11" s="1"/>
  <c r="L161" i="11"/>
  <c r="S161" i="11" s="1"/>
  <c r="Z161" i="11" s="1"/>
  <c r="AG161" i="11" s="1"/>
  <c r="AN161" i="11" s="1"/>
  <c r="K161" i="11"/>
  <c r="J161" i="11"/>
  <c r="Q161" i="11" s="1"/>
  <c r="X161" i="11" s="1"/>
  <c r="AE161" i="11" s="1"/>
  <c r="AL161" i="11" s="1"/>
  <c r="AX160" i="11"/>
  <c r="AW160" i="11"/>
  <c r="V160" i="11"/>
  <c r="AC160" i="11" s="1"/>
  <c r="AJ160" i="11" s="1"/>
  <c r="AQ160" i="11" s="1"/>
  <c r="S160" i="11"/>
  <c r="Z160" i="11" s="1"/>
  <c r="AG160" i="11" s="1"/>
  <c r="AN160" i="11" s="1"/>
  <c r="P160" i="11"/>
  <c r="W160" i="11" s="1"/>
  <c r="AD160" i="11" s="1"/>
  <c r="AK160" i="11" s="1"/>
  <c r="AR160" i="11" s="1"/>
  <c r="O160" i="11"/>
  <c r="N160" i="11"/>
  <c r="U160" i="11" s="1"/>
  <c r="AB160" i="11" s="1"/>
  <c r="AI160" i="11" s="1"/>
  <c r="AP160" i="11" s="1"/>
  <c r="L160" i="11"/>
  <c r="AU160" i="11" s="1"/>
  <c r="K160" i="11"/>
  <c r="AT160" i="11" s="1"/>
  <c r="J160" i="11"/>
  <c r="AS160" i="11" s="1"/>
  <c r="AT159" i="11"/>
  <c r="AS159" i="11"/>
  <c r="W159" i="11"/>
  <c r="AD159" i="11" s="1"/>
  <c r="AK159" i="11" s="1"/>
  <c r="AR159" i="11" s="1"/>
  <c r="R159" i="11"/>
  <c r="Y159" i="11" s="1"/>
  <c r="AF159" i="11" s="1"/>
  <c r="AM159" i="11" s="1"/>
  <c r="P159" i="11"/>
  <c r="AY159" i="11" s="1"/>
  <c r="O159" i="11"/>
  <c r="AX159" i="11" s="1"/>
  <c r="N159" i="11"/>
  <c r="AW159" i="11" s="1"/>
  <c r="L159" i="11"/>
  <c r="S159" i="11" s="1"/>
  <c r="Z159" i="11" s="1"/>
  <c r="AG159" i="11" s="1"/>
  <c r="AN159" i="11" s="1"/>
  <c r="K159" i="11"/>
  <c r="J159" i="11"/>
  <c r="Q159" i="11" s="1"/>
  <c r="X159" i="11" s="1"/>
  <c r="AE159" i="11" s="1"/>
  <c r="AL159" i="11" s="1"/>
  <c r="AX158" i="11"/>
  <c r="AW158" i="11"/>
  <c r="V158" i="11"/>
  <c r="AC158" i="11" s="1"/>
  <c r="AJ158" i="11" s="1"/>
  <c r="AQ158" i="11" s="1"/>
  <c r="S158" i="11"/>
  <c r="Z158" i="11" s="1"/>
  <c r="AG158" i="11" s="1"/>
  <c r="AN158" i="11" s="1"/>
  <c r="P158" i="11"/>
  <c r="W158" i="11" s="1"/>
  <c r="AD158" i="11" s="1"/>
  <c r="AK158" i="11" s="1"/>
  <c r="AR158" i="11" s="1"/>
  <c r="O158" i="11"/>
  <c r="N158" i="11"/>
  <c r="U158" i="11" s="1"/>
  <c r="AB158" i="11" s="1"/>
  <c r="AI158" i="11" s="1"/>
  <c r="AP158" i="11" s="1"/>
  <c r="L158" i="11"/>
  <c r="AU158" i="11" s="1"/>
  <c r="K158" i="11"/>
  <c r="AT158" i="11" s="1"/>
  <c r="J158" i="11"/>
  <c r="AS158" i="11" s="1"/>
  <c r="AT157" i="11"/>
  <c r="AS157" i="11"/>
  <c r="W157" i="11"/>
  <c r="AD157" i="11" s="1"/>
  <c r="AK157" i="11" s="1"/>
  <c r="AR157" i="11" s="1"/>
  <c r="R157" i="11"/>
  <c r="Y157" i="11" s="1"/>
  <c r="AF157" i="11" s="1"/>
  <c r="AM157" i="11" s="1"/>
  <c r="P157" i="11"/>
  <c r="AY157" i="11" s="1"/>
  <c r="O157" i="11"/>
  <c r="AX157" i="11" s="1"/>
  <c r="N157" i="11"/>
  <c r="AW157" i="11" s="1"/>
  <c r="L157" i="11"/>
  <c r="S157" i="11" s="1"/>
  <c r="Z157" i="11" s="1"/>
  <c r="AG157" i="11" s="1"/>
  <c r="AN157" i="11" s="1"/>
  <c r="K157" i="11"/>
  <c r="J157" i="11"/>
  <c r="Q157" i="11" s="1"/>
  <c r="X157" i="11" s="1"/>
  <c r="AE157" i="11" s="1"/>
  <c r="AL157" i="11" s="1"/>
  <c r="AX156" i="11"/>
  <c r="AW156" i="11"/>
  <c r="Z156" i="11"/>
  <c r="AG156" i="11" s="1"/>
  <c r="AN156" i="11" s="1"/>
  <c r="V156" i="11"/>
  <c r="AC156" i="11" s="1"/>
  <c r="AJ156" i="11" s="1"/>
  <c r="AQ156" i="11" s="1"/>
  <c r="S156" i="11"/>
  <c r="P156" i="11"/>
  <c r="W156" i="11" s="1"/>
  <c r="AD156" i="11" s="1"/>
  <c r="AK156" i="11" s="1"/>
  <c r="AR156" i="11" s="1"/>
  <c r="O156" i="11"/>
  <c r="N156" i="11"/>
  <c r="U156" i="11" s="1"/>
  <c r="AB156" i="11" s="1"/>
  <c r="AI156" i="11" s="1"/>
  <c r="AP156" i="11" s="1"/>
  <c r="L156" i="11"/>
  <c r="AU156" i="11" s="1"/>
  <c r="K156" i="11"/>
  <c r="AT156" i="11" s="1"/>
  <c r="J156" i="11"/>
  <c r="AT155" i="11"/>
  <c r="AS155" i="11"/>
  <c r="AR155" i="11"/>
  <c r="AJ155" i="11"/>
  <c r="AQ155" i="11" s="1"/>
  <c r="AD155" i="11"/>
  <c r="AK155" i="11" s="1"/>
  <c r="W155" i="11"/>
  <c r="V155" i="11"/>
  <c r="AC155" i="11" s="1"/>
  <c r="R155" i="11"/>
  <c r="Y155" i="11" s="1"/>
  <c r="AF155" i="11" s="1"/>
  <c r="AM155" i="11" s="1"/>
  <c r="P155" i="11"/>
  <c r="AY155" i="11" s="1"/>
  <c r="O155" i="11"/>
  <c r="AX155" i="11" s="1"/>
  <c r="N155" i="11"/>
  <c r="L155" i="11"/>
  <c r="S155" i="11" s="1"/>
  <c r="Z155" i="11" s="1"/>
  <c r="AG155" i="11" s="1"/>
  <c r="AN155" i="11" s="1"/>
  <c r="K155" i="11"/>
  <c r="J155" i="11"/>
  <c r="Q155" i="11" s="1"/>
  <c r="X155" i="11" s="1"/>
  <c r="AE155" i="11" s="1"/>
  <c r="AL155" i="11" s="1"/>
  <c r="AX154" i="11"/>
  <c r="AW154" i="11"/>
  <c r="AF154" i="11"/>
  <c r="AM154" i="11" s="1"/>
  <c r="V154" i="11"/>
  <c r="AC154" i="11" s="1"/>
  <c r="AJ154" i="11" s="1"/>
  <c r="AQ154" i="11" s="1"/>
  <c r="S154" i="11"/>
  <c r="Z154" i="11" s="1"/>
  <c r="AG154" i="11" s="1"/>
  <c r="AN154" i="11" s="1"/>
  <c r="R154" i="11"/>
  <c r="Y154" i="11" s="1"/>
  <c r="P154" i="11"/>
  <c r="W154" i="11" s="1"/>
  <c r="AD154" i="11" s="1"/>
  <c r="AK154" i="11" s="1"/>
  <c r="AR154" i="11" s="1"/>
  <c r="O154" i="11"/>
  <c r="N154" i="11"/>
  <c r="U154" i="11" s="1"/>
  <c r="AB154" i="11" s="1"/>
  <c r="AI154" i="11" s="1"/>
  <c r="AP154" i="11" s="1"/>
  <c r="L154" i="11"/>
  <c r="AU154" i="11" s="1"/>
  <c r="K154" i="11"/>
  <c r="AT154" i="11" s="1"/>
  <c r="J154" i="11"/>
  <c r="AT153" i="11"/>
  <c r="AS153" i="11"/>
  <c r="W153" i="11"/>
  <c r="AD153" i="11" s="1"/>
  <c r="AK153" i="11" s="1"/>
  <c r="AR153" i="11" s="1"/>
  <c r="V153" i="11"/>
  <c r="AC153" i="11" s="1"/>
  <c r="AJ153" i="11" s="1"/>
  <c r="AQ153" i="11" s="1"/>
  <c r="T153" i="11"/>
  <c r="AA153" i="11" s="1"/>
  <c r="AH153" i="11" s="1"/>
  <c r="AO153" i="11" s="1"/>
  <c r="P153" i="11"/>
  <c r="AY153" i="11" s="1"/>
  <c r="O153" i="11"/>
  <c r="AX153" i="11" s="1"/>
  <c r="N153" i="11"/>
  <c r="M153" i="11"/>
  <c r="AV153" i="11" s="1"/>
  <c r="L153" i="11"/>
  <c r="S153" i="11" s="1"/>
  <c r="Z153" i="11" s="1"/>
  <c r="AG153" i="11" s="1"/>
  <c r="AN153" i="11" s="1"/>
  <c r="K153" i="11"/>
  <c r="R153" i="11" s="1"/>
  <c r="Y153" i="11" s="1"/>
  <c r="AF153" i="11" s="1"/>
  <c r="AM153" i="11" s="1"/>
  <c r="J153" i="11"/>
  <c r="Q153" i="11" s="1"/>
  <c r="X153" i="11" s="1"/>
  <c r="AE153" i="11" s="1"/>
  <c r="AL153" i="11" s="1"/>
  <c r="AX152" i="11"/>
  <c r="AW152" i="11"/>
  <c r="AQ152" i="11"/>
  <c r="Z152" i="11"/>
  <c r="AG152" i="11" s="1"/>
  <c r="AN152" i="11" s="1"/>
  <c r="Y152" i="11"/>
  <c r="AF152" i="11" s="1"/>
  <c r="AM152" i="11" s="1"/>
  <c r="X152" i="11"/>
  <c r="AE152" i="11" s="1"/>
  <c r="AL152" i="11" s="1"/>
  <c r="V152" i="11"/>
  <c r="AC152" i="11" s="1"/>
  <c r="AJ152" i="11" s="1"/>
  <c r="S152" i="11"/>
  <c r="R152" i="11"/>
  <c r="Q152" i="11"/>
  <c r="P152" i="11"/>
  <c r="W152" i="11" s="1"/>
  <c r="AD152" i="11" s="1"/>
  <c r="AK152" i="11" s="1"/>
  <c r="AR152" i="11" s="1"/>
  <c r="O152" i="11"/>
  <c r="N152" i="11"/>
  <c r="U152" i="11" s="1"/>
  <c r="AB152" i="11" s="1"/>
  <c r="AI152" i="11" s="1"/>
  <c r="AP152" i="11" s="1"/>
  <c r="L152" i="11"/>
  <c r="AU152" i="11" s="1"/>
  <c r="K152" i="11"/>
  <c r="AT152" i="11" s="1"/>
  <c r="J152" i="11"/>
  <c r="AU151" i="11"/>
  <c r="AT151" i="11"/>
  <c r="AS151" i="11"/>
  <c r="AB151" i="11"/>
  <c r="AI151" i="11" s="1"/>
  <c r="AP151" i="11" s="1"/>
  <c r="U151" i="11"/>
  <c r="R151" i="11"/>
  <c r="Y151" i="11" s="1"/>
  <c r="AF151" i="11" s="1"/>
  <c r="AM151" i="11" s="1"/>
  <c r="P151" i="11"/>
  <c r="AY151" i="11" s="1"/>
  <c r="O151" i="11"/>
  <c r="AX151" i="11" s="1"/>
  <c r="N151" i="11"/>
  <c r="AW151" i="11" s="1"/>
  <c r="L151" i="11"/>
  <c r="S151" i="11" s="1"/>
  <c r="Z151" i="11" s="1"/>
  <c r="AG151" i="11" s="1"/>
  <c r="AN151" i="11" s="1"/>
  <c r="K151" i="11"/>
  <c r="J151" i="11"/>
  <c r="Q151" i="11" s="1"/>
  <c r="X151" i="11" s="1"/>
  <c r="AE151" i="11" s="1"/>
  <c r="AL151" i="11" s="1"/>
  <c r="AX150" i="11"/>
  <c r="AW150" i="11"/>
  <c r="AJ150" i="11"/>
  <c r="AQ150" i="11" s="1"/>
  <c r="AB150" i="11"/>
  <c r="AI150" i="11" s="1"/>
  <c r="AP150" i="11" s="1"/>
  <c r="Y150" i="11"/>
  <c r="AF150" i="11" s="1"/>
  <c r="AM150" i="11" s="1"/>
  <c r="V150" i="11"/>
  <c r="AC150" i="11" s="1"/>
  <c r="R150" i="11"/>
  <c r="Q150" i="11"/>
  <c r="X150" i="11" s="1"/>
  <c r="AE150" i="11" s="1"/>
  <c r="AL150" i="11" s="1"/>
  <c r="P150" i="11"/>
  <c r="W150" i="11" s="1"/>
  <c r="AD150" i="11" s="1"/>
  <c r="AK150" i="11" s="1"/>
  <c r="AR150" i="11" s="1"/>
  <c r="O150" i="11"/>
  <c r="N150" i="11"/>
  <c r="U150" i="11" s="1"/>
  <c r="L150" i="11"/>
  <c r="AU150" i="11" s="1"/>
  <c r="K150" i="11"/>
  <c r="AT150" i="11" s="1"/>
  <c r="J150" i="11"/>
  <c r="AS150" i="11" s="1"/>
  <c r="AT149" i="11"/>
  <c r="AS149" i="11"/>
  <c r="X149" i="11"/>
  <c r="AE149" i="11" s="1"/>
  <c r="AL149" i="11" s="1"/>
  <c r="W149" i="11"/>
  <c r="AD149" i="11" s="1"/>
  <c r="AK149" i="11" s="1"/>
  <c r="AR149" i="11" s="1"/>
  <c r="V149" i="11"/>
  <c r="AC149" i="11" s="1"/>
  <c r="AJ149" i="11" s="1"/>
  <c r="AQ149" i="11" s="1"/>
  <c r="R149" i="11"/>
  <c r="Y149" i="11" s="1"/>
  <c r="AF149" i="11" s="1"/>
  <c r="AM149" i="11" s="1"/>
  <c r="P149" i="11"/>
  <c r="AY149" i="11" s="1"/>
  <c r="O149" i="11"/>
  <c r="AX149" i="11" s="1"/>
  <c r="N149" i="11"/>
  <c r="AW149" i="11" s="1"/>
  <c r="L149" i="11"/>
  <c r="S149" i="11" s="1"/>
  <c r="Z149" i="11" s="1"/>
  <c r="AG149" i="11" s="1"/>
  <c r="AN149" i="11" s="1"/>
  <c r="K149" i="11"/>
  <c r="J149" i="11"/>
  <c r="Q149" i="11" s="1"/>
  <c r="AX148" i="11"/>
  <c r="AR148" i="11"/>
  <c r="X148" i="11"/>
  <c r="AE148" i="11" s="1"/>
  <c r="AL148" i="11" s="1"/>
  <c r="V148" i="11"/>
  <c r="AC148" i="11" s="1"/>
  <c r="AJ148" i="11" s="1"/>
  <c r="AQ148" i="11" s="1"/>
  <c r="Q148" i="11"/>
  <c r="P148" i="11"/>
  <c r="W148" i="11" s="1"/>
  <c r="AD148" i="11" s="1"/>
  <c r="AK148" i="11" s="1"/>
  <c r="O148" i="11"/>
  <c r="N148" i="11"/>
  <c r="U148" i="11" s="1"/>
  <c r="AB148" i="11" s="1"/>
  <c r="AI148" i="11" s="1"/>
  <c r="AP148" i="11" s="1"/>
  <c r="L148" i="11"/>
  <c r="AU148" i="11" s="1"/>
  <c r="K148" i="11"/>
  <c r="AT148" i="11" s="1"/>
  <c r="J148" i="11"/>
  <c r="AS148" i="11" s="1"/>
  <c r="AU147" i="11"/>
  <c r="AT147" i="11"/>
  <c r="AS147" i="11"/>
  <c r="Z147" i="11"/>
  <c r="AG147" i="11" s="1"/>
  <c r="AN147" i="11" s="1"/>
  <c r="X147" i="11"/>
  <c r="AE147" i="11" s="1"/>
  <c r="AL147" i="11" s="1"/>
  <c r="W147" i="11"/>
  <c r="AD147" i="11" s="1"/>
  <c r="AK147" i="11" s="1"/>
  <c r="AR147" i="11" s="1"/>
  <c r="R147" i="11"/>
  <c r="Y147" i="11" s="1"/>
  <c r="AF147" i="11" s="1"/>
  <c r="AM147" i="11" s="1"/>
  <c r="P147" i="11"/>
  <c r="AY147" i="11" s="1"/>
  <c r="O147" i="11"/>
  <c r="V147" i="11" s="1"/>
  <c r="AC147" i="11" s="1"/>
  <c r="AJ147" i="11" s="1"/>
  <c r="AQ147" i="11" s="1"/>
  <c r="N147" i="11"/>
  <c r="AW147" i="11" s="1"/>
  <c r="L147" i="11"/>
  <c r="S147" i="11" s="1"/>
  <c r="K147" i="11"/>
  <c r="J147" i="11"/>
  <c r="Q147" i="11" s="1"/>
  <c r="AX146" i="11"/>
  <c r="AW146" i="11"/>
  <c r="AV146" i="11"/>
  <c r="AJ146" i="11"/>
  <c r="AQ146" i="11" s="1"/>
  <c r="AB146" i="11"/>
  <c r="AI146" i="11" s="1"/>
  <c r="AP146" i="11" s="1"/>
  <c r="AA146" i="11"/>
  <c r="AH146" i="11" s="1"/>
  <c r="AO146" i="11" s="1"/>
  <c r="V146" i="11"/>
  <c r="AC146" i="11" s="1"/>
  <c r="T146" i="11"/>
  <c r="R146" i="11"/>
  <c r="Y146" i="11" s="1"/>
  <c r="AF146" i="11" s="1"/>
  <c r="AM146" i="11" s="1"/>
  <c r="P146" i="11"/>
  <c r="W146" i="11" s="1"/>
  <c r="AD146" i="11" s="1"/>
  <c r="AK146" i="11" s="1"/>
  <c r="AR146" i="11" s="1"/>
  <c r="O146" i="11"/>
  <c r="N146" i="11"/>
  <c r="U146" i="11" s="1"/>
  <c r="M146" i="11"/>
  <c r="K146" i="11"/>
  <c r="AT146" i="11" s="1"/>
  <c r="J146" i="11"/>
  <c r="AS146" i="11" s="1"/>
  <c r="AV145" i="11"/>
  <c r="AS145" i="11"/>
  <c r="AI145" i="11"/>
  <c r="AP145" i="11" s="1"/>
  <c r="AB145" i="11"/>
  <c r="AA145" i="11"/>
  <c r="AH145" i="11" s="1"/>
  <c r="AO145" i="11" s="1"/>
  <c r="Z145" i="11"/>
  <c r="AG145" i="11" s="1"/>
  <c r="AN145" i="11" s="1"/>
  <c r="X145" i="11"/>
  <c r="AE145" i="11" s="1"/>
  <c r="AL145" i="11" s="1"/>
  <c r="U145" i="11"/>
  <c r="T145" i="11"/>
  <c r="S145" i="11"/>
  <c r="P145" i="11"/>
  <c r="AY145" i="11" s="1"/>
  <c r="O145" i="11"/>
  <c r="AX145" i="11" s="1"/>
  <c r="N145" i="11"/>
  <c r="AW145" i="11" s="1"/>
  <c r="M145" i="11"/>
  <c r="L145" i="11"/>
  <c r="AU145" i="11" s="1"/>
  <c r="J145" i="11"/>
  <c r="Q145" i="11" s="1"/>
  <c r="AX144" i="11"/>
  <c r="AV144" i="11"/>
  <c r="AU144" i="11"/>
  <c r="AH144" i="11"/>
  <c r="AO144" i="11" s="1"/>
  <c r="AG144" i="11"/>
  <c r="AN144" i="11" s="1"/>
  <c r="AA144" i="11"/>
  <c r="Z144" i="11"/>
  <c r="X144" i="11"/>
  <c r="AE144" i="11" s="1"/>
  <c r="AL144" i="11" s="1"/>
  <c r="T144" i="11"/>
  <c r="S144" i="11"/>
  <c r="Q144" i="11"/>
  <c r="P144" i="11"/>
  <c r="AY144" i="11" s="1"/>
  <c r="O144" i="11"/>
  <c r="V144" i="11" s="1"/>
  <c r="AC144" i="11" s="1"/>
  <c r="AJ144" i="11" s="1"/>
  <c r="AQ144" i="11" s="1"/>
  <c r="N144" i="11"/>
  <c r="U144" i="11" s="1"/>
  <c r="AB144" i="11" s="1"/>
  <c r="AI144" i="11" s="1"/>
  <c r="AP144" i="11" s="1"/>
  <c r="M144" i="11"/>
  <c r="L144" i="11"/>
  <c r="K144" i="11"/>
  <c r="AT144" i="11" s="1"/>
  <c r="J144" i="11"/>
  <c r="AS144" i="11" s="1"/>
  <c r="AY143" i="11"/>
  <c r="AU143" i="11"/>
  <c r="AT143" i="11"/>
  <c r="AN143" i="11"/>
  <c r="AF143" i="11"/>
  <c r="AM143" i="11" s="1"/>
  <c r="Z143" i="11"/>
  <c r="AG143" i="11" s="1"/>
  <c r="X143" i="11"/>
  <c r="AE143" i="11" s="1"/>
  <c r="AL143" i="11" s="1"/>
  <c r="W143" i="11"/>
  <c r="AD143" i="11" s="1"/>
  <c r="AK143" i="11" s="1"/>
  <c r="AR143" i="11" s="1"/>
  <c r="S143" i="11"/>
  <c r="R143" i="11"/>
  <c r="Y143" i="11" s="1"/>
  <c r="P143" i="11"/>
  <c r="O143" i="11"/>
  <c r="AX143" i="11" s="1"/>
  <c r="N143" i="11"/>
  <c r="AW143" i="11" s="1"/>
  <c r="L143" i="11"/>
  <c r="K143" i="11"/>
  <c r="J143" i="11"/>
  <c r="Q143" i="11" s="1"/>
  <c r="AY142" i="11"/>
  <c r="AX142" i="11"/>
  <c r="AE142" i="11"/>
  <c r="AL142" i="11" s="1"/>
  <c r="X142" i="11"/>
  <c r="W142" i="11"/>
  <c r="AD142" i="11" s="1"/>
  <c r="AK142" i="11" s="1"/>
  <c r="AR142" i="11" s="1"/>
  <c r="V142" i="11"/>
  <c r="AC142" i="11" s="1"/>
  <c r="AJ142" i="11" s="1"/>
  <c r="AQ142" i="11" s="1"/>
  <c r="Q142" i="11"/>
  <c r="P142" i="11"/>
  <c r="O142" i="11"/>
  <c r="N142" i="11"/>
  <c r="U142" i="11" s="1"/>
  <c r="AB142" i="11" s="1"/>
  <c r="AI142" i="11" s="1"/>
  <c r="AP142" i="11" s="1"/>
  <c r="L142" i="11"/>
  <c r="AU142" i="11" s="1"/>
  <c r="K142" i="11"/>
  <c r="AT142" i="11" s="1"/>
  <c r="J142" i="11"/>
  <c r="AS142" i="11" s="1"/>
  <c r="AY141" i="11"/>
  <c r="AX141" i="11"/>
  <c r="AV141" i="11"/>
  <c r="AD141" i="11"/>
  <c r="AK141" i="11" s="1"/>
  <c r="AR141" i="11" s="1"/>
  <c r="AC141" i="11"/>
  <c r="AJ141" i="11" s="1"/>
  <c r="AQ141" i="11" s="1"/>
  <c r="W141" i="11"/>
  <c r="V141" i="11"/>
  <c r="U141" i="11"/>
  <c r="AB141" i="11" s="1"/>
  <c r="AI141" i="11" s="1"/>
  <c r="AP141" i="11" s="1"/>
  <c r="T141" i="11"/>
  <c r="AA141" i="11" s="1"/>
  <c r="AH141" i="11" s="1"/>
  <c r="AO141" i="11" s="1"/>
  <c r="P141" i="11"/>
  <c r="O141" i="11"/>
  <c r="N141" i="11"/>
  <c r="AW141" i="11" s="1"/>
  <c r="M141" i="11"/>
  <c r="K141" i="11"/>
  <c r="R141" i="11" s="1"/>
  <c r="Y141" i="11" s="1"/>
  <c r="AF141" i="11" s="1"/>
  <c r="AM141" i="11" s="1"/>
  <c r="J141" i="11"/>
  <c r="Q141" i="11" s="1"/>
  <c r="X141" i="11" s="1"/>
  <c r="AE141" i="11" s="1"/>
  <c r="AL141" i="11" s="1"/>
  <c r="AY140" i="11"/>
  <c r="AX140" i="11"/>
  <c r="AV140" i="11"/>
  <c r="AU140" i="11"/>
  <c r="AR140" i="11"/>
  <c r="AJ140" i="11"/>
  <c r="AQ140" i="11" s="1"/>
  <c r="AD140" i="11"/>
  <c r="AK140" i="11" s="1"/>
  <c r="AB140" i="11"/>
  <c r="AI140" i="11" s="1"/>
  <c r="AP140" i="11" s="1"/>
  <c r="AA140" i="11"/>
  <c r="AH140" i="11" s="1"/>
  <c r="AO140" i="11" s="1"/>
  <c r="W140" i="11"/>
  <c r="V140" i="11"/>
  <c r="AC140" i="11" s="1"/>
  <c r="T140" i="11"/>
  <c r="S140" i="11"/>
  <c r="Z140" i="11" s="1"/>
  <c r="AG140" i="11" s="1"/>
  <c r="AN140" i="11" s="1"/>
  <c r="P140" i="11"/>
  <c r="O140" i="11"/>
  <c r="N140" i="11"/>
  <c r="U140" i="11" s="1"/>
  <c r="M140" i="11"/>
  <c r="L140" i="11"/>
  <c r="K140" i="11"/>
  <c r="AT140" i="11" s="1"/>
  <c r="J140" i="11"/>
  <c r="AS140" i="11" s="1"/>
  <c r="AT139" i="11"/>
  <c r="AS139" i="11"/>
  <c r="W139" i="11"/>
  <c r="AD139" i="11" s="1"/>
  <c r="AK139" i="11" s="1"/>
  <c r="AR139" i="11" s="1"/>
  <c r="R139" i="11"/>
  <c r="Y139" i="11" s="1"/>
  <c r="AF139" i="11" s="1"/>
  <c r="AM139" i="11" s="1"/>
  <c r="P139" i="11"/>
  <c r="AY139" i="11" s="1"/>
  <c r="O139" i="11"/>
  <c r="AX139" i="11" s="1"/>
  <c r="N139" i="11"/>
  <c r="AW139" i="11" s="1"/>
  <c r="M139" i="11"/>
  <c r="T139" i="11" s="1"/>
  <c r="AA139" i="11" s="1"/>
  <c r="AH139" i="11" s="1"/>
  <c r="AO139" i="11" s="1"/>
  <c r="K139" i="11"/>
  <c r="J139" i="11"/>
  <c r="AY138" i="11"/>
  <c r="AX138" i="11"/>
  <c r="AW138" i="11"/>
  <c r="AD138" i="11"/>
  <c r="AK138" i="11" s="1"/>
  <c r="AR138" i="11" s="1"/>
  <c r="W138" i="11"/>
  <c r="V138" i="11"/>
  <c r="AC138" i="11" s="1"/>
  <c r="AJ138" i="11" s="1"/>
  <c r="AQ138" i="11" s="1"/>
  <c r="S138" i="11"/>
  <c r="Z138" i="11" s="1"/>
  <c r="AG138" i="11" s="1"/>
  <c r="AN138" i="11" s="1"/>
  <c r="P138" i="11"/>
  <c r="O138" i="11"/>
  <c r="N138" i="11"/>
  <c r="U138" i="11" s="1"/>
  <c r="AB138" i="11" s="1"/>
  <c r="AI138" i="11" s="1"/>
  <c r="AP138" i="11" s="1"/>
  <c r="L138" i="11"/>
  <c r="AU138" i="11" s="1"/>
  <c r="K138" i="11"/>
  <c r="AT138" i="11" s="1"/>
  <c r="J138" i="11"/>
  <c r="AS138" i="11" s="1"/>
  <c r="AU137" i="11"/>
  <c r="AT137" i="11"/>
  <c r="Z137" i="11"/>
  <c r="AG137" i="11" s="1"/>
  <c r="AN137" i="11" s="1"/>
  <c r="W137" i="11"/>
  <c r="AD137" i="11" s="1"/>
  <c r="AK137" i="11" s="1"/>
  <c r="AR137" i="11" s="1"/>
  <c r="S137" i="11"/>
  <c r="R137" i="11"/>
  <c r="Y137" i="11" s="1"/>
  <c r="AF137" i="11" s="1"/>
  <c r="AM137" i="11" s="1"/>
  <c r="P137" i="11"/>
  <c r="AY137" i="11" s="1"/>
  <c r="O137" i="11"/>
  <c r="AX137" i="11" s="1"/>
  <c r="N137" i="11"/>
  <c r="AW137" i="11" s="1"/>
  <c r="M137" i="11"/>
  <c r="T137" i="11" s="1"/>
  <c r="AA137" i="11" s="1"/>
  <c r="AH137" i="11" s="1"/>
  <c r="AO137" i="11" s="1"/>
  <c r="L137" i="11"/>
  <c r="K137" i="11"/>
  <c r="AY136" i="11"/>
  <c r="AX136" i="11"/>
  <c r="AW136" i="11"/>
  <c r="AD136" i="11"/>
  <c r="AK136" i="11" s="1"/>
  <c r="AR136" i="11" s="1"/>
  <c r="W136" i="11"/>
  <c r="V136" i="11"/>
  <c r="AC136" i="11" s="1"/>
  <c r="AJ136" i="11" s="1"/>
  <c r="AQ136" i="11" s="1"/>
  <c r="S136" i="11"/>
  <c r="Z136" i="11" s="1"/>
  <c r="AG136" i="11" s="1"/>
  <c r="AN136" i="11" s="1"/>
  <c r="P136" i="11"/>
  <c r="O136" i="11"/>
  <c r="N136" i="11"/>
  <c r="U136" i="11" s="1"/>
  <c r="AB136" i="11" s="1"/>
  <c r="AI136" i="11" s="1"/>
  <c r="AP136" i="11" s="1"/>
  <c r="L136" i="11"/>
  <c r="AU136" i="11" s="1"/>
  <c r="K136" i="11"/>
  <c r="AT136" i="11" s="1"/>
  <c r="J136" i="11"/>
  <c r="AS136" i="11" s="1"/>
  <c r="AU135" i="11"/>
  <c r="AT135" i="11"/>
  <c r="AS135" i="11"/>
  <c r="AM135" i="11"/>
  <c r="Z135" i="11"/>
  <c r="AG135" i="11" s="1"/>
  <c r="AN135" i="11" s="1"/>
  <c r="W135" i="11"/>
  <c r="AD135" i="11" s="1"/>
  <c r="AK135" i="11" s="1"/>
  <c r="AR135" i="11" s="1"/>
  <c r="S135" i="11"/>
  <c r="R135" i="11"/>
  <c r="Y135" i="11" s="1"/>
  <c r="AF135" i="11" s="1"/>
  <c r="P135" i="11"/>
  <c r="AY135" i="11" s="1"/>
  <c r="O135" i="11"/>
  <c r="N135" i="11"/>
  <c r="AW135" i="11" s="1"/>
  <c r="L135" i="11"/>
  <c r="K135" i="11"/>
  <c r="J135" i="11"/>
  <c r="AY134" i="11"/>
  <c r="AX134" i="11"/>
  <c r="AW134" i="11"/>
  <c r="AD134" i="11"/>
  <c r="AK134" i="11" s="1"/>
  <c r="AR134" i="11" s="1"/>
  <c r="W134" i="11"/>
  <c r="V134" i="11"/>
  <c r="AC134" i="11" s="1"/>
  <c r="AJ134" i="11" s="1"/>
  <c r="AQ134" i="11" s="1"/>
  <c r="S134" i="11"/>
  <c r="Z134" i="11" s="1"/>
  <c r="AG134" i="11" s="1"/>
  <c r="AN134" i="11" s="1"/>
  <c r="P134" i="11"/>
  <c r="O134" i="11"/>
  <c r="N134" i="11"/>
  <c r="U134" i="11" s="1"/>
  <c r="AB134" i="11" s="1"/>
  <c r="AI134" i="11" s="1"/>
  <c r="AP134" i="11" s="1"/>
  <c r="L134" i="11"/>
  <c r="AU134" i="11" s="1"/>
  <c r="K134" i="11"/>
  <c r="J134" i="11"/>
  <c r="AS134" i="11" s="1"/>
  <c r="AU133" i="11"/>
  <c r="AT133" i="11"/>
  <c r="AS133" i="11"/>
  <c r="AD133" i="11"/>
  <c r="AK133" i="11" s="1"/>
  <c r="AR133" i="11" s="1"/>
  <c r="Z133" i="11"/>
  <c r="AG133" i="11" s="1"/>
  <c r="AN133" i="11" s="1"/>
  <c r="W133" i="11"/>
  <c r="S133" i="11"/>
  <c r="R133" i="11"/>
  <c r="Y133" i="11" s="1"/>
  <c r="AF133" i="11" s="1"/>
  <c r="AM133" i="11" s="1"/>
  <c r="P133" i="11"/>
  <c r="AY133" i="11" s="1"/>
  <c r="O133" i="11"/>
  <c r="AX133" i="11" s="1"/>
  <c r="N133" i="11"/>
  <c r="L133" i="11"/>
  <c r="K133" i="11"/>
  <c r="J133" i="11"/>
  <c r="AY132" i="11"/>
  <c r="AX132" i="11"/>
  <c r="AW132" i="11"/>
  <c r="AD132" i="11"/>
  <c r="AK132" i="11" s="1"/>
  <c r="AR132" i="11" s="1"/>
  <c r="W132" i="11"/>
  <c r="V132" i="11"/>
  <c r="AC132" i="11" s="1"/>
  <c r="AJ132" i="11" s="1"/>
  <c r="AQ132" i="11" s="1"/>
  <c r="S132" i="11"/>
  <c r="Z132" i="11" s="1"/>
  <c r="AG132" i="11" s="1"/>
  <c r="AN132" i="11" s="1"/>
  <c r="P132" i="11"/>
  <c r="O132" i="11"/>
  <c r="N132" i="11"/>
  <c r="U132" i="11" s="1"/>
  <c r="AB132" i="11" s="1"/>
  <c r="AI132" i="11" s="1"/>
  <c r="AP132" i="11" s="1"/>
  <c r="L132" i="11"/>
  <c r="AU132" i="11" s="1"/>
  <c r="K132" i="11"/>
  <c r="AT132" i="11" s="1"/>
  <c r="J132" i="11"/>
  <c r="AU131" i="11"/>
  <c r="AT131" i="11"/>
  <c r="AS131" i="11"/>
  <c r="Z131" i="11"/>
  <c r="AG131" i="11" s="1"/>
  <c r="AN131" i="11" s="1"/>
  <c r="V131" i="11"/>
  <c r="AC131" i="11" s="1"/>
  <c r="AJ131" i="11" s="1"/>
  <c r="AQ131" i="11" s="1"/>
  <c r="S131" i="11"/>
  <c r="R131" i="11"/>
  <c r="Y131" i="11" s="1"/>
  <c r="AF131" i="11" s="1"/>
  <c r="AM131" i="11" s="1"/>
  <c r="P131" i="11"/>
  <c r="AY131" i="11" s="1"/>
  <c r="O131" i="11"/>
  <c r="AX131" i="11" s="1"/>
  <c r="N131" i="11"/>
  <c r="L131" i="11"/>
  <c r="K131" i="11"/>
  <c r="J131" i="11"/>
  <c r="AY130" i="11"/>
  <c r="AX130" i="11"/>
  <c r="AW130" i="11"/>
  <c r="AD130" i="11"/>
  <c r="AK130" i="11" s="1"/>
  <c r="AR130" i="11" s="1"/>
  <c r="W130" i="11"/>
  <c r="V130" i="11"/>
  <c r="AC130" i="11" s="1"/>
  <c r="AJ130" i="11" s="1"/>
  <c r="AQ130" i="11" s="1"/>
  <c r="S130" i="11"/>
  <c r="Z130" i="11" s="1"/>
  <c r="AG130" i="11" s="1"/>
  <c r="AN130" i="11" s="1"/>
  <c r="R130" i="11"/>
  <c r="Y130" i="11" s="1"/>
  <c r="AF130" i="11" s="1"/>
  <c r="AM130" i="11" s="1"/>
  <c r="P130" i="11"/>
  <c r="O130" i="11"/>
  <c r="N130" i="11"/>
  <c r="U130" i="11" s="1"/>
  <c r="AB130" i="11" s="1"/>
  <c r="AI130" i="11" s="1"/>
  <c r="AP130" i="11" s="1"/>
  <c r="L130" i="11"/>
  <c r="AU130" i="11" s="1"/>
  <c r="K130" i="11"/>
  <c r="AT130" i="11" s="1"/>
  <c r="J130" i="11"/>
  <c r="AU129" i="11"/>
  <c r="AT129" i="11"/>
  <c r="AS129" i="11"/>
  <c r="AN129" i="11"/>
  <c r="Z129" i="11"/>
  <c r="AG129" i="11" s="1"/>
  <c r="S129" i="11"/>
  <c r="R129" i="11"/>
  <c r="Y129" i="11" s="1"/>
  <c r="AF129" i="11" s="1"/>
  <c r="AM129" i="11" s="1"/>
  <c r="P129" i="11"/>
  <c r="AY129" i="11" s="1"/>
  <c r="O129" i="11"/>
  <c r="AX129" i="11" s="1"/>
  <c r="N129" i="11"/>
  <c r="L129" i="11"/>
  <c r="K129" i="11"/>
  <c r="J129" i="11"/>
  <c r="AY128" i="11"/>
  <c r="AX128" i="11"/>
  <c r="AW128" i="11"/>
  <c r="AD128" i="11"/>
  <c r="AK128" i="11" s="1"/>
  <c r="AR128" i="11" s="1"/>
  <c r="W128" i="11"/>
  <c r="V128" i="11"/>
  <c r="AC128" i="11" s="1"/>
  <c r="AJ128" i="11" s="1"/>
  <c r="AQ128" i="11" s="1"/>
  <c r="T128" i="11"/>
  <c r="AA128" i="11" s="1"/>
  <c r="AH128" i="11" s="1"/>
  <c r="AO128" i="11" s="1"/>
  <c r="R128" i="11"/>
  <c r="Y128" i="11" s="1"/>
  <c r="AF128" i="11" s="1"/>
  <c r="AM128" i="11" s="1"/>
  <c r="P128" i="11"/>
  <c r="O128" i="11"/>
  <c r="N128" i="11"/>
  <c r="U128" i="11" s="1"/>
  <c r="AB128" i="11" s="1"/>
  <c r="AI128" i="11" s="1"/>
  <c r="AP128" i="11" s="1"/>
  <c r="M128" i="11"/>
  <c r="AV128" i="11" s="1"/>
  <c r="K128" i="11"/>
  <c r="AT128" i="11" s="1"/>
  <c r="J128" i="11"/>
  <c r="AS128" i="11" s="1"/>
  <c r="AT127" i="11"/>
  <c r="AS127" i="11"/>
  <c r="R127" i="11"/>
  <c r="Y127" i="11" s="1"/>
  <c r="AF127" i="11" s="1"/>
  <c r="AM127" i="11" s="1"/>
  <c r="P127" i="11"/>
  <c r="AY127" i="11" s="1"/>
  <c r="O127" i="11"/>
  <c r="AX127" i="11" s="1"/>
  <c r="N127" i="11"/>
  <c r="AW127" i="11" s="1"/>
  <c r="M127" i="11"/>
  <c r="T127" i="11" s="1"/>
  <c r="AA127" i="11" s="1"/>
  <c r="AH127" i="11" s="1"/>
  <c r="AO127" i="11" s="1"/>
  <c r="K127" i="11"/>
  <c r="J127" i="11"/>
  <c r="AY126" i="11"/>
  <c r="AX126" i="11"/>
  <c r="AW126" i="11"/>
  <c r="AD126" i="11"/>
  <c r="AK126" i="11" s="1"/>
  <c r="AR126" i="11" s="1"/>
  <c r="AB126" i="11"/>
  <c r="AI126" i="11" s="1"/>
  <c r="AP126" i="11" s="1"/>
  <c r="W126" i="11"/>
  <c r="V126" i="11"/>
  <c r="AC126" i="11" s="1"/>
  <c r="AJ126" i="11" s="1"/>
  <c r="AQ126" i="11" s="1"/>
  <c r="T126" i="11"/>
  <c r="AA126" i="11" s="1"/>
  <c r="AH126" i="11" s="1"/>
  <c r="AO126" i="11" s="1"/>
  <c r="R126" i="11"/>
  <c r="Y126" i="11" s="1"/>
  <c r="AF126" i="11" s="1"/>
  <c r="AM126" i="11" s="1"/>
  <c r="P126" i="11"/>
  <c r="O126" i="11"/>
  <c r="N126" i="11"/>
  <c r="U126" i="11" s="1"/>
  <c r="M126" i="11"/>
  <c r="AV126" i="11" s="1"/>
  <c r="K126" i="11"/>
  <c r="AT126" i="11" s="1"/>
  <c r="J126" i="11"/>
  <c r="AS126" i="11" s="1"/>
  <c r="AT125" i="11"/>
  <c r="AS125" i="11"/>
  <c r="W125" i="11"/>
  <c r="AD125" i="11" s="1"/>
  <c r="AK125" i="11" s="1"/>
  <c r="AR125" i="11" s="1"/>
  <c r="V125" i="11"/>
  <c r="AC125" i="11" s="1"/>
  <c r="AJ125" i="11" s="1"/>
  <c r="AQ125" i="11" s="1"/>
  <c r="R125" i="11"/>
  <c r="Y125" i="11" s="1"/>
  <c r="AF125" i="11" s="1"/>
  <c r="AM125" i="11" s="1"/>
  <c r="P125" i="11"/>
  <c r="AY125" i="11" s="1"/>
  <c r="O125" i="11"/>
  <c r="AX125" i="11" s="1"/>
  <c r="N125" i="11"/>
  <c r="AW125" i="11" s="1"/>
  <c r="M125" i="11"/>
  <c r="T125" i="11" s="1"/>
  <c r="AA125" i="11" s="1"/>
  <c r="AH125" i="11" s="1"/>
  <c r="AO125" i="11" s="1"/>
  <c r="K125" i="11"/>
  <c r="J125" i="11"/>
  <c r="AY124" i="11"/>
  <c r="AX124" i="11"/>
  <c r="AV124" i="11"/>
  <c r="AD124" i="11"/>
  <c r="AK124" i="11" s="1"/>
  <c r="AR124" i="11" s="1"/>
  <c r="W124" i="11"/>
  <c r="V124" i="11"/>
  <c r="AC124" i="11" s="1"/>
  <c r="AJ124" i="11" s="1"/>
  <c r="AQ124" i="11" s="1"/>
  <c r="T124" i="11"/>
  <c r="AA124" i="11" s="1"/>
  <c r="AH124" i="11" s="1"/>
  <c r="AO124" i="11" s="1"/>
  <c r="Q124" i="11"/>
  <c r="X124" i="11" s="1"/>
  <c r="AE124" i="11" s="1"/>
  <c r="AL124" i="11" s="1"/>
  <c r="P124" i="11"/>
  <c r="O124" i="11"/>
  <c r="N124" i="11"/>
  <c r="U124" i="11" s="1"/>
  <c r="AB124" i="11" s="1"/>
  <c r="AI124" i="11" s="1"/>
  <c r="AP124" i="11" s="1"/>
  <c r="M124" i="11"/>
  <c r="K124" i="11"/>
  <c r="R124" i="11" s="1"/>
  <c r="Y124" i="11" s="1"/>
  <c r="AF124" i="11" s="1"/>
  <c r="AM124" i="11" s="1"/>
  <c r="J124" i="11"/>
  <c r="AS124" i="11" s="1"/>
  <c r="AT123" i="11"/>
  <c r="AS123" i="11"/>
  <c r="AP123" i="11"/>
  <c r="AH123" i="11"/>
  <c r="AO123" i="11" s="1"/>
  <c r="V123" i="11"/>
  <c r="AC123" i="11" s="1"/>
  <c r="AJ123" i="11" s="1"/>
  <c r="AQ123" i="11" s="1"/>
  <c r="U123" i="11"/>
  <c r="AB123" i="11" s="1"/>
  <c r="AI123" i="11" s="1"/>
  <c r="R123" i="11"/>
  <c r="Y123" i="11" s="1"/>
  <c r="AF123" i="11" s="1"/>
  <c r="AM123" i="11" s="1"/>
  <c r="P123" i="11"/>
  <c r="AY123" i="11" s="1"/>
  <c r="O123" i="11"/>
  <c r="AX123" i="11" s="1"/>
  <c r="N123" i="11"/>
  <c r="AW123" i="11" s="1"/>
  <c r="M123" i="11"/>
  <c r="T123" i="11" s="1"/>
  <c r="AA123" i="11" s="1"/>
  <c r="K123" i="11"/>
  <c r="J123" i="11"/>
  <c r="AY122" i="11"/>
  <c r="AX122" i="11"/>
  <c r="AV122" i="11"/>
  <c r="AL122" i="11"/>
  <c r="AD122" i="11"/>
  <c r="AK122" i="11" s="1"/>
  <c r="AR122" i="11" s="1"/>
  <c r="AB122" i="11"/>
  <c r="AI122" i="11" s="1"/>
  <c r="AP122" i="11" s="1"/>
  <c r="AA122" i="11"/>
  <c r="AH122" i="11" s="1"/>
  <c r="AO122" i="11" s="1"/>
  <c r="Z122" i="11"/>
  <c r="AG122" i="11" s="1"/>
  <c r="AN122" i="11" s="1"/>
  <c r="W122" i="11"/>
  <c r="T122" i="11"/>
  <c r="S122" i="11"/>
  <c r="Q122" i="11"/>
  <c r="X122" i="11" s="1"/>
  <c r="AE122" i="11" s="1"/>
  <c r="P122" i="11"/>
  <c r="O122" i="11"/>
  <c r="V122" i="11" s="1"/>
  <c r="AC122" i="11" s="1"/>
  <c r="AJ122" i="11" s="1"/>
  <c r="AQ122" i="11" s="1"/>
  <c r="N122" i="11"/>
  <c r="U122" i="11" s="1"/>
  <c r="M122" i="11"/>
  <c r="L122" i="11"/>
  <c r="AU122" i="11" s="1"/>
  <c r="J122" i="11"/>
  <c r="AS122" i="11" s="1"/>
  <c r="AY121" i="11"/>
  <c r="AX121" i="11"/>
  <c r="AV121" i="11"/>
  <c r="AU121" i="11"/>
  <c r="AA121" i="11"/>
  <c r="AH121" i="11" s="1"/>
  <c r="AO121" i="11" s="1"/>
  <c r="V121" i="11"/>
  <c r="AC121" i="11" s="1"/>
  <c r="AJ121" i="11" s="1"/>
  <c r="AQ121" i="11" s="1"/>
  <c r="U121" i="11"/>
  <c r="AB121" i="11" s="1"/>
  <c r="AI121" i="11" s="1"/>
  <c r="AP121" i="11" s="1"/>
  <c r="S121" i="11"/>
  <c r="Z121" i="11" s="1"/>
  <c r="AG121" i="11" s="1"/>
  <c r="AN121" i="11" s="1"/>
  <c r="P121" i="11"/>
  <c r="W121" i="11" s="1"/>
  <c r="AD121" i="11" s="1"/>
  <c r="AK121" i="11" s="1"/>
  <c r="AR121" i="11" s="1"/>
  <c r="O121" i="11"/>
  <c r="N121" i="11"/>
  <c r="AW121" i="11" s="1"/>
  <c r="M121" i="11"/>
  <c r="T121" i="11" s="1"/>
  <c r="L121" i="11"/>
  <c r="J121" i="11"/>
  <c r="AY120" i="11"/>
  <c r="AT120" i="11"/>
  <c r="W120" i="11"/>
  <c r="AD120" i="11" s="1"/>
  <c r="AK120" i="11" s="1"/>
  <c r="AR120" i="11" s="1"/>
  <c r="V120" i="11"/>
  <c r="AC120" i="11" s="1"/>
  <c r="AJ120" i="11" s="1"/>
  <c r="AQ120" i="11" s="1"/>
  <c r="P120" i="11"/>
  <c r="O120" i="11"/>
  <c r="AX120" i="11" s="1"/>
  <c r="N120" i="11"/>
  <c r="U120" i="11" s="1"/>
  <c r="AB120" i="11" s="1"/>
  <c r="AI120" i="11" s="1"/>
  <c r="AP120" i="11" s="1"/>
  <c r="L120" i="11"/>
  <c r="S120" i="11" s="1"/>
  <c r="Z120" i="11" s="1"/>
  <c r="AG120" i="11" s="1"/>
  <c r="AN120" i="11" s="1"/>
  <c r="K120" i="11"/>
  <c r="R120" i="11" s="1"/>
  <c r="Y120" i="11" s="1"/>
  <c r="AF120" i="11" s="1"/>
  <c r="AM120" i="11" s="1"/>
  <c r="J120" i="11"/>
  <c r="AS120" i="11" s="1"/>
  <c r="AU119" i="11"/>
  <c r="AT119" i="11"/>
  <c r="AS119" i="11"/>
  <c r="AF119" i="11"/>
  <c r="AM119" i="11" s="1"/>
  <c r="Z119" i="11"/>
  <c r="AG119" i="11" s="1"/>
  <c r="AN119" i="11" s="1"/>
  <c r="S119" i="11"/>
  <c r="R119" i="11"/>
  <c r="Y119" i="11" s="1"/>
  <c r="P119" i="11"/>
  <c r="W119" i="11" s="1"/>
  <c r="AD119" i="11" s="1"/>
  <c r="AK119" i="11" s="1"/>
  <c r="AR119" i="11" s="1"/>
  <c r="O119" i="11"/>
  <c r="V119" i="11" s="1"/>
  <c r="AC119" i="11" s="1"/>
  <c r="AJ119" i="11" s="1"/>
  <c r="AQ119" i="11" s="1"/>
  <c r="N119" i="11"/>
  <c r="AW119" i="11" s="1"/>
  <c r="L119" i="11"/>
  <c r="K119" i="11"/>
  <c r="J119" i="11"/>
  <c r="AY118" i="11"/>
  <c r="AX118" i="11"/>
  <c r="AW118" i="11"/>
  <c r="W118" i="11"/>
  <c r="AD118" i="11" s="1"/>
  <c r="AK118" i="11" s="1"/>
  <c r="AR118" i="11" s="1"/>
  <c r="V118" i="11"/>
  <c r="AC118" i="11" s="1"/>
  <c r="AJ118" i="11" s="1"/>
  <c r="AQ118" i="11" s="1"/>
  <c r="P118" i="11"/>
  <c r="O118" i="11"/>
  <c r="N118" i="11"/>
  <c r="U118" i="11" s="1"/>
  <c r="AB118" i="11" s="1"/>
  <c r="AI118" i="11" s="1"/>
  <c r="AP118" i="11" s="1"/>
  <c r="L118" i="11"/>
  <c r="AU118" i="11" s="1"/>
  <c r="K118" i="11"/>
  <c r="AT118" i="11" s="1"/>
  <c r="J118" i="11"/>
  <c r="AS118" i="11" s="1"/>
  <c r="AY117" i="11"/>
  <c r="AX117" i="11"/>
  <c r="AU117" i="11"/>
  <c r="AS117" i="11"/>
  <c r="AD117" i="11"/>
  <c r="AK117" i="11" s="1"/>
  <c r="AR117" i="11" s="1"/>
  <c r="AC117" i="11"/>
  <c r="AJ117" i="11" s="1"/>
  <c r="AQ117" i="11" s="1"/>
  <c r="W117" i="11"/>
  <c r="V117" i="11"/>
  <c r="U117" i="11"/>
  <c r="AB117" i="11" s="1"/>
  <c r="AI117" i="11" s="1"/>
  <c r="AP117" i="11" s="1"/>
  <c r="P117" i="11"/>
  <c r="O117" i="11"/>
  <c r="N117" i="11"/>
  <c r="AW117" i="11" s="1"/>
  <c r="L117" i="11"/>
  <c r="S117" i="11" s="1"/>
  <c r="Z117" i="11" s="1"/>
  <c r="AG117" i="11" s="1"/>
  <c r="AN117" i="11" s="1"/>
  <c r="K117" i="11"/>
  <c r="AT117" i="11" s="1"/>
  <c r="J117" i="11"/>
  <c r="Q117" i="11" s="1"/>
  <c r="X117" i="11" s="1"/>
  <c r="AE117" i="11" s="1"/>
  <c r="AL117" i="11" s="1"/>
  <c r="AV116" i="11"/>
  <c r="AT116" i="11"/>
  <c r="AS116" i="11"/>
  <c r="AI116" i="11"/>
  <c r="AP116" i="11" s="1"/>
  <c r="AA116" i="11"/>
  <c r="AH116" i="11" s="1"/>
  <c r="AO116" i="11" s="1"/>
  <c r="U116" i="11"/>
  <c r="AB116" i="11" s="1"/>
  <c r="R116" i="11"/>
  <c r="Y116" i="11" s="1"/>
  <c r="AF116" i="11" s="1"/>
  <c r="AM116" i="11" s="1"/>
  <c r="Q116" i="11"/>
  <c r="X116" i="11" s="1"/>
  <c r="AE116" i="11" s="1"/>
  <c r="AL116" i="11" s="1"/>
  <c r="P116" i="11"/>
  <c r="W116" i="11" s="1"/>
  <c r="AD116" i="11" s="1"/>
  <c r="AK116" i="11" s="1"/>
  <c r="AR116" i="11" s="1"/>
  <c r="O116" i="11"/>
  <c r="AX116" i="11" s="1"/>
  <c r="N116" i="11"/>
  <c r="AW116" i="11" s="1"/>
  <c r="M116" i="11"/>
  <c r="T116" i="11" s="1"/>
  <c r="K116" i="11"/>
  <c r="J116" i="11"/>
  <c r="AY115" i="11"/>
  <c r="AX115" i="11"/>
  <c r="AS115" i="11"/>
  <c r="AR115" i="11"/>
  <c r="AK115" i="11"/>
  <c r="AJ115" i="11"/>
  <c r="AQ115" i="11" s="1"/>
  <c r="AD115" i="11"/>
  <c r="AC115" i="11"/>
  <c r="AB115" i="11"/>
  <c r="AI115" i="11" s="1"/>
  <c r="AP115" i="11" s="1"/>
  <c r="W115" i="11"/>
  <c r="V115" i="11"/>
  <c r="U115" i="11"/>
  <c r="T115" i="11"/>
  <c r="AA115" i="11" s="1"/>
  <c r="AH115" i="11" s="1"/>
  <c r="AO115" i="11" s="1"/>
  <c r="P115" i="11"/>
  <c r="O115" i="11"/>
  <c r="N115" i="11"/>
  <c r="AW115" i="11" s="1"/>
  <c r="M115" i="11"/>
  <c r="AV115" i="11" s="1"/>
  <c r="L115" i="11"/>
  <c r="S115" i="11" s="1"/>
  <c r="Z115" i="11" s="1"/>
  <c r="AG115" i="11" s="1"/>
  <c r="AN115" i="11" s="1"/>
  <c r="J115" i="11"/>
  <c r="Q115" i="11" s="1"/>
  <c r="X115" i="11" s="1"/>
  <c r="AE115" i="11" s="1"/>
  <c r="AL115" i="11" s="1"/>
  <c r="AX114" i="11"/>
  <c r="AW114" i="11"/>
  <c r="AU114" i="11"/>
  <c r="AT114" i="11"/>
  <c r="AN114" i="11"/>
  <c r="AG114" i="11"/>
  <c r="AF114" i="11"/>
  <c r="AM114" i="11" s="1"/>
  <c r="Z114" i="11"/>
  <c r="Y114" i="11"/>
  <c r="X114" i="11"/>
  <c r="AE114" i="11" s="1"/>
  <c r="AL114" i="11" s="1"/>
  <c r="V114" i="11"/>
  <c r="AC114" i="11" s="1"/>
  <c r="AJ114" i="11" s="1"/>
  <c r="AQ114" i="11" s="1"/>
  <c r="S114" i="11"/>
  <c r="R114" i="11"/>
  <c r="Q114" i="11"/>
  <c r="P114" i="11"/>
  <c r="W114" i="11" s="1"/>
  <c r="AD114" i="11" s="1"/>
  <c r="AK114" i="11" s="1"/>
  <c r="AR114" i="11" s="1"/>
  <c r="O114" i="11"/>
  <c r="N114" i="11"/>
  <c r="U114" i="11" s="1"/>
  <c r="AB114" i="11" s="1"/>
  <c r="AI114" i="11" s="1"/>
  <c r="AP114" i="11" s="1"/>
  <c r="L114" i="11"/>
  <c r="K114" i="11"/>
  <c r="J114" i="11"/>
  <c r="AS114" i="11" s="1"/>
  <c r="AY113" i="11"/>
  <c r="AX113" i="11"/>
  <c r="AT113" i="11"/>
  <c r="AS113" i="11"/>
  <c r="AR113" i="11"/>
  <c r="AK113" i="11"/>
  <c r="AJ113" i="11"/>
  <c r="AQ113" i="11" s="1"/>
  <c r="AD113" i="11"/>
  <c r="AC113" i="11"/>
  <c r="AB113" i="11"/>
  <c r="AI113" i="11" s="1"/>
  <c r="AP113" i="11" s="1"/>
  <c r="W113" i="11"/>
  <c r="V113" i="11"/>
  <c r="U113" i="11"/>
  <c r="T113" i="11"/>
  <c r="AA113" i="11" s="1"/>
  <c r="AH113" i="11" s="1"/>
  <c r="AO113" i="11" s="1"/>
  <c r="R113" i="11"/>
  <c r="Y113" i="11" s="1"/>
  <c r="AF113" i="11" s="1"/>
  <c r="AM113" i="11" s="1"/>
  <c r="P113" i="11"/>
  <c r="O113" i="11"/>
  <c r="N113" i="11"/>
  <c r="AW113" i="11" s="1"/>
  <c r="M113" i="11"/>
  <c r="AV113" i="11" s="1"/>
  <c r="K113" i="11"/>
  <c r="J113" i="11"/>
  <c r="Q113" i="11" s="1"/>
  <c r="X113" i="11" s="1"/>
  <c r="AE113" i="11" s="1"/>
  <c r="AL113" i="11" s="1"/>
  <c r="AU112" i="11"/>
  <c r="AT112" i="11"/>
  <c r="AS112" i="11"/>
  <c r="AM112" i="11"/>
  <c r="AL112" i="11"/>
  <c r="AF112" i="11"/>
  <c r="AE112" i="11"/>
  <c r="AD112" i="11"/>
  <c r="AK112" i="11" s="1"/>
  <c r="AR112" i="11" s="1"/>
  <c r="Y112" i="11"/>
  <c r="X112" i="11"/>
  <c r="W112" i="11"/>
  <c r="V112" i="11"/>
  <c r="AC112" i="11" s="1"/>
  <c r="AJ112" i="11" s="1"/>
  <c r="AQ112" i="11" s="1"/>
  <c r="R112" i="11"/>
  <c r="Q112" i="11"/>
  <c r="P112" i="11"/>
  <c r="O112" i="11"/>
  <c r="AX112" i="11" s="1"/>
  <c r="N112" i="11"/>
  <c r="U112" i="11" s="1"/>
  <c r="AB112" i="11" s="1"/>
  <c r="AI112" i="11" s="1"/>
  <c r="AP112" i="11" s="1"/>
  <c r="L112" i="11"/>
  <c r="S112" i="11" s="1"/>
  <c r="Z112" i="11" s="1"/>
  <c r="AG112" i="11" s="1"/>
  <c r="AN112" i="11" s="1"/>
  <c r="K112" i="11"/>
  <c r="J112" i="11"/>
  <c r="AY111" i="11"/>
  <c r="AX111" i="11"/>
  <c r="AW111" i="11"/>
  <c r="AV111" i="11"/>
  <c r="AI111" i="11"/>
  <c r="AP111" i="11" s="1"/>
  <c r="AB111" i="11"/>
  <c r="AA111" i="11"/>
  <c r="AH111" i="11" s="1"/>
  <c r="AO111" i="11" s="1"/>
  <c r="U111" i="11"/>
  <c r="T111" i="11"/>
  <c r="R111" i="11"/>
  <c r="Y111" i="11" s="1"/>
  <c r="AF111" i="11" s="1"/>
  <c r="AM111" i="11" s="1"/>
  <c r="P111" i="11"/>
  <c r="W111" i="11" s="1"/>
  <c r="AD111" i="11" s="1"/>
  <c r="AK111" i="11" s="1"/>
  <c r="AR111" i="11" s="1"/>
  <c r="O111" i="11"/>
  <c r="V111" i="11" s="1"/>
  <c r="AC111" i="11" s="1"/>
  <c r="AJ111" i="11" s="1"/>
  <c r="AQ111" i="11" s="1"/>
  <c r="N111" i="11"/>
  <c r="M111" i="11"/>
  <c r="K111" i="11"/>
  <c r="AT111" i="11" s="1"/>
  <c r="J111" i="11"/>
  <c r="AU110" i="11"/>
  <c r="AS110" i="11"/>
  <c r="W110" i="11"/>
  <c r="AD110" i="11" s="1"/>
  <c r="AK110" i="11" s="1"/>
  <c r="AR110" i="11" s="1"/>
  <c r="V110" i="11"/>
  <c r="AC110" i="11" s="1"/>
  <c r="AJ110" i="11" s="1"/>
  <c r="AQ110" i="11" s="1"/>
  <c r="S110" i="11"/>
  <c r="Z110" i="11" s="1"/>
  <c r="AG110" i="11" s="1"/>
  <c r="AN110" i="11" s="1"/>
  <c r="P110" i="11"/>
  <c r="O110" i="11"/>
  <c r="AX110" i="11" s="1"/>
  <c r="N110" i="11"/>
  <c r="AW110" i="11" s="1"/>
  <c r="M110" i="11"/>
  <c r="L110" i="11"/>
  <c r="J110" i="11"/>
  <c r="Q110" i="11" s="1"/>
  <c r="X110" i="11" s="1"/>
  <c r="AE110" i="11" s="1"/>
  <c r="AL110" i="11" s="1"/>
  <c r="AY109" i="11"/>
  <c r="AX109" i="11"/>
  <c r="AW109" i="11"/>
  <c r="AV109" i="11"/>
  <c r="AU109" i="11"/>
  <c r="AH109" i="11"/>
  <c r="AO109" i="11" s="1"/>
  <c r="AG109" i="11"/>
  <c r="AN109" i="11" s="1"/>
  <c r="AA109" i="11"/>
  <c r="Z109" i="11"/>
  <c r="W109" i="11"/>
  <c r="AD109" i="11" s="1"/>
  <c r="AK109" i="11" s="1"/>
  <c r="AR109" i="11" s="1"/>
  <c r="T109" i="11"/>
  <c r="S109" i="11"/>
  <c r="R109" i="11"/>
  <c r="Y109" i="11" s="1"/>
  <c r="AF109" i="11" s="1"/>
  <c r="AM109" i="11" s="1"/>
  <c r="P109" i="11"/>
  <c r="O109" i="11"/>
  <c r="V109" i="11" s="1"/>
  <c r="AC109" i="11" s="1"/>
  <c r="AJ109" i="11" s="1"/>
  <c r="AQ109" i="11" s="1"/>
  <c r="N109" i="11"/>
  <c r="U109" i="11" s="1"/>
  <c r="AB109" i="11" s="1"/>
  <c r="AI109" i="11" s="1"/>
  <c r="AP109" i="11" s="1"/>
  <c r="M109" i="11"/>
  <c r="L109" i="11"/>
  <c r="K109" i="11"/>
  <c r="AT109" i="11" s="1"/>
  <c r="J109" i="11"/>
  <c r="Q109" i="11" s="1"/>
  <c r="X109" i="11" s="1"/>
  <c r="AE109" i="11" s="1"/>
  <c r="AL109" i="11" s="1"/>
  <c r="AY108" i="11"/>
  <c r="AU108" i="11"/>
  <c r="AT108" i="11"/>
  <c r="AS108" i="11"/>
  <c r="AE108" i="11"/>
  <c r="AL108" i="11" s="1"/>
  <c r="W108" i="11"/>
  <c r="AD108" i="11" s="1"/>
  <c r="AK108" i="11" s="1"/>
  <c r="AR108" i="11" s="1"/>
  <c r="U108" i="11"/>
  <c r="AB108" i="11" s="1"/>
  <c r="AI108" i="11" s="1"/>
  <c r="AP108" i="11" s="1"/>
  <c r="S108" i="11"/>
  <c r="Z108" i="11" s="1"/>
  <c r="AG108" i="11" s="1"/>
  <c r="AN108" i="11" s="1"/>
  <c r="P108" i="11"/>
  <c r="O108" i="11"/>
  <c r="AX108" i="11" s="1"/>
  <c r="N108" i="11"/>
  <c r="AW108" i="11" s="1"/>
  <c r="L108" i="11"/>
  <c r="K108" i="11"/>
  <c r="J108" i="11"/>
  <c r="Q108" i="11" s="1"/>
  <c r="X108" i="11" s="1"/>
  <c r="AY107" i="11"/>
  <c r="AX107" i="11"/>
  <c r="AW107" i="11"/>
  <c r="AU107" i="11"/>
  <c r="AI107" i="11"/>
  <c r="AP107" i="11" s="1"/>
  <c r="W107" i="11"/>
  <c r="AD107" i="11" s="1"/>
  <c r="AK107" i="11" s="1"/>
  <c r="AR107" i="11" s="1"/>
  <c r="S107" i="11"/>
  <c r="Z107" i="11" s="1"/>
  <c r="AG107" i="11" s="1"/>
  <c r="AN107" i="11" s="1"/>
  <c r="R107" i="11"/>
  <c r="Y107" i="11" s="1"/>
  <c r="AF107" i="11" s="1"/>
  <c r="AM107" i="11" s="1"/>
  <c r="Q107" i="11"/>
  <c r="X107" i="11" s="1"/>
  <c r="AE107" i="11" s="1"/>
  <c r="AL107" i="11" s="1"/>
  <c r="P107" i="11"/>
  <c r="O107" i="11"/>
  <c r="V107" i="11" s="1"/>
  <c r="AC107" i="11" s="1"/>
  <c r="AJ107" i="11" s="1"/>
  <c r="AQ107" i="11" s="1"/>
  <c r="N107" i="11"/>
  <c r="U107" i="11" s="1"/>
  <c r="AB107" i="11" s="1"/>
  <c r="L107" i="11"/>
  <c r="K107" i="11"/>
  <c r="AT107" i="11" s="1"/>
  <c r="J107" i="11"/>
  <c r="AY106" i="11"/>
  <c r="AU106" i="11"/>
  <c r="AS106" i="11"/>
  <c r="W106" i="11"/>
  <c r="AD106" i="11" s="1"/>
  <c r="AK106" i="11" s="1"/>
  <c r="AR106" i="11" s="1"/>
  <c r="U106" i="11"/>
  <c r="AB106" i="11" s="1"/>
  <c r="AI106" i="11" s="1"/>
  <c r="AP106" i="11" s="1"/>
  <c r="S106" i="11"/>
  <c r="Z106" i="11" s="1"/>
  <c r="AG106" i="11" s="1"/>
  <c r="AN106" i="11" s="1"/>
  <c r="P106" i="11"/>
  <c r="O106" i="11"/>
  <c r="AX106" i="11" s="1"/>
  <c r="N106" i="11"/>
  <c r="AW106" i="11" s="1"/>
  <c r="L106" i="11"/>
  <c r="K106" i="11"/>
  <c r="J106" i="11"/>
  <c r="Q106" i="11" s="1"/>
  <c r="X106" i="11" s="1"/>
  <c r="AE106" i="11" s="1"/>
  <c r="AL106" i="11" s="1"/>
  <c r="AY105" i="11"/>
  <c r="AW105" i="11"/>
  <c r="AU105" i="11"/>
  <c r="AI105" i="11"/>
  <c r="AP105" i="11" s="1"/>
  <c r="W105" i="11"/>
  <c r="AD105" i="11" s="1"/>
  <c r="AK105" i="11" s="1"/>
  <c r="AR105" i="11" s="1"/>
  <c r="S105" i="11"/>
  <c r="Z105" i="11" s="1"/>
  <c r="AG105" i="11" s="1"/>
  <c r="AN105" i="11" s="1"/>
  <c r="P105" i="11"/>
  <c r="O105" i="11"/>
  <c r="V105" i="11" s="1"/>
  <c r="AC105" i="11" s="1"/>
  <c r="AJ105" i="11" s="1"/>
  <c r="AQ105" i="11" s="1"/>
  <c r="N105" i="11"/>
  <c r="U105" i="11" s="1"/>
  <c r="AB105" i="11" s="1"/>
  <c r="L105" i="11"/>
  <c r="K105" i="11"/>
  <c r="AT105" i="11" s="1"/>
  <c r="J105" i="11"/>
  <c r="AY104" i="11"/>
  <c r="AU104" i="11"/>
  <c r="AS104" i="11"/>
  <c r="AL104" i="11"/>
  <c r="AE104" i="11"/>
  <c r="W104" i="11"/>
  <c r="AD104" i="11" s="1"/>
  <c r="AK104" i="11" s="1"/>
  <c r="AR104" i="11" s="1"/>
  <c r="V104" i="11"/>
  <c r="AC104" i="11" s="1"/>
  <c r="AJ104" i="11" s="1"/>
  <c r="AQ104" i="11" s="1"/>
  <c r="S104" i="11"/>
  <c r="Z104" i="11" s="1"/>
  <c r="AG104" i="11" s="1"/>
  <c r="AN104" i="11" s="1"/>
  <c r="P104" i="11"/>
  <c r="O104" i="11"/>
  <c r="AX104" i="11" s="1"/>
  <c r="N104" i="11"/>
  <c r="AW104" i="11" s="1"/>
  <c r="L104" i="11"/>
  <c r="K104" i="11"/>
  <c r="J104" i="11"/>
  <c r="Q104" i="11" s="1"/>
  <c r="X104" i="11" s="1"/>
  <c r="AY103" i="11"/>
  <c r="AX103" i="11"/>
  <c r="AW103" i="11"/>
  <c r="AU103" i="11"/>
  <c r="AQ103" i="11"/>
  <c r="AJ103" i="11"/>
  <c r="AB103" i="11"/>
  <c r="AI103" i="11" s="1"/>
  <c r="AP103" i="11" s="1"/>
  <c r="W103" i="11"/>
  <c r="AD103" i="11" s="1"/>
  <c r="AK103" i="11" s="1"/>
  <c r="AR103" i="11" s="1"/>
  <c r="S103" i="11"/>
  <c r="Z103" i="11" s="1"/>
  <c r="AG103" i="11" s="1"/>
  <c r="AN103" i="11" s="1"/>
  <c r="Q103" i="11"/>
  <c r="X103" i="11" s="1"/>
  <c r="AE103" i="11" s="1"/>
  <c r="AL103" i="11" s="1"/>
  <c r="P103" i="11"/>
  <c r="O103" i="11"/>
  <c r="V103" i="11" s="1"/>
  <c r="AC103" i="11" s="1"/>
  <c r="N103" i="11"/>
  <c r="U103" i="11" s="1"/>
  <c r="L103" i="11"/>
  <c r="K103" i="11"/>
  <c r="AT103" i="11" s="1"/>
  <c r="J103" i="11"/>
  <c r="AY102" i="11"/>
  <c r="AU102" i="11"/>
  <c r="AT102" i="11"/>
  <c r="AS102" i="11"/>
  <c r="AN102" i="11"/>
  <c r="X102" i="11"/>
  <c r="AE102" i="11" s="1"/>
  <c r="AL102" i="11" s="1"/>
  <c r="W102" i="11"/>
  <c r="AD102" i="11" s="1"/>
  <c r="AK102" i="11" s="1"/>
  <c r="AR102" i="11" s="1"/>
  <c r="S102" i="11"/>
  <c r="Z102" i="11" s="1"/>
  <c r="AG102" i="11" s="1"/>
  <c r="P102" i="11"/>
  <c r="O102" i="11"/>
  <c r="AX102" i="11" s="1"/>
  <c r="N102" i="11"/>
  <c r="AW102" i="11" s="1"/>
  <c r="L102" i="11"/>
  <c r="K102" i="11"/>
  <c r="J102" i="11"/>
  <c r="Q102" i="11" s="1"/>
  <c r="AW101" i="11"/>
  <c r="AU101" i="11"/>
  <c r="AJ101" i="11"/>
  <c r="AQ101" i="11" s="1"/>
  <c r="AI101" i="11"/>
  <c r="AP101" i="11" s="1"/>
  <c r="AB101" i="11"/>
  <c r="Z101" i="11"/>
  <c r="AG101" i="11" s="1"/>
  <c r="AN101" i="11" s="1"/>
  <c r="Y101" i="11"/>
  <c r="AF101" i="11" s="1"/>
  <c r="AM101" i="11" s="1"/>
  <c r="S101" i="11"/>
  <c r="R101" i="11"/>
  <c r="P101" i="11"/>
  <c r="W101" i="11" s="1"/>
  <c r="AD101" i="11" s="1"/>
  <c r="AK101" i="11" s="1"/>
  <c r="AR101" i="11" s="1"/>
  <c r="O101" i="11"/>
  <c r="V101" i="11" s="1"/>
  <c r="AC101" i="11" s="1"/>
  <c r="N101" i="11"/>
  <c r="U101" i="11" s="1"/>
  <c r="L101" i="11"/>
  <c r="K101" i="11"/>
  <c r="AT101" i="11" s="1"/>
  <c r="J101" i="11"/>
  <c r="AS101" i="11" s="1"/>
  <c r="AY100" i="11"/>
  <c r="AS100" i="11"/>
  <c r="AC100" i="11"/>
  <c r="AJ100" i="11" s="1"/>
  <c r="AQ100" i="11" s="1"/>
  <c r="AB100" i="11"/>
  <c r="AI100" i="11" s="1"/>
  <c r="AP100" i="11" s="1"/>
  <c r="V100" i="11"/>
  <c r="U100" i="11"/>
  <c r="S100" i="11"/>
  <c r="Z100" i="11" s="1"/>
  <c r="AG100" i="11" s="1"/>
  <c r="AN100" i="11" s="1"/>
  <c r="P100" i="11"/>
  <c r="W100" i="11" s="1"/>
  <c r="AD100" i="11" s="1"/>
  <c r="AK100" i="11" s="1"/>
  <c r="AR100" i="11" s="1"/>
  <c r="O100" i="11"/>
  <c r="AX100" i="11" s="1"/>
  <c r="N100" i="11"/>
  <c r="AW100" i="11" s="1"/>
  <c r="L100" i="11"/>
  <c r="AU100" i="11" s="1"/>
  <c r="K100" i="11"/>
  <c r="R100" i="11" s="1"/>
  <c r="Y100" i="11" s="1"/>
  <c r="AF100" i="11" s="1"/>
  <c r="AM100" i="11" s="1"/>
  <c r="J100" i="11"/>
  <c r="Q100" i="11" s="1"/>
  <c r="X100" i="11" s="1"/>
  <c r="AE100" i="11" s="1"/>
  <c r="AL100" i="11" s="1"/>
  <c r="AY99" i="11"/>
  <c r="AW99" i="11"/>
  <c r="AU99" i="11"/>
  <c r="S99" i="11"/>
  <c r="Z99" i="11" s="1"/>
  <c r="AG99" i="11" s="1"/>
  <c r="AN99" i="11" s="1"/>
  <c r="P99" i="11"/>
  <c r="W99" i="11" s="1"/>
  <c r="AD99" i="11" s="1"/>
  <c r="AK99" i="11" s="1"/>
  <c r="AR99" i="11" s="1"/>
  <c r="O99" i="11"/>
  <c r="V99" i="11" s="1"/>
  <c r="AC99" i="11" s="1"/>
  <c r="AJ99" i="11" s="1"/>
  <c r="AQ99" i="11" s="1"/>
  <c r="N99" i="11"/>
  <c r="U99" i="11" s="1"/>
  <c r="AB99" i="11" s="1"/>
  <c r="AI99" i="11" s="1"/>
  <c r="AP99" i="11" s="1"/>
  <c r="L99" i="11"/>
  <c r="K99" i="11"/>
  <c r="AT99" i="11" s="1"/>
  <c r="J99" i="11"/>
  <c r="AS99" i="11" s="1"/>
  <c r="AT98" i="11"/>
  <c r="AS98" i="11"/>
  <c r="AF98" i="11"/>
  <c r="AM98" i="11" s="1"/>
  <c r="X98" i="11"/>
  <c r="AE98" i="11" s="1"/>
  <c r="AL98" i="11" s="1"/>
  <c r="W98" i="11"/>
  <c r="AD98" i="11" s="1"/>
  <c r="AK98" i="11" s="1"/>
  <c r="AR98" i="11" s="1"/>
  <c r="V98" i="11"/>
  <c r="AC98" i="11" s="1"/>
  <c r="AJ98" i="11" s="1"/>
  <c r="AQ98" i="11" s="1"/>
  <c r="P98" i="11"/>
  <c r="AY98" i="11" s="1"/>
  <c r="O98" i="11"/>
  <c r="AX98" i="11" s="1"/>
  <c r="N98" i="11"/>
  <c r="AW98" i="11" s="1"/>
  <c r="L98" i="11"/>
  <c r="K98" i="11"/>
  <c r="R98" i="11" s="1"/>
  <c r="Y98" i="11" s="1"/>
  <c r="J98" i="11"/>
  <c r="Q98" i="11" s="1"/>
  <c r="AY97" i="11"/>
  <c r="AU97" i="11"/>
  <c r="AD97" i="11"/>
  <c r="AK97" i="11" s="1"/>
  <c r="AR97" i="11" s="1"/>
  <c r="AB97" i="11"/>
  <c r="AI97" i="11" s="1"/>
  <c r="AP97" i="11" s="1"/>
  <c r="W97" i="11"/>
  <c r="S97" i="11"/>
  <c r="Z97" i="11" s="1"/>
  <c r="AG97" i="11" s="1"/>
  <c r="AN97" i="11" s="1"/>
  <c r="P97" i="11"/>
  <c r="O97" i="11"/>
  <c r="AX97" i="11" s="1"/>
  <c r="N97" i="11"/>
  <c r="U97" i="11" s="1"/>
  <c r="L97" i="11"/>
  <c r="K97" i="11"/>
  <c r="AT97" i="11" s="1"/>
  <c r="J97" i="11"/>
  <c r="AS97" i="11" s="1"/>
  <c r="AY96" i="11"/>
  <c r="AX96" i="11"/>
  <c r="AT96" i="11"/>
  <c r="AK96" i="11"/>
  <c r="AR96" i="11" s="1"/>
  <c r="AD96" i="11"/>
  <c r="AB96" i="11"/>
  <c r="AI96" i="11" s="1"/>
  <c r="AP96" i="11" s="1"/>
  <c r="W96" i="11"/>
  <c r="V96" i="11"/>
  <c r="AC96" i="11" s="1"/>
  <c r="AJ96" i="11" s="1"/>
  <c r="AQ96" i="11" s="1"/>
  <c r="U96" i="11"/>
  <c r="S96" i="11"/>
  <c r="Z96" i="11" s="1"/>
  <c r="AG96" i="11" s="1"/>
  <c r="AN96" i="11" s="1"/>
  <c r="R96" i="11"/>
  <c r="Y96" i="11" s="1"/>
  <c r="AF96" i="11" s="1"/>
  <c r="AM96" i="11" s="1"/>
  <c r="P96" i="11"/>
  <c r="O96" i="11"/>
  <c r="N96" i="11"/>
  <c r="AW96" i="11" s="1"/>
  <c r="L96" i="11"/>
  <c r="AU96" i="11" s="1"/>
  <c r="K96" i="11"/>
  <c r="J96" i="11"/>
  <c r="Q96" i="11" s="1"/>
  <c r="X96" i="11" s="1"/>
  <c r="AE96" i="11" s="1"/>
  <c r="AL96" i="11" s="1"/>
  <c r="AX95" i="11"/>
  <c r="AW95" i="11"/>
  <c r="AU95" i="11"/>
  <c r="AQ95" i="11"/>
  <c r="AJ95" i="11"/>
  <c r="AI95" i="11"/>
  <c r="AP95" i="11" s="1"/>
  <c r="AB95" i="11"/>
  <c r="Z95" i="11"/>
  <c r="AG95" i="11" s="1"/>
  <c r="AN95" i="11" s="1"/>
  <c r="V95" i="11"/>
  <c r="AC95" i="11" s="1"/>
  <c r="S95" i="11"/>
  <c r="Q95" i="11"/>
  <c r="X95" i="11" s="1"/>
  <c r="AE95" i="11" s="1"/>
  <c r="AL95" i="11" s="1"/>
  <c r="P95" i="11"/>
  <c r="AY95" i="11" s="1"/>
  <c r="O95" i="11"/>
  <c r="N95" i="11"/>
  <c r="U95" i="11" s="1"/>
  <c r="L95" i="11"/>
  <c r="K95" i="11"/>
  <c r="AT95" i="11" s="1"/>
  <c r="J95" i="11"/>
  <c r="AS95" i="11" s="1"/>
  <c r="AY94" i="11"/>
  <c r="AS94" i="11"/>
  <c r="AR94" i="11"/>
  <c r="AL94" i="11"/>
  <c r="AE94" i="11"/>
  <c r="X94" i="11"/>
  <c r="W94" i="11"/>
  <c r="AD94" i="11" s="1"/>
  <c r="AK94" i="11" s="1"/>
  <c r="Q94" i="11"/>
  <c r="P94" i="11"/>
  <c r="O94" i="11"/>
  <c r="AX94" i="11" s="1"/>
  <c r="N94" i="11"/>
  <c r="AW94" i="11" s="1"/>
  <c r="L94" i="11"/>
  <c r="K94" i="11"/>
  <c r="R94" i="11" s="1"/>
  <c r="Y94" i="11" s="1"/>
  <c r="AF94" i="11" s="1"/>
  <c r="AM94" i="11" s="1"/>
  <c r="J94" i="11"/>
  <c r="AW93" i="11"/>
  <c r="AU93" i="11"/>
  <c r="AI93" i="11"/>
  <c r="AP93" i="11" s="1"/>
  <c r="AB93" i="11"/>
  <c r="U93" i="11"/>
  <c r="S93" i="11"/>
  <c r="Z93" i="11" s="1"/>
  <c r="AG93" i="11" s="1"/>
  <c r="AN93" i="11" s="1"/>
  <c r="P93" i="11"/>
  <c r="AY93" i="11" s="1"/>
  <c r="O93" i="11"/>
  <c r="N93" i="11"/>
  <c r="L93" i="11"/>
  <c r="K93" i="11"/>
  <c r="AT93" i="11" s="1"/>
  <c r="J93" i="11"/>
  <c r="AS93" i="11" s="1"/>
  <c r="AX92" i="11"/>
  <c r="AU92" i="11"/>
  <c r="AD92" i="11"/>
  <c r="AK92" i="11" s="1"/>
  <c r="AR92" i="11" s="1"/>
  <c r="W92" i="11"/>
  <c r="V92" i="11"/>
  <c r="AC92" i="11" s="1"/>
  <c r="AJ92" i="11" s="1"/>
  <c r="AQ92" i="11" s="1"/>
  <c r="S92" i="11"/>
  <c r="Z92" i="11" s="1"/>
  <c r="AG92" i="11" s="1"/>
  <c r="AN92" i="11" s="1"/>
  <c r="R92" i="11"/>
  <c r="Y92" i="11" s="1"/>
  <c r="AF92" i="11" s="1"/>
  <c r="AM92" i="11" s="1"/>
  <c r="P92" i="11"/>
  <c r="O92" i="11"/>
  <c r="N92" i="11"/>
  <c r="AW92" i="11" s="1"/>
  <c r="L92" i="11"/>
  <c r="K92" i="11"/>
  <c r="AT92" i="11" s="1"/>
  <c r="J92" i="11"/>
  <c r="AY91" i="11"/>
  <c r="AU91" i="11"/>
  <c r="AT91" i="11"/>
  <c r="Z91" i="11"/>
  <c r="AG91" i="11" s="1"/>
  <c r="AN91" i="11" s="1"/>
  <c r="W91" i="11"/>
  <c r="AD91" i="11" s="1"/>
  <c r="AK91" i="11" s="1"/>
  <c r="AR91" i="11" s="1"/>
  <c r="V91" i="11"/>
  <c r="AC91" i="11" s="1"/>
  <c r="AJ91" i="11" s="1"/>
  <c r="AQ91" i="11" s="1"/>
  <c r="S91" i="11"/>
  <c r="R91" i="11"/>
  <c r="Y91" i="11" s="1"/>
  <c r="AF91" i="11" s="1"/>
  <c r="AM91" i="11" s="1"/>
  <c r="P91" i="11"/>
  <c r="O91" i="11"/>
  <c r="AX91" i="11" s="1"/>
  <c r="N91" i="11"/>
  <c r="L91" i="11"/>
  <c r="K91" i="11"/>
  <c r="J91" i="11"/>
  <c r="AS91" i="11" s="1"/>
  <c r="AY90" i="11"/>
  <c r="AX90" i="11"/>
  <c r="AU90" i="11"/>
  <c r="AD90" i="11"/>
  <c r="AK90" i="11" s="1"/>
  <c r="AR90" i="11" s="1"/>
  <c r="W90" i="11"/>
  <c r="V90" i="11"/>
  <c r="AC90" i="11" s="1"/>
  <c r="AJ90" i="11" s="1"/>
  <c r="AQ90" i="11" s="1"/>
  <c r="S90" i="11"/>
  <c r="Z90" i="11" s="1"/>
  <c r="AG90" i="11" s="1"/>
  <c r="AN90" i="11" s="1"/>
  <c r="R90" i="11"/>
  <c r="Y90" i="11" s="1"/>
  <c r="AF90" i="11" s="1"/>
  <c r="AM90" i="11" s="1"/>
  <c r="P90" i="11"/>
  <c r="O90" i="11"/>
  <c r="N90" i="11"/>
  <c r="AW90" i="11" s="1"/>
  <c r="L90" i="11"/>
  <c r="K90" i="11"/>
  <c r="AT90" i="11" s="1"/>
  <c r="J90" i="11"/>
  <c r="AY89" i="11"/>
  <c r="AV89" i="11"/>
  <c r="AU89" i="11"/>
  <c r="AT89" i="11"/>
  <c r="AM89" i="11"/>
  <c r="AH89" i="11"/>
  <c r="AO89" i="11" s="1"/>
  <c r="AA89" i="11"/>
  <c r="Z89" i="11"/>
  <c r="AG89" i="11" s="1"/>
  <c r="AN89" i="11" s="1"/>
  <c r="W89" i="11"/>
  <c r="AD89" i="11" s="1"/>
  <c r="AK89" i="11" s="1"/>
  <c r="AR89" i="11" s="1"/>
  <c r="V89" i="11"/>
  <c r="AC89" i="11" s="1"/>
  <c r="AJ89" i="11" s="1"/>
  <c r="AQ89" i="11" s="1"/>
  <c r="T89" i="11"/>
  <c r="S89" i="11"/>
  <c r="R89" i="11"/>
  <c r="Y89" i="11" s="1"/>
  <c r="AF89" i="11" s="1"/>
  <c r="P89" i="11"/>
  <c r="O89" i="11"/>
  <c r="AX89" i="11" s="1"/>
  <c r="N89" i="11"/>
  <c r="M89" i="11"/>
  <c r="L89" i="11"/>
  <c r="K89" i="11"/>
  <c r="J89" i="11"/>
  <c r="AS89" i="11" s="1"/>
  <c r="AY88" i="11"/>
  <c r="AX88" i="11"/>
  <c r="AU88" i="11"/>
  <c r="AD88" i="11"/>
  <c r="AK88" i="11" s="1"/>
  <c r="AR88" i="11" s="1"/>
  <c r="W88" i="11"/>
  <c r="V88" i="11"/>
  <c r="AC88" i="11" s="1"/>
  <c r="AJ88" i="11" s="1"/>
  <c r="AQ88" i="11" s="1"/>
  <c r="S88" i="11"/>
  <c r="Z88" i="11" s="1"/>
  <c r="AG88" i="11" s="1"/>
  <c r="AN88" i="11" s="1"/>
  <c r="R88" i="11"/>
  <c r="Y88" i="11" s="1"/>
  <c r="AF88" i="11" s="1"/>
  <c r="AM88" i="11" s="1"/>
  <c r="P88" i="11"/>
  <c r="O88" i="11"/>
  <c r="N88" i="11"/>
  <c r="AW88" i="11" s="1"/>
  <c r="M88" i="11"/>
  <c r="AV88" i="11" s="1"/>
  <c r="L88" i="11"/>
  <c r="K88" i="11"/>
  <c r="AT88" i="11" s="1"/>
  <c r="J88" i="11"/>
  <c r="AY87" i="11"/>
  <c r="AV87" i="11"/>
  <c r="AU87" i="11"/>
  <c r="AT87" i="11"/>
  <c r="AM87" i="11"/>
  <c r="AH87" i="11"/>
  <c r="AO87" i="11" s="1"/>
  <c r="AA87" i="11"/>
  <c r="Z87" i="11"/>
  <c r="AG87" i="11" s="1"/>
  <c r="AN87" i="11" s="1"/>
  <c r="W87" i="11"/>
  <c r="AD87" i="11" s="1"/>
  <c r="AK87" i="11" s="1"/>
  <c r="AR87" i="11" s="1"/>
  <c r="V87" i="11"/>
  <c r="AC87" i="11" s="1"/>
  <c r="AJ87" i="11" s="1"/>
  <c r="AQ87" i="11" s="1"/>
  <c r="T87" i="11"/>
  <c r="S87" i="11"/>
  <c r="R87" i="11"/>
  <c r="Y87" i="11" s="1"/>
  <c r="AF87" i="11" s="1"/>
  <c r="P87" i="11"/>
  <c r="O87" i="11"/>
  <c r="AX87" i="11" s="1"/>
  <c r="N87" i="11"/>
  <c r="M87" i="11"/>
  <c r="L87" i="11"/>
  <c r="K87" i="11"/>
  <c r="J87" i="11"/>
  <c r="AY86" i="11"/>
  <c r="AX86" i="11"/>
  <c r="AU86" i="11"/>
  <c r="AT86" i="11"/>
  <c r="AD86" i="11"/>
  <c r="AK86" i="11" s="1"/>
  <c r="AR86" i="11" s="1"/>
  <c r="W86" i="11"/>
  <c r="V86" i="11"/>
  <c r="AC86" i="11" s="1"/>
  <c r="AJ86" i="11" s="1"/>
  <c r="AQ86" i="11" s="1"/>
  <c r="S86" i="11"/>
  <c r="Z86" i="11" s="1"/>
  <c r="AG86" i="11" s="1"/>
  <c r="AN86" i="11" s="1"/>
  <c r="R86" i="11"/>
  <c r="Y86" i="11" s="1"/>
  <c r="AF86" i="11" s="1"/>
  <c r="AM86" i="11" s="1"/>
  <c r="P86" i="11"/>
  <c r="O86" i="11"/>
  <c r="N86" i="11"/>
  <c r="L86" i="11"/>
  <c r="K86" i="11"/>
  <c r="J86" i="11"/>
  <c r="AY85" i="11"/>
  <c r="AX85" i="11"/>
  <c r="AU85" i="11"/>
  <c r="AT85" i="11"/>
  <c r="AL85" i="11"/>
  <c r="AD85" i="11"/>
  <c r="AK85" i="11" s="1"/>
  <c r="AR85" i="11" s="1"/>
  <c r="Z85" i="11"/>
  <c r="AG85" i="11" s="1"/>
  <c r="AN85" i="11" s="1"/>
  <c r="Y85" i="11"/>
  <c r="AF85" i="11" s="1"/>
  <c r="AM85" i="11" s="1"/>
  <c r="W85" i="11"/>
  <c r="S85" i="11"/>
  <c r="R85" i="11"/>
  <c r="P85" i="11"/>
  <c r="O85" i="11"/>
  <c r="V85" i="11" s="1"/>
  <c r="AC85" i="11" s="1"/>
  <c r="AJ85" i="11" s="1"/>
  <c r="AQ85" i="11" s="1"/>
  <c r="N85" i="11"/>
  <c r="L85" i="11"/>
  <c r="K85" i="11"/>
  <c r="J85" i="11"/>
  <c r="Q85" i="11" s="1"/>
  <c r="X85" i="11" s="1"/>
  <c r="AE85" i="11" s="1"/>
  <c r="AY84" i="11"/>
  <c r="AU84" i="11"/>
  <c r="AT84" i="11"/>
  <c r="Z84" i="11"/>
  <c r="AG84" i="11" s="1"/>
  <c r="AN84" i="11" s="1"/>
  <c r="W84" i="11"/>
  <c r="AD84" i="11" s="1"/>
  <c r="AK84" i="11" s="1"/>
  <c r="AR84" i="11" s="1"/>
  <c r="V84" i="11"/>
  <c r="AC84" i="11" s="1"/>
  <c r="AJ84" i="11" s="1"/>
  <c r="AQ84" i="11" s="1"/>
  <c r="S84" i="11"/>
  <c r="R84" i="11"/>
  <c r="Y84" i="11" s="1"/>
  <c r="AF84" i="11" s="1"/>
  <c r="AM84" i="11" s="1"/>
  <c r="P84" i="11"/>
  <c r="O84" i="11"/>
  <c r="AX84" i="11" s="1"/>
  <c r="N84" i="11"/>
  <c r="AW84" i="11" s="1"/>
  <c r="L84" i="11"/>
  <c r="K84" i="11"/>
  <c r="J84" i="11"/>
  <c r="AX83" i="11"/>
  <c r="AV83" i="11"/>
  <c r="AD83" i="11"/>
  <c r="AK83" i="11" s="1"/>
  <c r="AR83" i="11" s="1"/>
  <c r="W83" i="11"/>
  <c r="V83" i="11"/>
  <c r="AC83" i="11" s="1"/>
  <c r="AJ83" i="11" s="1"/>
  <c r="AQ83" i="11" s="1"/>
  <c r="T83" i="11"/>
  <c r="AA83" i="11" s="1"/>
  <c r="AH83" i="11" s="1"/>
  <c r="AO83" i="11" s="1"/>
  <c r="Q83" i="11"/>
  <c r="X83" i="11" s="1"/>
  <c r="AE83" i="11" s="1"/>
  <c r="AL83" i="11" s="1"/>
  <c r="P83" i="11"/>
  <c r="AY83" i="11" s="1"/>
  <c r="O83" i="11"/>
  <c r="N83" i="11"/>
  <c r="U83" i="11" s="1"/>
  <c r="AB83" i="11" s="1"/>
  <c r="AI83" i="11" s="1"/>
  <c r="AP83" i="11" s="1"/>
  <c r="M83" i="11"/>
  <c r="L83" i="11"/>
  <c r="J83" i="11"/>
  <c r="AS83" i="11" s="1"/>
  <c r="AX82" i="11"/>
  <c r="AU82" i="11"/>
  <c r="AS82" i="11"/>
  <c r="AL82" i="11"/>
  <c r="AE82" i="11"/>
  <c r="AC82" i="11"/>
  <c r="AJ82" i="11" s="1"/>
  <c r="AQ82" i="11" s="1"/>
  <c r="X82" i="11"/>
  <c r="V82" i="11"/>
  <c r="U82" i="11"/>
  <c r="AB82" i="11" s="1"/>
  <c r="AI82" i="11" s="1"/>
  <c r="AP82" i="11" s="1"/>
  <c r="P82" i="11"/>
  <c r="AY82" i="11" s="1"/>
  <c r="O82" i="11"/>
  <c r="N82" i="11"/>
  <c r="AW82" i="11" s="1"/>
  <c r="L82" i="11"/>
  <c r="S82" i="11" s="1"/>
  <c r="Z82" i="11" s="1"/>
  <c r="AG82" i="11" s="1"/>
  <c r="AN82" i="11" s="1"/>
  <c r="K82" i="11"/>
  <c r="J82" i="11"/>
  <c r="Q82" i="11" s="1"/>
  <c r="AX81" i="11"/>
  <c r="AT81" i="11"/>
  <c r="AB81" i="11"/>
  <c r="AI81" i="11" s="1"/>
  <c r="AP81" i="11" s="1"/>
  <c r="Z81" i="11"/>
  <c r="AG81" i="11" s="1"/>
  <c r="AN81" i="11" s="1"/>
  <c r="Y81" i="11"/>
  <c r="AF81" i="11" s="1"/>
  <c r="AM81" i="11" s="1"/>
  <c r="V81" i="11"/>
  <c r="AC81" i="11" s="1"/>
  <c r="AJ81" i="11" s="1"/>
  <c r="AQ81" i="11" s="1"/>
  <c r="U81" i="11"/>
  <c r="R81" i="11"/>
  <c r="P81" i="11"/>
  <c r="W81" i="11" s="1"/>
  <c r="AD81" i="11" s="1"/>
  <c r="AK81" i="11" s="1"/>
  <c r="AR81" i="11" s="1"/>
  <c r="O81" i="11"/>
  <c r="N81" i="11"/>
  <c r="L81" i="11"/>
  <c r="S81" i="11" s="1"/>
  <c r="K81" i="11"/>
  <c r="J81" i="11"/>
  <c r="AV80" i="11"/>
  <c r="AU80" i="11"/>
  <c r="AO80" i="11"/>
  <c r="AH80" i="11"/>
  <c r="AA80" i="11"/>
  <c r="W80" i="11"/>
  <c r="AD80" i="11" s="1"/>
  <c r="AK80" i="11" s="1"/>
  <c r="AR80" i="11" s="1"/>
  <c r="T80" i="11"/>
  <c r="S80" i="11"/>
  <c r="Z80" i="11" s="1"/>
  <c r="AG80" i="11" s="1"/>
  <c r="AN80" i="11" s="1"/>
  <c r="P80" i="11"/>
  <c r="O80" i="11"/>
  <c r="AX80" i="11" s="1"/>
  <c r="N80" i="11"/>
  <c r="U80" i="11" s="1"/>
  <c r="AB80" i="11" s="1"/>
  <c r="AI80" i="11" s="1"/>
  <c r="AP80" i="11" s="1"/>
  <c r="M80" i="11"/>
  <c r="L80" i="11"/>
  <c r="J80" i="11"/>
  <c r="AS80" i="11" s="1"/>
  <c r="AY79" i="11"/>
  <c r="AX79" i="11"/>
  <c r="AU79" i="11"/>
  <c r="AT79" i="11"/>
  <c r="AN79" i="11"/>
  <c r="AF79" i="11"/>
  <c r="AM79" i="11" s="1"/>
  <c r="AE79" i="11"/>
  <c r="AL79" i="11" s="1"/>
  <c r="X79" i="11"/>
  <c r="W79" i="11"/>
  <c r="AD79" i="11" s="1"/>
  <c r="AK79" i="11" s="1"/>
  <c r="AR79" i="11" s="1"/>
  <c r="V79" i="11"/>
  <c r="AC79" i="11" s="1"/>
  <c r="AJ79" i="11" s="1"/>
  <c r="AQ79" i="11" s="1"/>
  <c r="S79" i="11"/>
  <c r="Z79" i="11" s="1"/>
  <c r="AG79" i="11" s="1"/>
  <c r="R79" i="11"/>
  <c r="Y79" i="11" s="1"/>
  <c r="P79" i="11"/>
  <c r="O79" i="11"/>
  <c r="N79" i="11"/>
  <c r="AW79" i="11" s="1"/>
  <c r="M79" i="11"/>
  <c r="L79" i="11"/>
  <c r="K79" i="11"/>
  <c r="J79" i="11"/>
  <c r="Q79" i="11" s="1"/>
  <c r="AX78" i="11"/>
  <c r="AD78" i="11"/>
  <c r="AK78" i="11" s="1"/>
  <c r="AR78" i="11" s="1"/>
  <c r="W78" i="11"/>
  <c r="V78" i="11"/>
  <c r="AC78" i="11" s="1"/>
  <c r="AJ78" i="11" s="1"/>
  <c r="AQ78" i="11" s="1"/>
  <c r="Q78" i="11"/>
  <c r="X78" i="11" s="1"/>
  <c r="AE78" i="11" s="1"/>
  <c r="AL78" i="11" s="1"/>
  <c r="P78" i="11"/>
  <c r="AY78" i="11" s="1"/>
  <c r="O78" i="11"/>
  <c r="N78" i="11"/>
  <c r="U78" i="11" s="1"/>
  <c r="AB78" i="11" s="1"/>
  <c r="AI78" i="11" s="1"/>
  <c r="AP78" i="11" s="1"/>
  <c r="L78" i="11"/>
  <c r="AU78" i="11" s="1"/>
  <c r="K78" i="11"/>
  <c r="J78" i="11"/>
  <c r="AS78" i="11" s="1"/>
  <c r="AW77" i="11"/>
  <c r="AV77" i="11"/>
  <c r="AU77" i="11"/>
  <c r="AS77" i="11"/>
  <c r="AE77" i="11"/>
  <c r="AL77" i="11" s="1"/>
  <c r="AB77" i="11"/>
  <c r="AI77" i="11" s="1"/>
  <c r="AP77" i="11" s="1"/>
  <c r="W77" i="11"/>
  <c r="AD77" i="11" s="1"/>
  <c r="AK77" i="11" s="1"/>
  <c r="AR77" i="11" s="1"/>
  <c r="U77" i="11"/>
  <c r="T77" i="11"/>
  <c r="AA77" i="11" s="1"/>
  <c r="AH77" i="11" s="1"/>
  <c r="AO77" i="11" s="1"/>
  <c r="Q77" i="11"/>
  <c r="X77" i="11" s="1"/>
  <c r="P77" i="11"/>
  <c r="AY77" i="11" s="1"/>
  <c r="O77" i="11"/>
  <c r="N77" i="11"/>
  <c r="M77" i="11"/>
  <c r="L77" i="11"/>
  <c r="S77" i="11" s="1"/>
  <c r="Z77" i="11" s="1"/>
  <c r="AG77" i="11" s="1"/>
  <c r="AN77" i="11" s="1"/>
  <c r="J77" i="11"/>
  <c r="AY76" i="11"/>
  <c r="AW76" i="11"/>
  <c r="AS76" i="11"/>
  <c r="AI76" i="11"/>
  <c r="AP76" i="11" s="1"/>
  <c r="X76" i="11"/>
  <c r="AE76" i="11" s="1"/>
  <c r="AL76" i="11" s="1"/>
  <c r="U76" i="11"/>
  <c r="AB76" i="11" s="1"/>
  <c r="S76" i="11"/>
  <c r="Z76" i="11" s="1"/>
  <c r="AG76" i="11" s="1"/>
  <c r="AN76" i="11" s="1"/>
  <c r="Q76" i="11"/>
  <c r="P76" i="11"/>
  <c r="W76" i="11" s="1"/>
  <c r="AD76" i="11" s="1"/>
  <c r="AK76" i="11" s="1"/>
  <c r="AR76" i="11" s="1"/>
  <c r="O76" i="11"/>
  <c r="AX76" i="11" s="1"/>
  <c r="N76" i="11"/>
  <c r="L76" i="11"/>
  <c r="AU76" i="11" s="1"/>
  <c r="K76" i="11"/>
  <c r="J76" i="11"/>
  <c r="AU75" i="11"/>
  <c r="AT75" i="11"/>
  <c r="AD75" i="11"/>
  <c r="AK75" i="11" s="1"/>
  <c r="AR75" i="11" s="1"/>
  <c r="V75" i="11"/>
  <c r="AC75" i="11" s="1"/>
  <c r="AJ75" i="11" s="1"/>
  <c r="AQ75" i="11" s="1"/>
  <c r="S75" i="11"/>
  <c r="Z75" i="11" s="1"/>
  <c r="AG75" i="11" s="1"/>
  <c r="AN75" i="11" s="1"/>
  <c r="P75" i="11"/>
  <c r="W75" i="11" s="1"/>
  <c r="O75" i="11"/>
  <c r="AX75" i="11" s="1"/>
  <c r="N75" i="11"/>
  <c r="L75" i="11"/>
  <c r="K75" i="11"/>
  <c r="J75" i="11"/>
  <c r="AS75" i="11" s="1"/>
  <c r="AY74" i="11"/>
  <c r="AX74" i="11"/>
  <c r="W74" i="11"/>
  <c r="AD74" i="11" s="1"/>
  <c r="AK74" i="11" s="1"/>
  <c r="AR74" i="11" s="1"/>
  <c r="R74" i="11"/>
  <c r="Y74" i="11" s="1"/>
  <c r="AF74" i="11" s="1"/>
  <c r="AM74" i="11" s="1"/>
  <c r="P74" i="11"/>
  <c r="O74" i="11"/>
  <c r="V74" i="11" s="1"/>
  <c r="AC74" i="11" s="1"/>
  <c r="AJ74" i="11" s="1"/>
  <c r="AQ74" i="11" s="1"/>
  <c r="N74" i="11"/>
  <c r="AW74" i="11" s="1"/>
  <c r="L74" i="11"/>
  <c r="AU74" i="11" s="1"/>
  <c r="K74" i="11"/>
  <c r="AT74" i="11" s="1"/>
  <c r="J74" i="11"/>
  <c r="AU73" i="11"/>
  <c r="AT73" i="11"/>
  <c r="AS73" i="11"/>
  <c r="AK73" i="11"/>
  <c r="AR73" i="11" s="1"/>
  <c r="Z73" i="11"/>
  <c r="AG73" i="11" s="1"/>
  <c r="AN73" i="11" s="1"/>
  <c r="W73" i="11"/>
  <c r="AD73" i="11" s="1"/>
  <c r="U73" i="11"/>
  <c r="AB73" i="11" s="1"/>
  <c r="AI73" i="11" s="1"/>
  <c r="AP73" i="11" s="1"/>
  <c r="S73" i="11"/>
  <c r="R73" i="11"/>
  <c r="Y73" i="11" s="1"/>
  <c r="AF73" i="11" s="1"/>
  <c r="AM73" i="11" s="1"/>
  <c r="P73" i="11"/>
  <c r="O73" i="11"/>
  <c r="AX73" i="11" s="1"/>
  <c r="N73" i="11"/>
  <c r="AW73" i="11" s="1"/>
  <c r="L73" i="11"/>
  <c r="K73" i="11"/>
  <c r="J73" i="11"/>
  <c r="AY72" i="11"/>
  <c r="AX72" i="11"/>
  <c r="AW72" i="11"/>
  <c r="AU72" i="11"/>
  <c r="AG72" i="11"/>
  <c r="AN72" i="11" s="1"/>
  <c r="AD72" i="11"/>
  <c r="AK72" i="11" s="1"/>
  <c r="AR72" i="11" s="1"/>
  <c r="W72" i="11"/>
  <c r="V72" i="11"/>
  <c r="AC72" i="11" s="1"/>
  <c r="AJ72" i="11" s="1"/>
  <c r="AQ72" i="11" s="1"/>
  <c r="S72" i="11"/>
  <c r="Z72" i="11" s="1"/>
  <c r="Q72" i="11"/>
  <c r="X72" i="11" s="1"/>
  <c r="AE72" i="11" s="1"/>
  <c r="AL72" i="11" s="1"/>
  <c r="P72" i="11"/>
  <c r="O72" i="11"/>
  <c r="N72" i="11"/>
  <c r="U72" i="11" s="1"/>
  <c r="AB72" i="11" s="1"/>
  <c r="AI72" i="11" s="1"/>
  <c r="AP72" i="11" s="1"/>
  <c r="L72" i="11"/>
  <c r="K72" i="11"/>
  <c r="J72" i="11"/>
  <c r="AS72" i="11" s="1"/>
  <c r="AY71" i="11"/>
  <c r="AU71" i="11"/>
  <c r="AT71" i="11"/>
  <c r="AS71" i="11"/>
  <c r="AK71" i="11"/>
  <c r="AR71" i="11" s="1"/>
  <c r="Z71" i="11"/>
  <c r="AG71" i="11" s="1"/>
  <c r="AN71" i="11" s="1"/>
  <c r="W71" i="11"/>
  <c r="AD71" i="11" s="1"/>
  <c r="U71" i="11"/>
  <c r="AB71" i="11" s="1"/>
  <c r="AI71" i="11" s="1"/>
  <c r="AP71" i="11" s="1"/>
  <c r="S71" i="11"/>
  <c r="R71" i="11"/>
  <c r="Y71" i="11" s="1"/>
  <c r="AF71" i="11" s="1"/>
  <c r="AM71" i="11" s="1"/>
  <c r="P71" i="11"/>
  <c r="O71" i="11"/>
  <c r="N71" i="11"/>
  <c r="AW71" i="11" s="1"/>
  <c r="L71" i="11"/>
  <c r="K71" i="11"/>
  <c r="J71" i="11"/>
  <c r="AY70" i="11"/>
  <c r="AX70" i="11"/>
  <c r="AW70" i="11"/>
  <c r="AU70" i="11"/>
  <c r="AI70" i="11"/>
  <c r="AP70" i="11" s="1"/>
  <c r="AD70" i="11"/>
  <c r="AK70" i="11" s="1"/>
  <c r="AR70" i="11" s="1"/>
  <c r="W70" i="11"/>
  <c r="V70" i="11"/>
  <c r="AC70" i="11" s="1"/>
  <c r="AJ70" i="11" s="1"/>
  <c r="AQ70" i="11" s="1"/>
  <c r="S70" i="11"/>
  <c r="Z70" i="11" s="1"/>
  <c r="AG70" i="11" s="1"/>
  <c r="AN70" i="11" s="1"/>
  <c r="R70" i="11"/>
  <c r="Y70" i="11" s="1"/>
  <c r="AF70" i="11" s="1"/>
  <c r="AM70" i="11" s="1"/>
  <c r="P70" i="11"/>
  <c r="O70" i="11"/>
  <c r="N70" i="11"/>
  <c r="U70" i="11" s="1"/>
  <c r="AB70" i="11" s="1"/>
  <c r="L70" i="11"/>
  <c r="K70" i="11"/>
  <c r="AT70" i="11" s="1"/>
  <c r="J70" i="11"/>
  <c r="AY69" i="11"/>
  <c r="AU69" i="11"/>
  <c r="AT69" i="11"/>
  <c r="AS69" i="11"/>
  <c r="AK69" i="11"/>
  <c r="AR69" i="11" s="1"/>
  <c r="AD69" i="11"/>
  <c r="Z69" i="11"/>
  <c r="AG69" i="11" s="1"/>
  <c r="AN69" i="11" s="1"/>
  <c r="W69" i="11"/>
  <c r="V69" i="11"/>
  <c r="AC69" i="11" s="1"/>
  <c r="AJ69" i="11" s="1"/>
  <c r="AQ69" i="11" s="1"/>
  <c r="U69" i="11"/>
  <c r="AB69" i="11" s="1"/>
  <c r="AI69" i="11" s="1"/>
  <c r="AP69" i="11" s="1"/>
  <c r="S69" i="11"/>
  <c r="R69" i="11"/>
  <c r="Y69" i="11" s="1"/>
  <c r="AF69" i="11" s="1"/>
  <c r="AM69" i="11" s="1"/>
  <c r="P69" i="11"/>
  <c r="O69" i="11"/>
  <c r="AX69" i="11" s="1"/>
  <c r="N69" i="11"/>
  <c r="AW69" i="11" s="1"/>
  <c r="L69" i="11"/>
  <c r="K69" i="11"/>
  <c r="J69" i="11"/>
  <c r="AY68" i="11"/>
  <c r="AX68" i="11"/>
  <c r="AW68" i="11"/>
  <c r="AU68" i="11"/>
  <c r="AI68" i="11"/>
  <c r="AP68" i="11" s="1"/>
  <c r="AD68" i="11"/>
  <c r="AK68" i="11" s="1"/>
  <c r="AR68" i="11" s="1"/>
  <c r="W68" i="11"/>
  <c r="V68" i="11"/>
  <c r="AC68" i="11" s="1"/>
  <c r="AJ68" i="11" s="1"/>
  <c r="AQ68" i="11" s="1"/>
  <c r="S68" i="11"/>
  <c r="Z68" i="11" s="1"/>
  <c r="AG68" i="11" s="1"/>
  <c r="AN68" i="11" s="1"/>
  <c r="P68" i="11"/>
  <c r="O68" i="11"/>
  <c r="N68" i="11"/>
  <c r="U68" i="11" s="1"/>
  <c r="AB68" i="11" s="1"/>
  <c r="L68" i="11"/>
  <c r="K68" i="11"/>
  <c r="AT68" i="11" s="1"/>
  <c r="J68" i="11"/>
  <c r="AY67" i="11"/>
  <c r="AU67" i="11"/>
  <c r="AT67" i="11"/>
  <c r="AS67" i="11"/>
  <c r="AM67" i="11"/>
  <c r="Z67" i="11"/>
  <c r="AG67" i="11" s="1"/>
  <c r="AN67" i="11" s="1"/>
  <c r="W67" i="11"/>
  <c r="AD67" i="11" s="1"/>
  <c r="AK67" i="11" s="1"/>
  <c r="AR67" i="11" s="1"/>
  <c r="V67" i="11"/>
  <c r="AC67" i="11" s="1"/>
  <c r="AJ67" i="11" s="1"/>
  <c r="AQ67" i="11" s="1"/>
  <c r="U67" i="11"/>
  <c r="AB67" i="11" s="1"/>
  <c r="AI67" i="11" s="1"/>
  <c r="AP67" i="11" s="1"/>
  <c r="S67" i="11"/>
  <c r="R67" i="11"/>
  <c r="Y67" i="11" s="1"/>
  <c r="AF67" i="11" s="1"/>
  <c r="P67" i="11"/>
  <c r="O67" i="11"/>
  <c r="AX67" i="11" s="1"/>
  <c r="N67" i="11"/>
  <c r="AW67" i="11" s="1"/>
  <c r="L67" i="11"/>
  <c r="K67" i="11"/>
  <c r="J67" i="11"/>
  <c r="AY66" i="11"/>
  <c r="AX66" i="11"/>
  <c r="AT66" i="11"/>
  <c r="AC66" i="11"/>
  <c r="AJ66" i="11" s="1"/>
  <c r="AQ66" i="11" s="1"/>
  <c r="V66" i="11"/>
  <c r="U66" i="11"/>
  <c r="AB66" i="11" s="1"/>
  <c r="AI66" i="11" s="1"/>
  <c r="AP66" i="11" s="1"/>
  <c r="R66" i="11"/>
  <c r="Y66" i="11" s="1"/>
  <c r="AF66" i="11" s="1"/>
  <c r="AM66" i="11" s="1"/>
  <c r="P66" i="11"/>
  <c r="W66" i="11" s="1"/>
  <c r="AD66" i="11" s="1"/>
  <c r="AK66" i="11" s="1"/>
  <c r="AR66" i="11" s="1"/>
  <c r="O66" i="11"/>
  <c r="N66" i="11"/>
  <c r="L66" i="11"/>
  <c r="AU66" i="11" s="1"/>
  <c r="K66" i="11"/>
  <c r="J66" i="11"/>
  <c r="AX65" i="11"/>
  <c r="AT65" i="11"/>
  <c r="AS65" i="11"/>
  <c r="AL65" i="11"/>
  <c r="Y65" i="11"/>
  <c r="AF65" i="11" s="1"/>
  <c r="AM65" i="11" s="1"/>
  <c r="V65" i="11"/>
  <c r="AC65" i="11" s="1"/>
  <c r="AJ65" i="11" s="1"/>
  <c r="AQ65" i="11" s="1"/>
  <c r="U65" i="11"/>
  <c r="AB65" i="11" s="1"/>
  <c r="AI65" i="11" s="1"/>
  <c r="AP65" i="11" s="1"/>
  <c r="R65" i="11"/>
  <c r="Q65" i="11"/>
  <c r="X65" i="11" s="1"/>
  <c r="AE65" i="11" s="1"/>
  <c r="P65" i="11"/>
  <c r="AY65" i="11" s="1"/>
  <c r="O65" i="11"/>
  <c r="N65" i="11"/>
  <c r="AW65" i="11" s="1"/>
  <c r="L65" i="11"/>
  <c r="K65" i="11"/>
  <c r="J65" i="11"/>
  <c r="AX64" i="11"/>
  <c r="AW64" i="11"/>
  <c r="AT64" i="11"/>
  <c r="AP64" i="11"/>
  <c r="AC64" i="11"/>
  <c r="AJ64" i="11" s="1"/>
  <c r="AQ64" i="11" s="1"/>
  <c r="Y64" i="11"/>
  <c r="AF64" i="11" s="1"/>
  <c r="AM64" i="11" s="1"/>
  <c r="V64" i="11"/>
  <c r="U64" i="11"/>
  <c r="AB64" i="11" s="1"/>
  <c r="AI64" i="11" s="1"/>
  <c r="R64" i="11"/>
  <c r="P64" i="11"/>
  <c r="O64" i="11"/>
  <c r="N64" i="11"/>
  <c r="L64" i="11"/>
  <c r="AU64" i="11" s="1"/>
  <c r="K64" i="11"/>
  <c r="J64" i="11"/>
  <c r="Q64" i="11" s="1"/>
  <c r="X64" i="11" s="1"/>
  <c r="AE64" i="11" s="1"/>
  <c r="AL64" i="11" s="1"/>
  <c r="AX63" i="11"/>
  <c r="AT63" i="11"/>
  <c r="AS63" i="11"/>
  <c r="AL63" i="11"/>
  <c r="Y63" i="11"/>
  <c r="AF63" i="11" s="1"/>
  <c r="AM63" i="11" s="1"/>
  <c r="V63" i="11"/>
  <c r="AC63" i="11" s="1"/>
  <c r="AJ63" i="11" s="1"/>
  <c r="AQ63" i="11" s="1"/>
  <c r="U63" i="11"/>
  <c r="AB63" i="11" s="1"/>
  <c r="AI63" i="11" s="1"/>
  <c r="AP63" i="11" s="1"/>
  <c r="R63" i="11"/>
  <c r="Q63" i="11"/>
  <c r="X63" i="11" s="1"/>
  <c r="AE63" i="11" s="1"/>
  <c r="P63" i="11"/>
  <c r="AY63" i="11" s="1"/>
  <c r="O63" i="11"/>
  <c r="N63" i="11"/>
  <c r="AW63" i="11" s="1"/>
  <c r="M63" i="11"/>
  <c r="AV63" i="11" s="1"/>
  <c r="K63" i="11"/>
  <c r="J63" i="11"/>
  <c r="AW62" i="11"/>
  <c r="AV62" i="11"/>
  <c r="AS62" i="11"/>
  <c r="AO62" i="11"/>
  <c r="AB62" i="11"/>
  <c r="AI62" i="11" s="1"/>
  <c r="AP62" i="11" s="1"/>
  <c r="X62" i="11"/>
  <c r="AE62" i="11" s="1"/>
  <c r="AL62" i="11" s="1"/>
  <c r="W62" i="11"/>
  <c r="AD62" i="11" s="1"/>
  <c r="AK62" i="11" s="1"/>
  <c r="AR62" i="11" s="1"/>
  <c r="U62" i="11"/>
  <c r="T62" i="11"/>
  <c r="AA62" i="11" s="1"/>
  <c r="AH62" i="11" s="1"/>
  <c r="Q62" i="11"/>
  <c r="P62" i="11"/>
  <c r="O62" i="11"/>
  <c r="N62" i="11"/>
  <c r="M62" i="11"/>
  <c r="K62" i="11"/>
  <c r="AT62" i="11" s="1"/>
  <c r="J62" i="11"/>
  <c r="AY61" i="11"/>
  <c r="AW61" i="11"/>
  <c r="AS61" i="11"/>
  <c r="X61" i="11"/>
  <c r="AE61" i="11" s="1"/>
  <c r="AL61" i="11" s="1"/>
  <c r="U61" i="11"/>
  <c r="AB61" i="11" s="1"/>
  <c r="AI61" i="11" s="1"/>
  <c r="AP61" i="11" s="1"/>
  <c r="Q61" i="11"/>
  <c r="P61" i="11"/>
  <c r="W61" i="11" s="1"/>
  <c r="AD61" i="11" s="1"/>
  <c r="AK61" i="11" s="1"/>
  <c r="AR61" i="11" s="1"/>
  <c r="O61" i="11"/>
  <c r="AX61" i="11" s="1"/>
  <c r="N61" i="11"/>
  <c r="M61" i="11"/>
  <c r="AV61" i="11" s="1"/>
  <c r="K61" i="11"/>
  <c r="J61" i="11"/>
  <c r="AW60" i="11"/>
  <c r="AV60" i="11"/>
  <c r="AU60" i="11"/>
  <c r="AS60" i="11"/>
  <c r="AO60" i="11"/>
  <c r="AB60" i="11"/>
  <c r="AI60" i="11" s="1"/>
  <c r="AP60" i="11" s="1"/>
  <c r="X60" i="11"/>
  <c r="AE60" i="11" s="1"/>
  <c r="AL60" i="11" s="1"/>
  <c r="W60" i="11"/>
  <c r="AD60" i="11" s="1"/>
  <c r="AK60" i="11" s="1"/>
  <c r="AR60" i="11" s="1"/>
  <c r="U60" i="11"/>
  <c r="T60" i="11"/>
  <c r="AA60" i="11" s="1"/>
  <c r="AH60" i="11" s="1"/>
  <c r="Q60" i="11"/>
  <c r="P60" i="11"/>
  <c r="AY60" i="11" s="1"/>
  <c r="O60" i="11"/>
  <c r="N60" i="11"/>
  <c r="M60" i="11"/>
  <c r="L60" i="11"/>
  <c r="S60" i="11" s="1"/>
  <c r="Z60" i="11" s="1"/>
  <c r="AG60" i="11" s="1"/>
  <c r="AN60" i="11" s="1"/>
  <c r="J60" i="11"/>
  <c r="AY59" i="11"/>
  <c r="AW59" i="11"/>
  <c r="AS59" i="11"/>
  <c r="X59" i="11"/>
  <c r="AE59" i="11" s="1"/>
  <c r="AL59" i="11" s="1"/>
  <c r="U59" i="11"/>
  <c r="AB59" i="11" s="1"/>
  <c r="AI59" i="11" s="1"/>
  <c r="AP59" i="11" s="1"/>
  <c r="Q59" i="11"/>
  <c r="P59" i="11"/>
  <c r="W59" i="11" s="1"/>
  <c r="AD59" i="11" s="1"/>
  <c r="AK59" i="11" s="1"/>
  <c r="AR59" i="11" s="1"/>
  <c r="O59" i="11"/>
  <c r="AX59" i="11" s="1"/>
  <c r="N59" i="11"/>
  <c r="M59" i="11"/>
  <c r="AV59" i="11" s="1"/>
  <c r="L59" i="11"/>
  <c r="AU59" i="11" s="1"/>
  <c r="J59" i="11"/>
  <c r="AW58" i="11"/>
  <c r="AV58" i="11"/>
  <c r="AU58" i="11"/>
  <c r="AS58" i="11"/>
  <c r="AO58" i="11"/>
  <c r="AB58" i="11"/>
  <c r="AI58" i="11" s="1"/>
  <c r="AP58" i="11" s="1"/>
  <c r="X58" i="11"/>
  <c r="AE58" i="11" s="1"/>
  <c r="AL58" i="11" s="1"/>
  <c r="W58" i="11"/>
  <c r="AD58" i="11" s="1"/>
  <c r="AK58" i="11" s="1"/>
  <c r="AR58" i="11" s="1"/>
  <c r="U58" i="11"/>
  <c r="T58" i="11"/>
  <c r="AA58" i="11" s="1"/>
  <c r="AH58" i="11" s="1"/>
  <c r="Q58" i="11"/>
  <c r="P58" i="11"/>
  <c r="AY58" i="11" s="1"/>
  <c r="O58" i="11"/>
  <c r="N58" i="11"/>
  <c r="M58" i="11"/>
  <c r="L58" i="11"/>
  <c r="S58" i="11" s="1"/>
  <c r="Z58" i="11" s="1"/>
  <c r="AG58" i="11" s="1"/>
  <c r="AN58" i="11" s="1"/>
  <c r="J58" i="11"/>
  <c r="AW57" i="11"/>
  <c r="AS57" i="11"/>
  <c r="AB57" i="11"/>
  <c r="AI57" i="11" s="1"/>
  <c r="AP57" i="11" s="1"/>
  <c r="X57" i="11"/>
  <c r="AE57" i="11" s="1"/>
  <c r="AL57" i="11" s="1"/>
  <c r="U57" i="11"/>
  <c r="S57" i="11"/>
  <c r="Z57" i="11" s="1"/>
  <c r="AG57" i="11" s="1"/>
  <c r="AN57" i="11" s="1"/>
  <c r="Q57" i="11"/>
  <c r="P57" i="11"/>
  <c r="W57" i="11" s="1"/>
  <c r="AD57" i="11" s="1"/>
  <c r="AK57" i="11" s="1"/>
  <c r="AR57" i="11" s="1"/>
  <c r="O57" i="11"/>
  <c r="AX57" i="11" s="1"/>
  <c r="N57" i="11"/>
  <c r="L57" i="11"/>
  <c r="AU57" i="11" s="1"/>
  <c r="K57" i="11"/>
  <c r="J57" i="11"/>
  <c r="AW56" i="11"/>
  <c r="AV56" i="11"/>
  <c r="AS56" i="11"/>
  <c r="AG56" i="11"/>
  <c r="AN56" i="11" s="1"/>
  <c r="AB56" i="11"/>
  <c r="AI56" i="11" s="1"/>
  <c r="AP56" i="11" s="1"/>
  <c r="X56" i="11"/>
  <c r="AE56" i="11" s="1"/>
  <c r="AL56" i="11" s="1"/>
  <c r="W56" i="11"/>
  <c r="AD56" i="11" s="1"/>
  <c r="AK56" i="11" s="1"/>
  <c r="AR56" i="11" s="1"/>
  <c r="U56" i="11"/>
  <c r="T56" i="11"/>
  <c r="AA56" i="11" s="1"/>
  <c r="AH56" i="11" s="1"/>
  <c r="AO56" i="11" s="1"/>
  <c r="Q56" i="11"/>
  <c r="P56" i="11"/>
  <c r="AY56" i="11" s="1"/>
  <c r="O56" i="11"/>
  <c r="N56" i="11"/>
  <c r="M56" i="11"/>
  <c r="L56" i="11"/>
  <c r="S56" i="11" s="1"/>
  <c r="Z56" i="11" s="1"/>
  <c r="K56" i="11"/>
  <c r="AT56" i="11" s="1"/>
  <c r="J56" i="11"/>
  <c r="AW55" i="11"/>
  <c r="AS55" i="11"/>
  <c r="AB55" i="11"/>
  <c r="AI55" i="11" s="1"/>
  <c r="AP55" i="11" s="1"/>
  <c r="X55" i="11"/>
  <c r="AE55" i="11" s="1"/>
  <c r="AL55" i="11" s="1"/>
  <c r="U55" i="11"/>
  <c r="S55" i="11"/>
  <c r="Z55" i="11" s="1"/>
  <c r="AG55" i="11" s="1"/>
  <c r="AN55" i="11" s="1"/>
  <c r="Q55" i="11"/>
  <c r="P55" i="11"/>
  <c r="W55" i="11" s="1"/>
  <c r="AD55" i="11" s="1"/>
  <c r="AK55" i="11" s="1"/>
  <c r="AR55" i="11" s="1"/>
  <c r="O55" i="11"/>
  <c r="AX55" i="11" s="1"/>
  <c r="N55" i="11"/>
  <c r="L55" i="11"/>
  <c r="AU55" i="11" s="1"/>
  <c r="K55" i="11"/>
  <c r="J55" i="11"/>
  <c r="AW54" i="11"/>
  <c r="AU54" i="11"/>
  <c r="AS54" i="11"/>
  <c r="AG54" i="11"/>
  <c r="AN54" i="11" s="1"/>
  <c r="AB54" i="11"/>
  <c r="AI54" i="11" s="1"/>
  <c r="AP54" i="11" s="1"/>
  <c r="U54" i="11"/>
  <c r="Q54" i="11"/>
  <c r="X54" i="11" s="1"/>
  <c r="AE54" i="11" s="1"/>
  <c r="AL54" i="11" s="1"/>
  <c r="P54" i="11"/>
  <c r="AY54" i="11" s="1"/>
  <c r="O54" i="11"/>
  <c r="N54" i="11"/>
  <c r="L54" i="11"/>
  <c r="S54" i="11" s="1"/>
  <c r="Z54" i="11" s="1"/>
  <c r="K54" i="11"/>
  <c r="AT54" i="11" s="1"/>
  <c r="J54" i="11"/>
  <c r="AW53" i="11"/>
  <c r="AS53" i="11"/>
  <c r="AN53" i="11"/>
  <c r="AG53" i="11"/>
  <c r="AB53" i="11"/>
  <c r="AI53" i="11" s="1"/>
  <c r="AP53" i="11" s="1"/>
  <c r="U53" i="11"/>
  <c r="S53" i="11"/>
  <c r="Z53" i="11" s="1"/>
  <c r="Q53" i="11"/>
  <c r="X53" i="11" s="1"/>
  <c r="AE53" i="11" s="1"/>
  <c r="AL53" i="11" s="1"/>
  <c r="P53" i="11"/>
  <c r="W53" i="11" s="1"/>
  <c r="AD53" i="11" s="1"/>
  <c r="AK53" i="11" s="1"/>
  <c r="AR53" i="11" s="1"/>
  <c r="O53" i="11"/>
  <c r="AX53" i="11" s="1"/>
  <c r="N53" i="11"/>
  <c r="L53" i="11"/>
  <c r="AU53" i="11" s="1"/>
  <c r="K53" i="11"/>
  <c r="J53" i="11"/>
  <c r="W52" i="11"/>
  <c r="AD52" i="11" s="1"/>
  <c r="AK52" i="11" s="1"/>
  <c r="AR52" i="11" s="1"/>
  <c r="P52" i="11"/>
  <c r="AY52" i="11" s="1"/>
  <c r="O52" i="11"/>
  <c r="AX52" i="11" s="1"/>
  <c r="N52" i="11"/>
  <c r="U52" i="11" s="1"/>
  <c r="AB52" i="11" s="1"/>
  <c r="AI52" i="11" s="1"/>
  <c r="AP52" i="11" s="1"/>
  <c r="L52" i="11"/>
  <c r="AU52" i="11" s="1"/>
  <c r="K52" i="11"/>
  <c r="R52" i="11" s="1"/>
  <c r="Y52" i="11" s="1"/>
  <c r="AF52" i="11" s="1"/>
  <c r="AM52" i="11" s="1"/>
  <c r="J52" i="11"/>
  <c r="AS52" i="11" s="1"/>
  <c r="AT51" i="11"/>
  <c r="W51" i="11"/>
  <c r="AD51" i="11" s="1"/>
  <c r="AK51" i="11" s="1"/>
  <c r="AR51" i="11" s="1"/>
  <c r="R51" i="11"/>
  <c r="Y51" i="11" s="1"/>
  <c r="AF51" i="11" s="1"/>
  <c r="AM51" i="11" s="1"/>
  <c r="P51" i="11"/>
  <c r="AY51" i="11" s="1"/>
  <c r="O51" i="11"/>
  <c r="V51" i="11" s="1"/>
  <c r="AC51" i="11" s="1"/>
  <c r="AJ51" i="11" s="1"/>
  <c r="AQ51" i="11" s="1"/>
  <c r="N51" i="11"/>
  <c r="L51" i="11"/>
  <c r="S51" i="11" s="1"/>
  <c r="Z51" i="11" s="1"/>
  <c r="AG51" i="11" s="1"/>
  <c r="AN51" i="11" s="1"/>
  <c r="K51" i="11"/>
  <c r="J51" i="11"/>
  <c r="AU50" i="11"/>
  <c r="AT50" i="11"/>
  <c r="Z50" i="11"/>
  <c r="AG50" i="11" s="1"/>
  <c r="AN50" i="11" s="1"/>
  <c r="S50" i="11"/>
  <c r="R50" i="11"/>
  <c r="Y50" i="11" s="1"/>
  <c r="AF50" i="11" s="1"/>
  <c r="AM50" i="11" s="1"/>
  <c r="P50" i="11"/>
  <c r="W50" i="11" s="1"/>
  <c r="AD50" i="11" s="1"/>
  <c r="AK50" i="11" s="1"/>
  <c r="AR50" i="11" s="1"/>
  <c r="O50" i="11"/>
  <c r="V50" i="11" s="1"/>
  <c r="AC50" i="11" s="1"/>
  <c r="AJ50" i="11" s="1"/>
  <c r="AQ50" i="11" s="1"/>
  <c r="N50" i="11"/>
  <c r="L50" i="11"/>
  <c r="K50" i="11"/>
  <c r="J50" i="11"/>
  <c r="AY49" i="11"/>
  <c r="AU49" i="11"/>
  <c r="AD49" i="11"/>
  <c r="AK49" i="11" s="1"/>
  <c r="AR49" i="11" s="1"/>
  <c r="W49" i="11"/>
  <c r="S49" i="11"/>
  <c r="Z49" i="11" s="1"/>
  <c r="AG49" i="11" s="1"/>
  <c r="AN49" i="11" s="1"/>
  <c r="P49" i="11"/>
  <c r="O49" i="11"/>
  <c r="AX49" i="11" s="1"/>
  <c r="N49" i="11"/>
  <c r="L49" i="11"/>
  <c r="K49" i="11"/>
  <c r="AT49" i="11" s="1"/>
  <c r="J49" i="11"/>
  <c r="AS49" i="11" s="1"/>
  <c r="AU48" i="11"/>
  <c r="AT48" i="11"/>
  <c r="AD48" i="11"/>
  <c r="AK48" i="11" s="1"/>
  <c r="AR48" i="11" s="1"/>
  <c r="W48" i="11"/>
  <c r="V48" i="11"/>
  <c r="AC48" i="11" s="1"/>
  <c r="AJ48" i="11" s="1"/>
  <c r="AQ48" i="11" s="1"/>
  <c r="R48" i="11"/>
  <c r="Y48" i="11" s="1"/>
  <c r="AF48" i="11" s="1"/>
  <c r="AM48" i="11" s="1"/>
  <c r="P48" i="11"/>
  <c r="AY48" i="11" s="1"/>
  <c r="O48" i="11"/>
  <c r="AX48" i="11" s="1"/>
  <c r="N48" i="11"/>
  <c r="U48" i="11" s="1"/>
  <c r="AB48" i="11" s="1"/>
  <c r="AI48" i="11" s="1"/>
  <c r="AP48" i="11" s="1"/>
  <c r="L48" i="11"/>
  <c r="S48" i="11" s="1"/>
  <c r="Z48" i="11" s="1"/>
  <c r="AG48" i="11" s="1"/>
  <c r="AN48" i="11" s="1"/>
  <c r="K48" i="11"/>
  <c r="J48" i="11"/>
  <c r="AS48" i="11" s="1"/>
  <c r="AY47" i="11"/>
  <c r="AX47" i="11"/>
  <c r="Z47" i="11"/>
  <c r="AG47" i="11" s="1"/>
  <c r="AN47" i="11" s="1"/>
  <c r="V47" i="11"/>
  <c r="AC47" i="11" s="1"/>
  <c r="AJ47" i="11" s="1"/>
  <c r="AQ47" i="11" s="1"/>
  <c r="S47" i="11"/>
  <c r="R47" i="11"/>
  <c r="Y47" i="11" s="1"/>
  <c r="AF47" i="11" s="1"/>
  <c r="AM47" i="11" s="1"/>
  <c r="P47" i="11"/>
  <c r="W47" i="11" s="1"/>
  <c r="AD47" i="11" s="1"/>
  <c r="AK47" i="11" s="1"/>
  <c r="AR47" i="11" s="1"/>
  <c r="O47" i="11"/>
  <c r="N47" i="11"/>
  <c r="AW47" i="11" s="1"/>
  <c r="L47" i="11"/>
  <c r="AU47" i="11" s="1"/>
  <c r="K47" i="11"/>
  <c r="AT47" i="11" s="1"/>
  <c r="J47" i="11"/>
  <c r="Q47" i="11" s="1"/>
  <c r="X47" i="11" s="1"/>
  <c r="AE47" i="11" s="1"/>
  <c r="AL47" i="11" s="1"/>
  <c r="AU46" i="11"/>
  <c r="AT46" i="11"/>
  <c r="AS46" i="11"/>
  <c r="AK46" i="11"/>
  <c r="AR46" i="11" s="1"/>
  <c r="AD46" i="11"/>
  <c r="AC46" i="11"/>
  <c r="AJ46" i="11" s="1"/>
  <c r="AQ46" i="11" s="1"/>
  <c r="W46" i="11"/>
  <c r="V46" i="11"/>
  <c r="U46" i="11"/>
  <c r="AB46" i="11" s="1"/>
  <c r="AI46" i="11" s="1"/>
  <c r="AP46" i="11" s="1"/>
  <c r="Q46" i="11"/>
  <c r="X46" i="11" s="1"/>
  <c r="AE46" i="11" s="1"/>
  <c r="AL46" i="11" s="1"/>
  <c r="P46" i="11"/>
  <c r="AY46" i="11" s="1"/>
  <c r="O46" i="11"/>
  <c r="AX46" i="11" s="1"/>
  <c r="N46" i="11"/>
  <c r="L46" i="11"/>
  <c r="S46" i="11" s="1"/>
  <c r="Z46" i="11" s="1"/>
  <c r="AG46" i="11" s="1"/>
  <c r="AN46" i="11" s="1"/>
  <c r="K46" i="11"/>
  <c r="J46" i="11"/>
  <c r="AX45" i="11"/>
  <c r="AF45" i="11"/>
  <c r="AM45" i="11" s="1"/>
  <c r="Y45" i="11"/>
  <c r="X45" i="11"/>
  <c r="AE45" i="11" s="1"/>
  <c r="AL45" i="11" s="1"/>
  <c r="R45" i="11"/>
  <c r="Q45" i="11"/>
  <c r="P45" i="11"/>
  <c r="W45" i="11" s="1"/>
  <c r="AD45" i="11" s="1"/>
  <c r="AK45" i="11" s="1"/>
  <c r="AR45" i="11" s="1"/>
  <c r="O45" i="11"/>
  <c r="V45" i="11" s="1"/>
  <c r="AC45" i="11" s="1"/>
  <c r="AJ45" i="11" s="1"/>
  <c r="AQ45" i="11" s="1"/>
  <c r="N45" i="11"/>
  <c r="U45" i="11" s="1"/>
  <c r="AB45" i="11" s="1"/>
  <c r="AI45" i="11" s="1"/>
  <c r="AP45" i="11" s="1"/>
  <c r="L45" i="11"/>
  <c r="AU45" i="11" s="1"/>
  <c r="K45" i="11"/>
  <c r="AT45" i="11" s="1"/>
  <c r="J45" i="11"/>
  <c r="AS45" i="11" s="1"/>
  <c r="AT44" i="11"/>
  <c r="AS44" i="11"/>
  <c r="AJ44" i="11"/>
  <c r="AQ44" i="11" s="1"/>
  <c r="AC44" i="11"/>
  <c r="AB44" i="11"/>
  <c r="AI44" i="11" s="1"/>
  <c r="AP44" i="11" s="1"/>
  <c r="V44" i="11"/>
  <c r="U44" i="11"/>
  <c r="T44" i="11"/>
  <c r="AA44" i="11" s="1"/>
  <c r="AH44" i="11" s="1"/>
  <c r="AO44" i="11" s="1"/>
  <c r="P44" i="11"/>
  <c r="AY44" i="11" s="1"/>
  <c r="O44" i="11"/>
  <c r="AX44" i="11" s="1"/>
  <c r="N44" i="11"/>
  <c r="AW44" i="11" s="1"/>
  <c r="M44" i="11"/>
  <c r="AV44" i="11" s="1"/>
  <c r="K44" i="11"/>
  <c r="R44" i="11" s="1"/>
  <c r="Y44" i="11" s="1"/>
  <c r="AF44" i="11" s="1"/>
  <c r="AM44" i="11" s="1"/>
  <c r="J44" i="11"/>
  <c r="Q44" i="11" s="1"/>
  <c r="X44" i="11" s="1"/>
  <c r="AE44" i="11" s="1"/>
  <c r="AL44" i="11" s="1"/>
  <c r="AW43" i="11"/>
  <c r="AU43" i="11"/>
  <c r="AE43" i="11"/>
  <c r="AL43" i="11" s="1"/>
  <c r="X43" i="11"/>
  <c r="W43" i="11"/>
  <c r="AD43" i="11" s="1"/>
  <c r="AK43" i="11" s="1"/>
  <c r="AR43" i="11" s="1"/>
  <c r="S43" i="11"/>
  <c r="Z43" i="11" s="1"/>
  <c r="AG43" i="11" s="1"/>
  <c r="AN43" i="11" s="1"/>
  <c r="Q43" i="11"/>
  <c r="P43" i="11"/>
  <c r="O43" i="11"/>
  <c r="V43" i="11" s="1"/>
  <c r="AC43" i="11" s="1"/>
  <c r="AJ43" i="11" s="1"/>
  <c r="AQ43" i="11" s="1"/>
  <c r="N43" i="11"/>
  <c r="U43" i="11" s="1"/>
  <c r="AB43" i="11" s="1"/>
  <c r="AI43" i="11" s="1"/>
  <c r="AP43" i="11" s="1"/>
  <c r="L43" i="11"/>
  <c r="K43" i="11"/>
  <c r="AT43" i="11" s="1"/>
  <c r="J43" i="11"/>
  <c r="AS43" i="11" s="1"/>
  <c r="AY42" i="11"/>
  <c r="AS42" i="11"/>
  <c r="AI42" i="11"/>
  <c r="AP42" i="11" s="1"/>
  <c r="AB42" i="11"/>
  <c r="W42" i="11"/>
  <c r="AD42" i="11" s="1"/>
  <c r="AK42" i="11" s="1"/>
  <c r="AR42" i="11" s="1"/>
  <c r="U42" i="11"/>
  <c r="S42" i="11"/>
  <c r="Z42" i="11" s="1"/>
  <c r="AG42" i="11" s="1"/>
  <c r="AN42" i="11" s="1"/>
  <c r="P42" i="11"/>
  <c r="O42" i="11"/>
  <c r="AX42" i="11" s="1"/>
  <c r="N42" i="11"/>
  <c r="AW42" i="11" s="1"/>
  <c r="L42" i="11"/>
  <c r="AU42" i="11" s="1"/>
  <c r="K42" i="11"/>
  <c r="R42" i="11" s="1"/>
  <c r="Y42" i="11" s="1"/>
  <c r="AF42" i="11" s="1"/>
  <c r="AM42" i="11" s="1"/>
  <c r="J42" i="11"/>
  <c r="Q42" i="11" s="1"/>
  <c r="X42" i="11" s="1"/>
  <c r="AE42" i="11" s="1"/>
  <c r="AL42" i="11" s="1"/>
  <c r="AW41" i="11"/>
  <c r="AU41" i="11"/>
  <c r="AE41" i="11"/>
  <c r="AL41" i="11" s="1"/>
  <c r="X41" i="11"/>
  <c r="W41" i="11"/>
  <c r="AD41" i="11" s="1"/>
  <c r="AK41" i="11" s="1"/>
  <c r="AR41" i="11" s="1"/>
  <c r="S41" i="11"/>
  <c r="Z41" i="11" s="1"/>
  <c r="AG41" i="11" s="1"/>
  <c r="AN41" i="11" s="1"/>
  <c r="Q41" i="11"/>
  <c r="P41" i="11"/>
  <c r="AY41" i="11" s="1"/>
  <c r="O41" i="11"/>
  <c r="N41" i="11"/>
  <c r="U41" i="11" s="1"/>
  <c r="AB41" i="11" s="1"/>
  <c r="AI41" i="11" s="1"/>
  <c r="AP41" i="11" s="1"/>
  <c r="L41" i="11"/>
  <c r="K41" i="11"/>
  <c r="AT41" i="11" s="1"/>
  <c r="J41" i="11"/>
  <c r="AS41" i="11" s="1"/>
  <c r="AY40" i="11"/>
  <c r="AS40" i="11"/>
  <c r="AI40" i="11"/>
  <c r="AP40" i="11" s="1"/>
  <c r="AB40" i="11"/>
  <c r="W40" i="11"/>
  <c r="AD40" i="11" s="1"/>
  <c r="AK40" i="11" s="1"/>
  <c r="AR40" i="11" s="1"/>
  <c r="U40" i="11"/>
  <c r="S40" i="11"/>
  <c r="Z40" i="11" s="1"/>
  <c r="AG40" i="11" s="1"/>
  <c r="AN40" i="11" s="1"/>
  <c r="P40" i="11"/>
  <c r="O40" i="11"/>
  <c r="AX40" i="11" s="1"/>
  <c r="N40" i="11"/>
  <c r="AW40" i="11" s="1"/>
  <c r="L40" i="11"/>
  <c r="AU40" i="11" s="1"/>
  <c r="K40" i="11"/>
  <c r="J40" i="11"/>
  <c r="Q40" i="11" s="1"/>
  <c r="X40" i="11" s="1"/>
  <c r="AE40" i="11" s="1"/>
  <c r="AL40" i="11" s="1"/>
  <c r="AW39" i="11"/>
  <c r="AU39" i="11"/>
  <c r="AE39" i="11"/>
  <c r="AL39" i="11" s="1"/>
  <c r="X39" i="11"/>
  <c r="W39" i="11"/>
  <c r="AD39" i="11" s="1"/>
  <c r="AK39" i="11" s="1"/>
  <c r="AR39" i="11" s="1"/>
  <c r="S39" i="11"/>
  <c r="Z39" i="11" s="1"/>
  <c r="AG39" i="11" s="1"/>
  <c r="AN39" i="11" s="1"/>
  <c r="Q39" i="11"/>
  <c r="P39" i="11"/>
  <c r="AY39" i="11" s="1"/>
  <c r="O39" i="11"/>
  <c r="N39" i="11"/>
  <c r="U39" i="11" s="1"/>
  <c r="AB39" i="11" s="1"/>
  <c r="AI39" i="11" s="1"/>
  <c r="AP39" i="11" s="1"/>
  <c r="L39" i="11"/>
  <c r="K39" i="11"/>
  <c r="AT39" i="11" s="1"/>
  <c r="J39" i="11"/>
  <c r="AS39" i="11" s="1"/>
  <c r="AY38" i="11"/>
  <c r="AS38" i="11"/>
  <c r="AI38" i="11"/>
  <c r="AP38" i="11" s="1"/>
  <c r="AB38" i="11"/>
  <c r="W38" i="11"/>
  <c r="AD38" i="11" s="1"/>
  <c r="AK38" i="11" s="1"/>
  <c r="AR38" i="11" s="1"/>
  <c r="U38" i="11"/>
  <c r="S38" i="11"/>
  <c r="Z38" i="11" s="1"/>
  <c r="AG38" i="11" s="1"/>
  <c r="AN38" i="11" s="1"/>
  <c r="P38" i="11"/>
  <c r="O38" i="11"/>
  <c r="AX38" i="11" s="1"/>
  <c r="N38" i="11"/>
  <c r="AW38" i="11" s="1"/>
  <c r="L38" i="11"/>
  <c r="AU38" i="11" s="1"/>
  <c r="K38" i="11"/>
  <c r="J38" i="11"/>
  <c r="Q38" i="11" s="1"/>
  <c r="X38" i="11" s="1"/>
  <c r="AE38" i="11" s="1"/>
  <c r="AL38" i="11" s="1"/>
  <c r="AW37" i="11"/>
  <c r="AU37" i="11"/>
  <c r="AE37" i="11"/>
  <c r="AL37" i="11" s="1"/>
  <c r="X37" i="11"/>
  <c r="W37" i="11"/>
  <c r="AD37" i="11" s="1"/>
  <c r="AK37" i="11" s="1"/>
  <c r="AR37" i="11" s="1"/>
  <c r="S37" i="11"/>
  <c r="Z37" i="11" s="1"/>
  <c r="AG37" i="11" s="1"/>
  <c r="AN37" i="11" s="1"/>
  <c r="Q37" i="11"/>
  <c r="P37" i="11"/>
  <c r="AY37" i="11" s="1"/>
  <c r="O37" i="11"/>
  <c r="N37" i="11"/>
  <c r="U37" i="11" s="1"/>
  <c r="AB37" i="11" s="1"/>
  <c r="AI37" i="11" s="1"/>
  <c r="AP37" i="11" s="1"/>
  <c r="L37" i="11"/>
  <c r="K37" i="11"/>
  <c r="AT37" i="11" s="1"/>
  <c r="J37" i="11"/>
  <c r="AS37" i="11" s="1"/>
  <c r="AY36" i="11"/>
  <c r="AS36" i="11"/>
  <c r="AB36" i="11"/>
  <c r="AI36" i="11" s="1"/>
  <c r="AP36" i="11" s="1"/>
  <c r="W36" i="11"/>
  <c r="AD36" i="11" s="1"/>
  <c r="AK36" i="11" s="1"/>
  <c r="AR36" i="11" s="1"/>
  <c r="U36" i="11"/>
  <c r="P36" i="11"/>
  <c r="O36" i="11"/>
  <c r="AX36" i="11" s="1"/>
  <c r="N36" i="11"/>
  <c r="AW36" i="11" s="1"/>
  <c r="L36" i="11"/>
  <c r="AU36" i="11" s="1"/>
  <c r="K36" i="11"/>
  <c r="J36" i="11"/>
  <c r="Q36" i="11" s="1"/>
  <c r="X36" i="11" s="1"/>
  <c r="AE36" i="11" s="1"/>
  <c r="AL36" i="11" s="1"/>
  <c r="AU35" i="11"/>
  <c r="AT35" i="11"/>
  <c r="Z35" i="11"/>
  <c r="AG35" i="11" s="1"/>
  <c r="AN35" i="11" s="1"/>
  <c r="W35" i="11"/>
  <c r="AD35" i="11" s="1"/>
  <c r="AK35" i="11" s="1"/>
  <c r="AR35" i="11" s="1"/>
  <c r="S35" i="11"/>
  <c r="R35" i="11"/>
  <c r="Y35" i="11" s="1"/>
  <c r="AF35" i="11" s="1"/>
  <c r="AM35" i="11" s="1"/>
  <c r="P35" i="11"/>
  <c r="O35" i="11"/>
  <c r="AX35" i="11" s="1"/>
  <c r="N35" i="11"/>
  <c r="L35" i="11"/>
  <c r="K35" i="11"/>
  <c r="J35" i="11"/>
  <c r="AS35" i="11" s="1"/>
  <c r="AY34" i="11"/>
  <c r="AX34" i="11"/>
  <c r="AQ34" i="11"/>
  <c r="V34" i="11"/>
  <c r="AC34" i="11" s="1"/>
  <c r="AJ34" i="11" s="1"/>
  <c r="S34" i="11"/>
  <c r="Z34" i="11" s="1"/>
  <c r="AG34" i="11" s="1"/>
  <c r="AN34" i="11" s="1"/>
  <c r="R34" i="11"/>
  <c r="Y34" i="11" s="1"/>
  <c r="AF34" i="11" s="1"/>
  <c r="AM34" i="11" s="1"/>
  <c r="P34" i="11"/>
  <c r="W34" i="11" s="1"/>
  <c r="AD34" i="11" s="1"/>
  <c r="AK34" i="11" s="1"/>
  <c r="AR34" i="11" s="1"/>
  <c r="O34" i="11"/>
  <c r="N34" i="11"/>
  <c r="AW34" i="11" s="1"/>
  <c r="L34" i="11"/>
  <c r="AU34" i="11" s="1"/>
  <c r="K34" i="11"/>
  <c r="AT34" i="11" s="1"/>
  <c r="J34" i="11"/>
  <c r="AV33" i="11"/>
  <c r="AU33" i="11"/>
  <c r="W33" i="11"/>
  <c r="AD33" i="11" s="1"/>
  <c r="AK33" i="11" s="1"/>
  <c r="AR33" i="11" s="1"/>
  <c r="V33" i="11"/>
  <c r="AC33" i="11" s="1"/>
  <c r="AJ33" i="11" s="1"/>
  <c r="AQ33" i="11" s="1"/>
  <c r="P33" i="11"/>
  <c r="AY33" i="11" s="1"/>
  <c r="O33" i="11"/>
  <c r="AX33" i="11" s="1"/>
  <c r="N33" i="11"/>
  <c r="M33" i="11"/>
  <c r="T33" i="11" s="1"/>
  <c r="AA33" i="11" s="1"/>
  <c r="AH33" i="11" s="1"/>
  <c r="AO33" i="11" s="1"/>
  <c r="L33" i="11"/>
  <c r="S33" i="11" s="1"/>
  <c r="Z33" i="11" s="1"/>
  <c r="AG33" i="11" s="1"/>
  <c r="AN33" i="11" s="1"/>
  <c r="J33" i="11"/>
  <c r="AX32" i="11"/>
  <c r="AW32" i="11"/>
  <c r="Y32" i="11"/>
  <c r="AF32" i="11" s="1"/>
  <c r="AM32" i="11" s="1"/>
  <c r="R32" i="11"/>
  <c r="Q32" i="11"/>
  <c r="X32" i="11" s="1"/>
  <c r="AE32" i="11" s="1"/>
  <c r="AL32" i="11" s="1"/>
  <c r="P32" i="11"/>
  <c r="W32" i="11" s="1"/>
  <c r="AD32" i="11" s="1"/>
  <c r="AK32" i="11" s="1"/>
  <c r="AR32" i="11" s="1"/>
  <c r="O32" i="11"/>
  <c r="V32" i="11" s="1"/>
  <c r="AC32" i="11" s="1"/>
  <c r="AJ32" i="11" s="1"/>
  <c r="AQ32" i="11" s="1"/>
  <c r="N32" i="11"/>
  <c r="U32" i="11" s="1"/>
  <c r="AB32" i="11" s="1"/>
  <c r="AI32" i="11" s="1"/>
  <c r="AP32" i="11" s="1"/>
  <c r="L32" i="11"/>
  <c r="S32" i="11" s="1"/>
  <c r="Z32" i="11" s="1"/>
  <c r="AG32" i="11" s="1"/>
  <c r="AN32" i="11" s="1"/>
  <c r="K32" i="11"/>
  <c r="AT32" i="11" s="1"/>
  <c r="J32" i="11"/>
  <c r="AS32" i="11" s="1"/>
  <c r="AX31" i="11"/>
  <c r="AT31" i="11"/>
  <c r="V31" i="11"/>
  <c r="AC31" i="11" s="1"/>
  <c r="AJ31" i="11" s="1"/>
  <c r="AQ31" i="11" s="1"/>
  <c r="S31" i="11"/>
  <c r="Z31" i="11" s="1"/>
  <c r="AG31" i="11" s="1"/>
  <c r="AN31" i="11" s="1"/>
  <c r="R31" i="11"/>
  <c r="Y31" i="11" s="1"/>
  <c r="AF31" i="11" s="1"/>
  <c r="AM31" i="11" s="1"/>
  <c r="P31" i="11"/>
  <c r="W31" i="11" s="1"/>
  <c r="AD31" i="11" s="1"/>
  <c r="AK31" i="11" s="1"/>
  <c r="AR31" i="11" s="1"/>
  <c r="O31" i="11"/>
  <c r="N31" i="11"/>
  <c r="L31" i="11"/>
  <c r="K31" i="11"/>
  <c r="J31" i="11"/>
  <c r="AU30" i="11"/>
  <c r="AT30" i="11"/>
  <c r="AF30" i="11"/>
  <c r="AM30" i="11" s="1"/>
  <c r="R30" i="11"/>
  <c r="Y30" i="11" s="1"/>
  <c r="P30" i="11"/>
  <c r="AY30" i="11" s="1"/>
  <c r="O30" i="11"/>
  <c r="V30" i="11" s="1"/>
  <c r="AC30" i="11" s="1"/>
  <c r="AJ30" i="11" s="1"/>
  <c r="AQ30" i="11" s="1"/>
  <c r="N30" i="11"/>
  <c r="L30" i="11"/>
  <c r="S30" i="11" s="1"/>
  <c r="Z30" i="11" s="1"/>
  <c r="AG30" i="11" s="1"/>
  <c r="AN30" i="11" s="1"/>
  <c r="K30" i="11"/>
  <c r="J30" i="11"/>
  <c r="AY29" i="11"/>
  <c r="AX29" i="11"/>
  <c r="AT29" i="11"/>
  <c r="V29" i="11"/>
  <c r="AC29" i="11" s="1"/>
  <c r="AJ29" i="11" s="1"/>
  <c r="AQ29" i="11" s="1"/>
  <c r="S29" i="11"/>
  <c r="Z29" i="11" s="1"/>
  <c r="AG29" i="11" s="1"/>
  <c r="AN29" i="11" s="1"/>
  <c r="R29" i="11"/>
  <c r="Y29" i="11" s="1"/>
  <c r="AF29" i="11" s="1"/>
  <c r="AM29" i="11" s="1"/>
  <c r="P29" i="11"/>
  <c r="W29" i="11" s="1"/>
  <c r="AD29" i="11" s="1"/>
  <c r="AK29" i="11" s="1"/>
  <c r="AR29" i="11" s="1"/>
  <c r="O29" i="11"/>
  <c r="N29" i="11"/>
  <c r="L29" i="11"/>
  <c r="AU29" i="11" s="1"/>
  <c r="K29" i="11"/>
  <c r="J29" i="11"/>
  <c r="AU28" i="11"/>
  <c r="AT28" i="11"/>
  <c r="AF28" i="11"/>
  <c r="AM28" i="11" s="1"/>
  <c r="R28" i="11"/>
  <c r="Y28" i="11" s="1"/>
  <c r="P28" i="11"/>
  <c r="AY28" i="11" s="1"/>
  <c r="O28" i="11"/>
  <c r="V28" i="11" s="1"/>
  <c r="AC28" i="11" s="1"/>
  <c r="AJ28" i="11" s="1"/>
  <c r="AQ28" i="11" s="1"/>
  <c r="N28" i="11"/>
  <c r="L28" i="11"/>
  <c r="S28" i="11" s="1"/>
  <c r="Z28" i="11" s="1"/>
  <c r="AG28" i="11" s="1"/>
  <c r="AN28" i="11" s="1"/>
  <c r="K28" i="11"/>
  <c r="J28" i="11"/>
  <c r="AY27" i="11"/>
  <c r="AX27" i="11"/>
  <c r="AC27" i="11"/>
  <c r="AJ27" i="11" s="1"/>
  <c r="AQ27" i="11" s="1"/>
  <c r="V27" i="11"/>
  <c r="T27" i="11"/>
  <c r="AA27" i="11" s="1"/>
  <c r="AH27" i="11" s="1"/>
  <c r="AO27" i="11" s="1"/>
  <c r="S27" i="11"/>
  <c r="Z27" i="11" s="1"/>
  <c r="AG27" i="11" s="1"/>
  <c r="AN27" i="11" s="1"/>
  <c r="P27" i="11"/>
  <c r="W27" i="11" s="1"/>
  <c r="AD27" i="11" s="1"/>
  <c r="AK27" i="11" s="1"/>
  <c r="AR27" i="11" s="1"/>
  <c r="O27" i="11"/>
  <c r="N27" i="11"/>
  <c r="AW27" i="11" s="1"/>
  <c r="M27" i="11"/>
  <c r="AV27" i="11" s="1"/>
  <c r="L27" i="11"/>
  <c r="AU27" i="11" s="1"/>
  <c r="J27" i="11"/>
  <c r="AW26" i="11"/>
  <c r="AU26" i="11"/>
  <c r="AT26" i="11"/>
  <c r="Z26" i="11"/>
  <c r="AG26" i="11" s="1"/>
  <c r="AN26" i="11" s="1"/>
  <c r="Y26" i="11"/>
  <c r="AF26" i="11" s="1"/>
  <c r="AM26" i="11" s="1"/>
  <c r="R26" i="11"/>
  <c r="P26" i="11"/>
  <c r="AY26" i="11" s="1"/>
  <c r="O26" i="11"/>
  <c r="V26" i="11" s="1"/>
  <c r="AC26" i="11" s="1"/>
  <c r="AJ26" i="11" s="1"/>
  <c r="AQ26" i="11" s="1"/>
  <c r="N26" i="11"/>
  <c r="U26" i="11" s="1"/>
  <c r="AB26" i="11" s="1"/>
  <c r="AI26" i="11" s="1"/>
  <c r="AP26" i="11" s="1"/>
  <c r="L26" i="11"/>
  <c r="S26" i="11" s="1"/>
  <c r="K26" i="11"/>
  <c r="J26" i="11"/>
  <c r="Q26" i="11" s="1"/>
  <c r="X26" i="11" s="1"/>
  <c r="AE26" i="11" s="1"/>
  <c r="AL26" i="11" s="1"/>
  <c r="AY25" i="11"/>
  <c r="AX25" i="11"/>
  <c r="AS25" i="11"/>
  <c r="AL25" i="11"/>
  <c r="V25" i="11"/>
  <c r="AC25" i="11" s="1"/>
  <c r="AJ25" i="11" s="1"/>
  <c r="AQ25" i="11" s="1"/>
  <c r="P25" i="11"/>
  <c r="W25" i="11" s="1"/>
  <c r="AD25" i="11" s="1"/>
  <c r="AK25" i="11" s="1"/>
  <c r="AR25" i="11" s="1"/>
  <c r="O25" i="11"/>
  <c r="N25" i="11"/>
  <c r="AW25" i="11" s="1"/>
  <c r="M25" i="11"/>
  <c r="AV25" i="11" s="1"/>
  <c r="L25" i="11"/>
  <c r="AU25" i="11" s="1"/>
  <c r="J25" i="11"/>
  <c r="Q25" i="11" s="1"/>
  <c r="X25" i="11" s="1"/>
  <c r="AE25" i="11" s="1"/>
  <c r="AX24" i="11"/>
  <c r="AW24" i="11"/>
  <c r="AB24" i="11"/>
  <c r="AI24" i="11" s="1"/>
  <c r="AP24" i="11" s="1"/>
  <c r="V24" i="11"/>
  <c r="AC24" i="11" s="1"/>
  <c r="AJ24" i="11" s="1"/>
  <c r="AQ24" i="11" s="1"/>
  <c r="P24" i="11"/>
  <c r="AY24" i="11" s="1"/>
  <c r="O24" i="11"/>
  <c r="N24" i="11"/>
  <c r="U24" i="11" s="1"/>
  <c r="L24" i="11"/>
  <c r="AU24" i="11" s="1"/>
  <c r="K24" i="11"/>
  <c r="AT24" i="11" s="1"/>
  <c r="J24" i="11"/>
  <c r="AS24" i="11" s="1"/>
  <c r="AW23" i="11"/>
  <c r="AU23" i="11"/>
  <c r="AT23" i="11"/>
  <c r="Y23" i="11"/>
  <c r="AF23" i="11" s="1"/>
  <c r="AM23" i="11" s="1"/>
  <c r="V23" i="11"/>
  <c r="AC23" i="11" s="1"/>
  <c r="AJ23" i="11" s="1"/>
  <c r="AQ23" i="11" s="1"/>
  <c r="R23" i="11"/>
  <c r="Q23" i="11"/>
  <c r="X23" i="11" s="1"/>
  <c r="AE23" i="11" s="1"/>
  <c r="AL23" i="11" s="1"/>
  <c r="P23" i="11"/>
  <c r="AY23" i="11" s="1"/>
  <c r="O23" i="11"/>
  <c r="AX23" i="11" s="1"/>
  <c r="N23" i="11"/>
  <c r="U23" i="11" s="1"/>
  <c r="AB23" i="11" s="1"/>
  <c r="AI23" i="11" s="1"/>
  <c r="AP23" i="11" s="1"/>
  <c r="L23" i="11"/>
  <c r="K23" i="11"/>
  <c r="J23" i="11"/>
  <c r="AS23" i="11" s="1"/>
  <c r="AX22" i="11"/>
  <c r="AW22" i="11"/>
  <c r="AB22" i="11"/>
  <c r="AI22" i="11" s="1"/>
  <c r="AP22" i="11" s="1"/>
  <c r="W22" i="11"/>
  <c r="AD22" i="11" s="1"/>
  <c r="AK22" i="11" s="1"/>
  <c r="AR22" i="11" s="1"/>
  <c r="U22" i="11"/>
  <c r="T22" i="11"/>
  <c r="AA22" i="11" s="1"/>
  <c r="AH22" i="11" s="1"/>
  <c r="AO22" i="11" s="1"/>
  <c r="P22" i="11"/>
  <c r="O22" i="11"/>
  <c r="V22" i="11" s="1"/>
  <c r="AC22" i="11" s="1"/>
  <c r="AJ22" i="11" s="1"/>
  <c r="AQ22" i="11" s="1"/>
  <c r="N22" i="11"/>
  <c r="M22" i="11"/>
  <c r="AV22" i="11" s="1"/>
  <c r="K22" i="11"/>
  <c r="AT22" i="11" s="1"/>
  <c r="J22" i="11"/>
  <c r="AS22" i="11" s="1"/>
  <c r="AV21" i="11"/>
  <c r="AT21" i="11"/>
  <c r="AS21" i="11"/>
  <c r="X21" i="11"/>
  <c r="AE21" i="11" s="1"/>
  <c r="AL21" i="11" s="1"/>
  <c r="Q21" i="11"/>
  <c r="P21" i="11"/>
  <c r="AY21" i="11" s="1"/>
  <c r="O21" i="11"/>
  <c r="AX21" i="11" s="1"/>
  <c r="N21" i="11"/>
  <c r="AW21" i="11" s="1"/>
  <c r="M21" i="11"/>
  <c r="T21" i="11" s="1"/>
  <c r="AA21" i="11" s="1"/>
  <c r="AH21" i="11" s="1"/>
  <c r="AO21" i="11" s="1"/>
  <c r="K21" i="11"/>
  <c r="R21" i="11" s="1"/>
  <c r="Y21" i="11" s="1"/>
  <c r="AF21" i="11" s="1"/>
  <c r="AM21" i="11" s="1"/>
  <c r="J21" i="11"/>
  <c r="AY20" i="11"/>
  <c r="AX20" i="11"/>
  <c r="AW20" i="11"/>
  <c r="AB20" i="11"/>
  <c r="AI20" i="11" s="1"/>
  <c r="AP20" i="11" s="1"/>
  <c r="W20" i="11"/>
  <c r="AD20" i="11" s="1"/>
  <c r="AK20" i="11" s="1"/>
  <c r="AR20" i="11" s="1"/>
  <c r="U20" i="11"/>
  <c r="T20" i="11"/>
  <c r="AA20" i="11" s="1"/>
  <c r="AH20" i="11" s="1"/>
  <c r="AO20" i="11" s="1"/>
  <c r="P20" i="11"/>
  <c r="O20" i="11"/>
  <c r="V20" i="11" s="1"/>
  <c r="AC20" i="11" s="1"/>
  <c r="AJ20" i="11" s="1"/>
  <c r="AQ20" i="11" s="1"/>
  <c r="N20" i="11"/>
  <c r="M20" i="11"/>
  <c r="AV20" i="11" s="1"/>
  <c r="L20" i="11"/>
  <c r="AU20" i="11" s="1"/>
  <c r="K20" i="11"/>
  <c r="AT20" i="11" s="1"/>
  <c r="J20" i="11"/>
  <c r="AS20" i="11" s="1"/>
  <c r="AV19" i="11"/>
  <c r="AU19" i="11"/>
  <c r="AT19" i="11"/>
  <c r="AS19" i="11"/>
  <c r="X19" i="11"/>
  <c r="AE19" i="11" s="1"/>
  <c r="AL19" i="11" s="1"/>
  <c r="S19" i="11"/>
  <c r="Z19" i="11" s="1"/>
  <c r="AG19" i="11" s="1"/>
  <c r="AN19" i="11" s="1"/>
  <c r="Q19" i="11"/>
  <c r="P19" i="11"/>
  <c r="AY19" i="11" s="1"/>
  <c r="O19" i="11"/>
  <c r="AX19" i="11" s="1"/>
  <c r="N19" i="11"/>
  <c r="AW19" i="11" s="1"/>
  <c r="M19" i="11"/>
  <c r="T19" i="11" s="1"/>
  <c r="AA19" i="11" s="1"/>
  <c r="AH19" i="11" s="1"/>
  <c r="AO19" i="11" s="1"/>
  <c r="L19" i="11"/>
  <c r="K19" i="11"/>
  <c r="R19" i="11" s="1"/>
  <c r="Y19" i="11" s="1"/>
  <c r="AF19" i="11" s="1"/>
  <c r="AM19" i="11" s="1"/>
  <c r="J19" i="11"/>
  <c r="AY18" i="11"/>
  <c r="AX18" i="11"/>
  <c r="AW18" i="11"/>
  <c r="AB18" i="11"/>
  <c r="AI18" i="11" s="1"/>
  <c r="AP18" i="11" s="1"/>
  <c r="W18" i="11"/>
  <c r="AD18" i="11" s="1"/>
  <c r="AK18" i="11" s="1"/>
  <c r="AR18" i="11" s="1"/>
  <c r="U18" i="11"/>
  <c r="P18" i="11"/>
  <c r="O18" i="11"/>
  <c r="V18" i="11" s="1"/>
  <c r="AC18" i="11" s="1"/>
  <c r="AJ18" i="11" s="1"/>
  <c r="AQ18" i="11" s="1"/>
  <c r="N18" i="11"/>
  <c r="L18" i="11"/>
  <c r="AU18" i="11" s="1"/>
  <c r="K18" i="11"/>
  <c r="AT18" i="11" s="1"/>
  <c r="J18" i="11"/>
  <c r="AS18" i="11" s="1"/>
  <c r="AU17" i="11"/>
  <c r="AT17" i="11"/>
  <c r="AS17" i="11"/>
  <c r="X17" i="11"/>
  <c r="AE17" i="11" s="1"/>
  <c r="AL17" i="11" s="1"/>
  <c r="S17" i="11"/>
  <c r="Z17" i="11" s="1"/>
  <c r="AG17" i="11" s="1"/>
  <c r="AN17" i="11" s="1"/>
  <c r="Q17" i="11"/>
  <c r="P17" i="11"/>
  <c r="AY17" i="11" s="1"/>
  <c r="O17" i="11"/>
  <c r="AX17" i="11" s="1"/>
  <c r="N17" i="11"/>
  <c r="AW17" i="11" s="1"/>
  <c r="L17" i="11"/>
  <c r="K17" i="11"/>
  <c r="R17" i="11" s="1"/>
  <c r="Y17" i="11" s="1"/>
  <c r="AF17" i="11" s="1"/>
  <c r="AM17" i="11" s="1"/>
  <c r="J17" i="11"/>
  <c r="AY16" i="11"/>
  <c r="AX16" i="11"/>
  <c r="AW16" i="11"/>
  <c r="W16" i="11"/>
  <c r="AD16" i="11" s="1"/>
  <c r="AK16" i="11" s="1"/>
  <c r="AR16" i="11" s="1"/>
  <c r="P16" i="11"/>
  <c r="O16" i="11"/>
  <c r="V16" i="11" s="1"/>
  <c r="AC16" i="11" s="1"/>
  <c r="AJ16" i="11" s="1"/>
  <c r="AQ16" i="11" s="1"/>
  <c r="N16" i="11"/>
  <c r="U16" i="11" s="1"/>
  <c r="AB16" i="11" s="1"/>
  <c r="AI16" i="11" s="1"/>
  <c r="AP16" i="11" s="1"/>
  <c r="L16" i="11"/>
  <c r="AU16" i="11" s="1"/>
  <c r="K16" i="11"/>
  <c r="AT16" i="11" s="1"/>
  <c r="J16" i="11"/>
  <c r="AS16" i="11" s="1"/>
  <c r="AU15" i="11"/>
  <c r="AT15" i="11"/>
  <c r="AS15" i="11"/>
  <c r="AF15" i="11"/>
  <c r="AM15" i="11" s="1"/>
  <c r="S15" i="11"/>
  <c r="Z15" i="11" s="1"/>
  <c r="AG15" i="11" s="1"/>
  <c r="AN15" i="11" s="1"/>
  <c r="P15" i="11"/>
  <c r="O15" i="11"/>
  <c r="AX15" i="11" s="1"/>
  <c r="N15" i="11"/>
  <c r="AW15" i="11" s="1"/>
  <c r="L15" i="11"/>
  <c r="K15" i="11"/>
  <c r="R15" i="11" s="1"/>
  <c r="Y15" i="11" s="1"/>
  <c r="J15" i="11"/>
  <c r="AY14" i="11"/>
  <c r="AX14" i="11"/>
  <c r="AW14" i="11"/>
  <c r="W14" i="11"/>
  <c r="AD14" i="11" s="1"/>
  <c r="AK14" i="11" s="1"/>
  <c r="AR14" i="11" s="1"/>
  <c r="S14" i="11"/>
  <c r="Z14" i="11" s="1"/>
  <c r="AG14" i="11" s="1"/>
  <c r="AN14" i="11" s="1"/>
  <c r="P14" i="11"/>
  <c r="O14" i="11"/>
  <c r="V14" i="11" s="1"/>
  <c r="AC14" i="11" s="1"/>
  <c r="AJ14" i="11" s="1"/>
  <c r="AQ14" i="11" s="1"/>
  <c r="N14" i="11"/>
  <c r="U14" i="11" s="1"/>
  <c r="AB14" i="11" s="1"/>
  <c r="AI14" i="11" s="1"/>
  <c r="AP14" i="11" s="1"/>
  <c r="L14" i="11"/>
  <c r="AU14" i="11" s="1"/>
  <c r="K14" i="11"/>
  <c r="J14" i="11"/>
  <c r="AS14" i="11" s="1"/>
  <c r="AU13" i="11"/>
  <c r="AT13" i="11"/>
  <c r="AS13" i="11"/>
  <c r="AF13" i="11"/>
  <c r="AM13" i="11" s="1"/>
  <c r="S13" i="11"/>
  <c r="Z13" i="11" s="1"/>
  <c r="AG13" i="11" s="1"/>
  <c r="AN13" i="11" s="1"/>
  <c r="P13" i="11"/>
  <c r="AY13" i="11" s="1"/>
  <c r="O13" i="11"/>
  <c r="AX13" i="11" s="1"/>
  <c r="N13" i="11"/>
  <c r="L13" i="11"/>
  <c r="K13" i="11"/>
  <c r="R13" i="11" s="1"/>
  <c r="Y13" i="11" s="1"/>
  <c r="J13" i="11"/>
  <c r="AY12" i="11"/>
  <c r="AX12" i="11"/>
  <c r="AW12" i="11"/>
  <c r="AR12" i="11"/>
  <c r="AA12" i="11"/>
  <c r="AH12" i="11" s="1"/>
  <c r="AO12" i="11" s="1"/>
  <c r="W12" i="11"/>
  <c r="AD12" i="11" s="1"/>
  <c r="AK12" i="11" s="1"/>
  <c r="T12" i="11"/>
  <c r="P12" i="11"/>
  <c r="O12" i="11"/>
  <c r="V12" i="11" s="1"/>
  <c r="AC12" i="11" s="1"/>
  <c r="AJ12" i="11" s="1"/>
  <c r="AQ12" i="11" s="1"/>
  <c r="N12" i="11"/>
  <c r="U12" i="11" s="1"/>
  <c r="AB12" i="11" s="1"/>
  <c r="AI12" i="11" s="1"/>
  <c r="AP12" i="11" s="1"/>
  <c r="M12" i="11"/>
  <c r="AV12" i="11" s="1"/>
  <c r="K12" i="11"/>
  <c r="AT12" i="11" s="1"/>
  <c r="J12" i="11"/>
  <c r="AV11" i="11"/>
  <c r="AT11" i="11"/>
  <c r="AS11" i="11"/>
  <c r="V11" i="11"/>
  <c r="AC11" i="11" s="1"/>
  <c r="AJ11" i="11" s="1"/>
  <c r="AQ11" i="11" s="1"/>
  <c r="P11" i="11"/>
  <c r="AY11" i="11" s="1"/>
  <c r="O11" i="11"/>
  <c r="AX11" i="11" s="1"/>
  <c r="N11" i="11"/>
  <c r="M11" i="11"/>
  <c r="T11" i="11" s="1"/>
  <c r="AA11" i="11" s="1"/>
  <c r="AH11" i="11" s="1"/>
  <c r="AO11" i="11" s="1"/>
  <c r="K11" i="11"/>
  <c r="R11" i="11" s="1"/>
  <c r="Y11" i="11" s="1"/>
  <c r="AF11" i="11" s="1"/>
  <c r="AM11" i="11" s="1"/>
  <c r="J11" i="11"/>
  <c r="AY10" i="11"/>
  <c r="AX10" i="11"/>
  <c r="AW10" i="11"/>
  <c r="AB10" i="11"/>
  <c r="AI10" i="11" s="1"/>
  <c r="AP10" i="11" s="1"/>
  <c r="W10" i="11"/>
  <c r="AD10" i="11" s="1"/>
  <c r="AK10" i="11" s="1"/>
  <c r="AR10" i="11" s="1"/>
  <c r="S10" i="11"/>
  <c r="Z10" i="11" s="1"/>
  <c r="AG10" i="11" s="1"/>
  <c r="AN10" i="11" s="1"/>
  <c r="R10" i="11"/>
  <c r="Y10" i="11" s="1"/>
  <c r="AF10" i="11" s="1"/>
  <c r="AM10" i="11" s="1"/>
  <c r="P10" i="11"/>
  <c r="O10" i="11"/>
  <c r="V10" i="11" s="1"/>
  <c r="AC10" i="11" s="1"/>
  <c r="AJ10" i="11" s="1"/>
  <c r="AQ10" i="11" s="1"/>
  <c r="N10" i="11"/>
  <c r="U10" i="11" s="1"/>
  <c r="L10" i="11"/>
  <c r="AU10" i="11" s="1"/>
  <c r="K10" i="11"/>
  <c r="AT10" i="11" s="1"/>
  <c r="J10" i="11"/>
  <c r="AT9" i="11"/>
  <c r="AS9" i="11"/>
  <c r="AD9" i="11"/>
  <c r="AK9" i="11" s="1"/>
  <c r="AR9" i="11" s="1"/>
  <c r="W9" i="11"/>
  <c r="V9" i="11"/>
  <c r="AC9" i="11" s="1"/>
  <c r="AJ9" i="11" s="1"/>
  <c r="AQ9" i="11" s="1"/>
  <c r="P9" i="11"/>
  <c r="AY9" i="11" s="1"/>
  <c r="O9" i="11"/>
  <c r="AX9" i="11" s="1"/>
  <c r="N9" i="11"/>
  <c r="M9" i="11"/>
  <c r="T9" i="11" s="1"/>
  <c r="AA9" i="11" s="1"/>
  <c r="AH9" i="11" s="1"/>
  <c r="AO9" i="11" s="1"/>
  <c r="K9" i="11"/>
  <c r="R9" i="11" s="1"/>
  <c r="Y9" i="11" s="1"/>
  <c r="AF9" i="11" s="1"/>
  <c r="AM9" i="11" s="1"/>
  <c r="J9" i="11"/>
  <c r="AY8" i="11"/>
  <c r="AX8" i="11"/>
  <c r="AW8" i="11"/>
  <c r="W8" i="11"/>
  <c r="AD8" i="11" s="1"/>
  <c r="AK8" i="11" s="1"/>
  <c r="AR8" i="11" s="1"/>
  <c r="Q8" i="11"/>
  <c r="X8" i="11" s="1"/>
  <c r="AE8" i="11" s="1"/>
  <c r="AL8" i="11" s="1"/>
  <c r="P8" i="11"/>
  <c r="O8" i="11"/>
  <c r="V8" i="11" s="1"/>
  <c r="AC8" i="11" s="1"/>
  <c r="AJ8" i="11" s="1"/>
  <c r="AQ8" i="11" s="1"/>
  <c r="N8" i="11"/>
  <c r="U8" i="11" s="1"/>
  <c r="AB8" i="11" s="1"/>
  <c r="AI8" i="11" s="1"/>
  <c r="AP8" i="11" s="1"/>
  <c r="L8" i="11"/>
  <c r="AU8" i="11" s="1"/>
  <c r="K8" i="11"/>
  <c r="AT8" i="11" s="1"/>
  <c r="J8" i="11"/>
  <c r="AS8" i="11" s="1"/>
  <c r="AU7" i="11"/>
  <c r="AT7" i="11"/>
  <c r="AS7" i="11"/>
  <c r="AN7" i="11"/>
  <c r="AM7" i="11"/>
  <c r="AF7" i="11"/>
  <c r="AD7" i="11"/>
  <c r="AK7" i="11" s="1"/>
  <c r="AR7" i="11" s="1"/>
  <c r="W7" i="11"/>
  <c r="S7" i="11"/>
  <c r="Z7" i="11" s="1"/>
  <c r="AG7" i="11" s="1"/>
  <c r="P7" i="11"/>
  <c r="AY7" i="11" s="1"/>
  <c r="O7" i="11"/>
  <c r="AX7" i="11" s="1"/>
  <c r="N7" i="11"/>
  <c r="AW7" i="11" s="1"/>
  <c r="L7" i="11"/>
  <c r="K7" i="11"/>
  <c r="R7" i="11" s="1"/>
  <c r="Y7" i="11" s="1"/>
  <c r="J7" i="11"/>
  <c r="AY6" i="11"/>
  <c r="AX6" i="11"/>
  <c r="AW6" i="11"/>
  <c r="AV6" i="11"/>
  <c r="AR6" i="11"/>
  <c r="AJ6" i="11"/>
  <c r="AQ6" i="11" s="1"/>
  <c r="AI6" i="11"/>
  <c r="AP6" i="11" s="1"/>
  <c r="AB6" i="11"/>
  <c r="W6" i="11"/>
  <c r="AD6" i="11" s="1"/>
  <c r="AK6" i="11" s="1"/>
  <c r="T6" i="11"/>
  <c r="AA6" i="11" s="1"/>
  <c r="AH6" i="11" s="1"/>
  <c r="AO6" i="11" s="1"/>
  <c r="R6" i="11"/>
  <c r="Y6" i="11" s="1"/>
  <c r="AF6" i="11" s="1"/>
  <c r="AM6" i="11" s="1"/>
  <c r="P6" i="11"/>
  <c r="O6" i="11"/>
  <c r="V6" i="11" s="1"/>
  <c r="AC6" i="11" s="1"/>
  <c r="N6" i="11"/>
  <c r="U6" i="11" s="1"/>
  <c r="M6" i="11"/>
  <c r="L6" i="11"/>
  <c r="AU6" i="11" s="1"/>
  <c r="K6" i="11"/>
  <c r="AT6" i="11" s="1"/>
  <c r="J6" i="11"/>
  <c r="AS6" i="11" s="1"/>
  <c r="AT5" i="11"/>
  <c r="AS5" i="11"/>
  <c r="AM5" i="11"/>
  <c r="AF5" i="11"/>
  <c r="AA5" i="11"/>
  <c r="AH5" i="11" s="1"/>
  <c r="AO5" i="11" s="1"/>
  <c r="P5" i="11"/>
  <c r="AY5" i="11" s="1"/>
  <c r="O5" i="11"/>
  <c r="AX5" i="11" s="1"/>
  <c r="N5" i="11"/>
  <c r="AW5" i="11" s="1"/>
  <c r="M5" i="11"/>
  <c r="T5" i="11" s="1"/>
  <c r="K5" i="11"/>
  <c r="R5" i="11" s="1"/>
  <c r="Y5" i="11" s="1"/>
  <c r="J5" i="11"/>
  <c r="AY4" i="11"/>
  <c r="AW4" i="11"/>
  <c r="W4" i="11"/>
  <c r="AD4" i="11" s="1"/>
  <c r="AK4" i="11" s="1"/>
  <c r="AR4" i="11" s="1"/>
  <c r="P4" i="11"/>
  <c r="O4" i="11"/>
  <c r="V4" i="11" s="1"/>
  <c r="AC4" i="11" s="1"/>
  <c r="AJ4" i="11" s="1"/>
  <c r="AQ4" i="11" s="1"/>
  <c r="N4" i="11"/>
  <c r="U4" i="11" s="1"/>
  <c r="AB4" i="11" s="1"/>
  <c r="AI4" i="11" s="1"/>
  <c r="AP4" i="11" s="1"/>
  <c r="L4" i="11"/>
  <c r="S4" i="11" s="1"/>
  <c r="Z4" i="11" s="1"/>
  <c r="AG4" i="11" s="1"/>
  <c r="AN4" i="11" s="1"/>
  <c r="K4" i="11"/>
  <c r="AT4" i="11" s="1"/>
  <c r="J4" i="11"/>
  <c r="AS4" i="11" s="1"/>
  <c r="AS3" i="11"/>
  <c r="AI3" i="11"/>
  <c r="AP3" i="11" s="1"/>
  <c r="AE3" i="11"/>
  <c r="AL3" i="11" s="1"/>
  <c r="AD3" i="11"/>
  <c r="AK3" i="11" s="1"/>
  <c r="AR3" i="11" s="1"/>
  <c r="X3" i="11"/>
  <c r="W3" i="11"/>
  <c r="V3" i="11"/>
  <c r="AC3" i="11" s="1"/>
  <c r="AJ3" i="11" s="1"/>
  <c r="AQ3" i="11" s="1"/>
  <c r="U3" i="11"/>
  <c r="AB3" i="11" s="1"/>
  <c r="S3" i="11"/>
  <c r="Z3" i="11" s="1"/>
  <c r="AG3" i="11" s="1"/>
  <c r="AN3" i="11" s="1"/>
  <c r="Q3" i="11"/>
  <c r="P3" i="11"/>
  <c r="AY3" i="11" s="1"/>
  <c r="O3" i="11"/>
  <c r="AX3" i="11" s="1"/>
  <c r="N3" i="11"/>
  <c r="AW3" i="11" s="1"/>
  <c r="AG211" i="10"/>
  <c r="AN211" i="10" s="1"/>
  <c r="AF211" i="10"/>
  <c r="AM211" i="10" s="1"/>
  <c r="Z211" i="10"/>
  <c r="Y211" i="10"/>
  <c r="X211" i="10"/>
  <c r="AE211" i="10" s="1"/>
  <c r="AL211" i="10" s="1"/>
  <c r="W211" i="10"/>
  <c r="AD211" i="10" s="1"/>
  <c r="AK211" i="10" s="1"/>
  <c r="AR211" i="10" s="1"/>
  <c r="R211" i="10"/>
  <c r="Q211" i="10"/>
  <c r="P211" i="10"/>
  <c r="O211" i="10"/>
  <c r="V211" i="10" s="1"/>
  <c r="AC211" i="10" s="1"/>
  <c r="AJ211" i="10" s="1"/>
  <c r="AQ211" i="10" s="1"/>
  <c r="N211" i="10"/>
  <c r="U211" i="10" s="1"/>
  <c r="AB211" i="10" s="1"/>
  <c r="AI211" i="10" s="1"/>
  <c r="AP211" i="10" s="1"/>
  <c r="L211" i="10"/>
  <c r="S211" i="10" s="1"/>
  <c r="K211" i="10"/>
  <c r="J211" i="10"/>
  <c r="I211" i="10"/>
  <c r="AA210" i="10"/>
  <c r="AH210" i="10" s="1"/>
  <c r="AO210" i="10" s="1"/>
  <c r="T210" i="10"/>
  <c r="R210" i="10"/>
  <c r="Y210" i="10" s="1"/>
  <c r="AF210" i="10" s="1"/>
  <c r="AM210" i="10" s="1"/>
  <c r="P210" i="10"/>
  <c r="W210" i="10" s="1"/>
  <c r="AD210" i="10" s="1"/>
  <c r="AK210" i="10" s="1"/>
  <c r="AR210" i="10" s="1"/>
  <c r="O210" i="10"/>
  <c r="V210" i="10" s="1"/>
  <c r="AC210" i="10" s="1"/>
  <c r="AJ210" i="10" s="1"/>
  <c r="AQ210" i="10" s="1"/>
  <c r="N210" i="10"/>
  <c r="U210" i="10" s="1"/>
  <c r="AB210" i="10" s="1"/>
  <c r="AI210" i="10" s="1"/>
  <c r="AP210" i="10" s="1"/>
  <c r="M210" i="10"/>
  <c r="K210" i="10"/>
  <c r="J210" i="10"/>
  <c r="Q210" i="10" s="1"/>
  <c r="X210" i="10" s="1"/>
  <c r="AE210" i="10" s="1"/>
  <c r="AL210" i="10" s="1"/>
  <c r="I210" i="10"/>
  <c r="AK209" i="10"/>
  <c r="AR209" i="10" s="1"/>
  <c r="AD209" i="10"/>
  <c r="AC209" i="10"/>
  <c r="AJ209" i="10" s="1"/>
  <c r="AQ209" i="10" s="1"/>
  <c r="AB209" i="10"/>
  <c r="AI209" i="10" s="1"/>
  <c r="AP209" i="10" s="1"/>
  <c r="V209" i="10"/>
  <c r="U209" i="10"/>
  <c r="S209" i="10"/>
  <c r="Z209" i="10" s="1"/>
  <c r="AG209" i="10" s="1"/>
  <c r="AN209" i="10" s="1"/>
  <c r="P209" i="10"/>
  <c r="W209" i="10" s="1"/>
  <c r="O209" i="10"/>
  <c r="N209" i="10"/>
  <c r="L209" i="10"/>
  <c r="K209" i="10"/>
  <c r="R209" i="10" s="1"/>
  <c r="Y209" i="10" s="1"/>
  <c r="AF209" i="10" s="1"/>
  <c r="AM209" i="10" s="1"/>
  <c r="J209" i="10"/>
  <c r="Q209" i="10" s="1"/>
  <c r="X209" i="10" s="1"/>
  <c r="AE209" i="10" s="1"/>
  <c r="AL209" i="10" s="1"/>
  <c r="I209" i="10"/>
  <c r="S208" i="10"/>
  <c r="Z208" i="10" s="1"/>
  <c r="AG208" i="10" s="1"/>
  <c r="AN208" i="10" s="1"/>
  <c r="Q208" i="10"/>
  <c r="X208" i="10" s="1"/>
  <c r="AE208" i="10" s="1"/>
  <c r="AL208" i="10" s="1"/>
  <c r="P208" i="10"/>
  <c r="W208" i="10" s="1"/>
  <c r="AD208" i="10" s="1"/>
  <c r="AK208" i="10" s="1"/>
  <c r="AR208" i="10" s="1"/>
  <c r="O208" i="10"/>
  <c r="V208" i="10" s="1"/>
  <c r="AC208" i="10" s="1"/>
  <c r="AJ208" i="10" s="1"/>
  <c r="AQ208" i="10" s="1"/>
  <c r="N208" i="10"/>
  <c r="U208" i="10" s="1"/>
  <c r="AB208" i="10" s="1"/>
  <c r="AI208" i="10" s="1"/>
  <c r="AP208" i="10" s="1"/>
  <c r="L208" i="10"/>
  <c r="K208" i="10"/>
  <c r="R208" i="10" s="1"/>
  <c r="Y208" i="10" s="1"/>
  <c r="AF208" i="10" s="1"/>
  <c r="AM208" i="10" s="1"/>
  <c r="J208" i="10"/>
  <c r="I208" i="10"/>
  <c r="Y207" i="10"/>
  <c r="AF207" i="10" s="1"/>
  <c r="AM207" i="10" s="1"/>
  <c r="W207" i="10"/>
  <c r="AD207" i="10" s="1"/>
  <c r="AK207" i="10" s="1"/>
  <c r="AR207" i="10" s="1"/>
  <c r="R207" i="10"/>
  <c r="Q207" i="10"/>
  <c r="X207" i="10" s="1"/>
  <c r="AE207" i="10" s="1"/>
  <c r="AL207" i="10" s="1"/>
  <c r="P207" i="10"/>
  <c r="O207" i="10"/>
  <c r="V207" i="10" s="1"/>
  <c r="AC207" i="10" s="1"/>
  <c r="AJ207" i="10" s="1"/>
  <c r="AQ207" i="10" s="1"/>
  <c r="N207" i="10"/>
  <c r="U207" i="10" s="1"/>
  <c r="AB207" i="10" s="1"/>
  <c r="AI207" i="10" s="1"/>
  <c r="AP207" i="10" s="1"/>
  <c r="L207" i="10"/>
  <c r="S207" i="10" s="1"/>
  <c r="Z207" i="10" s="1"/>
  <c r="AG207" i="10" s="1"/>
  <c r="AN207" i="10" s="1"/>
  <c r="K207" i="10"/>
  <c r="J207" i="10"/>
  <c r="I207" i="10"/>
  <c r="W206" i="10"/>
  <c r="AD206" i="10" s="1"/>
  <c r="AK206" i="10" s="1"/>
  <c r="AR206" i="10" s="1"/>
  <c r="U206" i="10"/>
  <c r="AB206" i="10" s="1"/>
  <c r="AI206" i="10" s="1"/>
  <c r="AP206" i="10" s="1"/>
  <c r="P206" i="10"/>
  <c r="O206" i="10"/>
  <c r="V206" i="10" s="1"/>
  <c r="AC206" i="10" s="1"/>
  <c r="AJ206" i="10" s="1"/>
  <c r="AQ206" i="10" s="1"/>
  <c r="N206" i="10"/>
  <c r="L206" i="10"/>
  <c r="S206" i="10" s="1"/>
  <c r="Z206" i="10" s="1"/>
  <c r="AG206" i="10" s="1"/>
  <c r="AN206" i="10" s="1"/>
  <c r="K206" i="10"/>
  <c r="R206" i="10" s="1"/>
  <c r="Y206" i="10" s="1"/>
  <c r="AF206" i="10" s="1"/>
  <c r="AM206" i="10" s="1"/>
  <c r="J206" i="10"/>
  <c r="Q206" i="10" s="1"/>
  <c r="X206" i="10" s="1"/>
  <c r="AE206" i="10" s="1"/>
  <c r="AL206" i="10" s="1"/>
  <c r="I206" i="10"/>
  <c r="AC205" i="10"/>
  <c r="AJ205" i="10" s="1"/>
  <c r="AQ205" i="10" s="1"/>
  <c r="V205" i="10"/>
  <c r="U205" i="10"/>
  <c r="AB205" i="10" s="1"/>
  <c r="AI205" i="10" s="1"/>
  <c r="AP205" i="10" s="1"/>
  <c r="S205" i="10"/>
  <c r="Z205" i="10" s="1"/>
  <c r="AG205" i="10" s="1"/>
  <c r="AN205" i="10" s="1"/>
  <c r="P205" i="10"/>
  <c r="W205" i="10" s="1"/>
  <c r="AD205" i="10" s="1"/>
  <c r="AK205" i="10" s="1"/>
  <c r="AR205" i="10" s="1"/>
  <c r="O205" i="10"/>
  <c r="N205" i="10"/>
  <c r="L205" i="10"/>
  <c r="K205" i="10"/>
  <c r="J205" i="10"/>
  <c r="Q205" i="10" s="1"/>
  <c r="X205" i="10" s="1"/>
  <c r="AE205" i="10" s="1"/>
  <c r="AL205" i="10" s="1"/>
  <c r="I205" i="10"/>
  <c r="S204" i="10"/>
  <c r="Z204" i="10" s="1"/>
  <c r="AG204" i="10" s="1"/>
  <c r="AN204" i="10" s="1"/>
  <c r="Q204" i="10"/>
  <c r="X204" i="10" s="1"/>
  <c r="AE204" i="10" s="1"/>
  <c r="AL204" i="10" s="1"/>
  <c r="P204" i="10"/>
  <c r="W204" i="10" s="1"/>
  <c r="AD204" i="10" s="1"/>
  <c r="AK204" i="10" s="1"/>
  <c r="AR204" i="10" s="1"/>
  <c r="O204" i="10"/>
  <c r="V204" i="10" s="1"/>
  <c r="AC204" i="10" s="1"/>
  <c r="AJ204" i="10" s="1"/>
  <c r="AQ204" i="10" s="1"/>
  <c r="N204" i="10"/>
  <c r="U204" i="10" s="1"/>
  <c r="AB204" i="10" s="1"/>
  <c r="AI204" i="10" s="1"/>
  <c r="AP204" i="10" s="1"/>
  <c r="L204" i="10"/>
  <c r="K204" i="10"/>
  <c r="R204" i="10" s="1"/>
  <c r="Y204" i="10" s="1"/>
  <c r="AF204" i="10" s="1"/>
  <c r="AM204" i="10" s="1"/>
  <c r="J204" i="10"/>
  <c r="I204" i="10"/>
  <c r="Y203" i="10"/>
  <c r="AF203" i="10" s="1"/>
  <c r="AM203" i="10" s="1"/>
  <c r="W203" i="10"/>
  <c r="AD203" i="10" s="1"/>
  <c r="AK203" i="10" s="1"/>
  <c r="AR203" i="10" s="1"/>
  <c r="R203" i="10"/>
  <c r="Q203" i="10"/>
  <c r="X203" i="10" s="1"/>
  <c r="AE203" i="10" s="1"/>
  <c r="AL203" i="10" s="1"/>
  <c r="P203" i="10"/>
  <c r="O203" i="10"/>
  <c r="V203" i="10" s="1"/>
  <c r="AC203" i="10" s="1"/>
  <c r="AJ203" i="10" s="1"/>
  <c r="AQ203" i="10" s="1"/>
  <c r="N203" i="10"/>
  <c r="U203" i="10" s="1"/>
  <c r="AB203" i="10" s="1"/>
  <c r="AI203" i="10" s="1"/>
  <c r="AP203" i="10" s="1"/>
  <c r="M203" i="10"/>
  <c r="T203" i="10" s="1"/>
  <c r="AA203" i="10" s="1"/>
  <c r="AH203" i="10" s="1"/>
  <c r="AO203" i="10" s="1"/>
  <c r="K203" i="10"/>
  <c r="J203" i="10"/>
  <c r="I203" i="10"/>
  <c r="W202" i="10"/>
  <c r="AD202" i="10" s="1"/>
  <c r="AK202" i="10" s="1"/>
  <c r="AR202" i="10" s="1"/>
  <c r="U202" i="10"/>
  <c r="AB202" i="10" s="1"/>
  <c r="AI202" i="10" s="1"/>
  <c r="AP202" i="10" s="1"/>
  <c r="P202" i="10"/>
  <c r="O202" i="10"/>
  <c r="V202" i="10" s="1"/>
  <c r="AC202" i="10" s="1"/>
  <c r="AJ202" i="10" s="1"/>
  <c r="AQ202" i="10" s="1"/>
  <c r="N202" i="10"/>
  <c r="L202" i="10"/>
  <c r="S202" i="10" s="1"/>
  <c r="Z202" i="10" s="1"/>
  <c r="AG202" i="10" s="1"/>
  <c r="AN202" i="10" s="1"/>
  <c r="K202" i="10"/>
  <c r="R202" i="10" s="1"/>
  <c r="Y202" i="10" s="1"/>
  <c r="AF202" i="10" s="1"/>
  <c r="AM202" i="10" s="1"/>
  <c r="J202" i="10"/>
  <c r="Q202" i="10" s="1"/>
  <c r="X202" i="10" s="1"/>
  <c r="AE202" i="10" s="1"/>
  <c r="AL202" i="10" s="1"/>
  <c r="I202" i="10"/>
  <c r="AC201" i="10"/>
  <c r="AJ201" i="10" s="1"/>
  <c r="AQ201" i="10" s="1"/>
  <c r="V201" i="10"/>
  <c r="U201" i="10"/>
  <c r="AB201" i="10" s="1"/>
  <c r="AI201" i="10" s="1"/>
  <c r="AP201" i="10" s="1"/>
  <c r="S201" i="10"/>
  <c r="Z201" i="10" s="1"/>
  <c r="AG201" i="10" s="1"/>
  <c r="AN201" i="10" s="1"/>
  <c r="P201" i="10"/>
  <c r="W201" i="10" s="1"/>
  <c r="AD201" i="10" s="1"/>
  <c r="AK201" i="10" s="1"/>
  <c r="AR201" i="10" s="1"/>
  <c r="O201" i="10"/>
  <c r="N201" i="10"/>
  <c r="L201" i="10"/>
  <c r="K201" i="10"/>
  <c r="J201" i="10"/>
  <c r="Q201" i="10" s="1"/>
  <c r="X201" i="10" s="1"/>
  <c r="AE201" i="10" s="1"/>
  <c r="AL201" i="10" s="1"/>
  <c r="I201" i="10"/>
  <c r="AA200" i="10"/>
  <c r="AH200" i="10" s="1"/>
  <c r="AO200" i="10" s="1"/>
  <c r="T200" i="10"/>
  <c r="Q200" i="10"/>
  <c r="X200" i="10" s="1"/>
  <c r="AE200" i="10" s="1"/>
  <c r="AL200" i="10" s="1"/>
  <c r="P200" i="10"/>
  <c r="W200" i="10" s="1"/>
  <c r="AD200" i="10" s="1"/>
  <c r="AK200" i="10" s="1"/>
  <c r="AR200" i="10" s="1"/>
  <c r="O200" i="10"/>
  <c r="V200" i="10" s="1"/>
  <c r="AC200" i="10" s="1"/>
  <c r="AJ200" i="10" s="1"/>
  <c r="AQ200" i="10" s="1"/>
  <c r="N200" i="10"/>
  <c r="U200" i="10" s="1"/>
  <c r="AB200" i="10" s="1"/>
  <c r="AI200" i="10" s="1"/>
  <c r="AP200" i="10" s="1"/>
  <c r="M200" i="10"/>
  <c r="K200" i="10"/>
  <c r="R200" i="10" s="1"/>
  <c r="Y200" i="10" s="1"/>
  <c r="AF200" i="10" s="1"/>
  <c r="AM200" i="10" s="1"/>
  <c r="J200" i="10"/>
  <c r="I200" i="10"/>
  <c r="Y199" i="10"/>
  <c r="AF199" i="10" s="1"/>
  <c r="AM199" i="10" s="1"/>
  <c r="W199" i="10"/>
  <c r="AD199" i="10" s="1"/>
  <c r="AK199" i="10" s="1"/>
  <c r="AR199" i="10" s="1"/>
  <c r="R199" i="10"/>
  <c r="Q199" i="10"/>
  <c r="X199" i="10" s="1"/>
  <c r="AE199" i="10" s="1"/>
  <c r="AL199" i="10" s="1"/>
  <c r="P199" i="10"/>
  <c r="O199" i="10"/>
  <c r="V199" i="10" s="1"/>
  <c r="AC199" i="10" s="1"/>
  <c r="AJ199" i="10" s="1"/>
  <c r="AQ199" i="10" s="1"/>
  <c r="N199" i="10"/>
  <c r="U199" i="10" s="1"/>
  <c r="AB199" i="10" s="1"/>
  <c r="AI199" i="10" s="1"/>
  <c r="AP199" i="10" s="1"/>
  <c r="M199" i="10"/>
  <c r="T199" i="10" s="1"/>
  <c r="AA199" i="10" s="1"/>
  <c r="AH199" i="10" s="1"/>
  <c r="AO199" i="10" s="1"/>
  <c r="K199" i="10"/>
  <c r="J199" i="10"/>
  <c r="I199" i="10"/>
  <c r="W198" i="10"/>
  <c r="AD198" i="10" s="1"/>
  <c r="AK198" i="10" s="1"/>
  <c r="AR198" i="10" s="1"/>
  <c r="U198" i="10"/>
  <c r="AB198" i="10" s="1"/>
  <c r="AI198" i="10" s="1"/>
  <c r="AP198" i="10" s="1"/>
  <c r="P198" i="10"/>
  <c r="O198" i="10"/>
  <c r="V198" i="10" s="1"/>
  <c r="AC198" i="10" s="1"/>
  <c r="AJ198" i="10" s="1"/>
  <c r="AQ198" i="10" s="1"/>
  <c r="N198" i="10"/>
  <c r="M198" i="10"/>
  <c r="T198" i="10" s="1"/>
  <c r="AA198" i="10" s="1"/>
  <c r="AH198" i="10" s="1"/>
  <c r="AO198" i="10" s="1"/>
  <c r="K198" i="10"/>
  <c r="R198" i="10" s="1"/>
  <c r="Y198" i="10" s="1"/>
  <c r="AF198" i="10" s="1"/>
  <c r="AM198" i="10" s="1"/>
  <c r="J198" i="10"/>
  <c r="Q198" i="10" s="1"/>
  <c r="X198" i="10" s="1"/>
  <c r="AE198" i="10" s="1"/>
  <c r="AL198" i="10" s="1"/>
  <c r="I198" i="10"/>
  <c r="AC197" i="10"/>
  <c r="AJ197" i="10" s="1"/>
  <c r="AQ197" i="10" s="1"/>
  <c r="V197" i="10"/>
  <c r="U197" i="10"/>
  <c r="AB197" i="10" s="1"/>
  <c r="AI197" i="10" s="1"/>
  <c r="AP197" i="10" s="1"/>
  <c r="P197" i="10"/>
  <c r="W197" i="10" s="1"/>
  <c r="AD197" i="10" s="1"/>
  <c r="AK197" i="10" s="1"/>
  <c r="AR197" i="10" s="1"/>
  <c r="O197" i="10"/>
  <c r="N197" i="10"/>
  <c r="M197" i="10"/>
  <c r="T197" i="10" s="1"/>
  <c r="AA197" i="10" s="1"/>
  <c r="AH197" i="10" s="1"/>
  <c r="AO197" i="10" s="1"/>
  <c r="K197" i="10"/>
  <c r="J197" i="10"/>
  <c r="Q197" i="10" s="1"/>
  <c r="X197" i="10" s="1"/>
  <c r="AE197" i="10" s="1"/>
  <c r="AL197" i="10" s="1"/>
  <c r="I197" i="10"/>
  <c r="AA196" i="10"/>
  <c r="AH196" i="10" s="1"/>
  <c r="AO196" i="10" s="1"/>
  <c r="T196" i="10"/>
  <c r="Q196" i="10"/>
  <c r="X196" i="10" s="1"/>
  <c r="AE196" i="10" s="1"/>
  <c r="AL196" i="10" s="1"/>
  <c r="P196" i="10"/>
  <c r="W196" i="10" s="1"/>
  <c r="AD196" i="10" s="1"/>
  <c r="AK196" i="10" s="1"/>
  <c r="AR196" i="10" s="1"/>
  <c r="O196" i="10"/>
  <c r="V196" i="10" s="1"/>
  <c r="AC196" i="10" s="1"/>
  <c r="AJ196" i="10" s="1"/>
  <c r="AQ196" i="10" s="1"/>
  <c r="N196" i="10"/>
  <c r="U196" i="10" s="1"/>
  <c r="AB196" i="10" s="1"/>
  <c r="AI196" i="10" s="1"/>
  <c r="AP196" i="10" s="1"/>
  <c r="M196" i="10"/>
  <c r="K196" i="10"/>
  <c r="R196" i="10" s="1"/>
  <c r="Y196" i="10" s="1"/>
  <c r="AF196" i="10" s="1"/>
  <c r="AM196" i="10" s="1"/>
  <c r="J196" i="10"/>
  <c r="I196" i="10"/>
  <c r="AM195" i="10"/>
  <c r="Y195" i="10"/>
  <c r="AF195" i="10" s="1"/>
  <c r="W195" i="10"/>
  <c r="AD195" i="10" s="1"/>
  <c r="AK195" i="10" s="1"/>
  <c r="AR195" i="10" s="1"/>
  <c r="R195" i="10"/>
  <c r="P195" i="10"/>
  <c r="O195" i="10"/>
  <c r="V195" i="10" s="1"/>
  <c r="AC195" i="10" s="1"/>
  <c r="AJ195" i="10" s="1"/>
  <c r="AQ195" i="10" s="1"/>
  <c r="N195" i="10"/>
  <c r="U195" i="10" s="1"/>
  <c r="AB195" i="10" s="1"/>
  <c r="AI195" i="10" s="1"/>
  <c r="AP195" i="10" s="1"/>
  <c r="M195" i="10"/>
  <c r="T195" i="10" s="1"/>
  <c r="AA195" i="10" s="1"/>
  <c r="AH195" i="10" s="1"/>
  <c r="AO195" i="10" s="1"/>
  <c r="L195" i="10"/>
  <c r="S195" i="10" s="1"/>
  <c r="Z195" i="10" s="1"/>
  <c r="AG195" i="10" s="1"/>
  <c r="AN195" i="10" s="1"/>
  <c r="K195" i="10"/>
  <c r="I195" i="10"/>
  <c r="W194" i="10"/>
  <c r="AD194" i="10" s="1"/>
  <c r="AK194" i="10" s="1"/>
  <c r="AR194" i="10" s="1"/>
  <c r="U194" i="10"/>
  <c r="AB194" i="10" s="1"/>
  <c r="AI194" i="10" s="1"/>
  <c r="AP194" i="10" s="1"/>
  <c r="P194" i="10"/>
  <c r="O194" i="10"/>
  <c r="V194" i="10" s="1"/>
  <c r="AC194" i="10" s="1"/>
  <c r="AJ194" i="10" s="1"/>
  <c r="AQ194" i="10" s="1"/>
  <c r="N194" i="10"/>
  <c r="M194" i="10"/>
  <c r="T194" i="10" s="1"/>
  <c r="AA194" i="10" s="1"/>
  <c r="AH194" i="10" s="1"/>
  <c r="AO194" i="10" s="1"/>
  <c r="L194" i="10"/>
  <c r="S194" i="10" s="1"/>
  <c r="Z194" i="10" s="1"/>
  <c r="AG194" i="10" s="1"/>
  <c r="AN194" i="10" s="1"/>
  <c r="K194" i="10"/>
  <c r="R194" i="10" s="1"/>
  <c r="Y194" i="10" s="1"/>
  <c r="AF194" i="10" s="1"/>
  <c r="AM194" i="10" s="1"/>
  <c r="I194" i="10"/>
  <c r="AQ193" i="10"/>
  <c r="AI193" i="10"/>
  <c r="AP193" i="10" s="1"/>
  <c r="AC193" i="10"/>
  <c r="AJ193" i="10" s="1"/>
  <c r="V193" i="10"/>
  <c r="U193" i="10"/>
  <c r="AB193" i="10" s="1"/>
  <c r="S193" i="10"/>
  <c r="Z193" i="10" s="1"/>
  <c r="AG193" i="10" s="1"/>
  <c r="AN193" i="10" s="1"/>
  <c r="P193" i="10"/>
  <c r="W193" i="10" s="1"/>
  <c r="AD193" i="10" s="1"/>
  <c r="AK193" i="10" s="1"/>
  <c r="AR193" i="10" s="1"/>
  <c r="O193" i="10"/>
  <c r="N193" i="10"/>
  <c r="L193" i="10"/>
  <c r="K193" i="10"/>
  <c r="J193" i="10"/>
  <c r="Q193" i="10" s="1"/>
  <c r="X193" i="10" s="1"/>
  <c r="AE193" i="10" s="1"/>
  <c r="AL193" i="10" s="1"/>
  <c r="I193" i="10"/>
  <c r="AG192" i="10"/>
  <c r="AN192" i="10" s="1"/>
  <c r="S192" i="10"/>
  <c r="Z192" i="10" s="1"/>
  <c r="Q192" i="10"/>
  <c r="X192" i="10" s="1"/>
  <c r="AE192" i="10" s="1"/>
  <c r="AL192" i="10" s="1"/>
  <c r="P192" i="10"/>
  <c r="W192" i="10" s="1"/>
  <c r="AD192" i="10" s="1"/>
  <c r="AK192" i="10" s="1"/>
  <c r="AR192" i="10" s="1"/>
  <c r="O192" i="10"/>
  <c r="V192" i="10" s="1"/>
  <c r="AC192" i="10" s="1"/>
  <c r="AJ192" i="10" s="1"/>
  <c r="AQ192" i="10" s="1"/>
  <c r="N192" i="10"/>
  <c r="U192" i="10" s="1"/>
  <c r="AB192" i="10" s="1"/>
  <c r="AI192" i="10" s="1"/>
  <c r="AP192" i="10" s="1"/>
  <c r="L192" i="10"/>
  <c r="K192" i="10"/>
  <c r="R192" i="10" s="1"/>
  <c r="Y192" i="10" s="1"/>
  <c r="AF192" i="10" s="1"/>
  <c r="AM192" i="10" s="1"/>
  <c r="J192" i="10"/>
  <c r="I192" i="10"/>
  <c r="AE191" i="10"/>
  <c r="AL191" i="10" s="1"/>
  <c r="Y191" i="10"/>
  <c r="AF191" i="10" s="1"/>
  <c r="AM191" i="10" s="1"/>
  <c r="W191" i="10"/>
  <c r="AD191" i="10" s="1"/>
  <c r="AK191" i="10" s="1"/>
  <c r="AR191" i="10" s="1"/>
  <c r="R191" i="10"/>
  <c r="Q191" i="10"/>
  <c r="X191" i="10" s="1"/>
  <c r="P191" i="10"/>
  <c r="O191" i="10"/>
  <c r="V191" i="10" s="1"/>
  <c r="AC191" i="10" s="1"/>
  <c r="AJ191" i="10" s="1"/>
  <c r="AQ191" i="10" s="1"/>
  <c r="N191" i="10"/>
  <c r="U191" i="10" s="1"/>
  <c r="AB191" i="10" s="1"/>
  <c r="AI191" i="10" s="1"/>
  <c r="AP191" i="10" s="1"/>
  <c r="M191" i="10"/>
  <c r="T191" i="10" s="1"/>
  <c r="AA191" i="10" s="1"/>
  <c r="AH191" i="10" s="1"/>
  <c r="AO191" i="10" s="1"/>
  <c r="K191" i="10"/>
  <c r="J191" i="10"/>
  <c r="I191" i="10"/>
  <c r="AL190" i="10"/>
  <c r="AE190" i="10"/>
  <c r="AD190" i="10"/>
  <c r="AK190" i="10" s="1"/>
  <c r="AR190" i="10" s="1"/>
  <c r="W190" i="10"/>
  <c r="P190" i="10"/>
  <c r="O190" i="10"/>
  <c r="V190" i="10" s="1"/>
  <c r="AC190" i="10" s="1"/>
  <c r="AJ190" i="10" s="1"/>
  <c r="AQ190" i="10" s="1"/>
  <c r="N190" i="10"/>
  <c r="U190" i="10" s="1"/>
  <c r="AB190" i="10" s="1"/>
  <c r="AI190" i="10" s="1"/>
  <c r="AP190" i="10" s="1"/>
  <c r="M190" i="10"/>
  <c r="T190" i="10" s="1"/>
  <c r="AA190" i="10" s="1"/>
  <c r="AH190" i="10" s="1"/>
  <c r="AO190" i="10" s="1"/>
  <c r="L190" i="10"/>
  <c r="S190" i="10" s="1"/>
  <c r="Z190" i="10" s="1"/>
  <c r="AG190" i="10" s="1"/>
  <c r="AN190" i="10" s="1"/>
  <c r="J190" i="10"/>
  <c r="Q190" i="10" s="1"/>
  <c r="X190" i="10" s="1"/>
  <c r="I190" i="10"/>
  <c r="AK189" i="10"/>
  <c r="AR189" i="10" s="1"/>
  <c r="AJ189" i="10"/>
  <c r="AQ189" i="10" s="1"/>
  <c r="AC189" i="10"/>
  <c r="V189" i="10"/>
  <c r="U189" i="10"/>
  <c r="AB189" i="10" s="1"/>
  <c r="AI189" i="10" s="1"/>
  <c r="AP189" i="10" s="1"/>
  <c r="T189" i="10"/>
  <c r="AA189" i="10" s="1"/>
  <c r="AH189" i="10" s="1"/>
  <c r="AO189" i="10" s="1"/>
  <c r="S189" i="10"/>
  <c r="Z189" i="10" s="1"/>
  <c r="AG189" i="10" s="1"/>
  <c r="AN189" i="10" s="1"/>
  <c r="P189" i="10"/>
  <c r="W189" i="10" s="1"/>
  <c r="AD189" i="10" s="1"/>
  <c r="O189" i="10"/>
  <c r="N189" i="10"/>
  <c r="M189" i="10"/>
  <c r="L189" i="10"/>
  <c r="J189" i="10"/>
  <c r="Q189" i="10" s="1"/>
  <c r="X189" i="10" s="1"/>
  <c r="AE189" i="10" s="1"/>
  <c r="AL189" i="10" s="1"/>
  <c r="I189" i="10"/>
  <c r="AI188" i="10"/>
  <c r="AP188" i="10" s="1"/>
  <c r="V188" i="10"/>
  <c r="AC188" i="10" s="1"/>
  <c r="AJ188" i="10" s="1"/>
  <c r="AQ188" i="10" s="1"/>
  <c r="S188" i="10"/>
  <c r="Z188" i="10" s="1"/>
  <c r="AG188" i="10" s="1"/>
  <c r="AN188" i="10" s="1"/>
  <c r="P188" i="10"/>
  <c r="W188" i="10" s="1"/>
  <c r="AD188" i="10" s="1"/>
  <c r="AK188" i="10" s="1"/>
  <c r="AR188" i="10" s="1"/>
  <c r="O188" i="10"/>
  <c r="N188" i="10"/>
  <c r="U188" i="10" s="1"/>
  <c r="AB188" i="10" s="1"/>
  <c r="L188" i="10"/>
  <c r="K188" i="10"/>
  <c r="R188" i="10" s="1"/>
  <c r="Y188" i="10" s="1"/>
  <c r="AF188" i="10" s="1"/>
  <c r="AM188" i="10" s="1"/>
  <c r="J188" i="10"/>
  <c r="Q188" i="10" s="1"/>
  <c r="X188" i="10" s="1"/>
  <c r="AE188" i="10" s="1"/>
  <c r="AL188" i="10" s="1"/>
  <c r="I188" i="10"/>
  <c r="AG187" i="10"/>
  <c r="AN187" i="10" s="1"/>
  <c r="AF187" i="10"/>
  <c r="AM187" i="10" s="1"/>
  <c r="Y187" i="10"/>
  <c r="R187" i="10"/>
  <c r="Q187" i="10"/>
  <c r="X187" i="10" s="1"/>
  <c r="AE187" i="10" s="1"/>
  <c r="AL187" i="10" s="1"/>
  <c r="P187" i="10"/>
  <c r="W187" i="10" s="1"/>
  <c r="AD187" i="10" s="1"/>
  <c r="AK187" i="10" s="1"/>
  <c r="AR187" i="10" s="1"/>
  <c r="O187" i="10"/>
  <c r="V187" i="10" s="1"/>
  <c r="AC187" i="10" s="1"/>
  <c r="AJ187" i="10" s="1"/>
  <c r="AQ187" i="10" s="1"/>
  <c r="N187" i="10"/>
  <c r="U187" i="10" s="1"/>
  <c r="AB187" i="10" s="1"/>
  <c r="AI187" i="10" s="1"/>
  <c r="AP187" i="10" s="1"/>
  <c r="L187" i="10"/>
  <c r="S187" i="10" s="1"/>
  <c r="Z187" i="10" s="1"/>
  <c r="K187" i="10"/>
  <c r="J187" i="10"/>
  <c r="I187" i="10"/>
  <c r="AE186" i="10"/>
  <c r="AL186" i="10" s="1"/>
  <c r="AD186" i="10"/>
  <c r="AK186" i="10" s="1"/>
  <c r="AR186" i="10" s="1"/>
  <c r="W186" i="10"/>
  <c r="R186" i="10"/>
  <c r="Y186" i="10" s="1"/>
  <c r="AF186" i="10" s="1"/>
  <c r="AM186" i="10" s="1"/>
  <c r="P186" i="10"/>
  <c r="O186" i="10"/>
  <c r="V186" i="10" s="1"/>
  <c r="AC186" i="10" s="1"/>
  <c r="AJ186" i="10" s="1"/>
  <c r="AQ186" i="10" s="1"/>
  <c r="N186" i="10"/>
  <c r="U186" i="10" s="1"/>
  <c r="AB186" i="10" s="1"/>
  <c r="AI186" i="10" s="1"/>
  <c r="AP186" i="10" s="1"/>
  <c r="L186" i="10"/>
  <c r="S186" i="10" s="1"/>
  <c r="Z186" i="10" s="1"/>
  <c r="AG186" i="10" s="1"/>
  <c r="AN186" i="10" s="1"/>
  <c r="K186" i="10"/>
  <c r="J186" i="10"/>
  <c r="Q186" i="10" s="1"/>
  <c r="X186" i="10" s="1"/>
  <c r="I186" i="10"/>
  <c r="AC185" i="10"/>
  <c r="AJ185" i="10" s="1"/>
  <c r="AQ185" i="10" s="1"/>
  <c r="AB185" i="10"/>
  <c r="AI185" i="10" s="1"/>
  <c r="AP185" i="10" s="1"/>
  <c r="V185" i="10"/>
  <c r="U185" i="10"/>
  <c r="S185" i="10"/>
  <c r="Z185" i="10" s="1"/>
  <c r="AG185" i="10" s="1"/>
  <c r="AN185" i="10" s="1"/>
  <c r="R185" i="10"/>
  <c r="Y185" i="10" s="1"/>
  <c r="AF185" i="10" s="1"/>
  <c r="AM185" i="10" s="1"/>
  <c r="P185" i="10"/>
  <c r="W185" i="10" s="1"/>
  <c r="AD185" i="10" s="1"/>
  <c r="AK185" i="10" s="1"/>
  <c r="AR185" i="10" s="1"/>
  <c r="O185" i="10"/>
  <c r="N185" i="10"/>
  <c r="L185" i="10"/>
  <c r="K185" i="10"/>
  <c r="J185" i="10"/>
  <c r="Q185" i="10" s="1"/>
  <c r="X185" i="10" s="1"/>
  <c r="AE185" i="10" s="1"/>
  <c r="AL185" i="10" s="1"/>
  <c r="I185" i="10"/>
  <c r="AR184" i="10"/>
  <c r="V184" i="10"/>
  <c r="AC184" i="10" s="1"/>
  <c r="AJ184" i="10" s="1"/>
  <c r="AQ184" i="10" s="1"/>
  <c r="P184" i="10"/>
  <c r="W184" i="10" s="1"/>
  <c r="AD184" i="10" s="1"/>
  <c r="AK184" i="10" s="1"/>
  <c r="O184" i="10"/>
  <c r="N184" i="10"/>
  <c r="U184" i="10" s="1"/>
  <c r="AB184" i="10" s="1"/>
  <c r="AI184" i="10" s="1"/>
  <c r="AP184" i="10" s="1"/>
  <c r="L184" i="10"/>
  <c r="S184" i="10" s="1"/>
  <c r="Z184" i="10" s="1"/>
  <c r="AG184" i="10" s="1"/>
  <c r="AN184" i="10" s="1"/>
  <c r="K184" i="10"/>
  <c r="R184" i="10" s="1"/>
  <c r="Y184" i="10" s="1"/>
  <c r="AF184" i="10" s="1"/>
  <c r="AM184" i="10" s="1"/>
  <c r="J184" i="10"/>
  <c r="I184" i="10"/>
  <c r="Y183" i="10"/>
  <c r="AF183" i="10" s="1"/>
  <c r="AM183" i="10" s="1"/>
  <c r="X183" i="10"/>
  <c r="AE183" i="10" s="1"/>
  <c r="AL183" i="10" s="1"/>
  <c r="W183" i="10"/>
  <c r="AD183" i="10" s="1"/>
  <c r="AK183" i="10" s="1"/>
  <c r="AR183" i="10" s="1"/>
  <c r="R183" i="10"/>
  <c r="Q183" i="10"/>
  <c r="P183" i="10"/>
  <c r="O183" i="10"/>
  <c r="V183" i="10" s="1"/>
  <c r="AC183" i="10" s="1"/>
  <c r="AJ183" i="10" s="1"/>
  <c r="AQ183" i="10" s="1"/>
  <c r="N183" i="10"/>
  <c r="U183" i="10" s="1"/>
  <c r="AB183" i="10" s="1"/>
  <c r="AI183" i="10" s="1"/>
  <c r="AP183" i="10" s="1"/>
  <c r="L183" i="10"/>
  <c r="S183" i="10" s="1"/>
  <c r="Z183" i="10" s="1"/>
  <c r="AG183" i="10" s="1"/>
  <c r="AN183" i="10" s="1"/>
  <c r="K183" i="10"/>
  <c r="J183" i="10"/>
  <c r="I183" i="10"/>
  <c r="AN182" i="10"/>
  <c r="X182" i="10"/>
  <c r="AE182" i="10" s="1"/>
  <c r="AL182" i="10" s="1"/>
  <c r="R182" i="10"/>
  <c r="Y182" i="10" s="1"/>
  <c r="AF182" i="10" s="1"/>
  <c r="AM182" i="10" s="1"/>
  <c r="P182" i="10"/>
  <c r="W182" i="10" s="1"/>
  <c r="AD182" i="10" s="1"/>
  <c r="AK182" i="10" s="1"/>
  <c r="AR182" i="10" s="1"/>
  <c r="O182" i="10"/>
  <c r="V182" i="10" s="1"/>
  <c r="AC182" i="10" s="1"/>
  <c r="AJ182" i="10" s="1"/>
  <c r="AQ182" i="10" s="1"/>
  <c r="N182" i="10"/>
  <c r="U182" i="10" s="1"/>
  <c r="AB182" i="10" s="1"/>
  <c r="AI182" i="10" s="1"/>
  <c r="AP182" i="10" s="1"/>
  <c r="L182" i="10"/>
  <c r="S182" i="10" s="1"/>
  <c r="Z182" i="10" s="1"/>
  <c r="AG182" i="10" s="1"/>
  <c r="K182" i="10"/>
  <c r="J182" i="10"/>
  <c r="Q182" i="10" s="1"/>
  <c r="I182" i="10"/>
  <c r="AD181" i="10"/>
  <c r="AK181" i="10" s="1"/>
  <c r="AR181" i="10" s="1"/>
  <c r="V181" i="10"/>
  <c r="AC181" i="10" s="1"/>
  <c r="AJ181" i="10" s="1"/>
  <c r="AQ181" i="10" s="1"/>
  <c r="U181" i="10"/>
  <c r="AB181" i="10" s="1"/>
  <c r="AI181" i="10" s="1"/>
  <c r="AP181" i="10" s="1"/>
  <c r="P181" i="10"/>
  <c r="W181" i="10" s="1"/>
  <c r="O181" i="10"/>
  <c r="N181" i="10"/>
  <c r="L181" i="10"/>
  <c r="S181" i="10" s="1"/>
  <c r="Z181" i="10" s="1"/>
  <c r="AG181" i="10" s="1"/>
  <c r="AN181" i="10" s="1"/>
  <c r="K181" i="10"/>
  <c r="R181" i="10" s="1"/>
  <c r="Y181" i="10" s="1"/>
  <c r="AF181" i="10" s="1"/>
  <c r="AM181" i="10" s="1"/>
  <c r="J181" i="10"/>
  <c r="Q181" i="10" s="1"/>
  <c r="X181" i="10" s="1"/>
  <c r="AE181" i="10" s="1"/>
  <c r="AL181" i="10" s="1"/>
  <c r="I181" i="10"/>
  <c r="AJ180" i="10"/>
  <c r="AQ180" i="10" s="1"/>
  <c r="Z180" i="10"/>
  <c r="AG180" i="10" s="1"/>
  <c r="AN180" i="10" s="1"/>
  <c r="Y180" i="10"/>
  <c r="AF180" i="10" s="1"/>
  <c r="AM180" i="10" s="1"/>
  <c r="X180" i="10"/>
  <c r="AE180" i="10" s="1"/>
  <c r="AL180" i="10" s="1"/>
  <c r="V180" i="10"/>
  <c r="AC180" i="10" s="1"/>
  <c r="S180" i="10"/>
  <c r="R180" i="10"/>
  <c r="Q180" i="10"/>
  <c r="P180" i="10"/>
  <c r="W180" i="10" s="1"/>
  <c r="AD180" i="10" s="1"/>
  <c r="AK180" i="10" s="1"/>
  <c r="AR180" i="10" s="1"/>
  <c r="O180" i="10"/>
  <c r="N180" i="10"/>
  <c r="U180" i="10" s="1"/>
  <c r="AB180" i="10" s="1"/>
  <c r="AI180" i="10" s="1"/>
  <c r="AP180" i="10" s="1"/>
  <c r="L180" i="10"/>
  <c r="K180" i="10"/>
  <c r="J180" i="10"/>
  <c r="I180" i="10"/>
  <c r="AP179" i="10"/>
  <c r="Z179" i="10"/>
  <c r="AG179" i="10" s="1"/>
  <c r="AN179" i="10" s="1"/>
  <c r="R179" i="10"/>
  <c r="Y179" i="10" s="1"/>
  <c r="AF179" i="10" s="1"/>
  <c r="AM179" i="10" s="1"/>
  <c r="Q179" i="10"/>
  <c r="X179" i="10" s="1"/>
  <c r="AE179" i="10" s="1"/>
  <c r="AL179" i="10" s="1"/>
  <c r="P179" i="10"/>
  <c r="W179" i="10" s="1"/>
  <c r="AD179" i="10" s="1"/>
  <c r="AK179" i="10" s="1"/>
  <c r="AR179" i="10" s="1"/>
  <c r="O179" i="10"/>
  <c r="V179" i="10" s="1"/>
  <c r="AC179" i="10" s="1"/>
  <c r="AJ179" i="10" s="1"/>
  <c r="AQ179" i="10" s="1"/>
  <c r="N179" i="10"/>
  <c r="U179" i="10" s="1"/>
  <c r="AB179" i="10" s="1"/>
  <c r="AI179" i="10" s="1"/>
  <c r="L179" i="10"/>
  <c r="S179" i="10" s="1"/>
  <c r="K179" i="10"/>
  <c r="J179" i="10"/>
  <c r="I179" i="10"/>
  <c r="AF178" i="10"/>
  <c r="AM178" i="10" s="1"/>
  <c r="V178" i="10"/>
  <c r="AC178" i="10" s="1"/>
  <c r="AJ178" i="10" s="1"/>
  <c r="AQ178" i="10" s="1"/>
  <c r="U178" i="10"/>
  <c r="AB178" i="10" s="1"/>
  <c r="AI178" i="10" s="1"/>
  <c r="AP178" i="10" s="1"/>
  <c r="P178" i="10"/>
  <c r="W178" i="10" s="1"/>
  <c r="AD178" i="10" s="1"/>
  <c r="AK178" i="10" s="1"/>
  <c r="AR178" i="10" s="1"/>
  <c r="O178" i="10"/>
  <c r="N178" i="10"/>
  <c r="L178" i="10"/>
  <c r="S178" i="10" s="1"/>
  <c r="Z178" i="10" s="1"/>
  <c r="AG178" i="10" s="1"/>
  <c r="AN178" i="10" s="1"/>
  <c r="K178" i="10"/>
  <c r="R178" i="10" s="1"/>
  <c r="Y178" i="10" s="1"/>
  <c r="J178" i="10"/>
  <c r="Q178" i="10" s="1"/>
  <c r="X178" i="10" s="1"/>
  <c r="AE178" i="10" s="1"/>
  <c r="AL178" i="10" s="1"/>
  <c r="I178" i="10"/>
  <c r="AL177" i="10"/>
  <c r="V177" i="10"/>
  <c r="AC177" i="10" s="1"/>
  <c r="AJ177" i="10" s="1"/>
  <c r="AQ177" i="10" s="1"/>
  <c r="R177" i="10"/>
  <c r="Y177" i="10" s="1"/>
  <c r="AF177" i="10" s="1"/>
  <c r="AM177" i="10" s="1"/>
  <c r="P177" i="10"/>
  <c r="W177" i="10" s="1"/>
  <c r="AD177" i="10" s="1"/>
  <c r="AK177" i="10" s="1"/>
  <c r="AR177" i="10" s="1"/>
  <c r="O177" i="10"/>
  <c r="N177" i="10"/>
  <c r="U177" i="10" s="1"/>
  <c r="AB177" i="10" s="1"/>
  <c r="AI177" i="10" s="1"/>
  <c r="AP177" i="10" s="1"/>
  <c r="L177" i="10"/>
  <c r="S177" i="10" s="1"/>
  <c r="Z177" i="10" s="1"/>
  <c r="AG177" i="10" s="1"/>
  <c r="AN177" i="10" s="1"/>
  <c r="K177" i="10"/>
  <c r="J177" i="10"/>
  <c r="Q177" i="10" s="1"/>
  <c r="X177" i="10" s="1"/>
  <c r="AE177" i="10" s="1"/>
  <c r="I177" i="10"/>
  <c r="AB176" i="10"/>
  <c r="AI176" i="10" s="1"/>
  <c r="AP176" i="10" s="1"/>
  <c r="Z176" i="10"/>
  <c r="AG176" i="10" s="1"/>
  <c r="AN176" i="10" s="1"/>
  <c r="V176" i="10"/>
  <c r="AC176" i="10" s="1"/>
  <c r="AJ176" i="10" s="1"/>
  <c r="AQ176" i="10" s="1"/>
  <c r="S176" i="10"/>
  <c r="R176" i="10"/>
  <c r="Y176" i="10" s="1"/>
  <c r="AF176" i="10" s="1"/>
  <c r="AM176" i="10" s="1"/>
  <c r="Q176" i="10"/>
  <c r="X176" i="10" s="1"/>
  <c r="AE176" i="10" s="1"/>
  <c r="AL176" i="10" s="1"/>
  <c r="P176" i="10"/>
  <c r="W176" i="10" s="1"/>
  <c r="AD176" i="10" s="1"/>
  <c r="AK176" i="10" s="1"/>
  <c r="AR176" i="10" s="1"/>
  <c r="O176" i="10"/>
  <c r="N176" i="10"/>
  <c r="U176" i="10" s="1"/>
  <c r="L176" i="10"/>
  <c r="K176" i="10"/>
  <c r="J176" i="10"/>
  <c r="I176" i="10"/>
  <c r="AP175" i="10"/>
  <c r="AH175" i="10"/>
  <c r="AO175" i="10" s="1"/>
  <c r="W175" i="10"/>
  <c r="AD175" i="10" s="1"/>
  <c r="AK175" i="10" s="1"/>
  <c r="AR175" i="10" s="1"/>
  <c r="V175" i="10"/>
  <c r="AC175" i="10" s="1"/>
  <c r="AJ175" i="10" s="1"/>
  <c r="AQ175" i="10" s="1"/>
  <c r="R175" i="10"/>
  <c r="Y175" i="10" s="1"/>
  <c r="AF175" i="10" s="1"/>
  <c r="AM175" i="10" s="1"/>
  <c r="P175" i="10"/>
  <c r="O175" i="10"/>
  <c r="N175" i="10"/>
  <c r="U175" i="10" s="1"/>
  <c r="AB175" i="10" s="1"/>
  <c r="AI175" i="10" s="1"/>
  <c r="M175" i="10"/>
  <c r="T175" i="10" s="1"/>
  <c r="AA175" i="10" s="1"/>
  <c r="K175" i="10"/>
  <c r="J175" i="10"/>
  <c r="Q175" i="10" s="1"/>
  <c r="X175" i="10" s="1"/>
  <c r="AE175" i="10" s="1"/>
  <c r="AL175" i="10" s="1"/>
  <c r="I175" i="10"/>
  <c r="W174" i="10"/>
  <c r="AD174" i="10" s="1"/>
  <c r="AK174" i="10" s="1"/>
  <c r="AR174" i="10" s="1"/>
  <c r="U174" i="10"/>
  <c r="AB174" i="10" s="1"/>
  <c r="AI174" i="10" s="1"/>
  <c r="AP174" i="10" s="1"/>
  <c r="P174" i="10"/>
  <c r="O174" i="10"/>
  <c r="V174" i="10" s="1"/>
  <c r="AC174" i="10" s="1"/>
  <c r="AJ174" i="10" s="1"/>
  <c r="AQ174" i="10" s="1"/>
  <c r="N174" i="10"/>
  <c r="M174" i="10"/>
  <c r="T174" i="10" s="1"/>
  <c r="AA174" i="10" s="1"/>
  <c r="AH174" i="10" s="1"/>
  <c r="AO174" i="10" s="1"/>
  <c r="L174" i="10"/>
  <c r="S174" i="10" s="1"/>
  <c r="Z174" i="10" s="1"/>
  <c r="AG174" i="10" s="1"/>
  <c r="AN174" i="10" s="1"/>
  <c r="J174" i="10"/>
  <c r="I174" i="10"/>
  <c r="AC173" i="10"/>
  <c r="AJ173" i="10" s="1"/>
  <c r="AQ173" i="10" s="1"/>
  <c r="V173" i="10"/>
  <c r="U173" i="10"/>
  <c r="AB173" i="10" s="1"/>
  <c r="AI173" i="10" s="1"/>
  <c r="AP173" i="10" s="1"/>
  <c r="S173" i="10"/>
  <c r="Z173" i="10" s="1"/>
  <c r="AG173" i="10" s="1"/>
  <c r="AN173" i="10" s="1"/>
  <c r="P173" i="10"/>
  <c r="W173" i="10" s="1"/>
  <c r="AD173" i="10" s="1"/>
  <c r="AK173" i="10" s="1"/>
  <c r="AR173" i="10" s="1"/>
  <c r="O173" i="10"/>
  <c r="N173" i="10"/>
  <c r="L173" i="10"/>
  <c r="K173" i="10"/>
  <c r="R173" i="10" s="1"/>
  <c r="Y173" i="10" s="1"/>
  <c r="AF173" i="10" s="1"/>
  <c r="AM173" i="10" s="1"/>
  <c r="J173" i="10"/>
  <c r="Q173" i="10" s="1"/>
  <c r="X173" i="10" s="1"/>
  <c r="AE173" i="10" s="1"/>
  <c r="AL173" i="10" s="1"/>
  <c r="I173" i="10"/>
  <c r="V172" i="10"/>
  <c r="AC172" i="10" s="1"/>
  <c r="AJ172" i="10" s="1"/>
  <c r="AQ172" i="10" s="1"/>
  <c r="S172" i="10"/>
  <c r="Z172" i="10" s="1"/>
  <c r="AG172" i="10" s="1"/>
  <c r="AN172" i="10" s="1"/>
  <c r="Q172" i="10"/>
  <c r="X172" i="10" s="1"/>
  <c r="AE172" i="10" s="1"/>
  <c r="AL172" i="10" s="1"/>
  <c r="P172" i="10"/>
  <c r="W172" i="10" s="1"/>
  <c r="AD172" i="10" s="1"/>
  <c r="AK172" i="10" s="1"/>
  <c r="AR172" i="10" s="1"/>
  <c r="O172" i="10"/>
  <c r="N172" i="10"/>
  <c r="U172" i="10" s="1"/>
  <c r="AB172" i="10" s="1"/>
  <c r="AI172" i="10" s="1"/>
  <c r="AP172" i="10" s="1"/>
  <c r="L172" i="10"/>
  <c r="K172" i="10"/>
  <c r="R172" i="10" s="1"/>
  <c r="Y172" i="10" s="1"/>
  <c r="AF172" i="10" s="1"/>
  <c r="AM172" i="10" s="1"/>
  <c r="J172" i="10"/>
  <c r="I172" i="10"/>
  <c r="Y171" i="10"/>
  <c r="AF171" i="10" s="1"/>
  <c r="AM171" i="10" s="1"/>
  <c r="W171" i="10"/>
  <c r="AD171" i="10" s="1"/>
  <c r="AK171" i="10" s="1"/>
  <c r="AR171" i="10" s="1"/>
  <c r="R171" i="10"/>
  <c r="Q171" i="10"/>
  <c r="X171" i="10" s="1"/>
  <c r="AE171" i="10" s="1"/>
  <c r="AL171" i="10" s="1"/>
  <c r="P171" i="10"/>
  <c r="O171" i="10"/>
  <c r="V171" i="10" s="1"/>
  <c r="AC171" i="10" s="1"/>
  <c r="AJ171" i="10" s="1"/>
  <c r="AQ171" i="10" s="1"/>
  <c r="N171" i="10"/>
  <c r="U171" i="10" s="1"/>
  <c r="AB171" i="10" s="1"/>
  <c r="AI171" i="10" s="1"/>
  <c r="AP171" i="10" s="1"/>
  <c r="L171" i="10"/>
  <c r="S171" i="10" s="1"/>
  <c r="Z171" i="10" s="1"/>
  <c r="AG171" i="10" s="1"/>
  <c r="AN171" i="10" s="1"/>
  <c r="K171" i="10"/>
  <c r="J171" i="10"/>
  <c r="I171" i="10"/>
  <c r="W170" i="10"/>
  <c r="AD170" i="10" s="1"/>
  <c r="AK170" i="10" s="1"/>
  <c r="AR170" i="10" s="1"/>
  <c r="U170" i="10"/>
  <c r="AB170" i="10" s="1"/>
  <c r="AI170" i="10" s="1"/>
  <c r="AP170" i="10" s="1"/>
  <c r="R170" i="10"/>
  <c r="Y170" i="10" s="1"/>
  <c r="AF170" i="10" s="1"/>
  <c r="AM170" i="10" s="1"/>
  <c r="P170" i="10"/>
  <c r="O170" i="10"/>
  <c r="V170" i="10" s="1"/>
  <c r="AC170" i="10" s="1"/>
  <c r="AJ170" i="10" s="1"/>
  <c r="AQ170" i="10" s="1"/>
  <c r="N170" i="10"/>
  <c r="M170" i="10"/>
  <c r="T170" i="10" s="1"/>
  <c r="AA170" i="10" s="1"/>
  <c r="AH170" i="10" s="1"/>
  <c r="AO170" i="10" s="1"/>
  <c r="L170" i="10"/>
  <c r="S170" i="10" s="1"/>
  <c r="Z170" i="10" s="1"/>
  <c r="AG170" i="10" s="1"/>
  <c r="AN170" i="10" s="1"/>
  <c r="K170" i="10"/>
  <c r="I170" i="10"/>
  <c r="AC169" i="10"/>
  <c r="AJ169" i="10" s="1"/>
  <c r="AQ169" i="10" s="1"/>
  <c r="V169" i="10"/>
  <c r="U169" i="10"/>
  <c r="AB169" i="10" s="1"/>
  <c r="AI169" i="10" s="1"/>
  <c r="AP169" i="10" s="1"/>
  <c r="S169" i="10"/>
  <c r="Z169" i="10" s="1"/>
  <c r="AG169" i="10" s="1"/>
  <c r="AN169" i="10" s="1"/>
  <c r="P169" i="10"/>
  <c r="W169" i="10" s="1"/>
  <c r="AD169" i="10" s="1"/>
  <c r="AK169" i="10" s="1"/>
  <c r="AR169" i="10" s="1"/>
  <c r="O169" i="10"/>
  <c r="N169" i="10"/>
  <c r="M169" i="10"/>
  <c r="T169" i="10" s="1"/>
  <c r="AA169" i="10" s="1"/>
  <c r="AH169" i="10" s="1"/>
  <c r="AO169" i="10" s="1"/>
  <c r="L169" i="10"/>
  <c r="J169" i="10"/>
  <c r="Q169" i="10" s="1"/>
  <c r="X169" i="10" s="1"/>
  <c r="AE169" i="10" s="1"/>
  <c r="AL169" i="10" s="1"/>
  <c r="I169" i="10"/>
  <c r="AA168" i="10"/>
  <c r="AH168" i="10" s="1"/>
  <c r="AO168" i="10" s="1"/>
  <c r="V168" i="10"/>
  <c r="AC168" i="10" s="1"/>
  <c r="AJ168" i="10" s="1"/>
  <c r="AQ168" i="10" s="1"/>
  <c r="T168" i="10"/>
  <c r="S168" i="10"/>
  <c r="Z168" i="10" s="1"/>
  <c r="AG168" i="10" s="1"/>
  <c r="AN168" i="10" s="1"/>
  <c r="Q168" i="10"/>
  <c r="X168" i="10" s="1"/>
  <c r="AE168" i="10" s="1"/>
  <c r="AL168" i="10" s="1"/>
  <c r="P168" i="10"/>
  <c r="W168" i="10" s="1"/>
  <c r="AD168" i="10" s="1"/>
  <c r="AK168" i="10" s="1"/>
  <c r="AR168" i="10" s="1"/>
  <c r="O168" i="10"/>
  <c r="N168" i="10"/>
  <c r="U168" i="10" s="1"/>
  <c r="AB168" i="10" s="1"/>
  <c r="AI168" i="10" s="1"/>
  <c r="AP168" i="10" s="1"/>
  <c r="M168" i="10"/>
  <c r="L168" i="10"/>
  <c r="J168" i="10"/>
  <c r="I168" i="10"/>
  <c r="Y167" i="10"/>
  <c r="AF167" i="10" s="1"/>
  <c r="AM167" i="10" s="1"/>
  <c r="R167" i="10"/>
  <c r="Q167" i="10"/>
  <c r="X167" i="10" s="1"/>
  <c r="AE167" i="10" s="1"/>
  <c r="AL167" i="10" s="1"/>
  <c r="P167" i="10"/>
  <c r="W167" i="10" s="1"/>
  <c r="AD167" i="10" s="1"/>
  <c r="AK167" i="10" s="1"/>
  <c r="AR167" i="10" s="1"/>
  <c r="O167" i="10"/>
  <c r="V167" i="10" s="1"/>
  <c r="AC167" i="10" s="1"/>
  <c r="AJ167" i="10" s="1"/>
  <c r="AQ167" i="10" s="1"/>
  <c r="N167" i="10"/>
  <c r="U167" i="10" s="1"/>
  <c r="AB167" i="10" s="1"/>
  <c r="AI167" i="10" s="1"/>
  <c r="AP167" i="10" s="1"/>
  <c r="L167" i="10"/>
  <c r="S167" i="10" s="1"/>
  <c r="Z167" i="10" s="1"/>
  <c r="AG167" i="10" s="1"/>
  <c r="AN167" i="10" s="1"/>
  <c r="K167" i="10"/>
  <c r="J167" i="10"/>
  <c r="I167" i="10"/>
  <c r="W166" i="10"/>
  <c r="AD166" i="10" s="1"/>
  <c r="AK166" i="10" s="1"/>
  <c r="AR166" i="10" s="1"/>
  <c r="U166" i="10"/>
  <c r="AB166" i="10" s="1"/>
  <c r="AI166" i="10" s="1"/>
  <c r="AP166" i="10" s="1"/>
  <c r="R166" i="10"/>
  <c r="Y166" i="10" s="1"/>
  <c r="AF166" i="10" s="1"/>
  <c r="AM166" i="10" s="1"/>
  <c r="P166" i="10"/>
  <c r="O166" i="10"/>
  <c r="V166" i="10" s="1"/>
  <c r="AC166" i="10" s="1"/>
  <c r="AJ166" i="10" s="1"/>
  <c r="AQ166" i="10" s="1"/>
  <c r="N166" i="10"/>
  <c r="L166" i="10"/>
  <c r="S166" i="10" s="1"/>
  <c r="Z166" i="10" s="1"/>
  <c r="AG166" i="10" s="1"/>
  <c r="AN166" i="10" s="1"/>
  <c r="K166" i="10"/>
  <c r="J166" i="10"/>
  <c r="Q166" i="10" s="1"/>
  <c r="X166" i="10" s="1"/>
  <c r="AE166" i="10" s="1"/>
  <c r="AL166" i="10" s="1"/>
  <c r="I166" i="10"/>
  <c r="AC165" i="10"/>
  <c r="AJ165" i="10" s="1"/>
  <c r="AQ165" i="10" s="1"/>
  <c r="V165" i="10"/>
  <c r="U165" i="10"/>
  <c r="AB165" i="10" s="1"/>
  <c r="AI165" i="10" s="1"/>
  <c r="AP165" i="10" s="1"/>
  <c r="S165" i="10"/>
  <c r="Z165" i="10" s="1"/>
  <c r="AG165" i="10" s="1"/>
  <c r="AN165" i="10" s="1"/>
  <c r="P165" i="10"/>
  <c r="W165" i="10" s="1"/>
  <c r="AD165" i="10" s="1"/>
  <c r="AK165" i="10" s="1"/>
  <c r="AR165" i="10" s="1"/>
  <c r="O165" i="10"/>
  <c r="N165" i="10"/>
  <c r="M165" i="10"/>
  <c r="T165" i="10" s="1"/>
  <c r="AA165" i="10" s="1"/>
  <c r="AH165" i="10" s="1"/>
  <c r="AO165" i="10" s="1"/>
  <c r="L165" i="10"/>
  <c r="J165" i="10"/>
  <c r="Q165" i="10" s="1"/>
  <c r="X165" i="10" s="1"/>
  <c r="AE165" i="10" s="1"/>
  <c r="AL165" i="10" s="1"/>
  <c r="I165" i="10"/>
  <c r="AA164" i="10"/>
  <c r="AH164" i="10" s="1"/>
  <c r="AO164" i="10" s="1"/>
  <c r="V164" i="10"/>
  <c r="AC164" i="10" s="1"/>
  <c r="AJ164" i="10" s="1"/>
  <c r="AQ164" i="10" s="1"/>
  <c r="T164" i="10"/>
  <c r="S164" i="10"/>
  <c r="Z164" i="10" s="1"/>
  <c r="AG164" i="10" s="1"/>
  <c r="AN164" i="10" s="1"/>
  <c r="Q164" i="10"/>
  <c r="X164" i="10" s="1"/>
  <c r="AE164" i="10" s="1"/>
  <c r="AL164" i="10" s="1"/>
  <c r="P164" i="10"/>
  <c r="W164" i="10" s="1"/>
  <c r="AD164" i="10" s="1"/>
  <c r="AK164" i="10" s="1"/>
  <c r="AR164" i="10" s="1"/>
  <c r="O164" i="10"/>
  <c r="N164" i="10"/>
  <c r="U164" i="10" s="1"/>
  <c r="AB164" i="10" s="1"/>
  <c r="AI164" i="10" s="1"/>
  <c r="AP164" i="10" s="1"/>
  <c r="M164" i="10"/>
  <c r="L164" i="10"/>
  <c r="J164" i="10"/>
  <c r="I164" i="10"/>
  <c r="AG163" i="10"/>
  <c r="AN163" i="10" s="1"/>
  <c r="AE163" i="10"/>
  <c r="AL163" i="10" s="1"/>
  <c r="Y163" i="10"/>
  <c r="AF163" i="10" s="1"/>
  <c r="AM163" i="10" s="1"/>
  <c r="W163" i="10"/>
  <c r="AD163" i="10" s="1"/>
  <c r="AK163" i="10" s="1"/>
  <c r="AR163" i="10" s="1"/>
  <c r="T163" i="10"/>
  <c r="AA163" i="10" s="1"/>
  <c r="AH163" i="10" s="1"/>
  <c r="AO163" i="10" s="1"/>
  <c r="R163" i="10"/>
  <c r="Q163" i="10"/>
  <c r="X163" i="10" s="1"/>
  <c r="P163" i="10"/>
  <c r="O163" i="10"/>
  <c r="V163" i="10" s="1"/>
  <c r="AC163" i="10" s="1"/>
  <c r="AJ163" i="10" s="1"/>
  <c r="AQ163" i="10" s="1"/>
  <c r="N163" i="10"/>
  <c r="U163" i="10" s="1"/>
  <c r="AB163" i="10" s="1"/>
  <c r="AI163" i="10" s="1"/>
  <c r="AP163" i="10" s="1"/>
  <c r="M163" i="10"/>
  <c r="L163" i="10"/>
  <c r="S163" i="10" s="1"/>
  <c r="Z163" i="10" s="1"/>
  <c r="K163" i="10"/>
  <c r="J163" i="10"/>
  <c r="I163" i="10"/>
  <c r="AC162" i="10"/>
  <c r="AJ162" i="10" s="1"/>
  <c r="AQ162" i="10" s="1"/>
  <c r="W162" i="10"/>
  <c r="AD162" i="10" s="1"/>
  <c r="AK162" i="10" s="1"/>
  <c r="AR162" i="10" s="1"/>
  <c r="V162" i="10"/>
  <c r="R162" i="10"/>
  <c r="Y162" i="10" s="1"/>
  <c r="AF162" i="10" s="1"/>
  <c r="AM162" i="10" s="1"/>
  <c r="P162" i="10"/>
  <c r="O162" i="10"/>
  <c r="N162" i="10"/>
  <c r="U162" i="10" s="1"/>
  <c r="AB162" i="10" s="1"/>
  <c r="AI162" i="10" s="1"/>
  <c r="AP162" i="10" s="1"/>
  <c r="L162" i="10"/>
  <c r="S162" i="10" s="1"/>
  <c r="Z162" i="10" s="1"/>
  <c r="AG162" i="10" s="1"/>
  <c r="AN162" i="10" s="1"/>
  <c r="K162" i="10"/>
  <c r="J162" i="10"/>
  <c r="Q162" i="10" s="1"/>
  <c r="X162" i="10" s="1"/>
  <c r="AE162" i="10" s="1"/>
  <c r="AL162" i="10" s="1"/>
  <c r="I162" i="10"/>
  <c r="V161" i="10"/>
  <c r="AC161" i="10" s="1"/>
  <c r="AJ161" i="10" s="1"/>
  <c r="AQ161" i="10" s="1"/>
  <c r="P161" i="10"/>
  <c r="W161" i="10" s="1"/>
  <c r="AD161" i="10" s="1"/>
  <c r="AK161" i="10" s="1"/>
  <c r="AR161" i="10" s="1"/>
  <c r="O161" i="10"/>
  <c r="N161" i="10"/>
  <c r="U161" i="10" s="1"/>
  <c r="AB161" i="10" s="1"/>
  <c r="AI161" i="10" s="1"/>
  <c r="AP161" i="10" s="1"/>
  <c r="L161" i="10"/>
  <c r="S161" i="10" s="1"/>
  <c r="Z161" i="10" s="1"/>
  <c r="AG161" i="10" s="1"/>
  <c r="AN161" i="10" s="1"/>
  <c r="K161" i="10"/>
  <c r="R161" i="10" s="1"/>
  <c r="Y161" i="10" s="1"/>
  <c r="AF161" i="10" s="1"/>
  <c r="AM161" i="10" s="1"/>
  <c r="J161" i="10"/>
  <c r="Q161" i="10" s="1"/>
  <c r="X161" i="10" s="1"/>
  <c r="AE161" i="10" s="1"/>
  <c r="AL161" i="10" s="1"/>
  <c r="I161" i="10"/>
  <c r="AR160" i="10"/>
  <c r="V160" i="10"/>
  <c r="AC160" i="10" s="1"/>
  <c r="AJ160" i="10" s="1"/>
  <c r="AQ160" i="10" s="1"/>
  <c r="P160" i="10"/>
  <c r="W160" i="10" s="1"/>
  <c r="AD160" i="10" s="1"/>
  <c r="AK160" i="10" s="1"/>
  <c r="O160" i="10"/>
  <c r="N160" i="10"/>
  <c r="U160" i="10" s="1"/>
  <c r="AB160" i="10" s="1"/>
  <c r="AI160" i="10" s="1"/>
  <c r="AP160" i="10" s="1"/>
  <c r="L160" i="10"/>
  <c r="S160" i="10" s="1"/>
  <c r="Z160" i="10" s="1"/>
  <c r="AG160" i="10" s="1"/>
  <c r="AN160" i="10" s="1"/>
  <c r="K160" i="10"/>
  <c r="R160" i="10" s="1"/>
  <c r="Y160" i="10" s="1"/>
  <c r="AF160" i="10" s="1"/>
  <c r="AM160" i="10" s="1"/>
  <c r="J160" i="10"/>
  <c r="Q160" i="10" s="1"/>
  <c r="X160" i="10" s="1"/>
  <c r="AE160" i="10" s="1"/>
  <c r="AL160" i="10" s="1"/>
  <c r="I160" i="10"/>
  <c r="AN159" i="10"/>
  <c r="AG159" i="10"/>
  <c r="Z159" i="10"/>
  <c r="R159" i="10"/>
  <c r="Y159" i="10" s="1"/>
  <c r="AF159" i="10" s="1"/>
  <c r="AM159" i="10" s="1"/>
  <c r="P159" i="10"/>
  <c r="W159" i="10" s="1"/>
  <c r="AD159" i="10" s="1"/>
  <c r="AK159" i="10" s="1"/>
  <c r="AR159" i="10" s="1"/>
  <c r="O159" i="10"/>
  <c r="V159" i="10" s="1"/>
  <c r="AC159" i="10" s="1"/>
  <c r="AJ159" i="10" s="1"/>
  <c r="AQ159" i="10" s="1"/>
  <c r="N159" i="10"/>
  <c r="U159" i="10" s="1"/>
  <c r="AB159" i="10" s="1"/>
  <c r="AI159" i="10" s="1"/>
  <c r="AP159" i="10" s="1"/>
  <c r="L159" i="10"/>
  <c r="S159" i="10" s="1"/>
  <c r="K159" i="10"/>
  <c r="J159" i="10"/>
  <c r="I159" i="10"/>
  <c r="R158" i="10"/>
  <c r="Y158" i="10" s="1"/>
  <c r="AF158" i="10" s="1"/>
  <c r="AM158" i="10" s="1"/>
  <c r="P158" i="10"/>
  <c r="W158" i="10" s="1"/>
  <c r="AD158" i="10" s="1"/>
  <c r="AK158" i="10" s="1"/>
  <c r="AR158" i="10" s="1"/>
  <c r="O158" i="10"/>
  <c r="V158" i="10" s="1"/>
  <c r="AC158" i="10" s="1"/>
  <c r="AJ158" i="10" s="1"/>
  <c r="AQ158" i="10" s="1"/>
  <c r="N158" i="10"/>
  <c r="U158" i="10" s="1"/>
  <c r="AB158" i="10" s="1"/>
  <c r="AI158" i="10" s="1"/>
  <c r="AP158" i="10" s="1"/>
  <c r="L158" i="10"/>
  <c r="S158" i="10" s="1"/>
  <c r="Z158" i="10" s="1"/>
  <c r="AG158" i="10" s="1"/>
  <c r="AN158" i="10" s="1"/>
  <c r="K158" i="10"/>
  <c r="J158" i="10"/>
  <c r="Q158" i="10" s="1"/>
  <c r="X158" i="10" s="1"/>
  <c r="AE158" i="10" s="1"/>
  <c r="AL158" i="10" s="1"/>
  <c r="I158" i="10"/>
  <c r="AJ157" i="10"/>
  <c r="AQ157" i="10" s="1"/>
  <c r="AC157" i="10"/>
  <c r="V157" i="10"/>
  <c r="S157" i="10"/>
  <c r="Z157" i="10" s="1"/>
  <c r="AG157" i="10" s="1"/>
  <c r="AN157" i="10" s="1"/>
  <c r="P157" i="10"/>
  <c r="W157" i="10" s="1"/>
  <c r="AD157" i="10" s="1"/>
  <c r="AK157" i="10" s="1"/>
  <c r="AR157" i="10" s="1"/>
  <c r="O157" i="10"/>
  <c r="N157" i="10"/>
  <c r="U157" i="10" s="1"/>
  <c r="AB157" i="10" s="1"/>
  <c r="AI157" i="10" s="1"/>
  <c r="AP157" i="10" s="1"/>
  <c r="L157" i="10"/>
  <c r="K157" i="10"/>
  <c r="R157" i="10" s="1"/>
  <c r="Y157" i="10" s="1"/>
  <c r="AF157" i="10" s="1"/>
  <c r="AM157" i="10" s="1"/>
  <c r="J157" i="10"/>
  <c r="Q157" i="10" s="1"/>
  <c r="X157" i="10" s="1"/>
  <c r="AE157" i="10" s="1"/>
  <c r="AL157" i="10" s="1"/>
  <c r="I157" i="10"/>
  <c r="AR156" i="10"/>
  <c r="AB156" i="10"/>
  <c r="AI156" i="10" s="1"/>
  <c r="AP156" i="10" s="1"/>
  <c r="V156" i="10"/>
  <c r="AC156" i="10" s="1"/>
  <c r="AJ156" i="10" s="1"/>
  <c r="AQ156" i="10" s="1"/>
  <c r="S156" i="10"/>
  <c r="Z156" i="10" s="1"/>
  <c r="AG156" i="10" s="1"/>
  <c r="AN156" i="10" s="1"/>
  <c r="R156" i="10"/>
  <c r="Y156" i="10" s="1"/>
  <c r="AF156" i="10" s="1"/>
  <c r="AM156" i="10" s="1"/>
  <c r="P156" i="10"/>
  <c r="W156" i="10" s="1"/>
  <c r="AD156" i="10" s="1"/>
  <c r="AK156" i="10" s="1"/>
  <c r="O156" i="10"/>
  <c r="N156" i="10"/>
  <c r="U156" i="10" s="1"/>
  <c r="L156" i="10"/>
  <c r="K156" i="10"/>
  <c r="J156" i="10"/>
  <c r="Q156" i="10" s="1"/>
  <c r="X156" i="10" s="1"/>
  <c r="AE156" i="10" s="1"/>
  <c r="AL156" i="10" s="1"/>
  <c r="I156" i="10"/>
  <c r="Z155" i="10"/>
  <c r="AG155" i="10" s="1"/>
  <c r="AN155" i="10" s="1"/>
  <c r="R155" i="10"/>
  <c r="Y155" i="10" s="1"/>
  <c r="AF155" i="10" s="1"/>
  <c r="AM155" i="10" s="1"/>
  <c r="P155" i="10"/>
  <c r="W155" i="10" s="1"/>
  <c r="AD155" i="10" s="1"/>
  <c r="AK155" i="10" s="1"/>
  <c r="AR155" i="10" s="1"/>
  <c r="O155" i="10"/>
  <c r="V155" i="10" s="1"/>
  <c r="AC155" i="10" s="1"/>
  <c r="AJ155" i="10" s="1"/>
  <c r="AQ155" i="10" s="1"/>
  <c r="N155" i="10"/>
  <c r="U155" i="10" s="1"/>
  <c r="AB155" i="10" s="1"/>
  <c r="AI155" i="10" s="1"/>
  <c r="AP155" i="10" s="1"/>
  <c r="L155" i="10"/>
  <c r="S155" i="10" s="1"/>
  <c r="K155" i="10"/>
  <c r="J155" i="10"/>
  <c r="Q155" i="10" s="1"/>
  <c r="X155" i="10" s="1"/>
  <c r="AE155" i="10" s="1"/>
  <c r="AL155" i="10" s="1"/>
  <c r="I155" i="10"/>
  <c r="AC154" i="10"/>
  <c r="AJ154" i="10" s="1"/>
  <c r="AQ154" i="10" s="1"/>
  <c r="W154" i="10"/>
  <c r="AD154" i="10" s="1"/>
  <c r="AK154" i="10" s="1"/>
  <c r="AR154" i="10" s="1"/>
  <c r="V154" i="10"/>
  <c r="R154" i="10"/>
  <c r="Y154" i="10" s="1"/>
  <c r="AF154" i="10" s="1"/>
  <c r="AM154" i="10" s="1"/>
  <c r="P154" i="10"/>
  <c r="O154" i="10"/>
  <c r="N154" i="10"/>
  <c r="U154" i="10" s="1"/>
  <c r="AB154" i="10" s="1"/>
  <c r="AI154" i="10" s="1"/>
  <c r="AP154" i="10" s="1"/>
  <c r="L154" i="10"/>
  <c r="S154" i="10" s="1"/>
  <c r="Z154" i="10" s="1"/>
  <c r="AG154" i="10" s="1"/>
  <c r="AN154" i="10" s="1"/>
  <c r="K154" i="10"/>
  <c r="J154" i="10"/>
  <c r="Q154" i="10" s="1"/>
  <c r="X154" i="10" s="1"/>
  <c r="AE154" i="10" s="1"/>
  <c r="AL154" i="10" s="1"/>
  <c r="I154" i="10"/>
  <c r="V153" i="10"/>
  <c r="AC153" i="10" s="1"/>
  <c r="AJ153" i="10" s="1"/>
  <c r="AQ153" i="10" s="1"/>
  <c r="P153" i="10"/>
  <c r="W153" i="10" s="1"/>
  <c r="AD153" i="10" s="1"/>
  <c r="AK153" i="10" s="1"/>
  <c r="AR153" i="10" s="1"/>
  <c r="O153" i="10"/>
  <c r="N153" i="10"/>
  <c r="U153" i="10" s="1"/>
  <c r="AB153" i="10" s="1"/>
  <c r="AI153" i="10" s="1"/>
  <c r="AP153" i="10" s="1"/>
  <c r="M153" i="10"/>
  <c r="T153" i="10" s="1"/>
  <c r="AA153" i="10" s="1"/>
  <c r="AH153" i="10" s="1"/>
  <c r="AO153" i="10" s="1"/>
  <c r="L153" i="10"/>
  <c r="S153" i="10" s="1"/>
  <c r="Z153" i="10" s="1"/>
  <c r="AG153" i="10" s="1"/>
  <c r="AN153" i="10" s="1"/>
  <c r="K153" i="10"/>
  <c r="R153" i="10" s="1"/>
  <c r="Y153" i="10" s="1"/>
  <c r="AF153" i="10" s="1"/>
  <c r="AM153" i="10" s="1"/>
  <c r="J153" i="10"/>
  <c r="Q153" i="10" s="1"/>
  <c r="X153" i="10" s="1"/>
  <c r="AE153" i="10" s="1"/>
  <c r="AL153" i="10" s="1"/>
  <c r="I153" i="10"/>
  <c r="AR152" i="10"/>
  <c r="V152" i="10"/>
  <c r="AC152" i="10" s="1"/>
  <c r="AJ152" i="10" s="1"/>
  <c r="AQ152" i="10" s="1"/>
  <c r="P152" i="10"/>
  <c r="W152" i="10" s="1"/>
  <c r="AD152" i="10" s="1"/>
  <c r="AK152" i="10" s="1"/>
  <c r="O152" i="10"/>
  <c r="N152" i="10"/>
  <c r="U152" i="10" s="1"/>
  <c r="AB152" i="10" s="1"/>
  <c r="AI152" i="10" s="1"/>
  <c r="AP152" i="10" s="1"/>
  <c r="L152" i="10"/>
  <c r="S152" i="10" s="1"/>
  <c r="Z152" i="10" s="1"/>
  <c r="AG152" i="10" s="1"/>
  <c r="AN152" i="10" s="1"/>
  <c r="K152" i="10"/>
  <c r="R152" i="10" s="1"/>
  <c r="Y152" i="10" s="1"/>
  <c r="AF152" i="10" s="1"/>
  <c r="AM152" i="10" s="1"/>
  <c r="J152" i="10"/>
  <c r="Q152" i="10" s="1"/>
  <c r="X152" i="10" s="1"/>
  <c r="AE152" i="10" s="1"/>
  <c r="AL152" i="10" s="1"/>
  <c r="I152" i="10"/>
  <c r="AN151" i="10"/>
  <c r="AG151" i="10"/>
  <c r="Z151" i="10"/>
  <c r="R151" i="10"/>
  <c r="Y151" i="10" s="1"/>
  <c r="AF151" i="10" s="1"/>
  <c r="AM151" i="10" s="1"/>
  <c r="P151" i="10"/>
  <c r="W151" i="10" s="1"/>
  <c r="AD151" i="10" s="1"/>
  <c r="AK151" i="10" s="1"/>
  <c r="AR151" i="10" s="1"/>
  <c r="O151" i="10"/>
  <c r="V151" i="10" s="1"/>
  <c r="AC151" i="10" s="1"/>
  <c r="AJ151" i="10" s="1"/>
  <c r="AQ151" i="10" s="1"/>
  <c r="N151" i="10"/>
  <c r="U151" i="10" s="1"/>
  <c r="AB151" i="10" s="1"/>
  <c r="AI151" i="10" s="1"/>
  <c r="AP151" i="10" s="1"/>
  <c r="L151" i="10"/>
  <c r="S151" i="10" s="1"/>
  <c r="K151" i="10"/>
  <c r="J151" i="10"/>
  <c r="I151" i="10"/>
  <c r="U150" i="10"/>
  <c r="AB150" i="10" s="1"/>
  <c r="AI150" i="10" s="1"/>
  <c r="AP150" i="10" s="1"/>
  <c r="R150" i="10"/>
  <c r="Y150" i="10" s="1"/>
  <c r="AF150" i="10" s="1"/>
  <c r="AM150" i="10" s="1"/>
  <c r="P150" i="10"/>
  <c r="W150" i="10" s="1"/>
  <c r="AD150" i="10" s="1"/>
  <c r="AK150" i="10" s="1"/>
  <c r="AR150" i="10" s="1"/>
  <c r="O150" i="10"/>
  <c r="V150" i="10" s="1"/>
  <c r="AC150" i="10" s="1"/>
  <c r="AJ150" i="10" s="1"/>
  <c r="AQ150" i="10" s="1"/>
  <c r="N150" i="10"/>
  <c r="L150" i="10"/>
  <c r="S150" i="10" s="1"/>
  <c r="Z150" i="10" s="1"/>
  <c r="AG150" i="10" s="1"/>
  <c r="AN150" i="10" s="1"/>
  <c r="K150" i="10"/>
  <c r="J150" i="10"/>
  <c r="Q150" i="10" s="1"/>
  <c r="X150" i="10" s="1"/>
  <c r="AE150" i="10" s="1"/>
  <c r="AL150" i="10" s="1"/>
  <c r="I150" i="10"/>
  <c r="AJ149" i="10"/>
  <c r="AQ149" i="10" s="1"/>
  <c r="AC149" i="10"/>
  <c r="V149" i="10"/>
  <c r="S149" i="10"/>
  <c r="Z149" i="10" s="1"/>
  <c r="AG149" i="10" s="1"/>
  <c r="AN149" i="10" s="1"/>
  <c r="P149" i="10"/>
  <c r="W149" i="10" s="1"/>
  <c r="AD149" i="10" s="1"/>
  <c r="AK149" i="10" s="1"/>
  <c r="AR149" i="10" s="1"/>
  <c r="O149" i="10"/>
  <c r="N149" i="10"/>
  <c r="U149" i="10" s="1"/>
  <c r="AB149" i="10" s="1"/>
  <c r="AI149" i="10" s="1"/>
  <c r="AP149" i="10" s="1"/>
  <c r="L149" i="10"/>
  <c r="K149" i="10"/>
  <c r="R149" i="10" s="1"/>
  <c r="Y149" i="10" s="1"/>
  <c r="AF149" i="10" s="1"/>
  <c r="AM149" i="10" s="1"/>
  <c r="J149" i="10"/>
  <c r="Q149" i="10" s="1"/>
  <c r="X149" i="10" s="1"/>
  <c r="AE149" i="10" s="1"/>
  <c r="AL149" i="10" s="1"/>
  <c r="I149" i="10"/>
  <c r="AR148" i="10"/>
  <c r="AB148" i="10"/>
  <c r="AI148" i="10" s="1"/>
  <c r="AP148" i="10" s="1"/>
  <c r="V148" i="10"/>
  <c r="AC148" i="10" s="1"/>
  <c r="AJ148" i="10" s="1"/>
  <c r="AQ148" i="10" s="1"/>
  <c r="S148" i="10"/>
  <c r="Z148" i="10" s="1"/>
  <c r="AG148" i="10" s="1"/>
  <c r="AN148" i="10" s="1"/>
  <c r="R148" i="10"/>
  <c r="Y148" i="10" s="1"/>
  <c r="AF148" i="10" s="1"/>
  <c r="AM148" i="10" s="1"/>
  <c r="P148" i="10"/>
  <c r="W148" i="10" s="1"/>
  <c r="AD148" i="10" s="1"/>
  <c r="AK148" i="10" s="1"/>
  <c r="O148" i="10"/>
  <c r="N148" i="10"/>
  <c r="U148" i="10" s="1"/>
  <c r="L148" i="10"/>
  <c r="K148" i="10"/>
  <c r="J148" i="10"/>
  <c r="Q148" i="10" s="1"/>
  <c r="X148" i="10" s="1"/>
  <c r="AE148" i="10" s="1"/>
  <c r="AL148" i="10" s="1"/>
  <c r="I148" i="10"/>
  <c r="AF147" i="10"/>
  <c r="AM147" i="10" s="1"/>
  <c r="Z147" i="10"/>
  <c r="AG147" i="10" s="1"/>
  <c r="AN147" i="10" s="1"/>
  <c r="Y147" i="10"/>
  <c r="R147" i="10"/>
  <c r="P147" i="10"/>
  <c r="W147" i="10" s="1"/>
  <c r="AD147" i="10" s="1"/>
  <c r="AK147" i="10" s="1"/>
  <c r="AR147" i="10" s="1"/>
  <c r="O147" i="10"/>
  <c r="V147" i="10" s="1"/>
  <c r="AC147" i="10" s="1"/>
  <c r="AJ147" i="10" s="1"/>
  <c r="AQ147" i="10" s="1"/>
  <c r="N147" i="10"/>
  <c r="U147" i="10" s="1"/>
  <c r="AB147" i="10" s="1"/>
  <c r="AI147" i="10" s="1"/>
  <c r="AP147" i="10" s="1"/>
  <c r="L147" i="10"/>
  <c r="S147" i="10" s="1"/>
  <c r="K147" i="10"/>
  <c r="J147" i="10"/>
  <c r="Q147" i="10" s="1"/>
  <c r="X147" i="10" s="1"/>
  <c r="AE147" i="10" s="1"/>
  <c r="AL147" i="10" s="1"/>
  <c r="I147" i="10"/>
  <c r="AE146" i="10"/>
  <c r="AL146" i="10" s="1"/>
  <c r="X146" i="10"/>
  <c r="R146" i="10"/>
  <c r="Y146" i="10" s="1"/>
  <c r="AF146" i="10" s="1"/>
  <c r="AM146" i="10" s="1"/>
  <c r="P146" i="10"/>
  <c r="W146" i="10" s="1"/>
  <c r="AD146" i="10" s="1"/>
  <c r="AK146" i="10" s="1"/>
  <c r="AR146" i="10" s="1"/>
  <c r="O146" i="10"/>
  <c r="V146" i="10" s="1"/>
  <c r="AC146" i="10" s="1"/>
  <c r="AJ146" i="10" s="1"/>
  <c r="AQ146" i="10" s="1"/>
  <c r="N146" i="10"/>
  <c r="U146" i="10" s="1"/>
  <c r="AB146" i="10" s="1"/>
  <c r="AI146" i="10" s="1"/>
  <c r="AP146" i="10" s="1"/>
  <c r="M146" i="10"/>
  <c r="T146" i="10" s="1"/>
  <c r="AA146" i="10" s="1"/>
  <c r="AH146" i="10" s="1"/>
  <c r="AO146" i="10" s="1"/>
  <c r="K146" i="10"/>
  <c r="J146" i="10"/>
  <c r="Q146" i="10" s="1"/>
  <c r="I146" i="10"/>
  <c r="AD145" i="10"/>
  <c r="AK145" i="10" s="1"/>
  <c r="AR145" i="10" s="1"/>
  <c r="AC145" i="10"/>
  <c r="AJ145" i="10" s="1"/>
  <c r="AQ145" i="10" s="1"/>
  <c r="V145" i="10"/>
  <c r="U145" i="10"/>
  <c r="AB145" i="10" s="1"/>
  <c r="AI145" i="10" s="1"/>
  <c r="AP145" i="10" s="1"/>
  <c r="T145" i="10"/>
  <c r="AA145" i="10" s="1"/>
  <c r="AH145" i="10" s="1"/>
  <c r="AO145" i="10" s="1"/>
  <c r="S145" i="10"/>
  <c r="Z145" i="10" s="1"/>
  <c r="AG145" i="10" s="1"/>
  <c r="AN145" i="10" s="1"/>
  <c r="P145" i="10"/>
  <c r="W145" i="10" s="1"/>
  <c r="O145" i="10"/>
  <c r="N145" i="10"/>
  <c r="M145" i="10"/>
  <c r="L145" i="10"/>
  <c r="J145" i="10"/>
  <c r="Q145" i="10" s="1"/>
  <c r="X145" i="10" s="1"/>
  <c r="AE145" i="10" s="1"/>
  <c r="AL145" i="10" s="1"/>
  <c r="I145" i="10"/>
  <c r="AR144" i="10"/>
  <c r="AL144" i="10"/>
  <c r="AD144" i="10"/>
  <c r="AK144" i="10" s="1"/>
  <c r="Z144" i="10"/>
  <c r="AG144" i="10" s="1"/>
  <c r="AN144" i="10" s="1"/>
  <c r="V144" i="10"/>
  <c r="AC144" i="10" s="1"/>
  <c r="AJ144" i="10" s="1"/>
  <c r="AQ144" i="10" s="1"/>
  <c r="T144" i="10"/>
  <c r="AA144" i="10" s="1"/>
  <c r="AH144" i="10" s="1"/>
  <c r="AO144" i="10" s="1"/>
  <c r="S144" i="10"/>
  <c r="Q144" i="10"/>
  <c r="X144" i="10" s="1"/>
  <c r="AE144" i="10" s="1"/>
  <c r="P144" i="10"/>
  <c r="W144" i="10" s="1"/>
  <c r="O144" i="10"/>
  <c r="N144" i="10"/>
  <c r="U144" i="10" s="1"/>
  <c r="AB144" i="10" s="1"/>
  <c r="AI144" i="10" s="1"/>
  <c r="AP144" i="10" s="1"/>
  <c r="M144" i="10"/>
  <c r="L144" i="10"/>
  <c r="K144" i="10"/>
  <c r="R144" i="10" s="1"/>
  <c r="Y144" i="10" s="1"/>
  <c r="AF144" i="10" s="1"/>
  <c r="AM144" i="10" s="1"/>
  <c r="J144" i="10"/>
  <c r="I144" i="10"/>
  <c r="AP143" i="10"/>
  <c r="AB143" i="10"/>
  <c r="AI143" i="10" s="1"/>
  <c r="W143" i="10"/>
  <c r="AD143" i="10" s="1"/>
  <c r="AK143" i="10" s="1"/>
  <c r="AR143" i="10" s="1"/>
  <c r="V143" i="10"/>
  <c r="AC143" i="10" s="1"/>
  <c r="AJ143" i="10" s="1"/>
  <c r="AQ143" i="10" s="1"/>
  <c r="R143" i="10"/>
  <c r="Y143" i="10" s="1"/>
  <c r="AF143" i="10" s="1"/>
  <c r="AM143" i="10" s="1"/>
  <c r="P143" i="10"/>
  <c r="O143" i="10"/>
  <c r="N143" i="10"/>
  <c r="U143" i="10" s="1"/>
  <c r="L143" i="10"/>
  <c r="S143" i="10" s="1"/>
  <c r="Z143" i="10" s="1"/>
  <c r="AG143" i="10" s="1"/>
  <c r="AN143" i="10" s="1"/>
  <c r="K143" i="10"/>
  <c r="J143" i="10"/>
  <c r="I143" i="10"/>
  <c r="R142" i="10"/>
  <c r="Y142" i="10" s="1"/>
  <c r="AF142" i="10" s="1"/>
  <c r="AM142" i="10" s="1"/>
  <c r="P142" i="10"/>
  <c r="W142" i="10" s="1"/>
  <c r="AD142" i="10" s="1"/>
  <c r="AK142" i="10" s="1"/>
  <c r="AR142" i="10" s="1"/>
  <c r="O142" i="10"/>
  <c r="V142" i="10" s="1"/>
  <c r="AC142" i="10" s="1"/>
  <c r="AJ142" i="10" s="1"/>
  <c r="AQ142" i="10" s="1"/>
  <c r="N142" i="10"/>
  <c r="U142" i="10" s="1"/>
  <c r="AB142" i="10" s="1"/>
  <c r="AI142" i="10" s="1"/>
  <c r="AP142" i="10" s="1"/>
  <c r="L142" i="10"/>
  <c r="S142" i="10" s="1"/>
  <c r="Z142" i="10" s="1"/>
  <c r="AG142" i="10" s="1"/>
  <c r="AN142" i="10" s="1"/>
  <c r="K142" i="10"/>
  <c r="J142" i="10"/>
  <c r="Q142" i="10" s="1"/>
  <c r="X142" i="10" s="1"/>
  <c r="AE142" i="10" s="1"/>
  <c r="AL142" i="10" s="1"/>
  <c r="I142" i="10"/>
  <c r="AL141" i="10"/>
  <c r="X141" i="10"/>
  <c r="AE141" i="10" s="1"/>
  <c r="V141" i="10"/>
  <c r="AC141" i="10" s="1"/>
  <c r="AJ141" i="10" s="1"/>
  <c r="AQ141" i="10" s="1"/>
  <c r="R141" i="10"/>
  <c r="Y141" i="10" s="1"/>
  <c r="AF141" i="10" s="1"/>
  <c r="AM141" i="10" s="1"/>
  <c r="P141" i="10"/>
  <c r="W141" i="10" s="1"/>
  <c r="AD141" i="10" s="1"/>
  <c r="AK141" i="10" s="1"/>
  <c r="AR141" i="10" s="1"/>
  <c r="O141" i="10"/>
  <c r="N141" i="10"/>
  <c r="U141" i="10" s="1"/>
  <c r="AB141" i="10" s="1"/>
  <c r="AI141" i="10" s="1"/>
  <c r="AP141" i="10" s="1"/>
  <c r="M141" i="10"/>
  <c r="T141" i="10" s="1"/>
  <c r="AA141" i="10" s="1"/>
  <c r="AH141" i="10" s="1"/>
  <c r="AO141" i="10" s="1"/>
  <c r="K141" i="10"/>
  <c r="J141" i="10"/>
  <c r="Q141" i="10" s="1"/>
  <c r="I141" i="10"/>
  <c r="W140" i="10"/>
  <c r="AD140" i="10" s="1"/>
  <c r="AK140" i="10" s="1"/>
  <c r="AR140" i="10" s="1"/>
  <c r="S140" i="10"/>
  <c r="Z140" i="10" s="1"/>
  <c r="AG140" i="10" s="1"/>
  <c r="AN140" i="10" s="1"/>
  <c r="P140" i="10"/>
  <c r="O140" i="10"/>
  <c r="V140" i="10" s="1"/>
  <c r="AC140" i="10" s="1"/>
  <c r="AJ140" i="10" s="1"/>
  <c r="AQ140" i="10" s="1"/>
  <c r="N140" i="10"/>
  <c r="U140" i="10" s="1"/>
  <c r="AB140" i="10" s="1"/>
  <c r="AI140" i="10" s="1"/>
  <c r="AP140" i="10" s="1"/>
  <c r="M140" i="10"/>
  <c r="T140" i="10" s="1"/>
  <c r="AA140" i="10" s="1"/>
  <c r="AH140" i="10" s="1"/>
  <c r="AO140" i="10" s="1"/>
  <c r="L140" i="10"/>
  <c r="K140" i="10"/>
  <c r="R140" i="10" s="1"/>
  <c r="Y140" i="10" s="1"/>
  <c r="AF140" i="10" s="1"/>
  <c r="AM140" i="10" s="1"/>
  <c r="J140" i="10"/>
  <c r="Q140" i="10" s="1"/>
  <c r="X140" i="10" s="1"/>
  <c r="AE140" i="10" s="1"/>
  <c r="AL140" i="10" s="1"/>
  <c r="I140" i="10"/>
  <c r="U139" i="10"/>
  <c r="AB139" i="10" s="1"/>
  <c r="AI139" i="10" s="1"/>
  <c r="AP139" i="10" s="1"/>
  <c r="Q139" i="10"/>
  <c r="X139" i="10" s="1"/>
  <c r="AE139" i="10" s="1"/>
  <c r="AL139" i="10" s="1"/>
  <c r="P139" i="10"/>
  <c r="W139" i="10" s="1"/>
  <c r="AD139" i="10" s="1"/>
  <c r="AK139" i="10" s="1"/>
  <c r="AR139" i="10" s="1"/>
  <c r="O139" i="10"/>
  <c r="V139" i="10" s="1"/>
  <c r="AC139" i="10" s="1"/>
  <c r="AJ139" i="10" s="1"/>
  <c r="AQ139" i="10" s="1"/>
  <c r="N139" i="10"/>
  <c r="M139" i="10"/>
  <c r="T139" i="10" s="1"/>
  <c r="AA139" i="10" s="1"/>
  <c r="AH139" i="10" s="1"/>
  <c r="AO139" i="10" s="1"/>
  <c r="K139" i="10"/>
  <c r="R139" i="10" s="1"/>
  <c r="Y139" i="10" s="1"/>
  <c r="AF139" i="10" s="1"/>
  <c r="AM139" i="10" s="1"/>
  <c r="J139" i="10"/>
  <c r="I139" i="10"/>
  <c r="W138" i="10"/>
  <c r="AD138" i="10" s="1"/>
  <c r="AK138" i="10" s="1"/>
  <c r="AR138" i="10" s="1"/>
  <c r="S138" i="10"/>
  <c r="Z138" i="10" s="1"/>
  <c r="AG138" i="10" s="1"/>
  <c r="AN138" i="10" s="1"/>
  <c r="P138" i="10"/>
  <c r="O138" i="10"/>
  <c r="V138" i="10" s="1"/>
  <c r="AC138" i="10" s="1"/>
  <c r="AJ138" i="10" s="1"/>
  <c r="AQ138" i="10" s="1"/>
  <c r="N138" i="10"/>
  <c r="U138" i="10" s="1"/>
  <c r="AB138" i="10" s="1"/>
  <c r="AI138" i="10" s="1"/>
  <c r="AP138" i="10" s="1"/>
  <c r="L138" i="10"/>
  <c r="K138" i="10"/>
  <c r="R138" i="10" s="1"/>
  <c r="Y138" i="10" s="1"/>
  <c r="AF138" i="10" s="1"/>
  <c r="AM138" i="10" s="1"/>
  <c r="J138" i="10"/>
  <c r="I138" i="10"/>
  <c r="U137" i="10"/>
  <c r="AB137" i="10" s="1"/>
  <c r="AI137" i="10" s="1"/>
  <c r="AP137" i="10" s="1"/>
  <c r="P137" i="10"/>
  <c r="W137" i="10" s="1"/>
  <c r="AD137" i="10" s="1"/>
  <c r="AK137" i="10" s="1"/>
  <c r="AR137" i="10" s="1"/>
  <c r="O137" i="10"/>
  <c r="V137" i="10" s="1"/>
  <c r="AC137" i="10" s="1"/>
  <c r="AJ137" i="10" s="1"/>
  <c r="AQ137" i="10" s="1"/>
  <c r="N137" i="10"/>
  <c r="M137" i="10"/>
  <c r="T137" i="10" s="1"/>
  <c r="AA137" i="10" s="1"/>
  <c r="AH137" i="10" s="1"/>
  <c r="AO137" i="10" s="1"/>
  <c r="L137" i="10"/>
  <c r="S137" i="10" s="1"/>
  <c r="Z137" i="10" s="1"/>
  <c r="AG137" i="10" s="1"/>
  <c r="AN137" i="10" s="1"/>
  <c r="K137" i="10"/>
  <c r="R137" i="10" s="1"/>
  <c r="Y137" i="10" s="1"/>
  <c r="AF137" i="10" s="1"/>
  <c r="AM137" i="10" s="1"/>
  <c r="I137" i="10"/>
  <c r="W136" i="10"/>
  <c r="AD136" i="10" s="1"/>
  <c r="AK136" i="10" s="1"/>
  <c r="AR136" i="10" s="1"/>
  <c r="S136" i="10"/>
  <c r="Z136" i="10" s="1"/>
  <c r="AG136" i="10" s="1"/>
  <c r="AN136" i="10" s="1"/>
  <c r="P136" i="10"/>
  <c r="O136" i="10"/>
  <c r="V136" i="10" s="1"/>
  <c r="AC136" i="10" s="1"/>
  <c r="AJ136" i="10" s="1"/>
  <c r="AQ136" i="10" s="1"/>
  <c r="N136" i="10"/>
  <c r="U136" i="10" s="1"/>
  <c r="AB136" i="10" s="1"/>
  <c r="AI136" i="10" s="1"/>
  <c r="AP136" i="10" s="1"/>
  <c r="L136" i="10"/>
  <c r="K136" i="10"/>
  <c r="R136" i="10" s="1"/>
  <c r="Y136" i="10" s="1"/>
  <c r="AF136" i="10" s="1"/>
  <c r="AM136" i="10" s="1"/>
  <c r="J136" i="10"/>
  <c r="Q136" i="10" s="1"/>
  <c r="X136" i="10" s="1"/>
  <c r="AE136" i="10" s="1"/>
  <c r="AL136" i="10" s="1"/>
  <c r="I136" i="10"/>
  <c r="U135" i="10"/>
  <c r="AB135" i="10" s="1"/>
  <c r="AI135" i="10" s="1"/>
  <c r="AP135" i="10" s="1"/>
  <c r="Q135" i="10"/>
  <c r="X135" i="10" s="1"/>
  <c r="AE135" i="10" s="1"/>
  <c r="AL135" i="10" s="1"/>
  <c r="P135" i="10"/>
  <c r="W135" i="10" s="1"/>
  <c r="AD135" i="10" s="1"/>
  <c r="AK135" i="10" s="1"/>
  <c r="AR135" i="10" s="1"/>
  <c r="O135" i="10"/>
  <c r="V135" i="10" s="1"/>
  <c r="AC135" i="10" s="1"/>
  <c r="AJ135" i="10" s="1"/>
  <c r="AQ135" i="10" s="1"/>
  <c r="N135" i="10"/>
  <c r="L135" i="10"/>
  <c r="S135" i="10" s="1"/>
  <c r="Z135" i="10" s="1"/>
  <c r="AG135" i="10" s="1"/>
  <c r="AN135" i="10" s="1"/>
  <c r="K135" i="10"/>
  <c r="R135" i="10" s="1"/>
  <c r="Y135" i="10" s="1"/>
  <c r="AF135" i="10" s="1"/>
  <c r="AM135" i="10" s="1"/>
  <c r="J135" i="10"/>
  <c r="I135" i="10"/>
  <c r="W134" i="10"/>
  <c r="AD134" i="10" s="1"/>
  <c r="AK134" i="10" s="1"/>
  <c r="AR134" i="10" s="1"/>
  <c r="S134" i="10"/>
  <c r="Z134" i="10" s="1"/>
  <c r="AG134" i="10" s="1"/>
  <c r="AN134" i="10" s="1"/>
  <c r="P134" i="10"/>
  <c r="O134" i="10"/>
  <c r="V134" i="10" s="1"/>
  <c r="AC134" i="10" s="1"/>
  <c r="AJ134" i="10" s="1"/>
  <c r="AQ134" i="10" s="1"/>
  <c r="N134" i="10"/>
  <c r="U134" i="10" s="1"/>
  <c r="AB134" i="10" s="1"/>
  <c r="AI134" i="10" s="1"/>
  <c r="AP134" i="10" s="1"/>
  <c r="L134" i="10"/>
  <c r="K134" i="10"/>
  <c r="R134" i="10" s="1"/>
  <c r="Y134" i="10" s="1"/>
  <c r="AF134" i="10" s="1"/>
  <c r="AM134" i="10" s="1"/>
  <c r="J134" i="10"/>
  <c r="I134" i="10"/>
  <c r="U133" i="10"/>
  <c r="AB133" i="10" s="1"/>
  <c r="AI133" i="10" s="1"/>
  <c r="AP133" i="10" s="1"/>
  <c r="Q133" i="10"/>
  <c r="X133" i="10" s="1"/>
  <c r="AE133" i="10" s="1"/>
  <c r="AL133" i="10" s="1"/>
  <c r="P133" i="10"/>
  <c r="W133" i="10" s="1"/>
  <c r="AD133" i="10" s="1"/>
  <c r="AK133" i="10" s="1"/>
  <c r="AR133" i="10" s="1"/>
  <c r="O133" i="10"/>
  <c r="V133" i="10" s="1"/>
  <c r="AC133" i="10" s="1"/>
  <c r="AJ133" i="10" s="1"/>
  <c r="AQ133" i="10" s="1"/>
  <c r="N133" i="10"/>
  <c r="L133" i="10"/>
  <c r="S133" i="10" s="1"/>
  <c r="Z133" i="10" s="1"/>
  <c r="AG133" i="10" s="1"/>
  <c r="AN133" i="10" s="1"/>
  <c r="K133" i="10"/>
  <c r="R133" i="10" s="1"/>
  <c r="Y133" i="10" s="1"/>
  <c r="AF133" i="10" s="1"/>
  <c r="AM133" i="10" s="1"/>
  <c r="J133" i="10"/>
  <c r="I133" i="10"/>
  <c r="W132" i="10"/>
  <c r="AD132" i="10" s="1"/>
  <c r="AK132" i="10" s="1"/>
  <c r="AR132" i="10" s="1"/>
  <c r="S132" i="10"/>
  <c r="Z132" i="10" s="1"/>
  <c r="AG132" i="10" s="1"/>
  <c r="AN132" i="10" s="1"/>
  <c r="P132" i="10"/>
  <c r="O132" i="10"/>
  <c r="V132" i="10" s="1"/>
  <c r="AC132" i="10" s="1"/>
  <c r="AJ132" i="10" s="1"/>
  <c r="AQ132" i="10" s="1"/>
  <c r="N132" i="10"/>
  <c r="U132" i="10" s="1"/>
  <c r="AB132" i="10" s="1"/>
  <c r="AI132" i="10" s="1"/>
  <c r="AP132" i="10" s="1"/>
  <c r="L132" i="10"/>
  <c r="K132" i="10"/>
  <c r="R132" i="10" s="1"/>
  <c r="Y132" i="10" s="1"/>
  <c r="AF132" i="10" s="1"/>
  <c r="AM132" i="10" s="1"/>
  <c r="J132" i="10"/>
  <c r="Q132" i="10" s="1"/>
  <c r="X132" i="10" s="1"/>
  <c r="AE132" i="10" s="1"/>
  <c r="AL132" i="10" s="1"/>
  <c r="I132" i="10"/>
  <c r="AC131" i="10"/>
  <c r="AJ131" i="10" s="1"/>
  <c r="AQ131" i="10" s="1"/>
  <c r="U131" i="10"/>
  <c r="AB131" i="10" s="1"/>
  <c r="AI131" i="10" s="1"/>
  <c r="AP131" i="10" s="1"/>
  <c r="Q131" i="10"/>
  <c r="X131" i="10" s="1"/>
  <c r="AE131" i="10" s="1"/>
  <c r="AL131" i="10" s="1"/>
  <c r="P131" i="10"/>
  <c r="W131" i="10" s="1"/>
  <c r="AD131" i="10" s="1"/>
  <c r="AK131" i="10" s="1"/>
  <c r="AR131" i="10" s="1"/>
  <c r="O131" i="10"/>
  <c r="V131" i="10" s="1"/>
  <c r="N131" i="10"/>
  <c r="L131" i="10"/>
  <c r="S131" i="10" s="1"/>
  <c r="Z131" i="10" s="1"/>
  <c r="AG131" i="10" s="1"/>
  <c r="AN131" i="10" s="1"/>
  <c r="K131" i="10"/>
  <c r="R131" i="10" s="1"/>
  <c r="Y131" i="10" s="1"/>
  <c r="AF131" i="10" s="1"/>
  <c r="AM131" i="10" s="1"/>
  <c r="J131" i="10"/>
  <c r="I131" i="10"/>
  <c r="AQ130" i="10"/>
  <c r="AI130" i="10"/>
  <c r="AP130" i="10" s="1"/>
  <c r="W130" i="10"/>
  <c r="AD130" i="10" s="1"/>
  <c r="AK130" i="10" s="1"/>
  <c r="AR130" i="10" s="1"/>
  <c r="S130" i="10"/>
  <c r="Z130" i="10" s="1"/>
  <c r="AG130" i="10" s="1"/>
  <c r="AN130" i="10" s="1"/>
  <c r="P130" i="10"/>
  <c r="O130" i="10"/>
  <c r="V130" i="10" s="1"/>
  <c r="AC130" i="10" s="1"/>
  <c r="AJ130" i="10" s="1"/>
  <c r="N130" i="10"/>
  <c r="U130" i="10" s="1"/>
  <c r="AB130" i="10" s="1"/>
  <c r="L130" i="10"/>
  <c r="K130" i="10"/>
  <c r="R130" i="10" s="1"/>
  <c r="Y130" i="10" s="1"/>
  <c r="AF130" i="10" s="1"/>
  <c r="AM130" i="10" s="1"/>
  <c r="J130" i="10"/>
  <c r="I130" i="10"/>
  <c r="AG129" i="10"/>
  <c r="AN129" i="10" s="1"/>
  <c r="U129" i="10"/>
  <c r="AB129" i="10" s="1"/>
  <c r="AI129" i="10" s="1"/>
  <c r="AP129" i="10" s="1"/>
  <c r="Q129" i="10"/>
  <c r="X129" i="10" s="1"/>
  <c r="AE129" i="10" s="1"/>
  <c r="AL129" i="10" s="1"/>
  <c r="P129" i="10"/>
  <c r="W129" i="10" s="1"/>
  <c r="AD129" i="10" s="1"/>
  <c r="AK129" i="10" s="1"/>
  <c r="AR129" i="10" s="1"/>
  <c r="O129" i="10"/>
  <c r="V129" i="10" s="1"/>
  <c r="AC129" i="10" s="1"/>
  <c r="AJ129" i="10" s="1"/>
  <c r="AQ129" i="10" s="1"/>
  <c r="N129" i="10"/>
  <c r="L129" i="10"/>
  <c r="S129" i="10" s="1"/>
  <c r="Z129" i="10" s="1"/>
  <c r="K129" i="10"/>
  <c r="R129" i="10" s="1"/>
  <c r="Y129" i="10" s="1"/>
  <c r="AF129" i="10" s="1"/>
  <c r="AM129" i="10" s="1"/>
  <c r="J129" i="10"/>
  <c r="I129" i="10"/>
  <c r="AE128" i="10"/>
  <c r="AL128" i="10" s="1"/>
  <c r="W128" i="10"/>
  <c r="AD128" i="10" s="1"/>
  <c r="AK128" i="10" s="1"/>
  <c r="AR128" i="10" s="1"/>
  <c r="P128" i="10"/>
  <c r="O128" i="10"/>
  <c r="V128" i="10" s="1"/>
  <c r="AC128" i="10" s="1"/>
  <c r="AJ128" i="10" s="1"/>
  <c r="AQ128" i="10" s="1"/>
  <c r="N128" i="10"/>
  <c r="U128" i="10" s="1"/>
  <c r="AB128" i="10" s="1"/>
  <c r="AI128" i="10" s="1"/>
  <c r="AP128" i="10" s="1"/>
  <c r="M128" i="10"/>
  <c r="T128" i="10" s="1"/>
  <c r="AA128" i="10" s="1"/>
  <c r="AH128" i="10" s="1"/>
  <c r="AO128" i="10" s="1"/>
  <c r="K128" i="10"/>
  <c r="R128" i="10" s="1"/>
  <c r="Y128" i="10" s="1"/>
  <c r="AF128" i="10" s="1"/>
  <c r="AM128" i="10" s="1"/>
  <c r="J128" i="10"/>
  <c r="Q128" i="10" s="1"/>
  <c r="X128" i="10" s="1"/>
  <c r="I128" i="10"/>
  <c r="AJ127" i="10"/>
  <c r="AQ127" i="10" s="1"/>
  <c r="AC127" i="10"/>
  <c r="U127" i="10"/>
  <c r="AB127" i="10" s="1"/>
  <c r="AI127" i="10" s="1"/>
  <c r="AP127" i="10" s="1"/>
  <c r="T127" i="10"/>
  <c r="AA127" i="10" s="1"/>
  <c r="AH127" i="10" s="1"/>
  <c r="AO127" i="10" s="1"/>
  <c r="Q127" i="10"/>
  <c r="X127" i="10" s="1"/>
  <c r="AE127" i="10" s="1"/>
  <c r="AL127" i="10" s="1"/>
  <c r="P127" i="10"/>
  <c r="W127" i="10" s="1"/>
  <c r="AD127" i="10" s="1"/>
  <c r="AK127" i="10" s="1"/>
  <c r="AR127" i="10" s="1"/>
  <c r="O127" i="10"/>
  <c r="V127" i="10" s="1"/>
  <c r="N127" i="10"/>
  <c r="M127" i="10"/>
  <c r="K127" i="10"/>
  <c r="R127" i="10" s="1"/>
  <c r="Y127" i="10" s="1"/>
  <c r="AF127" i="10" s="1"/>
  <c r="AM127" i="10" s="1"/>
  <c r="J127" i="10"/>
  <c r="I127" i="10"/>
  <c r="AI126" i="10"/>
  <c r="AP126" i="10" s="1"/>
  <c r="W126" i="10"/>
  <c r="AD126" i="10" s="1"/>
  <c r="AK126" i="10" s="1"/>
  <c r="AR126" i="10" s="1"/>
  <c r="R126" i="10"/>
  <c r="Y126" i="10" s="1"/>
  <c r="AF126" i="10" s="1"/>
  <c r="AM126" i="10" s="1"/>
  <c r="P126" i="10"/>
  <c r="O126" i="10"/>
  <c r="V126" i="10" s="1"/>
  <c r="AC126" i="10" s="1"/>
  <c r="AJ126" i="10" s="1"/>
  <c r="AQ126" i="10" s="1"/>
  <c r="N126" i="10"/>
  <c r="U126" i="10" s="1"/>
  <c r="AB126" i="10" s="1"/>
  <c r="M126" i="10"/>
  <c r="T126" i="10" s="1"/>
  <c r="AA126" i="10" s="1"/>
  <c r="AH126" i="10" s="1"/>
  <c r="AO126" i="10" s="1"/>
  <c r="K126" i="10"/>
  <c r="J126" i="10"/>
  <c r="I126" i="10"/>
  <c r="U125" i="10"/>
  <c r="AB125" i="10" s="1"/>
  <c r="AI125" i="10" s="1"/>
  <c r="AP125" i="10" s="1"/>
  <c r="Q125" i="10"/>
  <c r="X125" i="10" s="1"/>
  <c r="AE125" i="10" s="1"/>
  <c r="AL125" i="10" s="1"/>
  <c r="P125" i="10"/>
  <c r="W125" i="10" s="1"/>
  <c r="AD125" i="10" s="1"/>
  <c r="AK125" i="10" s="1"/>
  <c r="AR125" i="10" s="1"/>
  <c r="O125" i="10"/>
  <c r="V125" i="10" s="1"/>
  <c r="AC125" i="10" s="1"/>
  <c r="AJ125" i="10" s="1"/>
  <c r="AQ125" i="10" s="1"/>
  <c r="N125" i="10"/>
  <c r="M125" i="10"/>
  <c r="T125" i="10" s="1"/>
  <c r="AA125" i="10" s="1"/>
  <c r="AH125" i="10" s="1"/>
  <c r="AO125" i="10" s="1"/>
  <c r="K125" i="10"/>
  <c r="R125" i="10" s="1"/>
  <c r="Y125" i="10" s="1"/>
  <c r="AF125" i="10" s="1"/>
  <c r="AM125" i="10" s="1"/>
  <c r="J125" i="10"/>
  <c r="I125" i="10"/>
  <c r="AE124" i="10"/>
  <c r="AL124" i="10" s="1"/>
  <c r="AD124" i="10"/>
  <c r="AK124" i="10" s="1"/>
  <c r="AR124" i="10" s="1"/>
  <c r="W124" i="10"/>
  <c r="P124" i="10"/>
  <c r="O124" i="10"/>
  <c r="V124" i="10" s="1"/>
  <c r="AC124" i="10" s="1"/>
  <c r="AJ124" i="10" s="1"/>
  <c r="AQ124" i="10" s="1"/>
  <c r="N124" i="10"/>
  <c r="U124" i="10" s="1"/>
  <c r="AB124" i="10" s="1"/>
  <c r="AI124" i="10" s="1"/>
  <c r="AP124" i="10" s="1"/>
  <c r="M124" i="10"/>
  <c r="T124" i="10" s="1"/>
  <c r="AA124" i="10" s="1"/>
  <c r="AH124" i="10" s="1"/>
  <c r="AO124" i="10" s="1"/>
  <c r="K124" i="10"/>
  <c r="R124" i="10" s="1"/>
  <c r="Y124" i="10" s="1"/>
  <c r="AF124" i="10" s="1"/>
  <c r="AM124" i="10" s="1"/>
  <c r="J124" i="10"/>
  <c r="Q124" i="10" s="1"/>
  <c r="X124" i="10" s="1"/>
  <c r="I124" i="10"/>
  <c r="AK123" i="10"/>
  <c r="AR123" i="10" s="1"/>
  <c r="Y123" i="10"/>
  <c r="AF123" i="10" s="1"/>
  <c r="AM123" i="10" s="1"/>
  <c r="U123" i="10"/>
  <c r="AB123" i="10" s="1"/>
  <c r="AI123" i="10" s="1"/>
  <c r="AP123" i="10" s="1"/>
  <c r="Q123" i="10"/>
  <c r="X123" i="10" s="1"/>
  <c r="AE123" i="10" s="1"/>
  <c r="AL123" i="10" s="1"/>
  <c r="P123" i="10"/>
  <c r="W123" i="10" s="1"/>
  <c r="AD123" i="10" s="1"/>
  <c r="O123" i="10"/>
  <c r="V123" i="10" s="1"/>
  <c r="AC123" i="10" s="1"/>
  <c r="AJ123" i="10" s="1"/>
  <c r="AQ123" i="10" s="1"/>
  <c r="N123" i="10"/>
  <c r="M123" i="10"/>
  <c r="T123" i="10" s="1"/>
  <c r="AA123" i="10" s="1"/>
  <c r="AH123" i="10" s="1"/>
  <c r="AO123" i="10" s="1"/>
  <c r="K123" i="10"/>
  <c r="R123" i="10" s="1"/>
  <c r="J123" i="10"/>
  <c r="I123" i="10"/>
  <c r="AI122" i="10"/>
  <c r="AP122" i="10" s="1"/>
  <c r="W122" i="10"/>
  <c r="AD122" i="10" s="1"/>
  <c r="AK122" i="10" s="1"/>
  <c r="AR122" i="10" s="1"/>
  <c r="S122" i="10"/>
  <c r="Z122" i="10" s="1"/>
  <c r="AG122" i="10" s="1"/>
  <c r="AN122" i="10" s="1"/>
  <c r="P122" i="10"/>
  <c r="O122" i="10"/>
  <c r="V122" i="10" s="1"/>
  <c r="AC122" i="10" s="1"/>
  <c r="AJ122" i="10" s="1"/>
  <c r="AQ122" i="10" s="1"/>
  <c r="N122" i="10"/>
  <c r="U122" i="10" s="1"/>
  <c r="AB122" i="10" s="1"/>
  <c r="M122" i="10"/>
  <c r="T122" i="10" s="1"/>
  <c r="AA122" i="10" s="1"/>
  <c r="AH122" i="10" s="1"/>
  <c r="AO122" i="10" s="1"/>
  <c r="L122" i="10"/>
  <c r="J122" i="10"/>
  <c r="Q122" i="10" s="1"/>
  <c r="X122" i="10" s="1"/>
  <c r="AE122" i="10" s="1"/>
  <c r="AL122" i="10" s="1"/>
  <c r="I122" i="10"/>
  <c r="AK121" i="10"/>
  <c r="AR121" i="10" s="1"/>
  <c r="AG121" i="10"/>
  <c r="AN121" i="10" s="1"/>
  <c r="AC121" i="10"/>
  <c r="AJ121" i="10" s="1"/>
  <c r="AQ121" i="10" s="1"/>
  <c r="W121" i="10"/>
  <c r="AD121" i="10" s="1"/>
  <c r="U121" i="10"/>
  <c r="AB121" i="10" s="1"/>
  <c r="AI121" i="10" s="1"/>
  <c r="AP121" i="10" s="1"/>
  <c r="Q121" i="10"/>
  <c r="X121" i="10" s="1"/>
  <c r="AE121" i="10" s="1"/>
  <c r="AL121" i="10" s="1"/>
  <c r="P121" i="10"/>
  <c r="O121" i="10"/>
  <c r="V121" i="10" s="1"/>
  <c r="N121" i="10"/>
  <c r="M121" i="10"/>
  <c r="T121" i="10" s="1"/>
  <c r="AA121" i="10" s="1"/>
  <c r="AH121" i="10" s="1"/>
  <c r="AO121" i="10" s="1"/>
  <c r="L121" i="10"/>
  <c r="S121" i="10" s="1"/>
  <c r="Z121" i="10" s="1"/>
  <c r="J121" i="10"/>
  <c r="I121" i="10"/>
  <c r="AM120" i="10"/>
  <c r="AD120" i="10"/>
  <c r="AK120" i="10" s="1"/>
  <c r="AR120" i="10" s="1"/>
  <c r="W120" i="10"/>
  <c r="U120" i="10"/>
  <c r="AB120" i="10" s="1"/>
  <c r="AI120" i="10" s="1"/>
  <c r="AP120" i="10" s="1"/>
  <c r="S120" i="10"/>
  <c r="Z120" i="10" s="1"/>
  <c r="AG120" i="10" s="1"/>
  <c r="AN120" i="10" s="1"/>
  <c r="P120" i="10"/>
  <c r="O120" i="10"/>
  <c r="V120" i="10" s="1"/>
  <c r="AC120" i="10" s="1"/>
  <c r="AJ120" i="10" s="1"/>
  <c r="AQ120" i="10" s="1"/>
  <c r="N120" i="10"/>
  <c r="L120" i="10"/>
  <c r="K120" i="10"/>
  <c r="R120" i="10" s="1"/>
  <c r="Y120" i="10" s="1"/>
  <c r="AF120" i="10" s="1"/>
  <c r="J120" i="10"/>
  <c r="Q120" i="10" s="1"/>
  <c r="X120" i="10" s="1"/>
  <c r="AE120" i="10" s="1"/>
  <c r="AL120" i="10" s="1"/>
  <c r="I120" i="10"/>
  <c r="AB119" i="10"/>
  <c r="AI119" i="10" s="1"/>
  <c r="AP119" i="10" s="1"/>
  <c r="U119" i="10"/>
  <c r="S119" i="10"/>
  <c r="Z119" i="10" s="1"/>
  <c r="AG119" i="10" s="1"/>
  <c r="AN119" i="10" s="1"/>
  <c r="Q119" i="10"/>
  <c r="X119" i="10" s="1"/>
  <c r="AE119" i="10" s="1"/>
  <c r="AL119" i="10" s="1"/>
  <c r="P119" i="10"/>
  <c r="W119" i="10" s="1"/>
  <c r="AD119" i="10" s="1"/>
  <c r="AK119" i="10" s="1"/>
  <c r="AR119" i="10" s="1"/>
  <c r="O119" i="10"/>
  <c r="V119" i="10" s="1"/>
  <c r="AC119" i="10" s="1"/>
  <c r="AJ119" i="10" s="1"/>
  <c r="AQ119" i="10" s="1"/>
  <c r="N119" i="10"/>
  <c r="L119" i="10"/>
  <c r="K119" i="10"/>
  <c r="R119" i="10" s="1"/>
  <c r="Y119" i="10" s="1"/>
  <c r="AF119" i="10" s="1"/>
  <c r="AM119" i="10" s="1"/>
  <c r="J119" i="10"/>
  <c r="I119" i="10"/>
  <c r="Z118" i="10"/>
  <c r="AG118" i="10" s="1"/>
  <c r="AN118" i="10" s="1"/>
  <c r="W118" i="10"/>
  <c r="AD118" i="10" s="1"/>
  <c r="AK118" i="10" s="1"/>
  <c r="AR118" i="10" s="1"/>
  <c r="S118" i="10"/>
  <c r="R118" i="10"/>
  <c r="Y118" i="10" s="1"/>
  <c r="AF118" i="10" s="1"/>
  <c r="AM118" i="10" s="1"/>
  <c r="Q118" i="10"/>
  <c r="X118" i="10" s="1"/>
  <c r="AE118" i="10" s="1"/>
  <c r="AL118" i="10" s="1"/>
  <c r="P118" i="10"/>
  <c r="O118" i="10"/>
  <c r="V118" i="10" s="1"/>
  <c r="AC118" i="10" s="1"/>
  <c r="AJ118" i="10" s="1"/>
  <c r="AQ118" i="10" s="1"/>
  <c r="N118" i="10"/>
  <c r="U118" i="10" s="1"/>
  <c r="AB118" i="10" s="1"/>
  <c r="AI118" i="10" s="1"/>
  <c r="AP118" i="10" s="1"/>
  <c r="L118" i="10"/>
  <c r="K118" i="10"/>
  <c r="J118" i="10"/>
  <c r="I118" i="10"/>
  <c r="AC117" i="10"/>
  <c r="AJ117" i="10" s="1"/>
  <c r="AQ117" i="10" s="1"/>
  <c r="X117" i="10"/>
  <c r="AE117" i="10" s="1"/>
  <c r="AL117" i="10" s="1"/>
  <c r="W117" i="10"/>
  <c r="AD117" i="10" s="1"/>
  <c r="AK117" i="10" s="1"/>
  <c r="AR117" i="10" s="1"/>
  <c r="U117" i="10"/>
  <c r="AB117" i="10" s="1"/>
  <c r="AI117" i="10" s="1"/>
  <c r="AP117" i="10" s="1"/>
  <c r="Q117" i="10"/>
  <c r="P117" i="10"/>
  <c r="O117" i="10"/>
  <c r="V117" i="10" s="1"/>
  <c r="N117" i="10"/>
  <c r="L117" i="10"/>
  <c r="S117" i="10" s="1"/>
  <c r="Z117" i="10" s="1"/>
  <c r="AG117" i="10" s="1"/>
  <c r="AN117" i="10" s="1"/>
  <c r="K117" i="10"/>
  <c r="R117" i="10" s="1"/>
  <c r="Y117" i="10" s="1"/>
  <c r="AF117" i="10" s="1"/>
  <c r="AM117" i="10" s="1"/>
  <c r="J117" i="10"/>
  <c r="I117" i="10"/>
  <c r="W116" i="10"/>
  <c r="AD116" i="10" s="1"/>
  <c r="AK116" i="10" s="1"/>
  <c r="AR116" i="10" s="1"/>
  <c r="V116" i="10"/>
  <c r="AC116" i="10" s="1"/>
  <c r="AJ116" i="10" s="1"/>
  <c r="AQ116" i="10" s="1"/>
  <c r="U116" i="10"/>
  <c r="AB116" i="10" s="1"/>
  <c r="AI116" i="10" s="1"/>
  <c r="AP116" i="10" s="1"/>
  <c r="P116" i="10"/>
  <c r="O116" i="10"/>
  <c r="N116" i="10"/>
  <c r="M116" i="10"/>
  <c r="T116" i="10" s="1"/>
  <c r="AA116" i="10" s="1"/>
  <c r="AH116" i="10" s="1"/>
  <c r="AO116" i="10" s="1"/>
  <c r="K116" i="10"/>
  <c r="R116" i="10" s="1"/>
  <c r="Y116" i="10" s="1"/>
  <c r="AF116" i="10" s="1"/>
  <c r="AM116" i="10" s="1"/>
  <c r="J116" i="10"/>
  <c r="Q116" i="10" s="1"/>
  <c r="X116" i="10" s="1"/>
  <c r="AE116" i="10" s="1"/>
  <c r="AL116" i="10" s="1"/>
  <c r="I116" i="10"/>
  <c r="AK115" i="10"/>
  <c r="AR115" i="10" s="1"/>
  <c r="AJ115" i="10"/>
  <c r="AQ115" i="10" s="1"/>
  <c r="AC115" i="10"/>
  <c r="V115" i="10"/>
  <c r="U115" i="10"/>
  <c r="AB115" i="10" s="1"/>
  <c r="AI115" i="10" s="1"/>
  <c r="AP115" i="10" s="1"/>
  <c r="S115" i="10"/>
  <c r="Z115" i="10" s="1"/>
  <c r="AG115" i="10" s="1"/>
  <c r="AN115" i="10" s="1"/>
  <c r="Q115" i="10"/>
  <c r="X115" i="10" s="1"/>
  <c r="AE115" i="10" s="1"/>
  <c r="AL115" i="10" s="1"/>
  <c r="P115" i="10"/>
  <c r="W115" i="10" s="1"/>
  <c r="AD115" i="10" s="1"/>
  <c r="O115" i="10"/>
  <c r="N115" i="10"/>
  <c r="M115" i="10"/>
  <c r="T115" i="10" s="1"/>
  <c r="AA115" i="10" s="1"/>
  <c r="AH115" i="10" s="1"/>
  <c r="AO115" i="10" s="1"/>
  <c r="L115" i="10"/>
  <c r="J115" i="10"/>
  <c r="I115" i="10"/>
  <c r="AI114" i="10"/>
  <c r="AP114" i="10" s="1"/>
  <c r="W114" i="10"/>
  <c r="AD114" i="10" s="1"/>
  <c r="AK114" i="10" s="1"/>
  <c r="AR114" i="10" s="1"/>
  <c r="S114" i="10"/>
  <c r="Z114" i="10" s="1"/>
  <c r="AG114" i="10" s="1"/>
  <c r="AN114" i="10" s="1"/>
  <c r="Q114" i="10"/>
  <c r="X114" i="10" s="1"/>
  <c r="AE114" i="10" s="1"/>
  <c r="AL114" i="10" s="1"/>
  <c r="P114" i="10"/>
  <c r="O114" i="10"/>
  <c r="V114" i="10" s="1"/>
  <c r="AC114" i="10" s="1"/>
  <c r="AJ114" i="10" s="1"/>
  <c r="AQ114" i="10" s="1"/>
  <c r="N114" i="10"/>
  <c r="U114" i="10" s="1"/>
  <c r="AB114" i="10" s="1"/>
  <c r="L114" i="10"/>
  <c r="K114" i="10"/>
  <c r="R114" i="10" s="1"/>
  <c r="Y114" i="10" s="1"/>
  <c r="AF114" i="10" s="1"/>
  <c r="AM114" i="10" s="1"/>
  <c r="J114" i="10"/>
  <c r="I114" i="10"/>
  <c r="AC113" i="10"/>
  <c r="AJ113" i="10" s="1"/>
  <c r="AQ113" i="10" s="1"/>
  <c r="U113" i="10"/>
  <c r="AB113" i="10" s="1"/>
  <c r="AI113" i="10" s="1"/>
  <c r="AP113" i="10" s="1"/>
  <c r="Q113" i="10"/>
  <c r="X113" i="10" s="1"/>
  <c r="AE113" i="10" s="1"/>
  <c r="AL113" i="10" s="1"/>
  <c r="P113" i="10"/>
  <c r="W113" i="10" s="1"/>
  <c r="AD113" i="10" s="1"/>
  <c r="AK113" i="10" s="1"/>
  <c r="AR113" i="10" s="1"/>
  <c r="O113" i="10"/>
  <c r="V113" i="10" s="1"/>
  <c r="N113" i="10"/>
  <c r="M113" i="10"/>
  <c r="T113" i="10" s="1"/>
  <c r="AA113" i="10" s="1"/>
  <c r="AH113" i="10" s="1"/>
  <c r="AO113" i="10" s="1"/>
  <c r="K113" i="10"/>
  <c r="R113" i="10" s="1"/>
  <c r="Y113" i="10" s="1"/>
  <c r="AF113" i="10" s="1"/>
  <c r="AM113" i="10" s="1"/>
  <c r="J113" i="10"/>
  <c r="I113" i="10"/>
  <c r="AM112" i="10"/>
  <c r="AE112" i="10"/>
  <c r="AL112" i="10" s="1"/>
  <c r="W112" i="10"/>
  <c r="AD112" i="10" s="1"/>
  <c r="AK112" i="10" s="1"/>
  <c r="AR112" i="10" s="1"/>
  <c r="S112" i="10"/>
  <c r="Z112" i="10" s="1"/>
  <c r="AG112" i="10" s="1"/>
  <c r="AN112" i="10" s="1"/>
  <c r="P112" i="10"/>
  <c r="O112" i="10"/>
  <c r="V112" i="10" s="1"/>
  <c r="AC112" i="10" s="1"/>
  <c r="AJ112" i="10" s="1"/>
  <c r="AQ112" i="10" s="1"/>
  <c r="N112" i="10"/>
  <c r="U112" i="10" s="1"/>
  <c r="AB112" i="10" s="1"/>
  <c r="AI112" i="10" s="1"/>
  <c r="AP112" i="10" s="1"/>
  <c r="L112" i="10"/>
  <c r="K112" i="10"/>
  <c r="R112" i="10" s="1"/>
  <c r="Y112" i="10" s="1"/>
  <c r="AF112" i="10" s="1"/>
  <c r="J112" i="10"/>
  <c r="Q112" i="10" s="1"/>
  <c r="X112" i="10" s="1"/>
  <c r="I112" i="10"/>
  <c r="AK111" i="10"/>
  <c r="AR111" i="10" s="1"/>
  <c r="AC111" i="10"/>
  <c r="AJ111" i="10" s="1"/>
  <c r="AQ111" i="10" s="1"/>
  <c r="AB111" i="10"/>
  <c r="AI111" i="10" s="1"/>
  <c r="AP111" i="10" s="1"/>
  <c r="Y111" i="10"/>
  <c r="AF111" i="10" s="1"/>
  <c r="AM111" i="10" s="1"/>
  <c r="V111" i="10"/>
  <c r="U111" i="10"/>
  <c r="Q111" i="10"/>
  <c r="X111" i="10" s="1"/>
  <c r="AE111" i="10" s="1"/>
  <c r="AL111" i="10" s="1"/>
  <c r="P111" i="10"/>
  <c r="W111" i="10" s="1"/>
  <c r="AD111" i="10" s="1"/>
  <c r="O111" i="10"/>
  <c r="N111" i="10"/>
  <c r="M111" i="10"/>
  <c r="T111" i="10" s="1"/>
  <c r="AA111" i="10" s="1"/>
  <c r="AH111" i="10" s="1"/>
  <c r="AO111" i="10" s="1"/>
  <c r="K111" i="10"/>
  <c r="R111" i="10" s="1"/>
  <c r="J111" i="10"/>
  <c r="I111" i="10"/>
  <c r="AO110" i="10"/>
  <c r="AH110" i="10"/>
  <c r="AG110" i="10"/>
  <c r="AN110" i="10" s="1"/>
  <c r="AE110" i="10"/>
  <c r="AL110" i="10" s="1"/>
  <c r="AA110" i="10"/>
  <c r="Z110" i="10"/>
  <c r="X110" i="10"/>
  <c r="W110" i="10"/>
  <c r="AD110" i="10" s="1"/>
  <c r="AK110" i="10" s="1"/>
  <c r="AR110" i="10" s="1"/>
  <c r="T110" i="10"/>
  <c r="S110" i="10"/>
  <c r="Q110" i="10"/>
  <c r="P110" i="10"/>
  <c r="O110" i="10"/>
  <c r="V110" i="10" s="1"/>
  <c r="AC110" i="10" s="1"/>
  <c r="AJ110" i="10" s="1"/>
  <c r="AQ110" i="10" s="1"/>
  <c r="N110" i="10"/>
  <c r="U110" i="10" s="1"/>
  <c r="AB110" i="10" s="1"/>
  <c r="AI110" i="10" s="1"/>
  <c r="AP110" i="10" s="1"/>
  <c r="M110" i="10"/>
  <c r="L110" i="10"/>
  <c r="J110" i="10"/>
  <c r="I110" i="10"/>
  <c r="AN109" i="10"/>
  <c r="AG109" i="10"/>
  <c r="AE109" i="10"/>
  <c r="AL109" i="10" s="1"/>
  <c r="AD109" i="10"/>
  <c r="AK109" i="10" s="1"/>
  <c r="AR109" i="10" s="1"/>
  <c r="X109" i="10"/>
  <c r="W109" i="10"/>
  <c r="V109" i="10"/>
  <c r="AC109" i="10" s="1"/>
  <c r="AJ109" i="10" s="1"/>
  <c r="AQ109" i="10" s="1"/>
  <c r="U109" i="10"/>
  <c r="AB109" i="10" s="1"/>
  <c r="AI109" i="10" s="1"/>
  <c r="AP109" i="10" s="1"/>
  <c r="T109" i="10"/>
  <c r="AA109" i="10" s="1"/>
  <c r="AH109" i="10" s="1"/>
  <c r="AO109" i="10" s="1"/>
  <c r="Q109" i="10"/>
  <c r="P109" i="10"/>
  <c r="O109" i="10"/>
  <c r="N109" i="10"/>
  <c r="M109" i="10"/>
  <c r="L109" i="10"/>
  <c r="S109" i="10" s="1"/>
  <c r="Z109" i="10" s="1"/>
  <c r="K109" i="10"/>
  <c r="R109" i="10" s="1"/>
  <c r="Y109" i="10" s="1"/>
  <c r="AF109" i="10" s="1"/>
  <c r="AM109" i="10" s="1"/>
  <c r="J109" i="10"/>
  <c r="I109" i="10"/>
  <c r="AL108" i="10"/>
  <c r="AE108" i="10"/>
  <c r="AD108" i="10"/>
  <c r="AK108" i="10" s="1"/>
  <c r="AR108" i="10" s="1"/>
  <c r="AC108" i="10"/>
  <c r="AJ108" i="10" s="1"/>
  <c r="AQ108" i="10" s="1"/>
  <c r="AB108" i="10"/>
  <c r="AI108" i="10" s="1"/>
  <c r="AP108" i="10" s="1"/>
  <c r="W108" i="10"/>
  <c r="V108" i="10"/>
  <c r="U108" i="10"/>
  <c r="R108" i="10"/>
  <c r="Y108" i="10" s="1"/>
  <c r="AF108" i="10" s="1"/>
  <c r="AM108" i="10" s="1"/>
  <c r="P108" i="10"/>
  <c r="O108" i="10"/>
  <c r="N108" i="10"/>
  <c r="L108" i="10"/>
  <c r="S108" i="10" s="1"/>
  <c r="Z108" i="10" s="1"/>
  <c r="AG108" i="10" s="1"/>
  <c r="AN108" i="10" s="1"/>
  <c r="K108" i="10"/>
  <c r="J108" i="10"/>
  <c r="Q108" i="10" s="1"/>
  <c r="X108" i="10" s="1"/>
  <c r="I108" i="10"/>
  <c r="AJ107" i="10"/>
  <c r="AQ107" i="10" s="1"/>
  <c r="AC107" i="10"/>
  <c r="AB107" i="10"/>
  <c r="AI107" i="10" s="1"/>
  <c r="AP107" i="10" s="1"/>
  <c r="Z107" i="10"/>
  <c r="AG107" i="10" s="1"/>
  <c r="AN107" i="10" s="1"/>
  <c r="U107" i="10"/>
  <c r="S107" i="10"/>
  <c r="P107" i="10"/>
  <c r="W107" i="10" s="1"/>
  <c r="AD107" i="10" s="1"/>
  <c r="AK107" i="10" s="1"/>
  <c r="AR107" i="10" s="1"/>
  <c r="O107" i="10"/>
  <c r="V107" i="10" s="1"/>
  <c r="N107" i="10"/>
  <c r="L107" i="10"/>
  <c r="K107" i="10"/>
  <c r="R107" i="10" s="1"/>
  <c r="Y107" i="10" s="1"/>
  <c r="AF107" i="10" s="1"/>
  <c r="AM107" i="10" s="1"/>
  <c r="J107" i="10"/>
  <c r="I107" i="10"/>
  <c r="U106" i="10"/>
  <c r="AB106" i="10" s="1"/>
  <c r="AI106" i="10" s="1"/>
  <c r="AP106" i="10" s="1"/>
  <c r="R106" i="10"/>
  <c r="Y106" i="10" s="1"/>
  <c r="AF106" i="10" s="1"/>
  <c r="AM106" i="10" s="1"/>
  <c r="P106" i="10"/>
  <c r="W106" i="10" s="1"/>
  <c r="AD106" i="10" s="1"/>
  <c r="AK106" i="10" s="1"/>
  <c r="AR106" i="10" s="1"/>
  <c r="O106" i="10"/>
  <c r="V106" i="10" s="1"/>
  <c r="AC106" i="10" s="1"/>
  <c r="AJ106" i="10" s="1"/>
  <c r="AQ106" i="10" s="1"/>
  <c r="N106" i="10"/>
  <c r="L106" i="10"/>
  <c r="S106" i="10" s="1"/>
  <c r="Z106" i="10" s="1"/>
  <c r="AG106" i="10" s="1"/>
  <c r="AN106" i="10" s="1"/>
  <c r="K106" i="10"/>
  <c r="J106" i="10"/>
  <c r="Q106" i="10" s="1"/>
  <c r="X106" i="10" s="1"/>
  <c r="AE106" i="10" s="1"/>
  <c r="AL106" i="10" s="1"/>
  <c r="I106" i="10"/>
  <c r="V105" i="10"/>
  <c r="AC105" i="10" s="1"/>
  <c r="AJ105" i="10" s="1"/>
  <c r="AQ105" i="10" s="1"/>
  <c r="S105" i="10"/>
  <c r="Z105" i="10" s="1"/>
  <c r="AG105" i="10" s="1"/>
  <c r="AN105" i="10" s="1"/>
  <c r="P105" i="10"/>
  <c r="W105" i="10" s="1"/>
  <c r="AD105" i="10" s="1"/>
  <c r="AK105" i="10" s="1"/>
  <c r="AR105" i="10" s="1"/>
  <c r="O105" i="10"/>
  <c r="N105" i="10"/>
  <c r="U105" i="10" s="1"/>
  <c r="AB105" i="10" s="1"/>
  <c r="AI105" i="10" s="1"/>
  <c r="AP105" i="10" s="1"/>
  <c r="L105" i="10"/>
  <c r="K105" i="10"/>
  <c r="R105" i="10" s="1"/>
  <c r="Y105" i="10" s="1"/>
  <c r="AF105" i="10" s="1"/>
  <c r="AM105" i="10" s="1"/>
  <c r="J105" i="10"/>
  <c r="Q105" i="10" s="1"/>
  <c r="X105" i="10" s="1"/>
  <c r="AE105" i="10" s="1"/>
  <c r="AL105" i="10" s="1"/>
  <c r="I105" i="10"/>
  <c r="V104" i="10"/>
  <c r="AC104" i="10" s="1"/>
  <c r="AJ104" i="10" s="1"/>
  <c r="AQ104" i="10" s="1"/>
  <c r="Q104" i="10"/>
  <c r="X104" i="10" s="1"/>
  <c r="AE104" i="10" s="1"/>
  <c r="AL104" i="10" s="1"/>
  <c r="P104" i="10"/>
  <c r="W104" i="10" s="1"/>
  <c r="AD104" i="10" s="1"/>
  <c r="AK104" i="10" s="1"/>
  <c r="AR104" i="10" s="1"/>
  <c r="O104" i="10"/>
  <c r="N104" i="10"/>
  <c r="U104" i="10" s="1"/>
  <c r="AB104" i="10" s="1"/>
  <c r="AI104" i="10" s="1"/>
  <c r="AP104" i="10" s="1"/>
  <c r="L104" i="10"/>
  <c r="S104" i="10" s="1"/>
  <c r="Z104" i="10" s="1"/>
  <c r="AG104" i="10" s="1"/>
  <c r="AN104" i="10" s="1"/>
  <c r="K104" i="10"/>
  <c r="R104" i="10" s="1"/>
  <c r="Y104" i="10" s="1"/>
  <c r="AF104" i="10" s="1"/>
  <c r="AM104" i="10" s="1"/>
  <c r="J104" i="10"/>
  <c r="I104" i="10"/>
  <c r="W103" i="10"/>
  <c r="AD103" i="10" s="1"/>
  <c r="AK103" i="10" s="1"/>
  <c r="AR103" i="10" s="1"/>
  <c r="R103" i="10"/>
  <c r="Y103" i="10" s="1"/>
  <c r="AF103" i="10" s="1"/>
  <c r="AM103" i="10" s="1"/>
  <c r="P103" i="10"/>
  <c r="O103" i="10"/>
  <c r="V103" i="10" s="1"/>
  <c r="AC103" i="10" s="1"/>
  <c r="AJ103" i="10" s="1"/>
  <c r="AQ103" i="10" s="1"/>
  <c r="N103" i="10"/>
  <c r="U103" i="10" s="1"/>
  <c r="AB103" i="10" s="1"/>
  <c r="AI103" i="10" s="1"/>
  <c r="AP103" i="10" s="1"/>
  <c r="L103" i="10"/>
  <c r="S103" i="10" s="1"/>
  <c r="Z103" i="10" s="1"/>
  <c r="AG103" i="10" s="1"/>
  <c r="AN103" i="10" s="1"/>
  <c r="K103" i="10"/>
  <c r="J103" i="10"/>
  <c r="I103" i="10"/>
  <c r="U102" i="10"/>
  <c r="AB102" i="10" s="1"/>
  <c r="AI102" i="10" s="1"/>
  <c r="AP102" i="10" s="1"/>
  <c r="R102" i="10"/>
  <c r="Y102" i="10" s="1"/>
  <c r="AF102" i="10" s="1"/>
  <c r="AM102" i="10" s="1"/>
  <c r="P102" i="10"/>
  <c r="W102" i="10" s="1"/>
  <c r="AD102" i="10" s="1"/>
  <c r="AK102" i="10" s="1"/>
  <c r="AR102" i="10" s="1"/>
  <c r="O102" i="10"/>
  <c r="V102" i="10" s="1"/>
  <c r="AC102" i="10" s="1"/>
  <c r="AJ102" i="10" s="1"/>
  <c r="AQ102" i="10" s="1"/>
  <c r="N102" i="10"/>
  <c r="L102" i="10"/>
  <c r="S102" i="10" s="1"/>
  <c r="Z102" i="10" s="1"/>
  <c r="AG102" i="10" s="1"/>
  <c r="AN102" i="10" s="1"/>
  <c r="K102" i="10"/>
  <c r="J102" i="10"/>
  <c r="Q102" i="10" s="1"/>
  <c r="X102" i="10" s="1"/>
  <c r="AE102" i="10" s="1"/>
  <c r="AL102" i="10" s="1"/>
  <c r="I102" i="10"/>
  <c r="V101" i="10"/>
  <c r="AC101" i="10" s="1"/>
  <c r="AJ101" i="10" s="1"/>
  <c r="AQ101" i="10" s="1"/>
  <c r="S101" i="10"/>
  <c r="Z101" i="10" s="1"/>
  <c r="AG101" i="10" s="1"/>
  <c r="AN101" i="10" s="1"/>
  <c r="P101" i="10"/>
  <c r="W101" i="10" s="1"/>
  <c r="AD101" i="10" s="1"/>
  <c r="AK101" i="10" s="1"/>
  <c r="AR101" i="10" s="1"/>
  <c r="O101" i="10"/>
  <c r="N101" i="10"/>
  <c r="U101" i="10" s="1"/>
  <c r="AB101" i="10" s="1"/>
  <c r="AI101" i="10" s="1"/>
  <c r="AP101" i="10" s="1"/>
  <c r="L101" i="10"/>
  <c r="K101" i="10"/>
  <c r="R101" i="10" s="1"/>
  <c r="Y101" i="10" s="1"/>
  <c r="AF101" i="10" s="1"/>
  <c r="AM101" i="10" s="1"/>
  <c r="J101" i="10"/>
  <c r="Q101" i="10" s="1"/>
  <c r="X101" i="10" s="1"/>
  <c r="AE101" i="10" s="1"/>
  <c r="AL101" i="10" s="1"/>
  <c r="I101" i="10"/>
  <c r="V100" i="10"/>
  <c r="AC100" i="10" s="1"/>
  <c r="AJ100" i="10" s="1"/>
  <c r="AQ100" i="10" s="1"/>
  <c r="Q100" i="10"/>
  <c r="X100" i="10" s="1"/>
  <c r="AE100" i="10" s="1"/>
  <c r="AL100" i="10" s="1"/>
  <c r="P100" i="10"/>
  <c r="W100" i="10" s="1"/>
  <c r="AD100" i="10" s="1"/>
  <c r="AK100" i="10" s="1"/>
  <c r="AR100" i="10" s="1"/>
  <c r="O100" i="10"/>
  <c r="N100" i="10"/>
  <c r="U100" i="10" s="1"/>
  <c r="AB100" i="10" s="1"/>
  <c r="AI100" i="10" s="1"/>
  <c r="AP100" i="10" s="1"/>
  <c r="L100" i="10"/>
  <c r="S100" i="10" s="1"/>
  <c r="Z100" i="10" s="1"/>
  <c r="AG100" i="10" s="1"/>
  <c r="AN100" i="10" s="1"/>
  <c r="K100" i="10"/>
  <c r="R100" i="10" s="1"/>
  <c r="Y100" i="10" s="1"/>
  <c r="AF100" i="10" s="1"/>
  <c r="AM100" i="10" s="1"/>
  <c r="J100" i="10"/>
  <c r="I100" i="10"/>
  <c r="W99" i="10"/>
  <c r="AD99" i="10" s="1"/>
  <c r="AK99" i="10" s="1"/>
  <c r="AR99" i="10" s="1"/>
  <c r="R99" i="10"/>
  <c r="Y99" i="10" s="1"/>
  <c r="AF99" i="10" s="1"/>
  <c r="AM99" i="10" s="1"/>
  <c r="P99" i="10"/>
  <c r="O99" i="10"/>
  <c r="V99" i="10" s="1"/>
  <c r="AC99" i="10" s="1"/>
  <c r="AJ99" i="10" s="1"/>
  <c r="AQ99" i="10" s="1"/>
  <c r="N99" i="10"/>
  <c r="U99" i="10" s="1"/>
  <c r="AB99" i="10" s="1"/>
  <c r="AI99" i="10" s="1"/>
  <c r="AP99" i="10" s="1"/>
  <c r="L99" i="10"/>
  <c r="S99" i="10" s="1"/>
  <c r="Z99" i="10" s="1"/>
  <c r="AG99" i="10" s="1"/>
  <c r="AN99" i="10" s="1"/>
  <c r="K99" i="10"/>
  <c r="J99" i="10"/>
  <c r="I99" i="10"/>
  <c r="U98" i="10"/>
  <c r="AB98" i="10" s="1"/>
  <c r="AI98" i="10" s="1"/>
  <c r="AP98" i="10" s="1"/>
  <c r="R98" i="10"/>
  <c r="Y98" i="10" s="1"/>
  <c r="AF98" i="10" s="1"/>
  <c r="AM98" i="10" s="1"/>
  <c r="P98" i="10"/>
  <c r="W98" i="10" s="1"/>
  <c r="AD98" i="10" s="1"/>
  <c r="AK98" i="10" s="1"/>
  <c r="AR98" i="10" s="1"/>
  <c r="O98" i="10"/>
  <c r="V98" i="10" s="1"/>
  <c r="AC98" i="10" s="1"/>
  <c r="AJ98" i="10" s="1"/>
  <c r="AQ98" i="10" s="1"/>
  <c r="N98" i="10"/>
  <c r="L98" i="10"/>
  <c r="S98" i="10" s="1"/>
  <c r="Z98" i="10" s="1"/>
  <c r="AG98" i="10" s="1"/>
  <c r="AN98" i="10" s="1"/>
  <c r="K98" i="10"/>
  <c r="J98" i="10"/>
  <c r="Q98" i="10" s="1"/>
  <c r="X98" i="10" s="1"/>
  <c r="AE98" i="10" s="1"/>
  <c r="AL98" i="10" s="1"/>
  <c r="I98" i="10"/>
  <c r="V97" i="10"/>
  <c r="AC97" i="10" s="1"/>
  <c r="AJ97" i="10" s="1"/>
  <c r="AQ97" i="10" s="1"/>
  <c r="S97" i="10"/>
  <c r="Z97" i="10" s="1"/>
  <c r="AG97" i="10" s="1"/>
  <c r="AN97" i="10" s="1"/>
  <c r="P97" i="10"/>
  <c r="W97" i="10" s="1"/>
  <c r="AD97" i="10" s="1"/>
  <c r="AK97" i="10" s="1"/>
  <c r="AR97" i="10" s="1"/>
  <c r="O97" i="10"/>
  <c r="N97" i="10"/>
  <c r="U97" i="10" s="1"/>
  <c r="AB97" i="10" s="1"/>
  <c r="AI97" i="10" s="1"/>
  <c r="AP97" i="10" s="1"/>
  <c r="L97" i="10"/>
  <c r="K97" i="10"/>
  <c r="R97" i="10" s="1"/>
  <c r="Y97" i="10" s="1"/>
  <c r="AF97" i="10" s="1"/>
  <c r="AM97" i="10" s="1"/>
  <c r="J97" i="10"/>
  <c r="Q97" i="10" s="1"/>
  <c r="X97" i="10" s="1"/>
  <c r="AE97" i="10" s="1"/>
  <c r="AL97" i="10" s="1"/>
  <c r="I97" i="10"/>
  <c r="V96" i="10"/>
  <c r="AC96" i="10" s="1"/>
  <c r="AJ96" i="10" s="1"/>
  <c r="AQ96" i="10" s="1"/>
  <c r="Q96" i="10"/>
  <c r="X96" i="10" s="1"/>
  <c r="AE96" i="10" s="1"/>
  <c r="AL96" i="10" s="1"/>
  <c r="P96" i="10"/>
  <c r="W96" i="10" s="1"/>
  <c r="AD96" i="10" s="1"/>
  <c r="AK96" i="10" s="1"/>
  <c r="AR96" i="10" s="1"/>
  <c r="O96" i="10"/>
  <c r="N96" i="10"/>
  <c r="U96" i="10" s="1"/>
  <c r="AB96" i="10" s="1"/>
  <c r="AI96" i="10" s="1"/>
  <c r="AP96" i="10" s="1"/>
  <c r="L96" i="10"/>
  <c r="S96" i="10" s="1"/>
  <c r="Z96" i="10" s="1"/>
  <c r="AG96" i="10" s="1"/>
  <c r="AN96" i="10" s="1"/>
  <c r="K96" i="10"/>
  <c r="R96" i="10" s="1"/>
  <c r="Y96" i="10" s="1"/>
  <c r="AF96" i="10" s="1"/>
  <c r="AM96" i="10" s="1"/>
  <c r="J96" i="10"/>
  <c r="I96" i="10"/>
  <c r="W95" i="10"/>
  <c r="AD95" i="10" s="1"/>
  <c r="AK95" i="10" s="1"/>
  <c r="AR95" i="10" s="1"/>
  <c r="R95" i="10"/>
  <c r="Y95" i="10" s="1"/>
  <c r="AF95" i="10" s="1"/>
  <c r="AM95" i="10" s="1"/>
  <c r="P95" i="10"/>
  <c r="O95" i="10"/>
  <c r="V95" i="10" s="1"/>
  <c r="AC95" i="10" s="1"/>
  <c r="AJ95" i="10" s="1"/>
  <c r="AQ95" i="10" s="1"/>
  <c r="N95" i="10"/>
  <c r="U95" i="10" s="1"/>
  <c r="AB95" i="10" s="1"/>
  <c r="AI95" i="10" s="1"/>
  <c r="AP95" i="10" s="1"/>
  <c r="L95" i="10"/>
  <c r="S95" i="10" s="1"/>
  <c r="Z95" i="10" s="1"/>
  <c r="AG95" i="10" s="1"/>
  <c r="AN95" i="10" s="1"/>
  <c r="K95" i="10"/>
  <c r="J95" i="10"/>
  <c r="I95" i="10"/>
  <c r="U94" i="10"/>
  <c r="AB94" i="10" s="1"/>
  <c r="AI94" i="10" s="1"/>
  <c r="AP94" i="10" s="1"/>
  <c r="R94" i="10"/>
  <c r="Y94" i="10" s="1"/>
  <c r="AF94" i="10" s="1"/>
  <c r="AM94" i="10" s="1"/>
  <c r="P94" i="10"/>
  <c r="W94" i="10" s="1"/>
  <c r="AD94" i="10" s="1"/>
  <c r="AK94" i="10" s="1"/>
  <c r="AR94" i="10" s="1"/>
  <c r="O94" i="10"/>
  <c r="V94" i="10" s="1"/>
  <c r="AC94" i="10" s="1"/>
  <c r="AJ94" i="10" s="1"/>
  <c r="AQ94" i="10" s="1"/>
  <c r="N94" i="10"/>
  <c r="L94" i="10"/>
  <c r="S94" i="10" s="1"/>
  <c r="Z94" i="10" s="1"/>
  <c r="AG94" i="10" s="1"/>
  <c r="AN94" i="10" s="1"/>
  <c r="K94" i="10"/>
  <c r="J94" i="10"/>
  <c r="Q94" i="10" s="1"/>
  <c r="X94" i="10" s="1"/>
  <c r="AE94" i="10" s="1"/>
  <c r="AL94" i="10" s="1"/>
  <c r="I94" i="10"/>
  <c r="V93" i="10"/>
  <c r="AC93" i="10" s="1"/>
  <c r="AJ93" i="10" s="1"/>
  <c r="AQ93" i="10" s="1"/>
  <c r="S93" i="10"/>
  <c r="Z93" i="10" s="1"/>
  <c r="AG93" i="10" s="1"/>
  <c r="AN93" i="10" s="1"/>
  <c r="P93" i="10"/>
  <c r="W93" i="10" s="1"/>
  <c r="AD93" i="10" s="1"/>
  <c r="AK93" i="10" s="1"/>
  <c r="AR93" i="10" s="1"/>
  <c r="O93" i="10"/>
  <c r="N93" i="10"/>
  <c r="U93" i="10" s="1"/>
  <c r="AB93" i="10" s="1"/>
  <c r="AI93" i="10" s="1"/>
  <c r="AP93" i="10" s="1"/>
  <c r="L93" i="10"/>
  <c r="K93" i="10"/>
  <c r="R93" i="10" s="1"/>
  <c r="Y93" i="10" s="1"/>
  <c r="AF93" i="10" s="1"/>
  <c r="AM93" i="10" s="1"/>
  <c r="J93" i="10"/>
  <c r="Q93" i="10" s="1"/>
  <c r="X93" i="10" s="1"/>
  <c r="AE93" i="10" s="1"/>
  <c r="AL93" i="10" s="1"/>
  <c r="I93" i="10"/>
  <c r="V92" i="10"/>
  <c r="AC92" i="10" s="1"/>
  <c r="AJ92" i="10" s="1"/>
  <c r="AQ92" i="10" s="1"/>
  <c r="Q92" i="10"/>
  <c r="X92" i="10" s="1"/>
  <c r="AE92" i="10" s="1"/>
  <c r="AL92" i="10" s="1"/>
  <c r="P92" i="10"/>
  <c r="W92" i="10" s="1"/>
  <c r="AD92" i="10" s="1"/>
  <c r="AK92" i="10" s="1"/>
  <c r="AR92" i="10" s="1"/>
  <c r="O92" i="10"/>
  <c r="N92" i="10"/>
  <c r="U92" i="10" s="1"/>
  <c r="AB92" i="10" s="1"/>
  <c r="AI92" i="10" s="1"/>
  <c r="AP92" i="10" s="1"/>
  <c r="L92" i="10"/>
  <c r="S92" i="10" s="1"/>
  <c r="Z92" i="10" s="1"/>
  <c r="AG92" i="10" s="1"/>
  <c r="AN92" i="10" s="1"/>
  <c r="K92" i="10"/>
  <c r="R92" i="10" s="1"/>
  <c r="Y92" i="10" s="1"/>
  <c r="AF92" i="10" s="1"/>
  <c r="AM92" i="10" s="1"/>
  <c r="J92" i="10"/>
  <c r="I92" i="10"/>
  <c r="W91" i="10"/>
  <c r="AD91" i="10" s="1"/>
  <c r="AK91" i="10" s="1"/>
  <c r="AR91" i="10" s="1"/>
  <c r="R91" i="10"/>
  <c r="Y91" i="10" s="1"/>
  <c r="AF91" i="10" s="1"/>
  <c r="AM91" i="10" s="1"/>
  <c r="P91" i="10"/>
  <c r="O91" i="10"/>
  <c r="V91" i="10" s="1"/>
  <c r="AC91" i="10" s="1"/>
  <c r="AJ91" i="10" s="1"/>
  <c r="AQ91" i="10" s="1"/>
  <c r="N91" i="10"/>
  <c r="U91" i="10" s="1"/>
  <c r="AB91" i="10" s="1"/>
  <c r="AI91" i="10" s="1"/>
  <c r="AP91" i="10" s="1"/>
  <c r="L91" i="10"/>
  <c r="S91" i="10" s="1"/>
  <c r="Z91" i="10" s="1"/>
  <c r="AG91" i="10" s="1"/>
  <c r="AN91" i="10" s="1"/>
  <c r="K91" i="10"/>
  <c r="J91" i="10"/>
  <c r="I91" i="10"/>
  <c r="U90" i="10"/>
  <c r="AB90" i="10" s="1"/>
  <c r="AI90" i="10" s="1"/>
  <c r="AP90" i="10" s="1"/>
  <c r="R90" i="10"/>
  <c r="Y90" i="10" s="1"/>
  <c r="AF90" i="10" s="1"/>
  <c r="AM90" i="10" s="1"/>
  <c r="P90" i="10"/>
  <c r="W90" i="10" s="1"/>
  <c r="AD90" i="10" s="1"/>
  <c r="AK90" i="10" s="1"/>
  <c r="AR90" i="10" s="1"/>
  <c r="O90" i="10"/>
  <c r="V90" i="10" s="1"/>
  <c r="AC90" i="10" s="1"/>
  <c r="AJ90" i="10" s="1"/>
  <c r="AQ90" i="10" s="1"/>
  <c r="N90" i="10"/>
  <c r="L90" i="10"/>
  <c r="S90" i="10" s="1"/>
  <c r="Z90" i="10" s="1"/>
  <c r="AG90" i="10" s="1"/>
  <c r="AN90" i="10" s="1"/>
  <c r="K90" i="10"/>
  <c r="J90" i="10"/>
  <c r="Q90" i="10" s="1"/>
  <c r="X90" i="10" s="1"/>
  <c r="AE90" i="10" s="1"/>
  <c r="AL90" i="10" s="1"/>
  <c r="I90" i="10"/>
  <c r="AQ89" i="10"/>
  <c r="V89" i="10"/>
  <c r="AC89" i="10" s="1"/>
  <c r="AJ89" i="10" s="1"/>
  <c r="S89" i="10"/>
  <c r="Z89" i="10" s="1"/>
  <c r="AG89" i="10" s="1"/>
  <c r="AN89" i="10" s="1"/>
  <c r="P89" i="10"/>
  <c r="W89" i="10" s="1"/>
  <c r="AD89" i="10" s="1"/>
  <c r="AK89" i="10" s="1"/>
  <c r="AR89" i="10" s="1"/>
  <c r="O89" i="10"/>
  <c r="N89" i="10"/>
  <c r="U89" i="10" s="1"/>
  <c r="AB89" i="10" s="1"/>
  <c r="AI89" i="10" s="1"/>
  <c r="AP89" i="10" s="1"/>
  <c r="M89" i="10"/>
  <c r="T89" i="10" s="1"/>
  <c r="AA89" i="10" s="1"/>
  <c r="AH89" i="10" s="1"/>
  <c r="AO89" i="10" s="1"/>
  <c r="L89" i="10"/>
  <c r="K89" i="10"/>
  <c r="J89" i="10"/>
  <c r="Q89" i="10" s="1"/>
  <c r="X89" i="10" s="1"/>
  <c r="AE89" i="10" s="1"/>
  <c r="AL89" i="10" s="1"/>
  <c r="I89" i="10"/>
  <c r="AO88" i="10"/>
  <c r="Y88" i="10"/>
  <c r="AF88" i="10" s="1"/>
  <c r="AM88" i="10" s="1"/>
  <c r="V88" i="10"/>
  <c r="AC88" i="10" s="1"/>
  <c r="AJ88" i="10" s="1"/>
  <c r="AQ88" i="10" s="1"/>
  <c r="T88" i="10"/>
  <c r="AA88" i="10" s="1"/>
  <c r="AH88" i="10" s="1"/>
  <c r="Q88" i="10"/>
  <c r="X88" i="10" s="1"/>
  <c r="AE88" i="10" s="1"/>
  <c r="AL88" i="10" s="1"/>
  <c r="P88" i="10"/>
  <c r="W88" i="10" s="1"/>
  <c r="AD88" i="10" s="1"/>
  <c r="AK88" i="10" s="1"/>
  <c r="AR88" i="10" s="1"/>
  <c r="O88" i="10"/>
  <c r="N88" i="10"/>
  <c r="U88" i="10" s="1"/>
  <c r="AB88" i="10" s="1"/>
  <c r="AI88" i="10" s="1"/>
  <c r="AP88" i="10" s="1"/>
  <c r="M88" i="10"/>
  <c r="L88" i="10"/>
  <c r="S88" i="10" s="1"/>
  <c r="Z88" i="10" s="1"/>
  <c r="AG88" i="10" s="1"/>
  <c r="AN88" i="10" s="1"/>
  <c r="K88" i="10"/>
  <c r="R88" i="10" s="1"/>
  <c r="J88" i="10"/>
  <c r="I88" i="10"/>
  <c r="W87" i="10"/>
  <c r="AD87" i="10" s="1"/>
  <c r="AK87" i="10" s="1"/>
  <c r="AR87" i="10" s="1"/>
  <c r="T87" i="10"/>
  <c r="AA87" i="10" s="1"/>
  <c r="AH87" i="10" s="1"/>
  <c r="AO87" i="10" s="1"/>
  <c r="R87" i="10"/>
  <c r="Y87" i="10" s="1"/>
  <c r="AF87" i="10" s="1"/>
  <c r="AM87" i="10" s="1"/>
  <c r="P87" i="10"/>
  <c r="O87" i="10"/>
  <c r="V87" i="10" s="1"/>
  <c r="AC87" i="10" s="1"/>
  <c r="AJ87" i="10" s="1"/>
  <c r="AQ87" i="10" s="1"/>
  <c r="N87" i="10"/>
  <c r="U87" i="10" s="1"/>
  <c r="AB87" i="10" s="1"/>
  <c r="AI87" i="10" s="1"/>
  <c r="AP87" i="10" s="1"/>
  <c r="M87" i="10"/>
  <c r="L87" i="10"/>
  <c r="S87" i="10" s="1"/>
  <c r="Z87" i="10" s="1"/>
  <c r="AG87" i="10" s="1"/>
  <c r="AN87" i="10" s="1"/>
  <c r="K87" i="10"/>
  <c r="J87" i="10"/>
  <c r="I87" i="10"/>
  <c r="AC86" i="10"/>
  <c r="AJ86" i="10" s="1"/>
  <c r="AQ86" i="10" s="1"/>
  <c r="U86" i="10"/>
  <c r="AB86" i="10" s="1"/>
  <c r="AI86" i="10" s="1"/>
  <c r="AP86" i="10" s="1"/>
  <c r="R86" i="10"/>
  <c r="Y86" i="10" s="1"/>
  <c r="AF86" i="10" s="1"/>
  <c r="AM86" i="10" s="1"/>
  <c r="P86" i="10"/>
  <c r="W86" i="10" s="1"/>
  <c r="AD86" i="10" s="1"/>
  <c r="AK86" i="10" s="1"/>
  <c r="AR86" i="10" s="1"/>
  <c r="O86" i="10"/>
  <c r="V86" i="10" s="1"/>
  <c r="N86" i="10"/>
  <c r="L86" i="10"/>
  <c r="S86" i="10" s="1"/>
  <c r="Z86" i="10" s="1"/>
  <c r="AG86" i="10" s="1"/>
  <c r="AN86" i="10" s="1"/>
  <c r="K86" i="10"/>
  <c r="J86" i="10"/>
  <c r="Q86" i="10" s="1"/>
  <c r="X86" i="10" s="1"/>
  <c r="AE86" i="10" s="1"/>
  <c r="AL86" i="10" s="1"/>
  <c r="I86" i="10"/>
  <c r="AI85" i="10"/>
  <c r="AP85" i="10" s="1"/>
  <c r="V85" i="10"/>
  <c r="AC85" i="10" s="1"/>
  <c r="AJ85" i="10" s="1"/>
  <c r="AQ85" i="10" s="1"/>
  <c r="S85" i="10"/>
  <c r="Z85" i="10" s="1"/>
  <c r="AG85" i="10" s="1"/>
  <c r="AN85" i="10" s="1"/>
  <c r="P85" i="10"/>
  <c r="W85" i="10" s="1"/>
  <c r="AD85" i="10" s="1"/>
  <c r="AK85" i="10" s="1"/>
  <c r="AR85" i="10" s="1"/>
  <c r="O85" i="10"/>
  <c r="N85" i="10"/>
  <c r="U85" i="10" s="1"/>
  <c r="AB85" i="10" s="1"/>
  <c r="L85" i="10"/>
  <c r="K85" i="10"/>
  <c r="J85" i="10"/>
  <c r="Q85" i="10" s="1"/>
  <c r="X85" i="10" s="1"/>
  <c r="AE85" i="10" s="1"/>
  <c r="AL85" i="10" s="1"/>
  <c r="I85" i="10"/>
  <c r="AG84" i="10"/>
  <c r="AN84" i="10" s="1"/>
  <c r="V84" i="10"/>
  <c r="AC84" i="10" s="1"/>
  <c r="AJ84" i="10" s="1"/>
  <c r="AQ84" i="10" s="1"/>
  <c r="Q84" i="10"/>
  <c r="X84" i="10" s="1"/>
  <c r="AE84" i="10" s="1"/>
  <c r="AL84" i="10" s="1"/>
  <c r="P84" i="10"/>
  <c r="W84" i="10" s="1"/>
  <c r="AD84" i="10" s="1"/>
  <c r="AK84" i="10" s="1"/>
  <c r="AR84" i="10" s="1"/>
  <c r="O84" i="10"/>
  <c r="N84" i="10"/>
  <c r="U84" i="10" s="1"/>
  <c r="AB84" i="10" s="1"/>
  <c r="AI84" i="10" s="1"/>
  <c r="AP84" i="10" s="1"/>
  <c r="L84" i="10"/>
  <c r="S84" i="10" s="1"/>
  <c r="Z84" i="10" s="1"/>
  <c r="K84" i="10"/>
  <c r="R84" i="10" s="1"/>
  <c r="Y84" i="10" s="1"/>
  <c r="AF84" i="10" s="1"/>
  <c r="AM84" i="10" s="1"/>
  <c r="J84" i="10"/>
  <c r="I84" i="10"/>
  <c r="W83" i="10"/>
  <c r="AD83" i="10" s="1"/>
  <c r="AK83" i="10" s="1"/>
  <c r="AR83" i="10" s="1"/>
  <c r="T83" i="10"/>
  <c r="AA83" i="10" s="1"/>
  <c r="AH83" i="10" s="1"/>
  <c r="AO83" i="10" s="1"/>
  <c r="P83" i="10"/>
  <c r="O83" i="10"/>
  <c r="V83" i="10" s="1"/>
  <c r="AC83" i="10" s="1"/>
  <c r="AJ83" i="10" s="1"/>
  <c r="AQ83" i="10" s="1"/>
  <c r="N83" i="10"/>
  <c r="U83" i="10" s="1"/>
  <c r="AB83" i="10" s="1"/>
  <c r="AI83" i="10" s="1"/>
  <c r="AP83" i="10" s="1"/>
  <c r="M83" i="10"/>
  <c r="L83" i="10"/>
  <c r="S83" i="10" s="1"/>
  <c r="Z83" i="10" s="1"/>
  <c r="AG83" i="10" s="1"/>
  <c r="AN83" i="10" s="1"/>
  <c r="J83" i="10"/>
  <c r="I83" i="10"/>
  <c r="AC82" i="10"/>
  <c r="AJ82" i="10" s="1"/>
  <c r="AQ82" i="10" s="1"/>
  <c r="V82" i="10"/>
  <c r="U82" i="10"/>
  <c r="AB82" i="10" s="1"/>
  <c r="AI82" i="10" s="1"/>
  <c r="AP82" i="10" s="1"/>
  <c r="R82" i="10"/>
  <c r="Y82" i="10" s="1"/>
  <c r="AF82" i="10" s="1"/>
  <c r="AM82" i="10" s="1"/>
  <c r="P82" i="10"/>
  <c r="W82" i="10" s="1"/>
  <c r="AD82" i="10" s="1"/>
  <c r="AK82" i="10" s="1"/>
  <c r="AR82" i="10" s="1"/>
  <c r="O82" i="10"/>
  <c r="N82" i="10"/>
  <c r="L82" i="10"/>
  <c r="S82" i="10" s="1"/>
  <c r="Z82" i="10" s="1"/>
  <c r="AG82" i="10" s="1"/>
  <c r="AN82" i="10" s="1"/>
  <c r="K82" i="10"/>
  <c r="J82" i="10"/>
  <c r="Q82" i="10" s="1"/>
  <c r="X82" i="10" s="1"/>
  <c r="AE82" i="10" s="1"/>
  <c r="AL82" i="10" s="1"/>
  <c r="I82" i="10"/>
  <c r="AQ81" i="10"/>
  <c r="AI81" i="10"/>
  <c r="AP81" i="10" s="1"/>
  <c r="V81" i="10"/>
  <c r="AC81" i="10" s="1"/>
  <c r="AJ81" i="10" s="1"/>
  <c r="S81" i="10"/>
  <c r="Z81" i="10" s="1"/>
  <c r="AG81" i="10" s="1"/>
  <c r="AN81" i="10" s="1"/>
  <c r="P81" i="10"/>
  <c r="W81" i="10" s="1"/>
  <c r="AD81" i="10" s="1"/>
  <c r="AK81" i="10" s="1"/>
  <c r="AR81" i="10" s="1"/>
  <c r="O81" i="10"/>
  <c r="N81" i="10"/>
  <c r="U81" i="10" s="1"/>
  <c r="AB81" i="10" s="1"/>
  <c r="L81" i="10"/>
  <c r="K81" i="10"/>
  <c r="J81" i="10"/>
  <c r="Q81" i="10" s="1"/>
  <c r="X81" i="10" s="1"/>
  <c r="AE81" i="10" s="1"/>
  <c r="AL81" i="10" s="1"/>
  <c r="I81" i="10"/>
  <c r="AO80" i="10"/>
  <c r="AG80" i="10"/>
  <c r="AN80" i="10" s="1"/>
  <c r="V80" i="10"/>
  <c r="AC80" i="10" s="1"/>
  <c r="AJ80" i="10" s="1"/>
  <c r="AQ80" i="10" s="1"/>
  <c r="T80" i="10"/>
  <c r="AA80" i="10" s="1"/>
  <c r="AH80" i="10" s="1"/>
  <c r="Q80" i="10"/>
  <c r="X80" i="10" s="1"/>
  <c r="AE80" i="10" s="1"/>
  <c r="AL80" i="10" s="1"/>
  <c r="P80" i="10"/>
  <c r="W80" i="10" s="1"/>
  <c r="AD80" i="10" s="1"/>
  <c r="AK80" i="10" s="1"/>
  <c r="AR80" i="10" s="1"/>
  <c r="O80" i="10"/>
  <c r="N80" i="10"/>
  <c r="U80" i="10" s="1"/>
  <c r="AB80" i="10" s="1"/>
  <c r="AI80" i="10" s="1"/>
  <c r="AP80" i="10" s="1"/>
  <c r="M80" i="10"/>
  <c r="L80" i="10"/>
  <c r="S80" i="10" s="1"/>
  <c r="Z80" i="10" s="1"/>
  <c r="J80" i="10"/>
  <c r="I80" i="10"/>
  <c r="AP79" i="10"/>
  <c r="AM79" i="10"/>
  <c r="W79" i="10"/>
  <c r="AD79" i="10" s="1"/>
  <c r="AK79" i="10" s="1"/>
  <c r="AR79" i="10" s="1"/>
  <c r="T79" i="10"/>
  <c r="AA79" i="10" s="1"/>
  <c r="AH79" i="10" s="1"/>
  <c r="AO79" i="10" s="1"/>
  <c r="R79" i="10"/>
  <c r="Y79" i="10" s="1"/>
  <c r="AF79" i="10" s="1"/>
  <c r="P79" i="10"/>
  <c r="O79" i="10"/>
  <c r="V79" i="10" s="1"/>
  <c r="AC79" i="10" s="1"/>
  <c r="AJ79" i="10" s="1"/>
  <c r="AQ79" i="10" s="1"/>
  <c r="N79" i="10"/>
  <c r="U79" i="10" s="1"/>
  <c r="AB79" i="10" s="1"/>
  <c r="AI79" i="10" s="1"/>
  <c r="M79" i="10"/>
  <c r="L79" i="10"/>
  <c r="S79" i="10" s="1"/>
  <c r="Z79" i="10" s="1"/>
  <c r="AG79" i="10" s="1"/>
  <c r="AN79" i="10" s="1"/>
  <c r="K79" i="10"/>
  <c r="J79" i="10"/>
  <c r="I79" i="10"/>
  <c r="AN78" i="10"/>
  <c r="AC78" i="10"/>
  <c r="AJ78" i="10" s="1"/>
  <c r="AQ78" i="10" s="1"/>
  <c r="V78" i="10"/>
  <c r="U78" i="10"/>
  <c r="AB78" i="10" s="1"/>
  <c r="AI78" i="10" s="1"/>
  <c r="AP78" i="10" s="1"/>
  <c r="R78" i="10"/>
  <c r="Y78" i="10" s="1"/>
  <c r="AF78" i="10" s="1"/>
  <c r="AM78" i="10" s="1"/>
  <c r="P78" i="10"/>
  <c r="W78" i="10" s="1"/>
  <c r="AD78" i="10" s="1"/>
  <c r="AK78" i="10" s="1"/>
  <c r="AR78" i="10" s="1"/>
  <c r="O78" i="10"/>
  <c r="N78" i="10"/>
  <c r="L78" i="10"/>
  <c r="S78" i="10" s="1"/>
  <c r="Z78" i="10" s="1"/>
  <c r="AG78" i="10" s="1"/>
  <c r="K78" i="10"/>
  <c r="J78" i="10"/>
  <c r="Q78" i="10" s="1"/>
  <c r="X78" i="10" s="1"/>
  <c r="AE78" i="10" s="1"/>
  <c r="AL78" i="10" s="1"/>
  <c r="I78" i="10"/>
  <c r="AA77" i="10"/>
  <c r="AH77" i="10" s="1"/>
  <c r="AO77" i="10" s="1"/>
  <c r="V77" i="10"/>
  <c r="AC77" i="10" s="1"/>
  <c r="AJ77" i="10" s="1"/>
  <c r="AQ77" i="10" s="1"/>
  <c r="T77" i="10"/>
  <c r="S77" i="10"/>
  <c r="Z77" i="10" s="1"/>
  <c r="AG77" i="10" s="1"/>
  <c r="AN77" i="10" s="1"/>
  <c r="P77" i="10"/>
  <c r="W77" i="10" s="1"/>
  <c r="AD77" i="10" s="1"/>
  <c r="AK77" i="10" s="1"/>
  <c r="AR77" i="10" s="1"/>
  <c r="O77" i="10"/>
  <c r="N77" i="10"/>
  <c r="U77" i="10" s="1"/>
  <c r="AB77" i="10" s="1"/>
  <c r="AI77" i="10" s="1"/>
  <c r="AP77" i="10" s="1"/>
  <c r="M77" i="10"/>
  <c r="L77" i="10"/>
  <c r="J77" i="10"/>
  <c r="Q77" i="10" s="1"/>
  <c r="X77" i="10" s="1"/>
  <c r="AE77" i="10" s="1"/>
  <c r="AL77" i="10" s="1"/>
  <c r="I77" i="10"/>
  <c r="Y76" i="10"/>
  <c r="AF76" i="10" s="1"/>
  <c r="AM76" i="10" s="1"/>
  <c r="V76" i="10"/>
  <c r="AC76" i="10" s="1"/>
  <c r="AJ76" i="10" s="1"/>
  <c r="AQ76" i="10" s="1"/>
  <c r="R76" i="10"/>
  <c r="Q76" i="10"/>
  <c r="X76" i="10" s="1"/>
  <c r="AE76" i="10" s="1"/>
  <c r="AL76" i="10" s="1"/>
  <c r="P76" i="10"/>
  <c r="W76" i="10" s="1"/>
  <c r="AD76" i="10" s="1"/>
  <c r="AK76" i="10" s="1"/>
  <c r="AR76" i="10" s="1"/>
  <c r="O76" i="10"/>
  <c r="N76" i="10"/>
  <c r="U76" i="10" s="1"/>
  <c r="AB76" i="10" s="1"/>
  <c r="AI76" i="10" s="1"/>
  <c r="AP76" i="10" s="1"/>
  <c r="L76" i="10"/>
  <c r="S76" i="10" s="1"/>
  <c r="Z76" i="10" s="1"/>
  <c r="AG76" i="10" s="1"/>
  <c r="AN76" i="10" s="1"/>
  <c r="K76" i="10"/>
  <c r="J76" i="10"/>
  <c r="I76" i="10"/>
  <c r="AP75" i="10"/>
  <c r="Z75" i="10"/>
  <c r="AG75" i="10" s="1"/>
  <c r="AN75" i="10" s="1"/>
  <c r="W75" i="10"/>
  <c r="AD75" i="10" s="1"/>
  <c r="AK75" i="10" s="1"/>
  <c r="AR75" i="10" s="1"/>
  <c r="R75" i="10"/>
  <c r="Y75" i="10" s="1"/>
  <c r="AF75" i="10" s="1"/>
  <c r="AM75" i="10" s="1"/>
  <c r="P75" i="10"/>
  <c r="O75" i="10"/>
  <c r="V75" i="10" s="1"/>
  <c r="AC75" i="10" s="1"/>
  <c r="AJ75" i="10" s="1"/>
  <c r="AQ75" i="10" s="1"/>
  <c r="N75" i="10"/>
  <c r="U75" i="10" s="1"/>
  <c r="AB75" i="10" s="1"/>
  <c r="AI75" i="10" s="1"/>
  <c r="L75" i="10"/>
  <c r="S75" i="10" s="1"/>
  <c r="K75" i="10"/>
  <c r="J75" i="10"/>
  <c r="I75" i="10"/>
  <c r="AK74" i="10"/>
  <c r="AR74" i="10" s="1"/>
  <c r="AC74" i="10"/>
  <c r="AJ74" i="10" s="1"/>
  <c r="AQ74" i="10" s="1"/>
  <c r="X74" i="10"/>
  <c r="AE74" i="10" s="1"/>
  <c r="AL74" i="10" s="1"/>
  <c r="V74" i="10"/>
  <c r="U74" i="10"/>
  <c r="AB74" i="10" s="1"/>
  <c r="AI74" i="10" s="1"/>
  <c r="AP74" i="10" s="1"/>
  <c r="R74" i="10"/>
  <c r="Y74" i="10" s="1"/>
  <c r="AF74" i="10" s="1"/>
  <c r="AM74" i="10" s="1"/>
  <c r="P74" i="10"/>
  <c r="W74" i="10" s="1"/>
  <c r="AD74" i="10" s="1"/>
  <c r="O74" i="10"/>
  <c r="N74" i="10"/>
  <c r="L74" i="10"/>
  <c r="S74" i="10" s="1"/>
  <c r="Z74" i="10" s="1"/>
  <c r="AG74" i="10" s="1"/>
  <c r="AN74" i="10" s="1"/>
  <c r="K74" i="10"/>
  <c r="J74" i="10"/>
  <c r="Q74" i="10" s="1"/>
  <c r="I74" i="10"/>
  <c r="AN73" i="10"/>
  <c r="V73" i="10"/>
  <c r="AC73" i="10" s="1"/>
  <c r="AJ73" i="10" s="1"/>
  <c r="AQ73" i="10" s="1"/>
  <c r="S73" i="10"/>
  <c r="Z73" i="10" s="1"/>
  <c r="AG73" i="10" s="1"/>
  <c r="P73" i="10"/>
  <c r="W73" i="10" s="1"/>
  <c r="AD73" i="10" s="1"/>
  <c r="AK73" i="10" s="1"/>
  <c r="AR73" i="10" s="1"/>
  <c r="O73" i="10"/>
  <c r="N73" i="10"/>
  <c r="U73" i="10" s="1"/>
  <c r="AB73" i="10" s="1"/>
  <c r="AI73" i="10" s="1"/>
  <c r="AP73" i="10" s="1"/>
  <c r="L73" i="10"/>
  <c r="K73" i="10"/>
  <c r="J73" i="10"/>
  <c r="Q73" i="10" s="1"/>
  <c r="X73" i="10" s="1"/>
  <c r="AE73" i="10" s="1"/>
  <c r="AL73" i="10" s="1"/>
  <c r="I73" i="10"/>
  <c r="AD72" i="10"/>
  <c r="AK72" i="10" s="1"/>
  <c r="AR72" i="10" s="1"/>
  <c r="Y72" i="10"/>
  <c r="AF72" i="10" s="1"/>
  <c r="AM72" i="10" s="1"/>
  <c r="V72" i="10"/>
  <c r="AC72" i="10" s="1"/>
  <c r="AJ72" i="10" s="1"/>
  <c r="AQ72" i="10" s="1"/>
  <c r="R72" i="10"/>
  <c r="P72" i="10"/>
  <c r="W72" i="10" s="1"/>
  <c r="O72" i="10"/>
  <c r="N72" i="10"/>
  <c r="U72" i="10" s="1"/>
  <c r="AB72" i="10" s="1"/>
  <c r="AI72" i="10" s="1"/>
  <c r="AP72" i="10" s="1"/>
  <c r="L72" i="10"/>
  <c r="S72" i="10" s="1"/>
  <c r="Z72" i="10" s="1"/>
  <c r="AG72" i="10" s="1"/>
  <c r="AN72" i="10" s="1"/>
  <c r="K72" i="10"/>
  <c r="J72" i="10"/>
  <c r="Q72" i="10" s="1"/>
  <c r="X72" i="10" s="1"/>
  <c r="AE72" i="10" s="1"/>
  <c r="AL72" i="10" s="1"/>
  <c r="I72" i="10"/>
  <c r="Z71" i="10"/>
  <c r="AG71" i="10" s="1"/>
  <c r="AN71" i="10" s="1"/>
  <c r="Y71" i="10"/>
  <c r="AF71" i="10" s="1"/>
  <c r="AM71" i="10" s="1"/>
  <c r="W71" i="10"/>
  <c r="AD71" i="10" s="1"/>
  <c r="AK71" i="10" s="1"/>
  <c r="AR71" i="10" s="1"/>
  <c r="R71" i="10"/>
  <c r="P71" i="10"/>
  <c r="O71" i="10"/>
  <c r="V71" i="10" s="1"/>
  <c r="AC71" i="10" s="1"/>
  <c r="AJ71" i="10" s="1"/>
  <c r="AQ71" i="10" s="1"/>
  <c r="N71" i="10"/>
  <c r="U71" i="10" s="1"/>
  <c r="AB71" i="10" s="1"/>
  <c r="AI71" i="10" s="1"/>
  <c r="AP71" i="10" s="1"/>
  <c r="L71" i="10"/>
  <c r="S71" i="10" s="1"/>
  <c r="K71" i="10"/>
  <c r="J71" i="10"/>
  <c r="Q71" i="10" s="1"/>
  <c r="X71" i="10" s="1"/>
  <c r="AE71" i="10" s="1"/>
  <c r="AL71" i="10" s="1"/>
  <c r="I71" i="10"/>
  <c r="AP70" i="10"/>
  <c r="X70" i="10"/>
  <c r="AE70" i="10" s="1"/>
  <c r="AL70" i="10" s="1"/>
  <c r="U70" i="10"/>
  <c r="AB70" i="10" s="1"/>
  <c r="AI70" i="10" s="1"/>
  <c r="R70" i="10"/>
  <c r="Y70" i="10" s="1"/>
  <c r="AF70" i="10" s="1"/>
  <c r="AM70" i="10" s="1"/>
  <c r="P70" i="10"/>
  <c r="W70" i="10" s="1"/>
  <c r="AD70" i="10" s="1"/>
  <c r="AK70" i="10" s="1"/>
  <c r="AR70" i="10" s="1"/>
  <c r="O70" i="10"/>
  <c r="V70" i="10" s="1"/>
  <c r="AC70" i="10" s="1"/>
  <c r="AJ70" i="10" s="1"/>
  <c r="AQ70" i="10" s="1"/>
  <c r="N70" i="10"/>
  <c r="L70" i="10"/>
  <c r="S70" i="10" s="1"/>
  <c r="Z70" i="10" s="1"/>
  <c r="AG70" i="10" s="1"/>
  <c r="AN70" i="10" s="1"/>
  <c r="K70" i="10"/>
  <c r="J70" i="10"/>
  <c r="Q70" i="10" s="1"/>
  <c r="I70" i="10"/>
  <c r="AC69" i="10"/>
  <c r="AJ69" i="10" s="1"/>
  <c r="AQ69" i="10" s="1"/>
  <c r="V69" i="10"/>
  <c r="U69" i="10"/>
  <c r="AB69" i="10" s="1"/>
  <c r="AI69" i="10" s="1"/>
  <c r="AP69" i="10" s="1"/>
  <c r="P69" i="10"/>
  <c r="W69" i="10" s="1"/>
  <c r="AD69" i="10" s="1"/>
  <c r="AK69" i="10" s="1"/>
  <c r="AR69" i="10" s="1"/>
  <c r="O69" i="10"/>
  <c r="N69" i="10"/>
  <c r="L69" i="10"/>
  <c r="S69" i="10" s="1"/>
  <c r="Z69" i="10" s="1"/>
  <c r="AG69" i="10" s="1"/>
  <c r="AN69" i="10" s="1"/>
  <c r="K69" i="10"/>
  <c r="R69" i="10" s="1"/>
  <c r="Y69" i="10" s="1"/>
  <c r="AF69" i="10" s="1"/>
  <c r="AM69" i="10" s="1"/>
  <c r="J69" i="10"/>
  <c r="Q69" i="10" s="1"/>
  <c r="X69" i="10" s="1"/>
  <c r="AE69" i="10" s="1"/>
  <c r="AL69" i="10" s="1"/>
  <c r="I69" i="10"/>
  <c r="AK68" i="10"/>
  <c r="AR68" i="10" s="1"/>
  <c r="AD68" i="10"/>
  <c r="AC68" i="10"/>
  <c r="AJ68" i="10" s="1"/>
  <c r="AQ68" i="10" s="1"/>
  <c r="V68" i="10"/>
  <c r="S68" i="10"/>
  <c r="Z68" i="10" s="1"/>
  <c r="AG68" i="10" s="1"/>
  <c r="AN68" i="10" s="1"/>
  <c r="R68" i="10"/>
  <c r="Y68" i="10" s="1"/>
  <c r="AF68" i="10" s="1"/>
  <c r="AM68" i="10" s="1"/>
  <c r="P68" i="10"/>
  <c r="W68" i="10" s="1"/>
  <c r="O68" i="10"/>
  <c r="N68" i="10"/>
  <c r="U68" i="10" s="1"/>
  <c r="AB68" i="10" s="1"/>
  <c r="AI68" i="10" s="1"/>
  <c r="AP68" i="10" s="1"/>
  <c r="L68" i="10"/>
  <c r="K68" i="10"/>
  <c r="J68" i="10"/>
  <c r="Q68" i="10" s="1"/>
  <c r="X68" i="10" s="1"/>
  <c r="AE68" i="10" s="1"/>
  <c r="AL68" i="10" s="1"/>
  <c r="I68" i="10"/>
  <c r="AJ67" i="10"/>
  <c r="AQ67" i="10" s="1"/>
  <c r="AI67" i="10"/>
  <c r="AP67" i="10" s="1"/>
  <c r="AB67" i="10"/>
  <c r="Q67" i="10"/>
  <c r="X67" i="10" s="1"/>
  <c r="AE67" i="10" s="1"/>
  <c r="AL67" i="10" s="1"/>
  <c r="P67" i="10"/>
  <c r="W67" i="10" s="1"/>
  <c r="AD67" i="10" s="1"/>
  <c r="AK67" i="10" s="1"/>
  <c r="AR67" i="10" s="1"/>
  <c r="O67" i="10"/>
  <c r="V67" i="10" s="1"/>
  <c r="AC67" i="10" s="1"/>
  <c r="N67" i="10"/>
  <c r="U67" i="10" s="1"/>
  <c r="L67" i="10"/>
  <c r="S67" i="10" s="1"/>
  <c r="Z67" i="10" s="1"/>
  <c r="AG67" i="10" s="1"/>
  <c r="AN67" i="10" s="1"/>
  <c r="K67" i="10"/>
  <c r="R67" i="10" s="1"/>
  <c r="Y67" i="10" s="1"/>
  <c r="AF67" i="10" s="1"/>
  <c r="AM67" i="10" s="1"/>
  <c r="J67" i="10"/>
  <c r="I67" i="10"/>
  <c r="W66" i="10"/>
  <c r="AD66" i="10" s="1"/>
  <c r="AK66" i="10" s="1"/>
  <c r="AR66" i="10" s="1"/>
  <c r="V66" i="10"/>
  <c r="AC66" i="10" s="1"/>
  <c r="AJ66" i="10" s="1"/>
  <c r="AQ66" i="10" s="1"/>
  <c r="R66" i="10"/>
  <c r="Y66" i="10" s="1"/>
  <c r="AF66" i="10" s="1"/>
  <c r="AM66" i="10" s="1"/>
  <c r="P66" i="10"/>
  <c r="O66" i="10"/>
  <c r="N66" i="10"/>
  <c r="U66" i="10" s="1"/>
  <c r="AB66" i="10" s="1"/>
  <c r="AI66" i="10" s="1"/>
  <c r="AP66" i="10" s="1"/>
  <c r="L66" i="10"/>
  <c r="S66" i="10" s="1"/>
  <c r="Z66" i="10" s="1"/>
  <c r="AG66" i="10" s="1"/>
  <c r="AN66" i="10" s="1"/>
  <c r="K66" i="10"/>
  <c r="J66" i="10"/>
  <c r="Q66" i="10" s="1"/>
  <c r="X66" i="10" s="1"/>
  <c r="AE66" i="10" s="1"/>
  <c r="AL66" i="10" s="1"/>
  <c r="I66" i="10"/>
  <c r="V65" i="10"/>
  <c r="AC65" i="10" s="1"/>
  <c r="AJ65" i="10" s="1"/>
  <c r="AQ65" i="10" s="1"/>
  <c r="U65" i="10"/>
  <c r="AB65" i="10" s="1"/>
  <c r="AI65" i="10" s="1"/>
  <c r="AP65" i="10" s="1"/>
  <c r="P65" i="10"/>
  <c r="W65" i="10" s="1"/>
  <c r="AD65" i="10" s="1"/>
  <c r="AK65" i="10" s="1"/>
  <c r="AR65" i="10" s="1"/>
  <c r="O65" i="10"/>
  <c r="N65" i="10"/>
  <c r="L65" i="10"/>
  <c r="S65" i="10" s="1"/>
  <c r="Z65" i="10" s="1"/>
  <c r="AG65" i="10" s="1"/>
  <c r="AN65" i="10" s="1"/>
  <c r="K65" i="10"/>
  <c r="R65" i="10" s="1"/>
  <c r="Y65" i="10" s="1"/>
  <c r="AF65" i="10" s="1"/>
  <c r="AM65" i="10" s="1"/>
  <c r="J65" i="10"/>
  <c r="Q65" i="10" s="1"/>
  <c r="X65" i="10" s="1"/>
  <c r="AE65" i="10" s="1"/>
  <c r="AL65" i="10" s="1"/>
  <c r="I65" i="10"/>
  <c r="AC64" i="10"/>
  <c r="AJ64" i="10" s="1"/>
  <c r="AQ64" i="10" s="1"/>
  <c r="AB64" i="10"/>
  <c r="AI64" i="10" s="1"/>
  <c r="AP64" i="10" s="1"/>
  <c r="V64" i="10"/>
  <c r="U64" i="10"/>
  <c r="S64" i="10"/>
  <c r="Z64" i="10" s="1"/>
  <c r="AG64" i="10" s="1"/>
  <c r="AN64" i="10" s="1"/>
  <c r="P64" i="10"/>
  <c r="W64" i="10" s="1"/>
  <c r="AD64" i="10" s="1"/>
  <c r="AK64" i="10" s="1"/>
  <c r="AR64" i="10" s="1"/>
  <c r="O64" i="10"/>
  <c r="N64" i="10"/>
  <c r="L64" i="10"/>
  <c r="K64" i="10"/>
  <c r="R64" i="10" s="1"/>
  <c r="Y64" i="10" s="1"/>
  <c r="AF64" i="10" s="1"/>
  <c r="AM64" i="10" s="1"/>
  <c r="J64" i="10"/>
  <c r="Q64" i="10" s="1"/>
  <c r="X64" i="10" s="1"/>
  <c r="AE64" i="10" s="1"/>
  <c r="AL64" i="10" s="1"/>
  <c r="I64" i="10"/>
  <c r="AJ63" i="10"/>
  <c r="AQ63" i="10" s="1"/>
  <c r="AA63" i="10"/>
  <c r="AH63" i="10" s="1"/>
  <c r="AO63" i="10" s="1"/>
  <c r="T63" i="10"/>
  <c r="R63" i="10"/>
  <c r="Y63" i="10" s="1"/>
  <c r="AF63" i="10" s="1"/>
  <c r="AM63" i="10" s="1"/>
  <c r="Q63" i="10"/>
  <c r="X63" i="10" s="1"/>
  <c r="AE63" i="10" s="1"/>
  <c r="AL63" i="10" s="1"/>
  <c r="P63" i="10"/>
  <c r="W63" i="10" s="1"/>
  <c r="AD63" i="10" s="1"/>
  <c r="AK63" i="10" s="1"/>
  <c r="AR63" i="10" s="1"/>
  <c r="O63" i="10"/>
  <c r="V63" i="10" s="1"/>
  <c r="AC63" i="10" s="1"/>
  <c r="N63" i="10"/>
  <c r="U63" i="10" s="1"/>
  <c r="AB63" i="10" s="1"/>
  <c r="AI63" i="10" s="1"/>
  <c r="AP63" i="10" s="1"/>
  <c r="M63" i="10"/>
  <c r="K63" i="10"/>
  <c r="J63" i="10"/>
  <c r="I63" i="10"/>
  <c r="AH62" i="10"/>
  <c r="AO62" i="10" s="1"/>
  <c r="Y62" i="10"/>
  <c r="AF62" i="10" s="1"/>
  <c r="AM62" i="10" s="1"/>
  <c r="R62" i="10"/>
  <c r="P62" i="10"/>
  <c r="W62" i="10" s="1"/>
  <c r="AD62" i="10" s="1"/>
  <c r="AK62" i="10" s="1"/>
  <c r="AR62" i="10" s="1"/>
  <c r="O62" i="10"/>
  <c r="V62" i="10" s="1"/>
  <c r="AC62" i="10" s="1"/>
  <c r="AJ62" i="10" s="1"/>
  <c r="AQ62" i="10" s="1"/>
  <c r="N62" i="10"/>
  <c r="U62" i="10" s="1"/>
  <c r="AB62" i="10" s="1"/>
  <c r="AI62" i="10" s="1"/>
  <c r="AP62" i="10" s="1"/>
  <c r="M62" i="10"/>
  <c r="T62" i="10" s="1"/>
  <c r="AA62" i="10" s="1"/>
  <c r="K62" i="10"/>
  <c r="J62" i="10"/>
  <c r="I62" i="10"/>
  <c r="X61" i="10"/>
  <c r="AE61" i="10" s="1"/>
  <c r="AL61" i="10" s="1"/>
  <c r="U61" i="10"/>
  <c r="AB61" i="10" s="1"/>
  <c r="AI61" i="10" s="1"/>
  <c r="AP61" i="10" s="1"/>
  <c r="R61" i="10"/>
  <c r="Y61" i="10" s="1"/>
  <c r="AF61" i="10" s="1"/>
  <c r="AM61" i="10" s="1"/>
  <c r="P61" i="10"/>
  <c r="W61" i="10" s="1"/>
  <c r="AD61" i="10" s="1"/>
  <c r="AK61" i="10" s="1"/>
  <c r="AR61" i="10" s="1"/>
  <c r="O61" i="10"/>
  <c r="V61" i="10" s="1"/>
  <c r="AC61" i="10" s="1"/>
  <c r="AJ61" i="10" s="1"/>
  <c r="AQ61" i="10" s="1"/>
  <c r="N61" i="10"/>
  <c r="M61" i="10"/>
  <c r="T61" i="10" s="1"/>
  <c r="AA61" i="10" s="1"/>
  <c r="AH61" i="10" s="1"/>
  <c r="AO61" i="10" s="1"/>
  <c r="K61" i="10"/>
  <c r="J61" i="10"/>
  <c r="Q61" i="10" s="1"/>
  <c r="I61" i="10"/>
  <c r="AD60" i="10"/>
  <c r="AK60" i="10" s="1"/>
  <c r="AR60" i="10" s="1"/>
  <c r="W60" i="10"/>
  <c r="V60" i="10"/>
  <c r="AC60" i="10" s="1"/>
  <c r="AJ60" i="10" s="1"/>
  <c r="AQ60" i="10" s="1"/>
  <c r="S60" i="10"/>
  <c r="Z60" i="10" s="1"/>
  <c r="AG60" i="10" s="1"/>
  <c r="AN60" i="10" s="1"/>
  <c r="P60" i="10"/>
  <c r="O60" i="10"/>
  <c r="N60" i="10"/>
  <c r="U60" i="10" s="1"/>
  <c r="AB60" i="10" s="1"/>
  <c r="AI60" i="10" s="1"/>
  <c r="AP60" i="10" s="1"/>
  <c r="M60" i="10"/>
  <c r="T60" i="10" s="1"/>
  <c r="AA60" i="10" s="1"/>
  <c r="AH60" i="10" s="1"/>
  <c r="AO60" i="10" s="1"/>
  <c r="L60" i="10"/>
  <c r="J60" i="10"/>
  <c r="Q60" i="10" s="1"/>
  <c r="X60" i="10" s="1"/>
  <c r="AE60" i="10" s="1"/>
  <c r="AL60" i="10" s="1"/>
  <c r="I60" i="10"/>
  <c r="AJ59" i="10"/>
  <c r="AQ59" i="10" s="1"/>
  <c r="AC59" i="10"/>
  <c r="AB59" i="10"/>
  <c r="AI59" i="10" s="1"/>
  <c r="AP59" i="10" s="1"/>
  <c r="V59" i="10"/>
  <c r="U59" i="10"/>
  <c r="T59" i="10"/>
  <c r="AA59" i="10" s="1"/>
  <c r="AH59" i="10" s="1"/>
  <c r="AO59" i="10" s="1"/>
  <c r="Q59" i="10"/>
  <c r="X59" i="10" s="1"/>
  <c r="AE59" i="10" s="1"/>
  <c r="AL59" i="10" s="1"/>
  <c r="P59" i="10"/>
  <c r="W59" i="10" s="1"/>
  <c r="AD59" i="10" s="1"/>
  <c r="AK59" i="10" s="1"/>
  <c r="AR59" i="10" s="1"/>
  <c r="O59" i="10"/>
  <c r="N59" i="10"/>
  <c r="M59" i="10"/>
  <c r="L59" i="10"/>
  <c r="S59" i="10" s="1"/>
  <c r="Z59" i="10" s="1"/>
  <c r="AG59" i="10" s="1"/>
  <c r="AN59" i="10" s="1"/>
  <c r="J59" i="10"/>
  <c r="I59" i="10"/>
  <c r="AH58" i="10"/>
  <c r="AO58" i="10" s="1"/>
  <c r="AA58" i="10"/>
  <c r="Z58" i="10"/>
  <c r="AG58" i="10" s="1"/>
  <c r="AN58" i="10" s="1"/>
  <c r="W58" i="10"/>
  <c r="AD58" i="10" s="1"/>
  <c r="AK58" i="10" s="1"/>
  <c r="AR58" i="10" s="1"/>
  <c r="T58" i="10"/>
  <c r="S58" i="10"/>
  <c r="P58" i="10"/>
  <c r="O58" i="10"/>
  <c r="V58" i="10" s="1"/>
  <c r="AC58" i="10" s="1"/>
  <c r="AJ58" i="10" s="1"/>
  <c r="AQ58" i="10" s="1"/>
  <c r="N58" i="10"/>
  <c r="U58" i="10" s="1"/>
  <c r="AB58" i="10" s="1"/>
  <c r="AI58" i="10" s="1"/>
  <c r="AP58" i="10" s="1"/>
  <c r="M58" i="10"/>
  <c r="L58" i="10"/>
  <c r="J58" i="10"/>
  <c r="I58" i="10"/>
  <c r="AF57" i="10"/>
  <c r="AM57" i="10" s="1"/>
  <c r="Y57" i="10"/>
  <c r="X57" i="10"/>
  <c r="AE57" i="10" s="1"/>
  <c r="AL57" i="10" s="1"/>
  <c r="U57" i="10"/>
  <c r="AB57" i="10" s="1"/>
  <c r="AI57" i="10" s="1"/>
  <c r="AP57" i="10" s="1"/>
  <c r="R57" i="10"/>
  <c r="Q57" i="10"/>
  <c r="P57" i="10"/>
  <c r="W57" i="10" s="1"/>
  <c r="AD57" i="10" s="1"/>
  <c r="AK57" i="10" s="1"/>
  <c r="AR57" i="10" s="1"/>
  <c r="O57" i="10"/>
  <c r="V57" i="10" s="1"/>
  <c r="AC57" i="10" s="1"/>
  <c r="AJ57" i="10" s="1"/>
  <c r="AQ57" i="10" s="1"/>
  <c r="N57" i="10"/>
  <c r="L57" i="10"/>
  <c r="S57" i="10" s="1"/>
  <c r="Z57" i="10" s="1"/>
  <c r="AG57" i="10" s="1"/>
  <c r="AN57" i="10" s="1"/>
  <c r="K57" i="10"/>
  <c r="J57" i="10"/>
  <c r="I57" i="10"/>
  <c r="AD56" i="10"/>
  <c r="AK56" i="10" s="1"/>
  <c r="AR56" i="10" s="1"/>
  <c r="W56" i="10"/>
  <c r="V56" i="10"/>
  <c r="AC56" i="10" s="1"/>
  <c r="AJ56" i="10" s="1"/>
  <c r="AQ56" i="10" s="1"/>
  <c r="S56" i="10"/>
  <c r="Z56" i="10" s="1"/>
  <c r="AG56" i="10" s="1"/>
  <c r="AN56" i="10" s="1"/>
  <c r="P56" i="10"/>
  <c r="O56" i="10"/>
  <c r="N56" i="10"/>
  <c r="U56" i="10" s="1"/>
  <c r="AB56" i="10" s="1"/>
  <c r="AI56" i="10" s="1"/>
  <c r="AP56" i="10" s="1"/>
  <c r="M56" i="10"/>
  <c r="T56" i="10" s="1"/>
  <c r="AA56" i="10" s="1"/>
  <c r="AH56" i="10" s="1"/>
  <c r="AO56" i="10" s="1"/>
  <c r="L56" i="10"/>
  <c r="K56" i="10"/>
  <c r="R56" i="10" s="1"/>
  <c r="Y56" i="10" s="1"/>
  <c r="AF56" i="10" s="1"/>
  <c r="AM56" i="10" s="1"/>
  <c r="J56" i="10"/>
  <c r="Q56" i="10" s="1"/>
  <c r="X56" i="10" s="1"/>
  <c r="AE56" i="10" s="1"/>
  <c r="AL56" i="10" s="1"/>
  <c r="I56" i="10"/>
  <c r="AJ55" i="10"/>
  <c r="AQ55" i="10" s="1"/>
  <c r="AC55" i="10"/>
  <c r="AB55" i="10"/>
  <c r="AI55" i="10" s="1"/>
  <c r="AP55" i="10" s="1"/>
  <c r="V55" i="10"/>
  <c r="U55" i="10"/>
  <c r="Q55" i="10"/>
  <c r="X55" i="10" s="1"/>
  <c r="AE55" i="10" s="1"/>
  <c r="AL55" i="10" s="1"/>
  <c r="P55" i="10"/>
  <c r="W55" i="10" s="1"/>
  <c r="AD55" i="10" s="1"/>
  <c r="AK55" i="10" s="1"/>
  <c r="AR55" i="10" s="1"/>
  <c r="O55" i="10"/>
  <c r="N55" i="10"/>
  <c r="L55" i="10"/>
  <c r="S55" i="10" s="1"/>
  <c r="Z55" i="10" s="1"/>
  <c r="AG55" i="10" s="1"/>
  <c r="AN55" i="10" s="1"/>
  <c r="K55" i="10"/>
  <c r="R55" i="10" s="1"/>
  <c r="Y55" i="10" s="1"/>
  <c r="AF55" i="10" s="1"/>
  <c r="AM55" i="10" s="1"/>
  <c r="J55" i="10"/>
  <c r="I55" i="10"/>
  <c r="Z54" i="10"/>
  <c r="AG54" i="10" s="1"/>
  <c r="AN54" i="10" s="1"/>
  <c r="W54" i="10"/>
  <c r="AD54" i="10" s="1"/>
  <c r="AK54" i="10" s="1"/>
  <c r="AR54" i="10" s="1"/>
  <c r="S54" i="10"/>
  <c r="R54" i="10"/>
  <c r="Y54" i="10" s="1"/>
  <c r="AF54" i="10" s="1"/>
  <c r="AM54" i="10" s="1"/>
  <c r="P54" i="10"/>
  <c r="O54" i="10"/>
  <c r="V54" i="10" s="1"/>
  <c r="AC54" i="10" s="1"/>
  <c r="AJ54" i="10" s="1"/>
  <c r="AQ54" i="10" s="1"/>
  <c r="N54" i="10"/>
  <c r="U54" i="10" s="1"/>
  <c r="AB54" i="10" s="1"/>
  <c r="AI54" i="10" s="1"/>
  <c r="AP54" i="10" s="1"/>
  <c r="L54" i="10"/>
  <c r="K54" i="10"/>
  <c r="J54" i="10"/>
  <c r="I54" i="10"/>
  <c r="AF53" i="10"/>
  <c r="AM53" i="10" s="1"/>
  <c r="Y53" i="10"/>
  <c r="X53" i="10"/>
  <c r="AE53" i="10" s="1"/>
  <c r="AL53" i="10" s="1"/>
  <c r="U53" i="10"/>
  <c r="AB53" i="10" s="1"/>
  <c r="AI53" i="10" s="1"/>
  <c r="AP53" i="10" s="1"/>
  <c r="R53" i="10"/>
  <c r="Q53" i="10"/>
  <c r="P53" i="10"/>
  <c r="W53" i="10" s="1"/>
  <c r="AD53" i="10" s="1"/>
  <c r="AK53" i="10" s="1"/>
  <c r="AR53" i="10" s="1"/>
  <c r="O53" i="10"/>
  <c r="V53" i="10" s="1"/>
  <c r="AC53" i="10" s="1"/>
  <c r="AJ53" i="10" s="1"/>
  <c r="AQ53" i="10" s="1"/>
  <c r="N53" i="10"/>
  <c r="L53" i="10"/>
  <c r="S53" i="10" s="1"/>
  <c r="Z53" i="10" s="1"/>
  <c r="AG53" i="10" s="1"/>
  <c r="AN53" i="10" s="1"/>
  <c r="K53" i="10"/>
  <c r="J53" i="10"/>
  <c r="I53" i="10"/>
  <c r="AD52" i="10"/>
  <c r="AK52" i="10" s="1"/>
  <c r="AR52" i="10" s="1"/>
  <c r="W52" i="10"/>
  <c r="V52" i="10"/>
  <c r="AC52" i="10" s="1"/>
  <c r="AJ52" i="10" s="1"/>
  <c r="AQ52" i="10" s="1"/>
  <c r="S52" i="10"/>
  <c r="Z52" i="10" s="1"/>
  <c r="AG52" i="10" s="1"/>
  <c r="AN52" i="10" s="1"/>
  <c r="P52" i="10"/>
  <c r="O52" i="10"/>
  <c r="N52" i="10"/>
  <c r="U52" i="10" s="1"/>
  <c r="AB52" i="10" s="1"/>
  <c r="AI52" i="10" s="1"/>
  <c r="AP52" i="10" s="1"/>
  <c r="L52" i="10"/>
  <c r="K52" i="10"/>
  <c r="R52" i="10" s="1"/>
  <c r="Y52" i="10" s="1"/>
  <c r="AF52" i="10" s="1"/>
  <c r="AM52" i="10" s="1"/>
  <c r="J52" i="10"/>
  <c r="Q52" i="10" s="1"/>
  <c r="X52" i="10" s="1"/>
  <c r="AE52" i="10" s="1"/>
  <c r="AL52" i="10" s="1"/>
  <c r="I52" i="10"/>
  <c r="AJ51" i="10"/>
  <c r="AQ51" i="10" s="1"/>
  <c r="AC51" i="10"/>
  <c r="AB51" i="10"/>
  <c r="AI51" i="10" s="1"/>
  <c r="AP51" i="10" s="1"/>
  <c r="V51" i="10"/>
  <c r="U51" i="10"/>
  <c r="Q51" i="10"/>
  <c r="X51" i="10" s="1"/>
  <c r="AE51" i="10" s="1"/>
  <c r="AL51" i="10" s="1"/>
  <c r="P51" i="10"/>
  <c r="W51" i="10" s="1"/>
  <c r="AD51" i="10" s="1"/>
  <c r="AK51" i="10" s="1"/>
  <c r="AR51" i="10" s="1"/>
  <c r="O51" i="10"/>
  <c r="N51" i="10"/>
  <c r="L51" i="10"/>
  <c r="S51" i="10" s="1"/>
  <c r="Z51" i="10" s="1"/>
  <c r="AG51" i="10" s="1"/>
  <c r="AN51" i="10" s="1"/>
  <c r="K51" i="10"/>
  <c r="R51" i="10" s="1"/>
  <c r="Y51" i="10" s="1"/>
  <c r="AF51" i="10" s="1"/>
  <c r="AM51" i="10" s="1"/>
  <c r="J51" i="10"/>
  <c r="I51" i="10"/>
  <c r="Z50" i="10"/>
  <c r="AG50" i="10" s="1"/>
  <c r="AN50" i="10" s="1"/>
  <c r="W50" i="10"/>
  <c r="AD50" i="10" s="1"/>
  <c r="AK50" i="10" s="1"/>
  <c r="AR50" i="10" s="1"/>
  <c r="S50" i="10"/>
  <c r="R50" i="10"/>
  <c r="Y50" i="10" s="1"/>
  <c r="AF50" i="10" s="1"/>
  <c r="AM50" i="10" s="1"/>
  <c r="P50" i="10"/>
  <c r="O50" i="10"/>
  <c r="V50" i="10" s="1"/>
  <c r="AC50" i="10" s="1"/>
  <c r="AJ50" i="10" s="1"/>
  <c r="AQ50" i="10" s="1"/>
  <c r="N50" i="10"/>
  <c r="U50" i="10" s="1"/>
  <c r="AB50" i="10" s="1"/>
  <c r="AI50" i="10" s="1"/>
  <c r="AP50" i="10" s="1"/>
  <c r="L50" i="10"/>
  <c r="K50" i="10"/>
  <c r="J50" i="10"/>
  <c r="I50" i="10"/>
  <c r="AF49" i="10"/>
  <c r="AM49" i="10" s="1"/>
  <c r="Y49" i="10"/>
  <c r="X49" i="10"/>
  <c r="AE49" i="10" s="1"/>
  <c r="AL49" i="10" s="1"/>
  <c r="U49" i="10"/>
  <c r="AB49" i="10" s="1"/>
  <c r="AI49" i="10" s="1"/>
  <c r="AP49" i="10" s="1"/>
  <c r="R49" i="10"/>
  <c r="Q49" i="10"/>
  <c r="P49" i="10"/>
  <c r="W49" i="10" s="1"/>
  <c r="AD49" i="10" s="1"/>
  <c r="AK49" i="10" s="1"/>
  <c r="AR49" i="10" s="1"/>
  <c r="O49" i="10"/>
  <c r="V49" i="10" s="1"/>
  <c r="AC49" i="10" s="1"/>
  <c r="AJ49" i="10" s="1"/>
  <c r="AQ49" i="10" s="1"/>
  <c r="N49" i="10"/>
  <c r="L49" i="10"/>
  <c r="S49" i="10" s="1"/>
  <c r="Z49" i="10" s="1"/>
  <c r="AG49" i="10" s="1"/>
  <c r="AN49" i="10" s="1"/>
  <c r="K49" i="10"/>
  <c r="J49" i="10"/>
  <c r="I49" i="10"/>
  <c r="AD48" i="10"/>
  <c r="AK48" i="10" s="1"/>
  <c r="AR48" i="10" s="1"/>
  <c r="W48" i="10"/>
  <c r="V48" i="10"/>
  <c r="AC48" i="10" s="1"/>
  <c r="AJ48" i="10" s="1"/>
  <c r="AQ48" i="10" s="1"/>
  <c r="S48" i="10"/>
  <c r="Z48" i="10" s="1"/>
  <c r="AG48" i="10" s="1"/>
  <c r="AN48" i="10" s="1"/>
  <c r="P48" i="10"/>
  <c r="O48" i="10"/>
  <c r="N48" i="10"/>
  <c r="U48" i="10" s="1"/>
  <c r="AB48" i="10" s="1"/>
  <c r="AI48" i="10" s="1"/>
  <c r="AP48" i="10" s="1"/>
  <c r="L48" i="10"/>
  <c r="K48" i="10"/>
  <c r="R48" i="10" s="1"/>
  <c r="Y48" i="10" s="1"/>
  <c r="AF48" i="10" s="1"/>
  <c r="AM48" i="10" s="1"/>
  <c r="J48" i="10"/>
  <c r="Q48" i="10" s="1"/>
  <c r="X48" i="10" s="1"/>
  <c r="AE48" i="10" s="1"/>
  <c r="AL48" i="10" s="1"/>
  <c r="I48" i="10"/>
  <c r="AJ47" i="10"/>
  <c r="AQ47" i="10" s="1"/>
  <c r="AC47" i="10"/>
  <c r="AB47" i="10"/>
  <c r="AI47" i="10" s="1"/>
  <c r="AP47" i="10" s="1"/>
  <c r="V47" i="10"/>
  <c r="U47" i="10"/>
  <c r="Q47" i="10"/>
  <c r="X47" i="10" s="1"/>
  <c r="AE47" i="10" s="1"/>
  <c r="AL47" i="10" s="1"/>
  <c r="P47" i="10"/>
  <c r="W47" i="10" s="1"/>
  <c r="AD47" i="10" s="1"/>
  <c r="AK47" i="10" s="1"/>
  <c r="AR47" i="10" s="1"/>
  <c r="O47" i="10"/>
  <c r="N47" i="10"/>
  <c r="L47" i="10"/>
  <c r="S47" i="10" s="1"/>
  <c r="Z47" i="10" s="1"/>
  <c r="AG47" i="10" s="1"/>
  <c r="AN47" i="10" s="1"/>
  <c r="K47" i="10"/>
  <c r="R47" i="10" s="1"/>
  <c r="Y47" i="10" s="1"/>
  <c r="AF47" i="10" s="1"/>
  <c r="AM47" i="10" s="1"/>
  <c r="J47" i="10"/>
  <c r="I47" i="10"/>
  <c r="Z46" i="10"/>
  <c r="AG46" i="10" s="1"/>
  <c r="AN46" i="10" s="1"/>
  <c r="W46" i="10"/>
  <c r="AD46" i="10" s="1"/>
  <c r="AK46" i="10" s="1"/>
  <c r="AR46" i="10" s="1"/>
  <c r="S46" i="10"/>
  <c r="R46" i="10"/>
  <c r="Y46" i="10" s="1"/>
  <c r="AF46" i="10" s="1"/>
  <c r="AM46" i="10" s="1"/>
  <c r="P46" i="10"/>
  <c r="O46" i="10"/>
  <c r="V46" i="10" s="1"/>
  <c r="AC46" i="10" s="1"/>
  <c r="AJ46" i="10" s="1"/>
  <c r="AQ46" i="10" s="1"/>
  <c r="N46" i="10"/>
  <c r="U46" i="10" s="1"/>
  <c r="AB46" i="10" s="1"/>
  <c r="AI46" i="10" s="1"/>
  <c r="AP46" i="10" s="1"/>
  <c r="L46" i="10"/>
  <c r="K46" i="10"/>
  <c r="J46" i="10"/>
  <c r="I46" i="10"/>
  <c r="AF45" i="10"/>
  <c r="AM45" i="10" s="1"/>
  <c r="Y45" i="10"/>
  <c r="X45" i="10"/>
  <c r="AE45" i="10" s="1"/>
  <c r="AL45" i="10" s="1"/>
  <c r="U45" i="10"/>
  <c r="AB45" i="10" s="1"/>
  <c r="AI45" i="10" s="1"/>
  <c r="AP45" i="10" s="1"/>
  <c r="R45" i="10"/>
  <c r="Q45" i="10"/>
  <c r="P45" i="10"/>
  <c r="W45" i="10" s="1"/>
  <c r="AD45" i="10" s="1"/>
  <c r="AK45" i="10" s="1"/>
  <c r="AR45" i="10" s="1"/>
  <c r="O45" i="10"/>
  <c r="V45" i="10" s="1"/>
  <c r="AC45" i="10" s="1"/>
  <c r="AJ45" i="10" s="1"/>
  <c r="AQ45" i="10" s="1"/>
  <c r="N45" i="10"/>
  <c r="L45" i="10"/>
  <c r="S45" i="10" s="1"/>
  <c r="Z45" i="10" s="1"/>
  <c r="AG45" i="10" s="1"/>
  <c r="AN45" i="10" s="1"/>
  <c r="K45" i="10"/>
  <c r="J45" i="10"/>
  <c r="I45" i="10"/>
  <c r="AD44" i="10"/>
  <c r="AK44" i="10" s="1"/>
  <c r="AR44" i="10" s="1"/>
  <c r="W44" i="10"/>
  <c r="V44" i="10"/>
  <c r="AC44" i="10" s="1"/>
  <c r="AJ44" i="10" s="1"/>
  <c r="AQ44" i="10" s="1"/>
  <c r="P44" i="10"/>
  <c r="O44" i="10"/>
  <c r="N44" i="10"/>
  <c r="U44" i="10" s="1"/>
  <c r="AB44" i="10" s="1"/>
  <c r="AI44" i="10" s="1"/>
  <c r="AP44" i="10" s="1"/>
  <c r="M44" i="10"/>
  <c r="T44" i="10" s="1"/>
  <c r="AA44" i="10" s="1"/>
  <c r="AH44" i="10" s="1"/>
  <c r="AO44" i="10" s="1"/>
  <c r="K44" i="10"/>
  <c r="R44" i="10" s="1"/>
  <c r="Y44" i="10" s="1"/>
  <c r="AF44" i="10" s="1"/>
  <c r="AM44" i="10" s="1"/>
  <c r="J44" i="10"/>
  <c r="Q44" i="10" s="1"/>
  <c r="X44" i="10" s="1"/>
  <c r="AE44" i="10" s="1"/>
  <c r="AL44" i="10" s="1"/>
  <c r="I44" i="10"/>
  <c r="AJ43" i="10"/>
  <c r="AQ43" i="10" s="1"/>
  <c r="AC43" i="10"/>
  <c r="AB43" i="10"/>
  <c r="AI43" i="10" s="1"/>
  <c r="AP43" i="10" s="1"/>
  <c r="V43" i="10"/>
  <c r="U43" i="10"/>
  <c r="Q43" i="10"/>
  <c r="X43" i="10" s="1"/>
  <c r="AE43" i="10" s="1"/>
  <c r="AL43" i="10" s="1"/>
  <c r="P43" i="10"/>
  <c r="W43" i="10" s="1"/>
  <c r="AD43" i="10" s="1"/>
  <c r="AK43" i="10" s="1"/>
  <c r="AR43" i="10" s="1"/>
  <c r="O43" i="10"/>
  <c r="N43" i="10"/>
  <c r="L43" i="10"/>
  <c r="S43" i="10" s="1"/>
  <c r="Z43" i="10" s="1"/>
  <c r="AG43" i="10" s="1"/>
  <c r="AN43" i="10" s="1"/>
  <c r="K43" i="10"/>
  <c r="R43" i="10" s="1"/>
  <c r="Y43" i="10" s="1"/>
  <c r="AF43" i="10" s="1"/>
  <c r="AM43" i="10" s="1"/>
  <c r="J43" i="10"/>
  <c r="I43" i="10"/>
  <c r="Z42" i="10"/>
  <c r="AG42" i="10" s="1"/>
  <c r="AN42" i="10" s="1"/>
  <c r="W42" i="10"/>
  <c r="AD42" i="10" s="1"/>
  <c r="AK42" i="10" s="1"/>
  <c r="AR42" i="10" s="1"/>
  <c r="S42" i="10"/>
  <c r="R42" i="10"/>
  <c r="Y42" i="10" s="1"/>
  <c r="AF42" i="10" s="1"/>
  <c r="AM42" i="10" s="1"/>
  <c r="P42" i="10"/>
  <c r="O42" i="10"/>
  <c r="V42" i="10" s="1"/>
  <c r="AC42" i="10" s="1"/>
  <c r="AJ42" i="10" s="1"/>
  <c r="AQ42" i="10" s="1"/>
  <c r="N42" i="10"/>
  <c r="U42" i="10" s="1"/>
  <c r="AB42" i="10" s="1"/>
  <c r="AI42" i="10" s="1"/>
  <c r="AP42" i="10" s="1"/>
  <c r="L42" i="10"/>
  <c r="K42" i="10"/>
  <c r="J42" i="10"/>
  <c r="I42" i="10"/>
  <c r="AF41" i="10"/>
  <c r="AM41" i="10" s="1"/>
  <c r="Y41" i="10"/>
  <c r="X41" i="10"/>
  <c r="AE41" i="10" s="1"/>
  <c r="AL41" i="10" s="1"/>
  <c r="U41" i="10"/>
  <c r="AB41" i="10" s="1"/>
  <c r="AI41" i="10" s="1"/>
  <c r="AP41" i="10" s="1"/>
  <c r="R41" i="10"/>
  <c r="Q41" i="10"/>
  <c r="P41" i="10"/>
  <c r="W41" i="10" s="1"/>
  <c r="AD41" i="10" s="1"/>
  <c r="AK41" i="10" s="1"/>
  <c r="AR41" i="10" s="1"/>
  <c r="O41" i="10"/>
  <c r="V41" i="10" s="1"/>
  <c r="AC41" i="10" s="1"/>
  <c r="AJ41" i="10" s="1"/>
  <c r="AQ41" i="10" s="1"/>
  <c r="N41" i="10"/>
  <c r="L41" i="10"/>
  <c r="S41" i="10" s="1"/>
  <c r="Z41" i="10" s="1"/>
  <c r="AG41" i="10" s="1"/>
  <c r="AN41" i="10" s="1"/>
  <c r="K41" i="10"/>
  <c r="J41" i="10"/>
  <c r="I41" i="10"/>
  <c r="AD40" i="10"/>
  <c r="AK40" i="10" s="1"/>
  <c r="AR40" i="10" s="1"/>
  <c r="W40" i="10"/>
  <c r="V40" i="10"/>
  <c r="AC40" i="10" s="1"/>
  <c r="AJ40" i="10" s="1"/>
  <c r="AQ40" i="10" s="1"/>
  <c r="S40" i="10"/>
  <c r="Z40" i="10" s="1"/>
  <c r="AG40" i="10" s="1"/>
  <c r="AN40" i="10" s="1"/>
  <c r="P40" i="10"/>
  <c r="O40" i="10"/>
  <c r="N40" i="10"/>
  <c r="U40" i="10" s="1"/>
  <c r="AB40" i="10" s="1"/>
  <c r="AI40" i="10" s="1"/>
  <c r="AP40" i="10" s="1"/>
  <c r="L40" i="10"/>
  <c r="K40" i="10"/>
  <c r="R40" i="10" s="1"/>
  <c r="Y40" i="10" s="1"/>
  <c r="AF40" i="10" s="1"/>
  <c r="AM40" i="10" s="1"/>
  <c r="J40" i="10"/>
  <c r="Q40" i="10" s="1"/>
  <c r="X40" i="10" s="1"/>
  <c r="AE40" i="10" s="1"/>
  <c r="AL40" i="10" s="1"/>
  <c r="I40" i="10"/>
  <c r="AJ39" i="10"/>
  <c r="AQ39" i="10" s="1"/>
  <c r="AC39" i="10"/>
  <c r="AB39" i="10"/>
  <c r="AI39" i="10" s="1"/>
  <c r="AP39" i="10" s="1"/>
  <c r="V39" i="10"/>
  <c r="U39" i="10"/>
  <c r="Q39" i="10"/>
  <c r="X39" i="10" s="1"/>
  <c r="AE39" i="10" s="1"/>
  <c r="AL39" i="10" s="1"/>
  <c r="P39" i="10"/>
  <c r="W39" i="10" s="1"/>
  <c r="AD39" i="10" s="1"/>
  <c r="AK39" i="10" s="1"/>
  <c r="AR39" i="10" s="1"/>
  <c r="O39" i="10"/>
  <c r="N39" i="10"/>
  <c r="L39" i="10"/>
  <c r="S39" i="10" s="1"/>
  <c r="Z39" i="10" s="1"/>
  <c r="AG39" i="10" s="1"/>
  <c r="AN39" i="10" s="1"/>
  <c r="K39" i="10"/>
  <c r="R39" i="10" s="1"/>
  <c r="Y39" i="10" s="1"/>
  <c r="AF39" i="10" s="1"/>
  <c r="AM39" i="10" s="1"/>
  <c r="J39" i="10"/>
  <c r="I39" i="10"/>
  <c r="Z38" i="10"/>
  <c r="AG38" i="10" s="1"/>
  <c r="AN38" i="10" s="1"/>
  <c r="W38" i="10"/>
  <c r="AD38" i="10" s="1"/>
  <c r="AK38" i="10" s="1"/>
  <c r="AR38" i="10" s="1"/>
  <c r="S38" i="10"/>
  <c r="R38" i="10"/>
  <c r="Y38" i="10" s="1"/>
  <c r="AF38" i="10" s="1"/>
  <c r="AM38" i="10" s="1"/>
  <c r="P38" i="10"/>
  <c r="O38" i="10"/>
  <c r="V38" i="10" s="1"/>
  <c r="AC38" i="10" s="1"/>
  <c r="AJ38" i="10" s="1"/>
  <c r="AQ38" i="10" s="1"/>
  <c r="N38" i="10"/>
  <c r="U38" i="10" s="1"/>
  <c r="AB38" i="10" s="1"/>
  <c r="AI38" i="10" s="1"/>
  <c r="AP38" i="10" s="1"/>
  <c r="L38" i="10"/>
  <c r="K38" i="10"/>
  <c r="J38" i="10"/>
  <c r="I38" i="10"/>
  <c r="AF37" i="10"/>
  <c r="AM37" i="10" s="1"/>
  <c r="Y37" i="10"/>
  <c r="X37" i="10"/>
  <c r="AE37" i="10" s="1"/>
  <c r="AL37" i="10" s="1"/>
  <c r="U37" i="10"/>
  <c r="AB37" i="10" s="1"/>
  <c r="AI37" i="10" s="1"/>
  <c r="AP37" i="10" s="1"/>
  <c r="R37" i="10"/>
  <c r="Q37" i="10"/>
  <c r="P37" i="10"/>
  <c r="W37" i="10" s="1"/>
  <c r="AD37" i="10" s="1"/>
  <c r="AK37" i="10" s="1"/>
  <c r="AR37" i="10" s="1"/>
  <c r="O37" i="10"/>
  <c r="V37" i="10" s="1"/>
  <c r="AC37" i="10" s="1"/>
  <c r="AJ37" i="10" s="1"/>
  <c r="AQ37" i="10" s="1"/>
  <c r="N37" i="10"/>
  <c r="L37" i="10"/>
  <c r="S37" i="10" s="1"/>
  <c r="Z37" i="10" s="1"/>
  <c r="AG37" i="10" s="1"/>
  <c r="AN37" i="10" s="1"/>
  <c r="K37" i="10"/>
  <c r="J37" i="10"/>
  <c r="I37" i="10"/>
  <c r="AD36" i="10"/>
  <c r="AK36" i="10" s="1"/>
  <c r="AR36" i="10" s="1"/>
  <c r="W36" i="10"/>
  <c r="V36" i="10"/>
  <c r="AC36" i="10" s="1"/>
  <c r="AJ36" i="10" s="1"/>
  <c r="AQ36" i="10" s="1"/>
  <c r="S36" i="10"/>
  <c r="Z36" i="10" s="1"/>
  <c r="AG36" i="10" s="1"/>
  <c r="AN36" i="10" s="1"/>
  <c r="P36" i="10"/>
  <c r="O36" i="10"/>
  <c r="N36" i="10"/>
  <c r="U36" i="10" s="1"/>
  <c r="AB36" i="10" s="1"/>
  <c r="AI36" i="10" s="1"/>
  <c r="AP36" i="10" s="1"/>
  <c r="L36" i="10"/>
  <c r="K36" i="10"/>
  <c r="R36" i="10" s="1"/>
  <c r="Y36" i="10" s="1"/>
  <c r="AF36" i="10" s="1"/>
  <c r="AM36" i="10" s="1"/>
  <c r="J36" i="10"/>
  <c r="Q36" i="10" s="1"/>
  <c r="X36" i="10" s="1"/>
  <c r="AE36" i="10" s="1"/>
  <c r="AL36" i="10" s="1"/>
  <c r="I36" i="10"/>
  <c r="AJ35" i="10"/>
  <c r="AQ35" i="10" s="1"/>
  <c r="AC35" i="10"/>
  <c r="AB35" i="10"/>
  <c r="AI35" i="10" s="1"/>
  <c r="AP35" i="10" s="1"/>
  <c r="V35" i="10"/>
  <c r="U35" i="10"/>
  <c r="Q35" i="10"/>
  <c r="X35" i="10" s="1"/>
  <c r="AE35" i="10" s="1"/>
  <c r="AL35" i="10" s="1"/>
  <c r="P35" i="10"/>
  <c r="W35" i="10" s="1"/>
  <c r="AD35" i="10" s="1"/>
  <c r="AK35" i="10" s="1"/>
  <c r="AR35" i="10" s="1"/>
  <c r="O35" i="10"/>
  <c r="N35" i="10"/>
  <c r="L35" i="10"/>
  <c r="S35" i="10" s="1"/>
  <c r="Z35" i="10" s="1"/>
  <c r="AG35" i="10" s="1"/>
  <c r="AN35" i="10" s="1"/>
  <c r="K35" i="10"/>
  <c r="R35" i="10" s="1"/>
  <c r="Y35" i="10" s="1"/>
  <c r="AF35" i="10" s="1"/>
  <c r="AM35" i="10" s="1"/>
  <c r="J35" i="10"/>
  <c r="I35" i="10"/>
  <c r="Z34" i="10"/>
  <c r="AG34" i="10" s="1"/>
  <c r="AN34" i="10" s="1"/>
  <c r="W34" i="10"/>
  <c r="AD34" i="10" s="1"/>
  <c r="AK34" i="10" s="1"/>
  <c r="AR34" i="10" s="1"/>
  <c r="S34" i="10"/>
  <c r="R34" i="10"/>
  <c r="Y34" i="10" s="1"/>
  <c r="AF34" i="10" s="1"/>
  <c r="AM34" i="10" s="1"/>
  <c r="P34" i="10"/>
  <c r="O34" i="10"/>
  <c r="V34" i="10" s="1"/>
  <c r="AC34" i="10" s="1"/>
  <c r="AJ34" i="10" s="1"/>
  <c r="AQ34" i="10" s="1"/>
  <c r="N34" i="10"/>
  <c r="U34" i="10" s="1"/>
  <c r="AB34" i="10" s="1"/>
  <c r="AI34" i="10" s="1"/>
  <c r="AP34" i="10" s="1"/>
  <c r="L34" i="10"/>
  <c r="K34" i="10"/>
  <c r="J34" i="10"/>
  <c r="I34" i="10"/>
  <c r="X33" i="10"/>
  <c r="AE33" i="10" s="1"/>
  <c r="AL33" i="10" s="1"/>
  <c r="U33" i="10"/>
  <c r="AB33" i="10" s="1"/>
  <c r="AI33" i="10" s="1"/>
  <c r="AP33" i="10" s="1"/>
  <c r="Q33" i="10"/>
  <c r="P33" i="10"/>
  <c r="W33" i="10" s="1"/>
  <c r="AD33" i="10" s="1"/>
  <c r="AK33" i="10" s="1"/>
  <c r="AR33" i="10" s="1"/>
  <c r="O33" i="10"/>
  <c r="V33" i="10" s="1"/>
  <c r="AC33" i="10" s="1"/>
  <c r="AJ33" i="10" s="1"/>
  <c r="AQ33" i="10" s="1"/>
  <c r="N33" i="10"/>
  <c r="M33" i="10"/>
  <c r="T33" i="10" s="1"/>
  <c r="AA33" i="10" s="1"/>
  <c r="AH33" i="10" s="1"/>
  <c r="AO33" i="10" s="1"/>
  <c r="L33" i="10"/>
  <c r="S33" i="10" s="1"/>
  <c r="Z33" i="10" s="1"/>
  <c r="AG33" i="10" s="1"/>
  <c r="AN33" i="10" s="1"/>
  <c r="J33" i="10"/>
  <c r="I33" i="10"/>
  <c r="AL32" i="10"/>
  <c r="AD32" i="10"/>
  <c r="AK32" i="10" s="1"/>
  <c r="AR32" i="10" s="1"/>
  <c r="W32" i="10"/>
  <c r="V32" i="10"/>
  <c r="AC32" i="10" s="1"/>
  <c r="AJ32" i="10" s="1"/>
  <c r="AQ32" i="10" s="1"/>
  <c r="S32" i="10"/>
  <c r="Z32" i="10" s="1"/>
  <c r="AG32" i="10" s="1"/>
  <c r="AN32" i="10" s="1"/>
  <c r="P32" i="10"/>
  <c r="O32" i="10"/>
  <c r="N32" i="10"/>
  <c r="U32" i="10" s="1"/>
  <c r="AB32" i="10" s="1"/>
  <c r="AI32" i="10" s="1"/>
  <c r="AP32" i="10" s="1"/>
  <c r="L32" i="10"/>
  <c r="K32" i="10"/>
  <c r="R32" i="10" s="1"/>
  <c r="Y32" i="10" s="1"/>
  <c r="AF32" i="10" s="1"/>
  <c r="AM32" i="10" s="1"/>
  <c r="J32" i="10"/>
  <c r="Q32" i="10" s="1"/>
  <c r="X32" i="10" s="1"/>
  <c r="AE32" i="10" s="1"/>
  <c r="I32" i="10"/>
  <c r="AJ31" i="10"/>
  <c r="AQ31" i="10" s="1"/>
  <c r="AC31" i="10"/>
  <c r="AB31" i="10"/>
  <c r="AI31" i="10" s="1"/>
  <c r="AP31" i="10" s="1"/>
  <c r="V31" i="10"/>
  <c r="U31" i="10"/>
  <c r="Q31" i="10"/>
  <c r="X31" i="10" s="1"/>
  <c r="AE31" i="10" s="1"/>
  <c r="AL31" i="10" s="1"/>
  <c r="P31" i="10"/>
  <c r="W31" i="10" s="1"/>
  <c r="AD31" i="10" s="1"/>
  <c r="AK31" i="10" s="1"/>
  <c r="AR31" i="10" s="1"/>
  <c r="O31" i="10"/>
  <c r="N31" i="10"/>
  <c r="L31" i="10"/>
  <c r="S31" i="10" s="1"/>
  <c r="Z31" i="10" s="1"/>
  <c r="AG31" i="10" s="1"/>
  <c r="AN31" i="10" s="1"/>
  <c r="K31" i="10"/>
  <c r="R31" i="10" s="1"/>
  <c r="Y31" i="10" s="1"/>
  <c r="AF31" i="10" s="1"/>
  <c r="AM31" i="10" s="1"/>
  <c r="J31" i="10"/>
  <c r="I31" i="10"/>
  <c r="Z30" i="10"/>
  <c r="AG30" i="10" s="1"/>
  <c r="AN30" i="10" s="1"/>
  <c r="W30" i="10"/>
  <c r="AD30" i="10" s="1"/>
  <c r="AK30" i="10" s="1"/>
  <c r="AR30" i="10" s="1"/>
  <c r="S30" i="10"/>
  <c r="R30" i="10"/>
  <c r="Y30" i="10" s="1"/>
  <c r="AF30" i="10" s="1"/>
  <c r="AM30" i="10" s="1"/>
  <c r="P30" i="10"/>
  <c r="O30" i="10"/>
  <c r="V30" i="10" s="1"/>
  <c r="AC30" i="10" s="1"/>
  <c r="AJ30" i="10" s="1"/>
  <c r="AQ30" i="10" s="1"/>
  <c r="N30" i="10"/>
  <c r="U30" i="10" s="1"/>
  <c r="AB30" i="10" s="1"/>
  <c r="AI30" i="10" s="1"/>
  <c r="AP30" i="10" s="1"/>
  <c r="L30" i="10"/>
  <c r="K30" i="10"/>
  <c r="J30" i="10"/>
  <c r="I30" i="10"/>
  <c r="AN29" i="10"/>
  <c r="AF29" i="10"/>
  <c r="AM29" i="10" s="1"/>
  <c r="Y29" i="10"/>
  <c r="X29" i="10"/>
  <c r="AE29" i="10" s="1"/>
  <c r="AL29" i="10" s="1"/>
  <c r="U29" i="10"/>
  <c r="AB29" i="10" s="1"/>
  <c r="AI29" i="10" s="1"/>
  <c r="AP29" i="10" s="1"/>
  <c r="R29" i="10"/>
  <c r="Q29" i="10"/>
  <c r="P29" i="10"/>
  <c r="W29" i="10" s="1"/>
  <c r="AD29" i="10" s="1"/>
  <c r="AK29" i="10" s="1"/>
  <c r="AR29" i="10" s="1"/>
  <c r="O29" i="10"/>
  <c r="V29" i="10" s="1"/>
  <c r="AC29" i="10" s="1"/>
  <c r="AJ29" i="10" s="1"/>
  <c r="AQ29" i="10" s="1"/>
  <c r="N29" i="10"/>
  <c r="L29" i="10"/>
  <c r="S29" i="10" s="1"/>
  <c r="Z29" i="10" s="1"/>
  <c r="AG29" i="10" s="1"/>
  <c r="K29" i="10"/>
  <c r="J29" i="10"/>
  <c r="I29" i="10"/>
  <c r="AL28" i="10"/>
  <c r="AD28" i="10"/>
  <c r="AK28" i="10" s="1"/>
  <c r="AR28" i="10" s="1"/>
  <c r="W28" i="10"/>
  <c r="V28" i="10"/>
  <c r="AC28" i="10" s="1"/>
  <c r="AJ28" i="10" s="1"/>
  <c r="AQ28" i="10" s="1"/>
  <c r="S28" i="10"/>
  <c r="Z28" i="10" s="1"/>
  <c r="AG28" i="10" s="1"/>
  <c r="AN28" i="10" s="1"/>
  <c r="P28" i="10"/>
  <c r="O28" i="10"/>
  <c r="N28" i="10"/>
  <c r="U28" i="10" s="1"/>
  <c r="AB28" i="10" s="1"/>
  <c r="AI28" i="10" s="1"/>
  <c r="AP28" i="10" s="1"/>
  <c r="L28" i="10"/>
  <c r="K28" i="10"/>
  <c r="R28" i="10" s="1"/>
  <c r="Y28" i="10" s="1"/>
  <c r="AF28" i="10" s="1"/>
  <c r="AM28" i="10" s="1"/>
  <c r="J28" i="10"/>
  <c r="Q28" i="10" s="1"/>
  <c r="X28" i="10" s="1"/>
  <c r="AE28" i="10" s="1"/>
  <c r="I28" i="10"/>
  <c r="AJ27" i="10"/>
  <c r="AQ27" i="10" s="1"/>
  <c r="AC27" i="10"/>
  <c r="AB27" i="10"/>
  <c r="AI27" i="10" s="1"/>
  <c r="AP27" i="10" s="1"/>
  <c r="V27" i="10"/>
  <c r="U27" i="10"/>
  <c r="T27" i="10"/>
  <c r="AA27" i="10" s="1"/>
  <c r="AH27" i="10" s="1"/>
  <c r="AO27" i="10" s="1"/>
  <c r="Q27" i="10"/>
  <c r="X27" i="10" s="1"/>
  <c r="AE27" i="10" s="1"/>
  <c r="AL27" i="10" s="1"/>
  <c r="P27" i="10"/>
  <c r="W27" i="10" s="1"/>
  <c r="AD27" i="10" s="1"/>
  <c r="AK27" i="10" s="1"/>
  <c r="AR27" i="10" s="1"/>
  <c r="O27" i="10"/>
  <c r="N27" i="10"/>
  <c r="M27" i="10"/>
  <c r="L27" i="10"/>
  <c r="S27" i="10" s="1"/>
  <c r="Z27" i="10" s="1"/>
  <c r="AG27" i="10" s="1"/>
  <c r="AN27" i="10" s="1"/>
  <c r="J27" i="10"/>
  <c r="I27" i="10"/>
  <c r="AI26" i="10"/>
  <c r="AP26" i="10" s="1"/>
  <c r="W26" i="10"/>
  <c r="AD26" i="10" s="1"/>
  <c r="AK26" i="10" s="1"/>
  <c r="AR26" i="10" s="1"/>
  <c r="S26" i="10"/>
  <c r="Z26" i="10" s="1"/>
  <c r="AG26" i="10" s="1"/>
  <c r="AN26" i="10" s="1"/>
  <c r="R26" i="10"/>
  <c r="Y26" i="10" s="1"/>
  <c r="AF26" i="10" s="1"/>
  <c r="AM26" i="10" s="1"/>
  <c r="P26" i="10"/>
  <c r="O26" i="10"/>
  <c r="V26" i="10" s="1"/>
  <c r="AC26" i="10" s="1"/>
  <c r="AJ26" i="10" s="1"/>
  <c r="AQ26" i="10" s="1"/>
  <c r="N26" i="10"/>
  <c r="U26" i="10" s="1"/>
  <c r="AB26" i="10" s="1"/>
  <c r="L26" i="10"/>
  <c r="K26" i="10"/>
  <c r="J26" i="10"/>
  <c r="I26" i="10"/>
  <c r="X25" i="10"/>
  <c r="AE25" i="10" s="1"/>
  <c r="AL25" i="10" s="1"/>
  <c r="U25" i="10"/>
  <c r="AB25" i="10" s="1"/>
  <c r="AI25" i="10" s="1"/>
  <c r="AP25" i="10" s="1"/>
  <c r="Q25" i="10"/>
  <c r="P25" i="10"/>
  <c r="W25" i="10" s="1"/>
  <c r="AD25" i="10" s="1"/>
  <c r="AK25" i="10" s="1"/>
  <c r="AR25" i="10" s="1"/>
  <c r="O25" i="10"/>
  <c r="V25" i="10" s="1"/>
  <c r="AC25" i="10" s="1"/>
  <c r="AJ25" i="10" s="1"/>
  <c r="AQ25" i="10" s="1"/>
  <c r="N25" i="10"/>
  <c r="M25" i="10"/>
  <c r="T25" i="10" s="1"/>
  <c r="AA25" i="10" s="1"/>
  <c r="AH25" i="10" s="1"/>
  <c r="AO25" i="10" s="1"/>
  <c r="L25" i="10"/>
  <c r="S25" i="10" s="1"/>
  <c r="Z25" i="10" s="1"/>
  <c r="AG25" i="10" s="1"/>
  <c r="AN25" i="10" s="1"/>
  <c r="J25" i="10"/>
  <c r="I25" i="10"/>
  <c r="AE24" i="10"/>
  <c r="AL24" i="10" s="1"/>
  <c r="W24" i="10"/>
  <c r="AD24" i="10" s="1"/>
  <c r="AK24" i="10" s="1"/>
  <c r="AR24" i="10" s="1"/>
  <c r="U24" i="10"/>
  <c r="AB24" i="10" s="1"/>
  <c r="AI24" i="10" s="1"/>
  <c r="AP24" i="10" s="1"/>
  <c r="S24" i="10"/>
  <c r="Z24" i="10" s="1"/>
  <c r="AG24" i="10" s="1"/>
  <c r="AN24" i="10" s="1"/>
  <c r="P24" i="10"/>
  <c r="O24" i="10"/>
  <c r="V24" i="10" s="1"/>
  <c r="AC24" i="10" s="1"/>
  <c r="AJ24" i="10" s="1"/>
  <c r="AQ24" i="10" s="1"/>
  <c r="N24" i="10"/>
  <c r="L24" i="10"/>
  <c r="K24" i="10"/>
  <c r="R24" i="10" s="1"/>
  <c r="Y24" i="10" s="1"/>
  <c r="AF24" i="10" s="1"/>
  <c r="AM24" i="10" s="1"/>
  <c r="J24" i="10"/>
  <c r="Q24" i="10" s="1"/>
  <c r="X24" i="10" s="1"/>
  <c r="I24" i="10"/>
  <c r="AJ23" i="10"/>
  <c r="AQ23" i="10" s="1"/>
  <c r="AI23" i="10"/>
  <c r="AP23" i="10" s="1"/>
  <c r="AC23" i="10"/>
  <c r="AB23" i="10"/>
  <c r="V23" i="10"/>
  <c r="U23" i="10"/>
  <c r="S23" i="10"/>
  <c r="Z23" i="10" s="1"/>
  <c r="AG23" i="10" s="1"/>
  <c r="AN23" i="10" s="1"/>
  <c r="Q23" i="10"/>
  <c r="X23" i="10" s="1"/>
  <c r="AE23" i="10" s="1"/>
  <c r="AL23" i="10" s="1"/>
  <c r="P23" i="10"/>
  <c r="W23" i="10" s="1"/>
  <c r="AD23" i="10" s="1"/>
  <c r="AK23" i="10" s="1"/>
  <c r="AR23" i="10" s="1"/>
  <c r="O23" i="10"/>
  <c r="N23" i="10"/>
  <c r="L23" i="10"/>
  <c r="K23" i="10"/>
  <c r="R23" i="10" s="1"/>
  <c r="Y23" i="10" s="1"/>
  <c r="AF23" i="10" s="1"/>
  <c r="AM23" i="10" s="1"/>
  <c r="J23" i="10"/>
  <c r="I23" i="10"/>
  <c r="AI22" i="10"/>
  <c r="AP22" i="10" s="1"/>
  <c r="AA22" i="10"/>
  <c r="AH22" i="10" s="1"/>
  <c r="AO22" i="10" s="1"/>
  <c r="W22" i="10"/>
  <c r="AD22" i="10" s="1"/>
  <c r="AK22" i="10" s="1"/>
  <c r="AR22" i="10" s="1"/>
  <c r="T22" i="10"/>
  <c r="P22" i="10"/>
  <c r="O22" i="10"/>
  <c r="V22" i="10" s="1"/>
  <c r="AC22" i="10" s="1"/>
  <c r="AJ22" i="10" s="1"/>
  <c r="AQ22" i="10" s="1"/>
  <c r="N22" i="10"/>
  <c r="U22" i="10" s="1"/>
  <c r="AB22" i="10" s="1"/>
  <c r="M22" i="10"/>
  <c r="K22" i="10"/>
  <c r="R22" i="10" s="1"/>
  <c r="Y22" i="10" s="1"/>
  <c r="AF22" i="10" s="1"/>
  <c r="AM22" i="10" s="1"/>
  <c r="J22" i="10"/>
  <c r="I22" i="10"/>
  <c r="AF21" i="10"/>
  <c r="AM21" i="10" s="1"/>
  <c r="Y21" i="10"/>
  <c r="W21" i="10"/>
  <c r="AD21" i="10" s="1"/>
  <c r="AK21" i="10" s="1"/>
  <c r="AR21" i="10" s="1"/>
  <c r="U21" i="10"/>
  <c r="AB21" i="10" s="1"/>
  <c r="AI21" i="10" s="1"/>
  <c r="AP21" i="10" s="1"/>
  <c r="R21" i="10"/>
  <c r="Q21" i="10"/>
  <c r="X21" i="10" s="1"/>
  <c r="AE21" i="10" s="1"/>
  <c r="AL21" i="10" s="1"/>
  <c r="P21" i="10"/>
  <c r="O21" i="10"/>
  <c r="V21" i="10" s="1"/>
  <c r="AC21" i="10" s="1"/>
  <c r="AJ21" i="10" s="1"/>
  <c r="AQ21" i="10" s="1"/>
  <c r="N21" i="10"/>
  <c r="M21" i="10"/>
  <c r="T21" i="10" s="1"/>
  <c r="AA21" i="10" s="1"/>
  <c r="AH21" i="10" s="1"/>
  <c r="AO21" i="10" s="1"/>
  <c r="K21" i="10"/>
  <c r="J21" i="10"/>
  <c r="I21" i="10"/>
  <c r="AE20" i="10"/>
  <c r="AL20" i="10" s="1"/>
  <c r="AD20" i="10"/>
  <c r="AK20" i="10" s="1"/>
  <c r="AR20" i="10" s="1"/>
  <c r="W20" i="10"/>
  <c r="U20" i="10"/>
  <c r="AB20" i="10" s="1"/>
  <c r="AI20" i="10" s="1"/>
  <c r="AP20" i="10" s="1"/>
  <c r="S20" i="10"/>
  <c r="Z20" i="10" s="1"/>
  <c r="AG20" i="10" s="1"/>
  <c r="AN20" i="10" s="1"/>
  <c r="P20" i="10"/>
  <c r="O20" i="10"/>
  <c r="V20" i="10" s="1"/>
  <c r="AC20" i="10" s="1"/>
  <c r="AJ20" i="10" s="1"/>
  <c r="AQ20" i="10" s="1"/>
  <c r="N20" i="10"/>
  <c r="M20" i="10"/>
  <c r="T20" i="10" s="1"/>
  <c r="AA20" i="10" s="1"/>
  <c r="AH20" i="10" s="1"/>
  <c r="AO20" i="10" s="1"/>
  <c r="L20" i="10"/>
  <c r="K20" i="10"/>
  <c r="R20" i="10" s="1"/>
  <c r="Y20" i="10" s="1"/>
  <c r="AF20" i="10" s="1"/>
  <c r="AM20" i="10" s="1"/>
  <c r="J20" i="10"/>
  <c r="Q20" i="10" s="1"/>
  <c r="X20" i="10" s="1"/>
  <c r="I20" i="10"/>
  <c r="AG19" i="10"/>
  <c r="AN19" i="10" s="1"/>
  <c r="X19" i="10"/>
  <c r="AE19" i="10" s="1"/>
  <c r="AL19" i="10" s="1"/>
  <c r="V19" i="10"/>
  <c r="AC19" i="10" s="1"/>
  <c r="AJ19" i="10" s="1"/>
  <c r="AQ19" i="10" s="1"/>
  <c r="S19" i="10"/>
  <c r="Z19" i="10" s="1"/>
  <c r="Q19" i="10"/>
  <c r="P19" i="10"/>
  <c r="W19" i="10" s="1"/>
  <c r="AD19" i="10" s="1"/>
  <c r="AK19" i="10" s="1"/>
  <c r="AR19" i="10" s="1"/>
  <c r="O19" i="10"/>
  <c r="N19" i="10"/>
  <c r="U19" i="10" s="1"/>
  <c r="AB19" i="10" s="1"/>
  <c r="AI19" i="10" s="1"/>
  <c r="AP19" i="10" s="1"/>
  <c r="M19" i="10"/>
  <c r="T19" i="10" s="1"/>
  <c r="AA19" i="10" s="1"/>
  <c r="AH19" i="10" s="1"/>
  <c r="AO19" i="10" s="1"/>
  <c r="L19" i="10"/>
  <c r="K19" i="10"/>
  <c r="R19" i="10" s="1"/>
  <c r="Y19" i="10" s="1"/>
  <c r="AF19" i="10" s="1"/>
  <c r="AM19" i="10" s="1"/>
  <c r="J19" i="10"/>
  <c r="I19" i="10"/>
  <c r="AP18" i="10"/>
  <c r="AI18" i="10"/>
  <c r="AE18" i="10"/>
  <c r="AL18" i="10" s="1"/>
  <c r="AB18" i="10"/>
  <c r="W18" i="10"/>
  <c r="AD18" i="10" s="1"/>
  <c r="AK18" i="10" s="1"/>
  <c r="AR18" i="10" s="1"/>
  <c r="V18" i="10"/>
  <c r="AC18" i="10" s="1"/>
  <c r="AJ18" i="10" s="1"/>
  <c r="AQ18" i="10" s="1"/>
  <c r="Q18" i="10"/>
  <c r="X18" i="10" s="1"/>
  <c r="P18" i="10"/>
  <c r="O18" i="10"/>
  <c r="N18" i="10"/>
  <c r="U18" i="10" s="1"/>
  <c r="L18" i="10"/>
  <c r="S18" i="10" s="1"/>
  <c r="Z18" i="10" s="1"/>
  <c r="AG18" i="10" s="1"/>
  <c r="AN18" i="10" s="1"/>
  <c r="K18" i="10"/>
  <c r="R18" i="10" s="1"/>
  <c r="Y18" i="10" s="1"/>
  <c r="AF18" i="10" s="1"/>
  <c r="AM18" i="10" s="1"/>
  <c r="J18" i="10"/>
  <c r="I18" i="10"/>
  <c r="Z17" i="10"/>
  <c r="AG17" i="10" s="1"/>
  <c r="AN17" i="10" s="1"/>
  <c r="W17" i="10"/>
  <c r="AD17" i="10" s="1"/>
  <c r="AK17" i="10" s="1"/>
  <c r="AR17" i="10" s="1"/>
  <c r="V17" i="10"/>
  <c r="AC17" i="10" s="1"/>
  <c r="AJ17" i="10" s="1"/>
  <c r="AQ17" i="10" s="1"/>
  <c r="R17" i="10"/>
  <c r="Y17" i="10" s="1"/>
  <c r="AF17" i="10" s="1"/>
  <c r="AM17" i="10" s="1"/>
  <c r="Q17" i="10"/>
  <c r="X17" i="10" s="1"/>
  <c r="AE17" i="10" s="1"/>
  <c r="AL17" i="10" s="1"/>
  <c r="P17" i="10"/>
  <c r="O17" i="10"/>
  <c r="N17" i="10"/>
  <c r="U17" i="10" s="1"/>
  <c r="AB17" i="10" s="1"/>
  <c r="AI17" i="10" s="1"/>
  <c r="AP17" i="10" s="1"/>
  <c r="L17" i="10"/>
  <c r="S17" i="10" s="1"/>
  <c r="K17" i="10"/>
  <c r="J17" i="10"/>
  <c r="I17" i="10"/>
  <c r="X16" i="10"/>
  <c r="AE16" i="10" s="1"/>
  <c r="AL16" i="10" s="1"/>
  <c r="U16" i="10"/>
  <c r="AB16" i="10" s="1"/>
  <c r="AI16" i="10" s="1"/>
  <c r="AP16" i="10" s="1"/>
  <c r="P16" i="10"/>
  <c r="W16" i="10" s="1"/>
  <c r="AD16" i="10" s="1"/>
  <c r="AK16" i="10" s="1"/>
  <c r="AR16" i="10" s="1"/>
  <c r="O16" i="10"/>
  <c r="V16" i="10" s="1"/>
  <c r="AC16" i="10" s="1"/>
  <c r="AJ16" i="10" s="1"/>
  <c r="AQ16" i="10" s="1"/>
  <c r="N16" i="10"/>
  <c r="L16" i="10"/>
  <c r="S16" i="10" s="1"/>
  <c r="Z16" i="10" s="1"/>
  <c r="AG16" i="10" s="1"/>
  <c r="AN16" i="10" s="1"/>
  <c r="K16" i="10"/>
  <c r="R16" i="10" s="1"/>
  <c r="Y16" i="10" s="1"/>
  <c r="AF16" i="10" s="1"/>
  <c r="AM16" i="10" s="1"/>
  <c r="J16" i="10"/>
  <c r="Q16" i="10" s="1"/>
  <c r="I16" i="10"/>
  <c r="AK15" i="10"/>
  <c r="AR15" i="10" s="1"/>
  <c r="AD15" i="10"/>
  <c r="V15" i="10"/>
  <c r="AC15" i="10" s="1"/>
  <c r="AJ15" i="10" s="1"/>
  <c r="AQ15" i="10" s="1"/>
  <c r="S15" i="10"/>
  <c r="Z15" i="10" s="1"/>
  <c r="AG15" i="10" s="1"/>
  <c r="AN15" i="10" s="1"/>
  <c r="R15" i="10"/>
  <c r="Y15" i="10" s="1"/>
  <c r="AF15" i="10" s="1"/>
  <c r="AM15" i="10" s="1"/>
  <c r="P15" i="10"/>
  <c r="W15" i="10" s="1"/>
  <c r="O15" i="10"/>
  <c r="N15" i="10"/>
  <c r="U15" i="10" s="1"/>
  <c r="AB15" i="10" s="1"/>
  <c r="AI15" i="10" s="1"/>
  <c r="AP15" i="10" s="1"/>
  <c r="L15" i="10"/>
  <c r="K15" i="10"/>
  <c r="J15" i="10"/>
  <c r="Q15" i="10" s="1"/>
  <c r="X15" i="10" s="1"/>
  <c r="AE15" i="10" s="1"/>
  <c r="AL15" i="10" s="1"/>
  <c r="I15" i="10"/>
  <c r="AE14" i="10"/>
  <c r="AL14" i="10" s="1"/>
  <c r="Y14" i="10"/>
  <c r="AF14" i="10" s="1"/>
  <c r="AM14" i="10" s="1"/>
  <c r="X14" i="10"/>
  <c r="V14" i="10"/>
  <c r="AC14" i="10" s="1"/>
  <c r="AJ14" i="10" s="1"/>
  <c r="AQ14" i="10" s="1"/>
  <c r="R14" i="10"/>
  <c r="Q14" i="10"/>
  <c r="P14" i="10"/>
  <c r="W14" i="10" s="1"/>
  <c r="AD14" i="10" s="1"/>
  <c r="AK14" i="10" s="1"/>
  <c r="AR14" i="10" s="1"/>
  <c r="O14" i="10"/>
  <c r="N14" i="10"/>
  <c r="U14" i="10" s="1"/>
  <c r="AB14" i="10" s="1"/>
  <c r="AI14" i="10" s="1"/>
  <c r="AP14" i="10" s="1"/>
  <c r="L14" i="10"/>
  <c r="S14" i="10" s="1"/>
  <c r="Z14" i="10" s="1"/>
  <c r="AG14" i="10" s="1"/>
  <c r="AN14" i="10" s="1"/>
  <c r="K14" i="10"/>
  <c r="J14" i="10"/>
  <c r="I14" i="10"/>
  <c r="AD13" i="10"/>
  <c r="AK13" i="10" s="1"/>
  <c r="AR13" i="10" s="1"/>
  <c r="Z13" i="10"/>
  <c r="AG13" i="10" s="1"/>
  <c r="AN13" i="10" s="1"/>
  <c r="W13" i="10"/>
  <c r="V13" i="10"/>
  <c r="AC13" i="10" s="1"/>
  <c r="AJ13" i="10" s="1"/>
  <c r="AQ13" i="10" s="1"/>
  <c r="S13" i="10"/>
  <c r="R13" i="10"/>
  <c r="Y13" i="10" s="1"/>
  <c r="AF13" i="10" s="1"/>
  <c r="AM13" i="10" s="1"/>
  <c r="P13" i="10"/>
  <c r="O13" i="10"/>
  <c r="N13" i="10"/>
  <c r="U13" i="10" s="1"/>
  <c r="AB13" i="10" s="1"/>
  <c r="AI13" i="10" s="1"/>
  <c r="AP13" i="10" s="1"/>
  <c r="L13" i="10"/>
  <c r="K13" i="10"/>
  <c r="J13" i="10"/>
  <c r="Q13" i="10" s="1"/>
  <c r="X13" i="10" s="1"/>
  <c r="AE13" i="10" s="1"/>
  <c r="AL13" i="10" s="1"/>
  <c r="I13" i="10"/>
  <c r="AJ12" i="10"/>
  <c r="AQ12" i="10" s="1"/>
  <c r="AC12" i="10"/>
  <c r="AB12" i="10"/>
  <c r="AI12" i="10" s="1"/>
  <c r="AP12" i="10" s="1"/>
  <c r="X12" i="10"/>
  <c r="AE12" i="10" s="1"/>
  <c r="AL12" i="10" s="1"/>
  <c r="V12" i="10"/>
  <c r="U12" i="10"/>
  <c r="T12" i="10"/>
  <c r="AA12" i="10" s="1"/>
  <c r="AH12" i="10" s="1"/>
  <c r="AO12" i="10" s="1"/>
  <c r="Q12" i="10"/>
  <c r="P12" i="10"/>
  <c r="W12" i="10" s="1"/>
  <c r="AD12" i="10" s="1"/>
  <c r="AK12" i="10" s="1"/>
  <c r="AR12" i="10" s="1"/>
  <c r="O12" i="10"/>
  <c r="N12" i="10"/>
  <c r="M12" i="10"/>
  <c r="K12" i="10"/>
  <c r="J12" i="10"/>
  <c r="I12" i="10"/>
  <c r="AH11" i="10"/>
  <c r="AO11" i="10" s="1"/>
  <c r="AD11" i="10"/>
  <c r="AK11" i="10" s="1"/>
  <c r="AR11" i="10" s="1"/>
  <c r="AA11" i="10"/>
  <c r="W11" i="10"/>
  <c r="V11" i="10"/>
  <c r="AC11" i="10" s="1"/>
  <c r="AJ11" i="10" s="1"/>
  <c r="AQ11" i="10" s="1"/>
  <c r="T11" i="10"/>
  <c r="R11" i="10"/>
  <c r="Y11" i="10" s="1"/>
  <c r="AF11" i="10" s="1"/>
  <c r="AM11" i="10" s="1"/>
  <c r="P11" i="10"/>
  <c r="O11" i="10"/>
  <c r="N11" i="10"/>
  <c r="U11" i="10" s="1"/>
  <c r="AB11" i="10" s="1"/>
  <c r="AI11" i="10" s="1"/>
  <c r="AP11" i="10" s="1"/>
  <c r="M11" i="10"/>
  <c r="K11" i="10"/>
  <c r="J11" i="10"/>
  <c r="I11" i="10"/>
  <c r="AF10" i="10"/>
  <c r="AM10" i="10" s="1"/>
  <c r="AB10" i="10"/>
  <c r="AI10" i="10" s="1"/>
  <c r="AP10" i="10" s="1"/>
  <c r="Y10" i="10"/>
  <c r="X10" i="10"/>
  <c r="AE10" i="10" s="1"/>
  <c r="AL10" i="10" s="1"/>
  <c r="U10" i="10"/>
  <c r="T10" i="10"/>
  <c r="AA10" i="10" s="1"/>
  <c r="AH10" i="10" s="1"/>
  <c r="AO10" i="10" s="1"/>
  <c r="R10" i="10"/>
  <c r="Q10" i="10"/>
  <c r="P10" i="10"/>
  <c r="W10" i="10" s="1"/>
  <c r="AD10" i="10" s="1"/>
  <c r="AK10" i="10" s="1"/>
  <c r="AR10" i="10" s="1"/>
  <c r="O10" i="10"/>
  <c r="V10" i="10" s="1"/>
  <c r="AC10" i="10" s="1"/>
  <c r="AJ10" i="10" s="1"/>
  <c r="AQ10" i="10" s="1"/>
  <c r="N10" i="10"/>
  <c r="M10" i="10"/>
  <c r="L10" i="10"/>
  <c r="S10" i="10" s="1"/>
  <c r="Z10" i="10" s="1"/>
  <c r="AG10" i="10" s="1"/>
  <c r="AN10" i="10" s="1"/>
  <c r="K10" i="10"/>
  <c r="J10" i="10"/>
  <c r="I10" i="10"/>
  <c r="AD9" i="10"/>
  <c r="AK9" i="10" s="1"/>
  <c r="AR9" i="10" s="1"/>
  <c r="W9" i="10"/>
  <c r="V9" i="10"/>
  <c r="AC9" i="10" s="1"/>
  <c r="AJ9" i="10" s="1"/>
  <c r="AQ9" i="10" s="1"/>
  <c r="R9" i="10"/>
  <c r="Y9" i="10" s="1"/>
  <c r="AF9" i="10" s="1"/>
  <c r="AM9" i="10" s="1"/>
  <c r="P9" i="10"/>
  <c r="O9" i="10"/>
  <c r="N9" i="10"/>
  <c r="U9" i="10" s="1"/>
  <c r="AB9" i="10" s="1"/>
  <c r="AI9" i="10" s="1"/>
  <c r="AP9" i="10" s="1"/>
  <c r="M9" i="10"/>
  <c r="T9" i="10" s="1"/>
  <c r="AA9" i="10" s="1"/>
  <c r="AH9" i="10" s="1"/>
  <c r="AO9" i="10" s="1"/>
  <c r="K9" i="10"/>
  <c r="J9" i="10"/>
  <c r="Q9" i="10" s="1"/>
  <c r="X9" i="10" s="1"/>
  <c r="AE9" i="10" s="1"/>
  <c r="AL9" i="10" s="1"/>
  <c r="I9" i="10"/>
  <c r="AJ8" i="10"/>
  <c r="AQ8" i="10" s="1"/>
  <c r="AC8" i="10"/>
  <c r="AB8" i="10"/>
  <c r="AI8" i="10" s="1"/>
  <c r="AP8" i="10" s="1"/>
  <c r="X8" i="10"/>
  <c r="AE8" i="10" s="1"/>
  <c r="AL8" i="10" s="1"/>
  <c r="V8" i="10"/>
  <c r="U8" i="10"/>
  <c r="Q8" i="10"/>
  <c r="P8" i="10"/>
  <c r="W8" i="10" s="1"/>
  <c r="AD8" i="10" s="1"/>
  <c r="AK8" i="10" s="1"/>
  <c r="AR8" i="10" s="1"/>
  <c r="O8" i="10"/>
  <c r="N8" i="10"/>
  <c r="L8" i="10"/>
  <c r="S8" i="10" s="1"/>
  <c r="Z8" i="10" s="1"/>
  <c r="AG8" i="10" s="1"/>
  <c r="AN8" i="10" s="1"/>
  <c r="K8" i="10"/>
  <c r="J8" i="10"/>
  <c r="I8" i="10"/>
  <c r="AD7" i="10"/>
  <c r="AK7" i="10" s="1"/>
  <c r="AR7" i="10" s="1"/>
  <c r="Z7" i="10"/>
  <c r="AG7" i="10" s="1"/>
  <c r="AN7" i="10" s="1"/>
  <c r="W7" i="10"/>
  <c r="V7" i="10"/>
  <c r="AC7" i="10" s="1"/>
  <c r="AJ7" i="10" s="1"/>
  <c r="AQ7" i="10" s="1"/>
  <c r="S7" i="10"/>
  <c r="R7" i="10"/>
  <c r="Y7" i="10" s="1"/>
  <c r="AF7" i="10" s="1"/>
  <c r="AM7" i="10" s="1"/>
  <c r="P7" i="10"/>
  <c r="O7" i="10"/>
  <c r="N7" i="10"/>
  <c r="U7" i="10" s="1"/>
  <c r="AB7" i="10" s="1"/>
  <c r="AI7" i="10" s="1"/>
  <c r="AP7" i="10" s="1"/>
  <c r="L7" i="10"/>
  <c r="K7" i="10"/>
  <c r="J7" i="10"/>
  <c r="I7" i="10"/>
  <c r="AF6" i="10"/>
  <c r="AM6" i="10" s="1"/>
  <c r="AB6" i="10"/>
  <c r="AI6" i="10" s="1"/>
  <c r="AP6" i="10" s="1"/>
  <c r="Y6" i="10"/>
  <c r="X6" i="10"/>
  <c r="AE6" i="10" s="1"/>
  <c r="AL6" i="10" s="1"/>
  <c r="U6" i="10"/>
  <c r="T6" i="10"/>
  <c r="AA6" i="10" s="1"/>
  <c r="AH6" i="10" s="1"/>
  <c r="AO6" i="10" s="1"/>
  <c r="R6" i="10"/>
  <c r="Q6" i="10"/>
  <c r="P6" i="10"/>
  <c r="W6" i="10" s="1"/>
  <c r="AD6" i="10" s="1"/>
  <c r="AK6" i="10" s="1"/>
  <c r="AR6" i="10" s="1"/>
  <c r="O6" i="10"/>
  <c r="V6" i="10" s="1"/>
  <c r="AC6" i="10" s="1"/>
  <c r="AJ6" i="10" s="1"/>
  <c r="AQ6" i="10" s="1"/>
  <c r="N6" i="10"/>
  <c r="M6" i="10"/>
  <c r="L6" i="10"/>
  <c r="S6" i="10" s="1"/>
  <c r="Z6" i="10" s="1"/>
  <c r="AG6" i="10" s="1"/>
  <c r="AN6" i="10" s="1"/>
  <c r="K6" i="10"/>
  <c r="J6" i="10"/>
  <c r="I6" i="10"/>
  <c r="AD5" i="10"/>
  <c r="AK5" i="10" s="1"/>
  <c r="AR5" i="10" s="1"/>
  <c r="W5" i="10"/>
  <c r="V5" i="10"/>
  <c r="AC5" i="10" s="1"/>
  <c r="AJ5" i="10" s="1"/>
  <c r="AQ5" i="10" s="1"/>
  <c r="R5" i="10"/>
  <c r="Y5" i="10" s="1"/>
  <c r="AF5" i="10" s="1"/>
  <c r="AM5" i="10" s="1"/>
  <c r="P5" i="10"/>
  <c r="O5" i="10"/>
  <c r="N5" i="10"/>
  <c r="U5" i="10" s="1"/>
  <c r="AB5" i="10" s="1"/>
  <c r="AI5" i="10" s="1"/>
  <c r="AP5" i="10" s="1"/>
  <c r="M5" i="10"/>
  <c r="T5" i="10" s="1"/>
  <c r="AA5" i="10" s="1"/>
  <c r="AH5" i="10" s="1"/>
  <c r="AO5" i="10" s="1"/>
  <c r="K5" i="10"/>
  <c r="J5" i="10"/>
  <c r="Q5" i="10" s="1"/>
  <c r="X5" i="10" s="1"/>
  <c r="AE5" i="10" s="1"/>
  <c r="AL5" i="10" s="1"/>
  <c r="I5" i="10"/>
  <c r="AJ4" i="10"/>
  <c r="AQ4" i="10" s="1"/>
  <c r="AC4" i="10"/>
  <c r="AB4" i="10"/>
  <c r="AI4" i="10" s="1"/>
  <c r="AP4" i="10" s="1"/>
  <c r="X4" i="10"/>
  <c r="AE4" i="10" s="1"/>
  <c r="AL4" i="10" s="1"/>
  <c r="V4" i="10"/>
  <c r="U4" i="10"/>
  <c r="Q4" i="10"/>
  <c r="P4" i="10"/>
  <c r="W4" i="10" s="1"/>
  <c r="AD4" i="10" s="1"/>
  <c r="AK4" i="10" s="1"/>
  <c r="AR4" i="10" s="1"/>
  <c r="O4" i="10"/>
  <c r="N4" i="10"/>
  <c r="L4" i="10"/>
  <c r="S4" i="10" s="1"/>
  <c r="Z4" i="10" s="1"/>
  <c r="AG4" i="10" s="1"/>
  <c r="AN4" i="10" s="1"/>
  <c r="K4" i="10"/>
  <c r="J4" i="10"/>
  <c r="I4" i="10"/>
  <c r="AD3" i="10"/>
  <c r="AK3" i="10" s="1"/>
  <c r="AR3" i="10" s="1"/>
  <c r="Z3" i="10"/>
  <c r="AG3" i="10" s="1"/>
  <c r="AN3" i="10" s="1"/>
  <c r="W3" i="10"/>
  <c r="V3" i="10"/>
  <c r="AC3" i="10" s="1"/>
  <c r="AJ3" i="10" s="1"/>
  <c r="AQ3" i="10" s="1"/>
  <c r="S3" i="10"/>
  <c r="R3" i="10"/>
  <c r="Y3" i="10" s="1"/>
  <c r="AF3" i="10" s="1"/>
  <c r="AM3" i="10" s="1"/>
  <c r="Q3" i="10"/>
  <c r="X3" i="10" s="1"/>
  <c r="AE3" i="10" s="1"/>
  <c r="AL3" i="10" s="1"/>
  <c r="P3" i="10"/>
  <c r="O3" i="10"/>
  <c r="N3" i="10"/>
  <c r="U3" i="10" s="1"/>
  <c r="AB3" i="10" s="1"/>
  <c r="AI3" i="10" s="1"/>
  <c r="AP3" i="10" s="1"/>
  <c r="I3" i="10"/>
  <c r="L139" i="9"/>
  <c r="M24" i="11" s="1"/>
  <c r="N137" i="9"/>
  <c r="N136" i="9"/>
  <c r="K135" i="9"/>
  <c r="L134" i="9"/>
  <c r="J133" i="9"/>
  <c r="L132" i="9"/>
  <c r="L131" i="9"/>
  <c r="K130" i="9"/>
  <c r="N129" i="9"/>
  <c r="I128" i="9"/>
  <c r="N127" i="9"/>
  <c r="J125" i="9"/>
  <c r="J122" i="9"/>
  <c r="N120" i="9"/>
  <c r="L118" i="9"/>
  <c r="K117" i="9"/>
  <c r="N116" i="9"/>
  <c r="J114" i="9"/>
  <c r="J113" i="9"/>
  <c r="K112" i="9"/>
  <c r="N111" i="9"/>
  <c r="J110" i="9"/>
  <c r="L108" i="9"/>
  <c r="L107" i="9"/>
  <c r="M15" i="10" s="1"/>
  <c r="T15" i="10" s="1"/>
  <c r="AA15" i="10" s="1"/>
  <c r="AH15" i="10" s="1"/>
  <c r="AO15" i="10" s="1"/>
  <c r="L106" i="9"/>
  <c r="K105" i="9"/>
  <c r="J104" i="9"/>
  <c r="L103" i="9"/>
  <c r="L102" i="9"/>
  <c r="L101" i="9"/>
  <c r="J99" i="9"/>
  <c r="K98" i="9"/>
  <c r="J97" i="9"/>
  <c r="J96" i="9"/>
  <c r="J94" i="9"/>
  <c r="R3" i="11" s="1"/>
  <c r="L93" i="9"/>
  <c r="L92" i="9"/>
  <c r="J91" i="9"/>
  <c r="L90" i="9"/>
  <c r="L89" i="9"/>
  <c r="J88" i="9"/>
  <c r="L87" i="9"/>
  <c r="L86" i="9"/>
  <c r="L85" i="9"/>
  <c r="L84" i="9"/>
  <c r="J82" i="9"/>
  <c r="J81" i="9"/>
  <c r="L80" i="9"/>
  <c r="J79" i="9"/>
  <c r="L78" i="9"/>
  <c r="L77" i="9"/>
  <c r="L75" i="9"/>
  <c r="J74" i="9"/>
  <c r="L72" i="9"/>
  <c r="L71" i="9"/>
  <c r="L70" i="9"/>
  <c r="J69" i="9"/>
  <c r="J68" i="9"/>
  <c r="L67" i="9"/>
  <c r="L65" i="9"/>
  <c r="L64" i="9"/>
  <c r="L63" i="9"/>
  <c r="L62" i="9"/>
  <c r="L61" i="9"/>
  <c r="L60" i="9"/>
  <c r="J59" i="9"/>
  <c r="L58" i="9"/>
  <c r="L57" i="9"/>
  <c r="K54" i="9"/>
  <c r="K53" i="9"/>
  <c r="K52" i="9"/>
  <c r="K49" i="9"/>
  <c r="K48" i="9"/>
  <c r="K46" i="9"/>
  <c r="L9" i="10" s="1"/>
  <c r="S9" i="10" s="1"/>
  <c r="Z9" i="10" s="1"/>
  <c r="AG9" i="10" s="1"/>
  <c r="AN9" i="10" s="1"/>
  <c r="L45" i="9"/>
  <c r="L44" i="9"/>
  <c r="I43" i="9"/>
  <c r="I42" i="9"/>
  <c r="L41" i="9"/>
  <c r="I40" i="9"/>
  <c r="I39" i="9"/>
  <c r="I38" i="9"/>
  <c r="I37" i="9"/>
  <c r="I36" i="9"/>
  <c r="I34" i="9"/>
  <c r="I32" i="9"/>
  <c r="I31" i="9"/>
  <c r="I30" i="9"/>
  <c r="I29" i="9"/>
  <c r="L28" i="9"/>
  <c r="L27" i="9"/>
  <c r="L26" i="9"/>
  <c r="L25" i="9"/>
  <c r="L24" i="9"/>
  <c r="L23" i="9"/>
  <c r="I22" i="9"/>
  <c r="I21" i="9"/>
  <c r="I19" i="9"/>
  <c r="I18" i="9"/>
  <c r="L15" i="9"/>
  <c r="L14" i="9"/>
  <c r="L13" i="9"/>
  <c r="L12" i="9"/>
  <c r="L11" i="9"/>
  <c r="L10" i="9"/>
  <c r="L9" i="9"/>
  <c r="I6" i="9"/>
  <c r="L5" i="9"/>
  <c r="L4" i="9"/>
  <c r="L3" i="9"/>
  <c r="L2" i="9"/>
  <c r="M23" i="10" s="1"/>
  <c r="E219" i="5"/>
  <c r="D219" i="5"/>
  <c r="A219" i="5"/>
  <c r="E218" i="5"/>
  <c r="A218" i="5"/>
  <c r="E217" i="5"/>
  <c r="C217" i="5"/>
  <c r="A217" i="5"/>
  <c r="D216" i="5"/>
  <c r="C216" i="5"/>
  <c r="A216" i="5"/>
  <c r="G215" i="5"/>
  <c r="C215" i="5"/>
  <c r="A215" i="5"/>
  <c r="D214" i="5"/>
  <c r="C214" i="5"/>
  <c r="A214" i="5"/>
  <c r="C213" i="5"/>
  <c r="A213" i="5"/>
  <c r="E212" i="5"/>
  <c r="A212" i="5"/>
  <c r="E211" i="5"/>
  <c r="D211" i="5"/>
  <c r="A211" i="5"/>
  <c r="D210" i="5"/>
  <c r="C210" i="5"/>
  <c r="A210" i="5"/>
  <c r="E209" i="5"/>
  <c r="A209" i="5"/>
  <c r="D208" i="5"/>
  <c r="C208" i="5"/>
  <c r="A208" i="5"/>
  <c r="E207" i="5"/>
  <c r="C207" i="5"/>
  <c r="A207" i="5"/>
  <c r="E206" i="5"/>
  <c r="A206" i="5"/>
  <c r="D205" i="5"/>
  <c r="C205" i="5"/>
  <c r="A205" i="5"/>
  <c r="D204" i="5"/>
  <c r="C204" i="5"/>
  <c r="A204" i="5"/>
  <c r="E203" i="5"/>
  <c r="A203" i="5"/>
  <c r="E202" i="5"/>
  <c r="D202" i="5"/>
  <c r="A202" i="5"/>
  <c r="E201" i="5"/>
  <c r="A201" i="5"/>
  <c r="D200" i="5"/>
  <c r="C200" i="5"/>
  <c r="A200" i="5"/>
  <c r="E199" i="5"/>
  <c r="D199" i="5"/>
  <c r="B199" i="5"/>
  <c r="A199" i="5"/>
  <c r="I198" i="5"/>
  <c r="H198" i="5"/>
  <c r="F198" i="5"/>
  <c r="E198" i="5"/>
  <c r="D198" i="5"/>
  <c r="C198" i="5"/>
  <c r="A198" i="5"/>
  <c r="H197" i="5"/>
  <c r="E197" i="5"/>
  <c r="D197" i="5"/>
  <c r="C197" i="5"/>
  <c r="A197" i="5"/>
  <c r="E196" i="5"/>
  <c r="D196" i="5"/>
  <c r="A196" i="5"/>
  <c r="F195" i="5"/>
  <c r="E195" i="5"/>
  <c r="D195" i="5"/>
  <c r="A195" i="5"/>
  <c r="C194" i="5"/>
  <c r="A194" i="5"/>
  <c r="D193" i="5"/>
  <c r="A193" i="5"/>
  <c r="D192" i="5"/>
  <c r="A192" i="5"/>
  <c r="E191" i="5"/>
  <c r="D191" i="5"/>
  <c r="A191" i="5"/>
  <c r="C190" i="5"/>
  <c r="A190" i="5"/>
  <c r="C189" i="5"/>
  <c r="A189" i="5"/>
  <c r="H188" i="5"/>
  <c r="E188" i="5"/>
  <c r="D188" i="5"/>
  <c r="C188" i="5"/>
  <c r="A188" i="5"/>
  <c r="G187" i="5"/>
  <c r="D187" i="5"/>
  <c r="A187" i="5"/>
  <c r="G186" i="5"/>
  <c r="D186" i="5"/>
  <c r="A186" i="5"/>
  <c r="C185" i="5"/>
  <c r="A185" i="5"/>
  <c r="E184" i="5"/>
  <c r="A184" i="5"/>
  <c r="E183" i="5"/>
  <c r="D183" i="5"/>
  <c r="A183" i="5"/>
  <c r="F182" i="5"/>
  <c r="E182" i="5"/>
  <c r="D182" i="5"/>
  <c r="A182" i="5"/>
  <c r="E181" i="5"/>
  <c r="C181" i="5"/>
  <c r="A181" i="5"/>
  <c r="G180" i="5"/>
  <c r="E180" i="5"/>
  <c r="D180" i="5"/>
  <c r="C180" i="5"/>
  <c r="A180" i="5"/>
  <c r="E179" i="5"/>
  <c r="C179" i="5"/>
  <c r="A179" i="5"/>
  <c r="E178" i="5"/>
  <c r="D178" i="5"/>
  <c r="C178" i="5"/>
  <c r="A178" i="5"/>
  <c r="E177" i="5"/>
  <c r="A177" i="5"/>
  <c r="I176" i="5"/>
  <c r="H176" i="5"/>
  <c r="F176" i="5"/>
  <c r="D176" i="5"/>
  <c r="C176" i="5"/>
  <c r="A176" i="5"/>
  <c r="E175" i="5"/>
  <c r="A175" i="5"/>
  <c r="E174" i="5"/>
  <c r="D174" i="5"/>
  <c r="C174" i="5"/>
  <c r="A174" i="5"/>
  <c r="H173" i="5"/>
  <c r="C173" i="5"/>
  <c r="A173" i="5"/>
  <c r="E172" i="5"/>
  <c r="C172" i="5"/>
  <c r="A172" i="5"/>
  <c r="E171" i="5"/>
  <c r="A171" i="5"/>
  <c r="E170" i="5"/>
  <c r="A170" i="5"/>
  <c r="I169" i="5"/>
  <c r="H169" i="5"/>
  <c r="D169" i="5"/>
  <c r="C169" i="5"/>
  <c r="A169" i="5"/>
  <c r="E168" i="5"/>
  <c r="C168" i="5"/>
  <c r="A168" i="5"/>
  <c r="C167" i="5"/>
  <c r="A167" i="5"/>
  <c r="E166" i="5"/>
  <c r="A166" i="5"/>
  <c r="H165" i="5"/>
  <c r="E165" i="5"/>
  <c r="D165" i="5"/>
  <c r="C165" i="5"/>
  <c r="A165" i="5"/>
  <c r="F164" i="5"/>
  <c r="E164" i="5"/>
  <c r="D164" i="5"/>
  <c r="A164" i="5"/>
  <c r="E163" i="5"/>
  <c r="C163" i="5"/>
  <c r="A163" i="5"/>
  <c r="E162" i="5"/>
  <c r="A162" i="5"/>
  <c r="E161" i="5"/>
  <c r="D161" i="5"/>
  <c r="A161" i="5"/>
  <c r="D160" i="5"/>
  <c r="C160" i="5"/>
  <c r="A160" i="5"/>
  <c r="D159" i="5"/>
  <c r="C159" i="5"/>
  <c r="A159" i="5"/>
  <c r="E158" i="5"/>
  <c r="D158" i="5"/>
  <c r="A158" i="5"/>
  <c r="E157" i="5"/>
  <c r="A157" i="5"/>
  <c r="G156" i="5"/>
  <c r="D156" i="5"/>
  <c r="A156" i="5"/>
  <c r="E155" i="5"/>
  <c r="D155" i="5"/>
  <c r="A155" i="5"/>
  <c r="C154" i="5"/>
  <c r="A154" i="5"/>
  <c r="I153" i="5"/>
  <c r="H153" i="5"/>
  <c r="G153" i="5"/>
  <c r="C153" i="5"/>
  <c r="A153" i="5"/>
  <c r="E152" i="5"/>
  <c r="D152" i="5"/>
  <c r="C152" i="5"/>
  <c r="A152" i="5"/>
  <c r="E151" i="5"/>
  <c r="D151" i="5"/>
  <c r="A151" i="5"/>
  <c r="G150" i="5"/>
  <c r="C150" i="5"/>
  <c r="A150" i="5"/>
  <c r="E149" i="5"/>
  <c r="D149" i="5"/>
  <c r="A149" i="5"/>
  <c r="E148" i="5"/>
  <c r="D148" i="5"/>
  <c r="B148" i="5"/>
  <c r="A148" i="5"/>
  <c r="E147" i="5"/>
  <c r="C147" i="5"/>
  <c r="A147" i="5"/>
  <c r="E146" i="5"/>
  <c r="D146" i="5"/>
  <c r="A146" i="5"/>
  <c r="F145" i="5"/>
  <c r="E145" i="5"/>
  <c r="D145" i="5"/>
  <c r="A145" i="5"/>
  <c r="I144" i="5"/>
  <c r="H144" i="5"/>
  <c r="E144" i="5"/>
  <c r="D144" i="5"/>
  <c r="A144" i="5"/>
  <c r="E143" i="5"/>
  <c r="D143" i="5"/>
  <c r="A143" i="5"/>
  <c r="E142" i="5"/>
  <c r="C142" i="5"/>
  <c r="A142" i="5"/>
  <c r="I141" i="5"/>
  <c r="H141" i="5"/>
  <c r="E141" i="5"/>
  <c r="D141" i="5"/>
  <c r="A141" i="5"/>
  <c r="E140" i="5"/>
  <c r="D140" i="5"/>
  <c r="A140" i="5"/>
  <c r="I139" i="5"/>
  <c r="H139" i="5"/>
  <c r="F139" i="5"/>
  <c r="E139" i="5"/>
  <c r="D139" i="5"/>
  <c r="C139" i="5"/>
  <c r="A139" i="5"/>
  <c r="E138" i="5"/>
  <c r="C138" i="5"/>
  <c r="A138" i="5"/>
  <c r="C137" i="5"/>
  <c r="A137" i="5"/>
  <c r="E136" i="5"/>
  <c r="D136" i="5"/>
  <c r="C136" i="5"/>
  <c r="A136" i="5"/>
  <c r="E135" i="5"/>
  <c r="D135" i="5"/>
  <c r="C135" i="5"/>
  <c r="A135" i="5"/>
  <c r="D134" i="5"/>
  <c r="A134" i="5"/>
  <c r="E133" i="5"/>
  <c r="D133" i="5"/>
  <c r="C133" i="5"/>
  <c r="A133" i="5"/>
  <c r="H132" i="5"/>
  <c r="F132" i="5"/>
  <c r="E132" i="5"/>
  <c r="D132" i="5"/>
  <c r="A132" i="5"/>
  <c r="D131" i="5"/>
  <c r="C131" i="5"/>
  <c r="A131" i="5"/>
  <c r="E130" i="5"/>
  <c r="D130" i="5"/>
  <c r="A130" i="5"/>
  <c r="E129" i="5"/>
  <c r="D129" i="5"/>
  <c r="C129" i="5"/>
  <c r="A129" i="5"/>
  <c r="E128" i="5"/>
  <c r="D128" i="5"/>
  <c r="A128" i="5"/>
  <c r="E127" i="5"/>
  <c r="D127" i="5"/>
  <c r="A127" i="5"/>
  <c r="D126" i="5"/>
  <c r="C126" i="5"/>
  <c r="A126" i="5"/>
  <c r="E125" i="5"/>
  <c r="D125" i="5"/>
  <c r="C125" i="5"/>
  <c r="A125" i="5"/>
  <c r="E124" i="5"/>
  <c r="D124" i="5"/>
  <c r="A124" i="5"/>
  <c r="D123" i="5"/>
  <c r="C123" i="5"/>
  <c r="A123" i="5"/>
  <c r="C122" i="5"/>
  <c r="A122" i="5"/>
  <c r="E121" i="5"/>
  <c r="D121" i="5"/>
  <c r="A121" i="5"/>
  <c r="E120" i="5"/>
  <c r="A120" i="5"/>
  <c r="H119" i="5"/>
  <c r="E119" i="5"/>
  <c r="D119" i="5"/>
  <c r="C119" i="5"/>
  <c r="A119" i="5"/>
  <c r="E118" i="5"/>
  <c r="D118" i="5"/>
  <c r="C118" i="5"/>
  <c r="A118" i="5"/>
  <c r="E117" i="5"/>
  <c r="D117" i="5"/>
  <c r="A117" i="5"/>
  <c r="D116" i="5"/>
  <c r="A116" i="5"/>
  <c r="E115" i="5"/>
  <c r="C115" i="5"/>
  <c r="A115" i="5"/>
  <c r="E114" i="5"/>
  <c r="D114" i="5"/>
  <c r="A114" i="5"/>
  <c r="E113" i="5"/>
  <c r="A113" i="5"/>
  <c r="E112" i="5"/>
  <c r="C112" i="5"/>
  <c r="A112" i="5"/>
  <c r="E111" i="5"/>
  <c r="C111" i="5"/>
  <c r="A111" i="5"/>
  <c r="E110" i="5"/>
  <c r="A110" i="5"/>
  <c r="E109" i="5"/>
  <c r="A109" i="5"/>
  <c r="E108" i="5"/>
  <c r="C108" i="5"/>
  <c r="A108" i="5"/>
  <c r="D107" i="5"/>
  <c r="C107" i="5"/>
  <c r="A107" i="5"/>
  <c r="C106" i="5"/>
  <c r="A106" i="5"/>
  <c r="C105" i="5"/>
  <c r="A105" i="5"/>
  <c r="G104" i="5"/>
  <c r="E104" i="5"/>
  <c r="A104" i="5"/>
  <c r="E103" i="5"/>
  <c r="D103" i="5"/>
  <c r="A103" i="5"/>
  <c r="E102" i="5"/>
  <c r="D102" i="5"/>
  <c r="A102" i="5"/>
  <c r="E101" i="5"/>
  <c r="A101" i="5"/>
  <c r="D100" i="5"/>
  <c r="C100" i="5"/>
  <c r="A100" i="5"/>
  <c r="E99" i="5"/>
  <c r="D99" i="5"/>
  <c r="A99" i="5"/>
  <c r="E98" i="5"/>
  <c r="D98" i="5"/>
  <c r="C98" i="5"/>
  <c r="A98" i="5"/>
  <c r="F97" i="5"/>
  <c r="E97" i="5"/>
  <c r="D97" i="5"/>
  <c r="C97" i="5"/>
  <c r="A97" i="5"/>
  <c r="F96" i="5"/>
  <c r="E96" i="5"/>
  <c r="D96" i="5"/>
  <c r="A96" i="5"/>
  <c r="E95" i="5"/>
  <c r="D95" i="5"/>
  <c r="C95" i="5"/>
  <c r="A95" i="5"/>
  <c r="D94" i="5"/>
  <c r="C94" i="5"/>
  <c r="A94" i="5"/>
  <c r="E93" i="5"/>
  <c r="D93" i="5"/>
  <c r="C93" i="5"/>
  <c r="A93" i="5"/>
  <c r="E92" i="5"/>
  <c r="D92" i="5"/>
  <c r="C92" i="5"/>
  <c r="A92" i="5"/>
  <c r="E91" i="5"/>
  <c r="D91" i="5"/>
  <c r="C91" i="5"/>
  <c r="A91" i="5"/>
  <c r="E90" i="5"/>
  <c r="D90" i="5"/>
  <c r="A90" i="5"/>
  <c r="E89" i="5"/>
  <c r="A89" i="5"/>
  <c r="E88" i="5"/>
  <c r="C88" i="5"/>
  <c r="A88" i="5"/>
  <c r="E87" i="5"/>
  <c r="A87" i="5"/>
  <c r="E86" i="5"/>
  <c r="D86" i="5"/>
  <c r="A86" i="5"/>
  <c r="E85" i="5"/>
  <c r="C85" i="5"/>
  <c r="A85" i="5"/>
  <c r="E84" i="5"/>
  <c r="D84" i="5"/>
  <c r="A84" i="5"/>
  <c r="E83" i="5"/>
  <c r="D83" i="5"/>
  <c r="A83" i="5"/>
  <c r="E82" i="5"/>
  <c r="D82" i="5"/>
  <c r="A82" i="5"/>
  <c r="D81" i="5"/>
  <c r="C81" i="5"/>
  <c r="A81" i="5"/>
  <c r="E80" i="5"/>
  <c r="A80" i="5"/>
  <c r="E79" i="5"/>
  <c r="D79" i="5"/>
  <c r="A79" i="5"/>
  <c r="E78" i="5"/>
  <c r="C78" i="5"/>
  <c r="A78" i="5"/>
  <c r="C77" i="5"/>
  <c r="A77" i="5"/>
  <c r="D76" i="5"/>
  <c r="C76" i="5"/>
  <c r="A76" i="5"/>
  <c r="D75" i="5"/>
  <c r="C75" i="5"/>
  <c r="A75" i="5"/>
  <c r="E74" i="5"/>
  <c r="D74" i="5"/>
  <c r="A74" i="5"/>
  <c r="F73" i="5"/>
  <c r="E73" i="5"/>
  <c r="D73" i="5"/>
  <c r="A73" i="5"/>
  <c r="I72" i="5"/>
  <c r="H72" i="5"/>
  <c r="E72" i="5"/>
  <c r="D72" i="5"/>
  <c r="A72" i="5"/>
  <c r="E71" i="5"/>
  <c r="A71" i="5"/>
  <c r="E70" i="5"/>
  <c r="A70" i="5"/>
  <c r="D69" i="5"/>
  <c r="C69" i="5"/>
  <c r="A69" i="5"/>
  <c r="E68" i="5"/>
  <c r="D68" i="5"/>
  <c r="A68" i="5"/>
  <c r="I67" i="5"/>
  <c r="H67" i="5"/>
  <c r="E67" i="5"/>
  <c r="A67" i="5"/>
  <c r="E66" i="5"/>
  <c r="A66" i="5"/>
  <c r="E65" i="5"/>
  <c r="D65" i="5"/>
  <c r="A65" i="5"/>
  <c r="F64" i="5"/>
  <c r="D64" i="5"/>
  <c r="A64" i="5"/>
  <c r="E63" i="5"/>
  <c r="D63" i="5"/>
  <c r="A63" i="5"/>
  <c r="E62" i="5"/>
  <c r="D62" i="5"/>
  <c r="B62" i="5"/>
  <c r="E61" i="5"/>
  <c r="A61" i="5"/>
  <c r="H60" i="5"/>
  <c r="E60" i="5"/>
  <c r="D60" i="5"/>
  <c r="C60" i="5"/>
  <c r="A60" i="5"/>
  <c r="E59" i="5"/>
  <c r="D59" i="5"/>
  <c r="A59" i="5"/>
  <c r="E58" i="5"/>
  <c r="D58" i="5"/>
  <c r="B58" i="5"/>
  <c r="A58" i="5"/>
  <c r="H57" i="5"/>
  <c r="F57" i="5"/>
  <c r="E57" i="5"/>
  <c r="D57" i="5"/>
  <c r="C57" i="5"/>
  <c r="A57" i="5"/>
  <c r="D56" i="5"/>
  <c r="C56" i="5"/>
  <c r="B56" i="5"/>
  <c r="A56" i="5"/>
  <c r="D55" i="5"/>
  <c r="A55" i="5"/>
  <c r="E54" i="5"/>
  <c r="D54" i="5"/>
  <c r="B54" i="5"/>
  <c r="A54" i="5"/>
  <c r="E53" i="5"/>
  <c r="D53" i="5"/>
  <c r="C53" i="5"/>
  <c r="A53" i="5"/>
  <c r="E52" i="5"/>
  <c r="D52" i="5"/>
  <c r="A52" i="5"/>
  <c r="E51" i="5"/>
  <c r="A51" i="5"/>
  <c r="E50" i="5"/>
  <c r="A50" i="5"/>
  <c r="H49" i="5"/>
  <c r="E49" i="5"/>
  <c r="D49" i="5"/>
  <c r="C49" i="5"/>
  <c r="A49" i="5"/>
  <c r="E48" i="5"/>
  <c r="D48" i="5"/>
  <c r="A48" i="5"/>
  <c r="E47" i="5"/>
  <c r="A47" i="5"/>
  <c r="C46" i="5"/>
  <c r="A46" i="5"/>
  <c r="E45" i="5"/>
  <c r="C45" i="5"/>
  <c r="A45" i="5"/>
  <c r="C44" i="5"/>
  <c r="A44" i="5"/>
  <c r="C43" i="5"/>
  <c r="A43" i="5"/>
  <c r="D42" i="5"/>
  <c r="C42" i="5"/>
  <c r="A42" i="5"/>
  <c r="E41" i="5"/>
  <c r="D41" i="5"/>
  <c r="E40" i="5"/>
  <c r="A40" i="5"/>
  <c r="E39" i="5"/>
  <c r="D39" i="5"/>
  <c r="A39" i="5"/>
  <c r="H38" i="5"/>
  <c r="E38" i="5"/>
  <c r="D38" i="5"/>
  <c r="C38" i="5"/>
  <c r="A38" i="5"/>
  <c r="E37" i="5"/>
  <c r="C37" i="5"/>
  <c r="A37" i="5"/>
  <c r="E36" i="5"/>
  <c r="D36" i="5"/>
  <c r="B36" i="5"/>
  <c r="A36" i="5"/>
  <c r="E35" i="5"/>
  <c r="A35" i="5"/>
  <c r="H34" i="5"/>
  <c r="F34" i="5"/>
  <c r="E34" i="5"/>
  <c r="D34" i="5"/>
  <c r="A34" i="5"/>
  <c r="E33" i="5"/>
  <c r="D33" i="5"/>
  <c r="A33" i="5"/>
  <c r="E32" i="5"/>
  <c r="D32" i="5"/>
  <c r="A32" i="5"/>
  <c r="E31" i="5"/>
  <c r="C31" i="5"/>
  <c r="A31" i="5"/>
  <c r="H30" i="5"/>
  <c r="D30" i="5"/>
  <c r="C30" i="5"/>
  <c r="A30" i="5"/>
  <c r="E29" i="5"/>
  <c r="D29" i="5"/>
  <c r="A29" i="5"/>
  <c r="D28" i="5"/>
  <c r="A28" i="5"/>
  <c r="D27" i="5"/>
  <c r="C27" i="5"/>
  <c r="A27" i="5"/>
  <c r="E26" i="5"/>
  <c r="D26" i="5"/>
  <c r="A26" i="5"/>
  <c r="F25" i="5"/>
  <c r="E25" i="5"/>
  <c r="D25" i="5"/>
  <c r="C25" i="5"/>
  <c r="A25" i="5"/>
  <c r="D24" i="5"/>
  <c r="A24" i="5"/>
  <c r="D23" i="5"/>
  <c r="C23" i="5"/>
  <c r="A23" i="5"/>
  <c r="E22" i="5"/>
  <c r="D22" i="5"/>
  <c r="A22" i="5"/>
  <c r="E21" i="5"/>
  <c r="A21" i="5"/>
  <c r="E20" i="5"/>
  <c r="D20" i="5"/>
  <c r="C20" i="5"/>
  <c r="A20" i="5"/>
  <c r="D19" i="5"/>
  <c r="A19" i="5"/>
  <c r="E18" i="5"/>
  <c r="C18" i="5"/>
  <c r="A18" i="5"/>
  <c r="E17" i="5"/>
  <c r="A17" i="5"/>
  <c r="E16" i="5"/>
  <c r="D16" i="5"/>
  <c r="A16" i="5"/>
  <c r="E15" i="5"/>
  <c r="C15" i="5"/>
  <c r="A15" i="5"/>
  <c r="E14" i="5"/>
  <c r="A14" i="5"/>
  <c r="E13" i="5"/>
  <c r="D13" i="5"/>
  <c r="B13" i="5"/>
  <c r="A13" i="5"/>
  <c r="E12" i="5"/>
  <c r="D12" i="5"/>
  <c r="C12" i="5"/>
  <c r="A12" i="5"/>
  <c r="E11" i="5"/>
  <c r="D11" i="5"/>
  <c r="C11" i="5"/>
  <c r="A11" i="5"/>
  <c r="V210" i="4"/>
  <c r="U210" i="4"/>
  <c r="T210" i="4"/>
  <c r="S210" i="4"/>
  <c r="L210" i="4" s="1"/>
  <c r="R210" i="4"/>
  <c r="Q210" i="4"/>
  <c r="P210" i="4"/>
  <c r="O210" i="4"/>
  <c r="N210" i="4"/>
  <c r="M210" i="4"/>
  <c r="V209" i="4"/>
  <c r="U209" i="4"/>
  <c r="T209" i="4"/>
  <c r="S209" i="4"/>
  <c r="R209" i="4"/>
  <c r="Q209" i="4"/>
  <c r="P209" i="4"/>
  <c r="O209" i="4"/>
  <c r="L209" i="4" s="1"/>
  <c r="N209" i="4"/>
  <c r="M209" i="4"/>
  <c r="V208" i="4"/>
  <c r="U208" i="4"/>
  <c r="T208" i="4"/>
  <c r="S208" i="4"/>
  <c r="L208" i="4" s="1"/>
  <c r="R208" i="4"/>
  <c r="Q208" i="4"/>
  <c r="P208" i="4"/>
  <c r="O208" i="4"/>
  <c r="N208" i="4"/>
  <c r="M208" i="4"/>
  <c r="V207" i="4"/>
  <c r="U207" i="4"/>
  <c r="T207" i="4"/>
  <c r="S207" i="4"/>
  <c r="R207" i="4"/>
  <c r="Q207" i="4"/>
  <c r="P207" i="4"/>
  <c r="O207" i="4"/>
  <c r="L207" i="4" s="1"/>
  <c r="N207" i="4"/>
  <c r="M207" i="4"/>
  <c r="V206" i="4"/>
  <c r="U206" i="4"/>
  <c r="T206" i="4"/>
  <c r="S206" i="4"/>
  <c r="L206" i="4" s="1"/>
  <c r="R206" i="4"/>
  <c r="Q206" i="4"/>
  <c r="P206" i="4"/>
  <c r="O206" i="4"/>
  <c r="N206" i="4"/>
  <c r="M206" i="4"/>
  <c r="V205" i="4"/>
  <c r="U205" i="4"/>
  <c r="T205" i="4"/>
  <c r="S205" i="4"/>
  <c r="R205" i="4"/>
  <c r="Q205" i="4"/>
  <c r="P205" i="4"/>
  <c r="O205" i="4"/>
  <c r="L205" i="4" s="1"/>
  <c r="N205" i="4"/>
  <c r="M205" i="4"/>
  <c r="V204" i="4"/>
  <c r="U204" i="4"/>
  <c r="T204" i="4"/>
  <c r="S204" i="4"/>
  <c r="L204" i="4" s="1"/>
  <c r="R204" i="4"/>
  <c r="Q204" i="4"/>
  <c r="P204" i="4"/>
  <c r="O204" i="4"/>
  <c r="N204" i="4"/>
  <c r="M204" i="4"/>
  <c r="V203" i="4"/>
  <c r="U203" i="4"/>
  <c r="T203" i="4"/>
  <c r="S203" i="4"/>
  <c r="R203" i="4"/>
  <c r="Q203" i="4"/>
  <c r="P203" i="4"/>
  <c r="O203" i="4"/>
  <c r="L203" i="4" s="1"/>
  <c r="N203" i="4"/>
  <c r="M203" i="4"/>
  <c r="V202" i="4"/>
  <c r="U202" i="4"/>
  <c r="T202" i="4"/>
  <c r="S202" i="4"/>
  <c r="L202" i="4" s="1"/>
  <c r="R202" i="4"/>
  <c r="Q202" i="4"/>
  <c r="P202" i="4"/>
  <c r="O202" i="4"/>
  <c r="N202" i="4"/>
  <c r="M202" i="4"/>
  <c r="V201" i="4"/>
  <c r="U201" i="4"/>
  <c r="T201" i="4"/>
  <c r="S201" i="4"/>
  <c r="R201" i="4"/>
  <c r="Q201" i="4"/>
  <c r="P201" i="4"/>
  <c r="O201" i="4"/>
  <c r="L201" i="4" s="1"/>
  <c r="N201" i="4"/>
  <c r="M201" i="4"/>
  <c r="V200" i="4"/>
  <c r="U200" i="4"/>
  <c r="T200" i="4"/>
  <c r="S200" i="4"/>
  <c r="L200" i="4" s="1"/>
  <c r="R200" i="4"/>
  <c r="Q200" i="4"/>
  <c r="P200" i="4"/>
  <c r="O200" i="4"/>
  <c r="N200" i="4"/>
  <c r="M200" i="4"/>
  <c r="V199" i="4"/>
  <c r="U199" i="4"/>
  <c r="T199" i="4"/>
  <c r="S199" i="4"/>
  <c r="R199" i="4"/>
  <c r="Q199" i="4"/>
  <c r="P199" i="4"/>
  <c r="O199" i="4"/>
  <c r="L199" i="4" s="1"/>
  <c r="N199" i="4"/>
  <c r="M199" i="4"/>
  <c r="V198" i="4"/>
  <c r="U198" i="4"/>
  <c r="T198" i="4"/>
  <c r="S198" i="4"/>
  <c r="L198" i="4" s="1"/>
  <c r="R198" i="4"/>
  <c r="Q198" i="4"/>
  <c r="P198" i="4"/>
  <c r="O198" i="4"/>
  <c r="N198" i="4"/>
  <c r="M198" i="4"/>
  <c r="V197" i="4"/>
  <c r="U197" i="4"/>
  <c r="T197" i="4"/>
  <c r="S197" i="4"/>
  <c r="R197" i="4"/>
  <c r="Q197" i="4"/>
  <c r="P197" i="4"/>
  <c r="O197" i="4"/>
  <c r="L197" i="4" s="1"/>
  <c r="N197" i="4"/>
  <c r="M197" i="4"/>
  <c r="V196" i="4"/>
  <c r="U196" i="4"/>
  <c r="T196" i="4"/>
  <c r="S196" i="4"/>
  <c r="R196" i="4"/>
  <c r="Q196" i="4"/>
  <c r="P196" i="4"/>
  <c r="O196" i="4"/>
  <c r="L196" i="4" s="1"/>
  <c r="N196" i="4"/>
  <c r="M196" i="4"/>
  <c r="V195" i="4"/>
  <c r="U195" i="4"/>
  <c r="T195" i="4"/>
  <c r="S195" i="4"/>
  <c r="R195" i="4"/>
  <c r="Q195" i="4"/>
  <c r="P195" i="4"/>
  <c r="O195" i="4"/>
  <c r="L195" i="4" s="1"/>
  <c r="N195" i="4"/>
  <c r="M195" i="4"/>
  <c r="V194" i="4"/>
  <c r="U194" i="4"/>
  <c r="T194" i="4"/>
  <c r="S194" i="4"/>
  <c r="R194" i="4"/>
  <c r="Q194" i="4"/>
  <c r="P194" i="4"/>
  <c r="O194" i="4"/>
  <c r="L194" i="4" s="1"/>
  <c r="N194" i="4"/>
  <c r="M194" i="4"/>
  <c r="V193" i="4"/>
  <c r="U193" i="4"/>
  <c r="T193" i="4"/>
  <c r="S193" i="4"/>
  <c r="R193" i="4"/>
  <c r="Q193" i="4"/>
  <c r="P193" i="4"/>
  <c r="O193" i="4"/>
  <c r="L193" i="4" s="1"/>
  <c r="N193" i="4"/>
  <c r="M193" i="4"/>
  <c r="V192" i="4"/>
  <c r="U192" i="4"/>
  <c r="T192" i="4"/>
  <c r="S192" i="4"/>
  <c r="R192" i="4"/>
  <c r="Q192" i="4"/>
  <c r="P192" i="4"/>
  <c r="O192" i="4"/>
  <c r="L192" i="4" s="1"/>
  <c r="N192" i="4"/>
  <c r="M192" i="4"/>
  <c r="V191" i="4"/>
  <c r="U191" i="4"/>
  <c r="T191" i="4"/>
  <c r="S191" i="4"/>
  <c r="R191" i="4"/>
  <c r="Q191" i="4"/>
  <c r="P191" i="4"/>
  <c r="O191" i="4"/>
  <c r="L191" i="4" s="1"/>
  <c r="N191" i="4"/>
  <c r="M191" i="4"/>
  <c r="V190" i="4"/>
  <c r="U190" i="4"/>
  <c r="T190" i="4"/>
  <c r="S190" i="4"/>
  <c r="R190" i="4"/>
  <c r="Q190" i="4"/>
  <c r="P190" i="4"/>
  <c r="O190" i="4"/>
  <c r="L190" i="4" s="1"/>
  <c r="N190" i="4"/>
  <c r="M190" i="4"/>
  <c r="V189" i="4"/>
  <c r="U189" i="4"/>
  <c r="T189" i="4"/>
  <c r="S189" i="4"/>
  <c r="R189" i="4"/>
  <c r="Q189" i="4"/>
  <c r="P189" i="4"/>
  <c r="O189" i="4"/>
  <c r="L189" i="4" s="1"/>
  <c r="N189" i="4"/>
  <c r="M189" i="4"/>
  <c r="V188" i="4"/>
  <c r="U188" i="4"/>
  <c r="T188" i="4"/>
  <c r="S188" i="4"/>
  <c r="R188" i="4"/>
  <c r="Q188" i="4"/>
  <c r="P188" i="4"/>
  <c r="O188" i="4"/>
  <c r="L188" i="4" s="1"/>
  <c r="N188" i="4"/>
  <c r="M188" i="4"/>
  <c r="V187" i="4"/>
  <c r="U187" i="4"/>
  <c r="T187" i="4"/>
  <c r="S187" i="4"/>
  <c r="R187" i="4"/>
  <c r="Q187" i="4"/>
  <c r="P187" i="4"/>
  <c r="O187" i="4"/>
  <c r="L187" i="4" s="1"/>
  <c r="N187" i="4"/>
  <c r="M187" i="4"/>
  <c r="V186" i="4"/>
  <c r="U186" i="4"/>
  <c r="T186" i="4"/>
  <c r="S186" i="4"/>
  <c r="R186" i="4"/>
  <c r="Q186" i="4"/>
  <c r="P186" i="4"/>
  <c r="O186" i="4"/>
  <c r="L186" i="4" s="1"/>
  <c r="N186" i="4"/>
  <c r="M186" i="4"/>
  <c r="V185" i="4"/>
  <c r="U185" i="4"/>
  <c r="T185" i="4"/>
  <c r="S185" i="4"/>
  <c r="R185" i="4"/>
  <c r="Q185" i="4"/>
  <c r="P185" i="4"/>
  <c r="O185" i="4"/>
  <c r="N185" i="4"/>
  <c r="L185" i="4" s="1"/>
  <c r="M185" i="4"/>
  <c r="V184" i="4"/>
  <c r="U184" i="4"/>
  <c r="T184" i="4"/>
  <c r="S184" i="4"/>
  <c r="R184" i="4"/>
  <c r="Q184" i="4"/>
  <c r="P184" i="4"/>
  <c r="O184" i="4"/>
  <c r="L184" i="4" s="1"/>
  <c r="N184" i="4"/>
  <c r="M184" i="4"/>
  <c r="V183" i="4"/>
  <c r="U183" i="4"/>
  <c r="T183" i="4"/>
  <c r="S183" i="4"/>
  <c r="R183" i="4"/>
  <c r="Q183" i="4"/>
  <c r="P183" i="4"/>
  <c r="O183" i="4"/>
  <c r="N183" i="4"/>
  <c r="L183" i="4" s="1"/>
  <c r="M183" i="4"/>
  <c r="V182" i="4"/>
  <c r="U182" i="4"/>
  <c r="T182" i="4"/>
  <c r="S182" i="4"/>
  <c r="R182" i="4"/>
  <c r="Q182" i="4"/>
  <c r="P182" i="4"/>
  <c r="O182" i="4"/>
  <c r="L182" i="4" s="1"/>
  <c r="N182" i="4"/>
  <c r="M182" i="4"/>
  <c r="V181" i="4"/>
  <c r="U181" i="4"/>
  <c r="T181" i="4"/>
  <c r="S181" i="4"/>
  <c r="R181" i="4"/>
  <c r="Q181" i="4"/>
  <c r="P181" i="4"/>
  <c r="O181" i="4"/>
  <c r="N181" i="4"/>
  <c r="L181" i="4" s="1"/>
  <c r="M181" i="4"/>
  <c r="V180" i="4"/>
  <c r="U180" i="4"/>
  <c r="T180" i="4"/>
  <c r="S180" i="4"/>
  <c r="R180" i="4"/>
  <c r="Q180" i="4"/>
  <c r="P180" i="4"/>
  <c r="O180" i="4"/>
  <c r="L180" i="4" s="1"/>
  <c r="N180" i="4"/>
  <c r="M180" i="4"/>
  <c r="V179" i="4"/>
  <c r="U179" i="4"/>
  <c r="T179" i="4"/>
  <c r="S179" i="4"/>
  <c r="R179" i="4"/>
  <c r="Q179" i="4"/>
  <c r="P179" i="4"/>
  <c r="O179" i="4"/>
  <c r="N179" i="4"/>
  <c r="L179" i="4" s="1"/>
  <c r="M179" i="4"/>
  <c r="V178" i="4"/>
  <c r="U178" i="4"/>
  <c r="T178" i="4"/>
  <c r="S178" i="4"/>
  <c r="R178" i="4"/>
  <c r="Q178" i="4"/>
  <c r="P178" i="4"/>
  <c r="O178" i="4"/>
  <c r="L178" i="4" s="1"/>
  <c r="N178" i="4"/>
  <c r="M178" i="4"/>
  <c r="V177" i="4"/>
  <c r="U177" i="4"/>
  <c r="T177" i="4"/>
  <c r="S177" i="4"/>
  <c r="R177" i="4"/>
  <c r="Q177" i="4"/>
  <c r="P177" i="4"/>
  <c r="O177" i="4"/>
  <c r="N177" i="4"/>
  <c r="L177" i="4" s="1"/>
  <c r="M177" i="4"/>
  <c r="V176" i="4"/>
  <c r="U176" i="4"/>
  <c r="T176" i="4"/>
  <c r="S176" i="4"/>
  <c r="R176" i="4"/>
  <c r="Q176" i="4"/>
  <c r="P176" i="4"/>
  <c r="O176" i="4"/>
  <c r="L176" i="4" s="1"/>
  <c r="N176" i="4"/>
  <c r="M176" i="4"/>
  <c r="V175" i="4"/>
  <c r="U175" i="4"/>
  <c r="T175" i="4"/>
  <c r="S175" i="4"/>
  <c r="R175" i="4"/>
  <c r="Q175" i="4"/>
  <c r="P175" i="4"/>
  <c r="O175" i="4"/>
  <c r="N175" i="4"/>
  <c r="L175" i="4" s="1"/>
  <c r="M175" i="4"/>
  <c r="V174" i="4"/>
  <c r="U174" i="4"/>
  <c r="T174" i="4"/>
  <c r="S174" i="4"/>
  <c r="R174" i="4"/>
  <c r="Q174" i="4"/>
  <c r="P174" i="4"/>
  <c r="O174" i="4"/>
  <c r="L174" i="4" s="1"/>
  <c r="N174" i="4"/>
  <c r="M174" i="4"/>
  <c r="V173" i="4"/>
  <c r="U173" i="4"/>
  <c r="T173" i="4"/>
  <c r="S173" i="4"/>
  <c r="R173" i="4"/>
  <c r="Q173" i="4"/>
  <c r="P173" i="4"/>
  <c r="O173" i="4"/>
  <c r="N173" i="4"/>
  <c r="L173" i="4" s="1"/>
  <c r="M173" i="4"/>
  <c r="V172" i="4"/>
  <c r="U172" i="4"/>
  <c r="T172" i="4"/>
  <c r="S172" i="4"/>
  <c r="R172" i="4"/>
  <c r="Q172" i="4"/>
  <c r="P172" i="4"/>
  <c r="O172" i="4"/>
  <c r="L172" i="4" s="1"/>
  <c r="N172" i="4"/>
  <c r="M172" i="4"/>
  <c r="V171" i="4"/>
  <c r="U171" i="4"/>
  <c r="T171" i="4"/>
  <c r="S171" i="4"/>
  <c r="R171" i="4"/>
  <c r="Q171" i="4"/>
  <c r="P171" i="4"/>
  <c r="O171" i="4"/>
  <c r="N171" i="4"/>
  <c r="L171" i="4" s="1"/>
  <c r="M171" i="4"/>
  <c r="V170" i="4"/>
  <c r="U170" i="4"/>
  <c r="T170" i="4"/>
  <c r="S170" i="4"/>
  <c r="R170" i="4"/>
  <c r="Q170" i="4"/>
  <c r="P170" i="4"/>
  <c r="O170" i="4"/>
  <c r="L170" i="4" s="1"/>
  <c r="N170" i="4"/>
  <c r="M170" i="4"/>
  <c r="V169" i="4"/>
  <c r="U169" i="4"/>
  <c r="T169" i="4"/>
  <c r="S169" i="4"/>
  <c r="R169" i="4"/>
  <c r="Q169" i="4"/>
  <c r="P169" i="4"/>
  <c r="O169" i="4"/>
  <c r="N169" i="4"/>
  <c r="L169" i="4" s="1"/>
  <c r="M169" i="4"/>
  <c r="V168" i="4"/>
  <c r="U168" i="4"/>
  <c r="T168" i="4"/>
  <c r="S168" i="4"/>
  <c r="R168" i="4"/>
  <c r="Q168" i="4"/>
  <c r="P168" i="4"/>
  <c r="O168" i="4"/>
  <c r="N168" i="4"/>
  <c r="L168" i="4" s="1"/>
  <c r="M168" i="4"/>
  <c r="V167" i="4"/>
  <c r="U167" i="4"/>
  <c r="T167" i="4"/>
  <c r="S167" i="4"/>
  <c r="R167" i="4"/>
  <c r="Q167" i="4"/>
  <c r="P167" i="4"/>
  <c r="O167" i="4"/>
  <c r="N167" i="4"/>
  <c r="L167" i="4" s="1"/>
  <c r="M167" i="4"/>
  <c r="V166" i="4"/>
  <c r="U166" i="4"/>
  <c r="T166" i="4"/>
  <c r="S166" i="4"/>
  <c r="R166" i="4"/>
  <c r="Q166" i="4"/>
  <c r="P166" i="4"/>
  <c r="O166" i="4"/>
  <c r="N166" i="4"/>
  <c r="L166" i="4" s="1"/>
  <c r="M166" i="4"/>
  <c r="V165" i="4"/>
  <c r="U165" i="4"/>
  <c r="T165" i="4"/>
  <c r="S165" i="4"/>
  <c r="R165" i="4"/>
  <c r="Q165" i="4"/>
  <c r="P165" i="4"/>
  <c r="O165" i="4"/>
  <c r="N165" i="4"/>
  <c r="L165" i="4" s="1"/>
  <c r="M165" i="4"/>
  <c r="V164" i="4"/>
  <c r="U164" i="4"/>
  <c r="T164" i="4"/>
  <c r="S164" i="4"/>
  <c r="R164" i="4"/>
  <c r="Q164" i="4"/>
  <c r="P164" i="4"/>
  <c r="O164" i="4"/>
  <c r="N164" i="4"/>
  <c r="L164" i="4" s="1"/>
  <c r="M164" i="4"/>
  <c r="V163" i="4"/>
  <c r="U163" i="4"/>
  <c r="T163" i="4"/>
  <c r="S163" i="4"/>
  <c r="R163" i="4"/>
  <c r="Q163" i="4"/>
  <c r="P163" i="4"/>
  <c r="O163" i="4"/>
  <c r="N163" i="4"/>
  <c r="L163" i="4" s="1"/>
  <c r="M163" i="4"/>
  <c r="V162" i="4"/>
  <c r="U162" i="4"/>
  <c r="T162" i="4"/>
  <c r="S162" i="4"/>
  <c r="R162" i="4"/>
  <c r="Q162" i="4"/>
  <c r="P162" i="4"/>
  <c r="O162" i="4"/>
  <c r="N162" i="4"/>
  <c r="L162" i="4" s="1"/>
  <c r="M162" i="4"/>
  <c r="V161" i="4"/>
  <c r="U161" i="4"/>
  <c r="T161" i="4"/>
  <c r="S161" i="4"/>
  <c r="R161" i="4"/>
  <c r="Q161" i="4"/>
  <c r="P161" i="4"/>
  <c r="O161" i="4"/>
  <c r="N161" i="4"/>
  <c r="L161" i="4" s="1"/>
  <c r="M161" i="4"/>
  <c r="V160" i="4"/>
  <c r="U160" i="4"/>
  <c r="T160" i="4"/>
  <c r="S160" i="4"/>
  <c r="R160" i="4"/>
  <c r="Q160" i="4"/>
  <c r="P160" i="4"/>
  <c r="O160" i="4"/>
  <c r="N160" i="4"/>
  <c r="L160" i="4" s="1"/>
  <c r="M160" i="4"/>
  <c r="V159" i="4"/>
  <c r="U159" i="4"/>
  <c r="T159" i="4"/>
  <c r="S159" i="4"/>
  <c r="R159" i="4"/>
  <c r="Q159" i="4"/>
  <c r="P159" i="4"/>
  <c r="O159" i="4"/>
  <c r="N159" i="4"/>
  <c r="L159" i="4" s="1"/>
  <c r="M159" i="4"/>
  <c r="V158" i="4"/>
  <c r="U158" i="4"/>
  <c r="T158" i="4"/>
  <c r="S158" i="4"/>
  <c r="R158" i="4"/>
  <c r="Q158" i="4"/>
  <c r="P158" i="4"/>
  <c r="O158" i="4"/>
  <c r="N158" i="4"/>
  <c r="L158" i="4" s="1"/>
  <c r="M158" i="4"/>
  <c r="V157" i="4"/>
  <c r="U157" i="4"/>
  <c r="T157" i="4"/>
  <c r="S157" i="4"/>
  <c r="R157" i="4"/>
  <c r="Q157" i="4"/>
  <c r="P157" i="4"/>
  <c r="O157" i="4"/>
  <c r="N157" i="4"/>
  <c r="L157" i="4" s="1"/>
  <c r="M157" i="4"/>
  <c r="V156" i="4"/>
  <c r="U156" i="4"/>
  <c r="T156" i="4"/>
  <c r="S156" i="4"/>
  <c r="R156" i="4"/>
  <c r="Q156" i="4"/>
  <c r="P156" i="4"/>
  <c r="O156" i="4"/>
  <c r="N156" i="4"/>
  <c r="L156" i="4" s="1"/>
  <c r="M156" i="4"/>
  <c r="V155" i="4"/>
  <c r="U155" i="4"/>
  <c r="T155" i="4"/>
  <c r="S155" i="4"/>
  <c r="R155" i="4"/>
  <c r="Q155" i="4"/>
  <c r="P155" i="4"/>
  <c r="O155" i="4"/>
  <c r="N155" i="4"/>
  <c r="L155" i="4" s="1"/>
  <c r="M155" i="4"/>
  <c r="V154" i="4"/>
  <c r="U154" i="4"/>
  <c r="T154" i="4"/>
  <c r="S154" i="4"/>
  <c r="R154" i="4"/>
  <c r="Q154" i="4"/>
  <c r="P154" i="4"/>
  <c r="O154" i="4"/>
  <c r="N154" i="4"/>
  <c r="L154" i="4" s="1"/>
  <c r="M154" i="4"/>
  <c r="V153" i="4"/>
  <c r="U153" i="4"/>
  <c r="T153" i="4"/>
  <c r="S153" i="4"/>
  <c r="R153" i="4"/>
  <c r="Q153" i="4"/>
  <c r="P153" i="4"/>
  <c r="O153" i="4"/>
  <c r="N153" i="4"/>
  <c r="L153" i="4" s="1"/>
  <c r="M153" i="4"/>
  <c r="V152" i="4"/>
  <c r="U152" i="4"/>
  <c r="T152" i="4"/>
  <c r="S152" i="4"/>
  <c r="R152" i="4"/>
  <c r="Q152" i="4"/>
  <c r="P152" i="4"/>
  <c r="O152" i="4"/>
  <c r="N152" i="4"/>
  <c r="L152" i="4" s="1"/>
  <c r="M152" i="4"/>
  <c r="V151" i="4"/>
  <c r="U151" i="4"/>
  <c r="T151" i="4"/>
  <c r="S151" i="4"/>
  <c r="R151" i="4"/>
  <c r="Q151" i="4"/>
  <c r="P151" i="4"/>
  <c r="O151" i="4"/>
  <c r="N151" i="4"/>
  <c r="L151" i="4" s="1"/>
  <c r="M151" i="4"/>
  <c r="V150" i="4"/>
  <c r="U150" i="4"/>
  <c r="T150" i="4"/>
  <c r="S150" i="4"/>
  <c r="R150" i="4"/>
  <c r="Q150" i="4"/>
  <c r="P150" i="4"/>
  <c r="O150" i="4"/>
  <c r="N150" i="4"/>
  <c r="L150" i="4" s="1"/>
  <c r="M150" i="4"/>
  <c r="V149" i="4"/>
  <c r="U149" i="4"/>
  <c r="T149" i="4"/>
  <c r="S149" i="4"/>
  <c r="R149" i="4"/>
  <c r="Q149" i="4"/>
  <c r="P149" i="4"/>
  <c r="O149" i="4"/>
  <c r="N149" i="4"/>
  <c r="L149" i="4" s="1"/>
  <c r="M149" i="4"/>
  <c r="V148" i="4"/>
  <c r="U148" i="4"/>
  <c r="T148" i="4"/>
  <c r="S148" i="4"/>
  <c r="R148" i="4"/>
  <c r="Q148" i="4"/>
  <c r="P148" i="4"/>
  <c r="O148" i="4"/>
  <c r="N148" i="4"/>
  <c r="L148" i="4" s="1"/>
  <c r="M148" i="4"/>
  <c r="V147" i="4"/>
  <c r="U147" i="4"/>
  <c r="T147" i="4"/>
  <c r="S147" i="4"/>
  <c r="R147" i="4"/>
  <c r="Q147" i="4"/>
  <c r="P147" i="4"/>
  <c r="O147" i="4"/>
  <c r="N147" i="4"/>
  <c r="L147" i="4" s="1"/>
  <c r="M147" i="4"/>
  <c r="V146" i="4"/>
  <c r="U146" i="4"/>
  <c r="T146" i="4"/>
  <c r="S146" i="4"/>
  <c r="R146" i="4"/>
  <c r="Q146" i="4"/>
  <c r="P146" i="4"/>
  <c r="O146" i="4"/>
  <c r="N146" i="4"/>
  <c r="L146" i="4" s="1"/>
  <c r="M146" i="4"/>
  <c r="V145" i="4"/>
  <c r="U145" i="4"/>
  <c r="T145" i="4"/>
  <c r="S145" i="4"/>
  <c r="R145" i="4"/>
  <c r="Q145" i="4"/>
  <c r="P145" i="4"/>
  <c r="O145" i="4"/>
  <c r="N145" i="4"/>
  <c r="L145" i="4" s="1"/>
  <c r="M145" i="4"/>
  <c r="V144" i="4"/>
  <c r="U144" i="4"/>
  <c r="T144" i="4"/>
  <c r="S144" i="4"/>
  <c r="R144" i="4"/>
  <c r="Q144" i="4"/>
  <c r="P144" i="4"/>
  <c r="O144" i="4"/>
  <c r="N144" i="4"/>
  <c r="L144" i="4" s="1"/>
  <c r="M144" i="4"/>
  <c r="V143" i="4"/>
  <c r="U143" i="4"/>
  <c r="T143" i="4"/>
  <c r="S143" i="4"/>
  <c r="R143" i="4"/>
  <c r="Q143" i="4"/>
  <c r="P143" i="4"/>
  <c r="O143" i="4"/>
  <c r="N143" i="4"/>
  <c r="L143" i="4" s="1"/>
  <c r="M143" i="4"/>
  <c r="V142" i="4"/>
  <c r="U142" i="4"/>
  <c r="T142" i="4"/>
  <c r="S142" i="4"/>
  <c r="R142" i="4"/>
  <c r="Q142" i="4"/>
  <c r="P142" i="4"/>
  <c r="O142" i="4"/>
  <c r="N142" i="4"/>
  <c r="L142" i="4" s="1"/>
  <c r="M142" i="4"/>
  <c r="V141" i="4"/>
  <c r="U141" i="4"/>
  <c r="T141" i="4"/>
  <c r="S141" i="4"/>
  <c r="R141" i="4"/>
  <c r="Q141" i="4"/>
  <c r="P141" i="4"/>
  <c r="O141" i="4"/>
  <c r="N141" i="4"/>
  <c r="L141" i="4" s="1"/>
  <c r="M141" i="4"/>
  <c r="V140" i="4"/>
  <c r="U140" i="4"/>
  <c r="T140" i="4"/>
  <c r="S140" i="4"/>
  <c r="R140" i="4"/>
  <c r="Q140" i="4"/>
  <c r="P140" i="4"/>
  <c r="O140" i="4"/>
  <c r="N140" i="4"/>
  <c r="L140" i="4" s="1"/>
  <c r="M140" i="4"/>
  <c r="V139" i="4"/>
  <c r="U139" i="4"/>
  <c r="T139" i="4"/>
  <c r="S139" i="4"/>
  <c r="R139" i="4"/>
  <c r="Q139" i="4"/>
  <c r="P139" i="4"/>
  <c r="O139" i="4"/>
  <c r="N139" i="4"/>
  <c r="L139" i="4" s="1"/>
  <c r="M139" i="4"/>
  <c r="V138" i="4"/>
  <c r="U138" i="4"/>
  <c r="T138" i="4"/>
  <c r="S138" i="4"/>
  <c r="R138" i="4"/>
  <c r="Q138" i="4"/>
  <c r="P138" i="4"/>
  <c r="O138" i="4"/>
  <c r="N138" i="4"/>
  <c r="L138" i="4" s="1"/>
  <c r="M138" i="4"/>
  <c r="V137" i="4"/>
  <c r="U137" i="4"/>
  <c r="T137" i="4"/>
  <c r="S137" i="4"/>
  <c r="R137" i="4"/>
  <c r="Q137" i="4"/>
  <c r="P137" i="4"/>
  <c r="O137" i="4"/>
  <c r="N137" i="4"/>
  <c r="L137" i="4" s="1"/>
  <c r="M137" i="4"/>
  <c r="V136" i="4"/>
  <c r="U136" i="4"/>
  <c r="T136" i="4"/>
  <c r="S136" i="4"/>
  <c r="R136" i="4"/>
  <c r="Q136" i="4"/>
  <c r="P136" i="4"/>
  <c r="O136" i="4"/>
  <c r="N136" i="4"/>
  <c r="L136" i="4" s="1"/>
  <c r="M136" i="4"/>
  <c r="V135" i="4"/>
  <c r="U135" i="4"/>
  <c r="T135" i="4"/>
  <c r="S135" i="4"/>
  <c r="R135" i="4"/>
  <c r="Q135" i="4"/>
  <c r="P135" i="4"/>
  <c r="O135" i="4"/>
  <c r="N135" i="4"/>
  <c r="L135" i="4" s="1"/>
  <c r="M135" i="4"/>
  <c r="V134" i="4"/>
  <c r="U134" i="4"/>
  <c r="T134" i="4"/>
  <c r="S134" i="4"/>
  <c r="R134" i="4"/>
  <c r="Q134" i="4"/>
  <c r="P134" i="4"/>
  <c r="O134" i="4"/>
  <c r="N134" i="4"/>
  <c r="L134" i="4" s="1"/>
  <c r="M134" i="4"/>
  <c r="V133" i="4"/>
  <c r="U133" i="4"/>
  <c r="T133" i="4"/>
  <c r="S133" i="4"/>
  <c r="R133" i="4"/>
  <c r="Q133" i="4"/>
  <c r="P133" i="4"/>
  <c r="O133" i="4"/>
  <c r="N133" i="4"/>
  <c r="L133" i="4" s="1"/>
  <c r="M133" i="4"/>
  <c r="V132" i="4"/>
  <c r="U132" i="4"/>
  <c r="T132" i="4"/>
  <c r="S132" i="4"/>
  <c r="R132" i="4"/>
  <c r="Q132" i="4"/>
  <c r="P132" i="4"/>
  <c r="O132" i="4"/>
  <c r="N132" i="4"/>
  <c r="L132" i="4" s="1"/>
  <c r="M132" i="4"/>
  <c r="V131" i="4"/>
  <c r="U131" i="4"/>
  <c r="T131" i="4"/>
  <c r="S131" i="4"/>
  <c r="R131" i="4"/>
  <c r="Q131" i="4"/>
  <c r="P131" i="4"/>
  <c r="O131" i="4"/>
  <c r="N131" i="4"/>
  <c r="L131" i="4" s="1"/>
  <c r="M131" i="4"/>
  <c r="V130" i="4"/>
  <c r="U130" i="4"/>
  <c r="T130" i="4"/>
  <c r="S130" i="4"/>
  <c r="R130" i="4"/>
  <c r="Q130" i="4"/>
  <c r="P130" i="4"/>
  <c r="O130" i="4"/>
  <c r="N130" i="4"/>
  <c r="L130" i="4" s="1"/>
  <c r="M130" i="4"/>
  <c r="V129" i="4"/>
  <c r="U129" i="4"/>
  <c r="T129" i="4"/>
  <c r="S129" i="4"/>
  <c r="R129" i="4"/>
  <c r="Q129" i="4"/>
  <c r="P129" i="4"/>
  <c r="O129" i="4"/>
  <c r="N129" i="4"/>
  <c r="L129" i="4" s="1"/>
  <c r="M129" i="4"/>
  <c r="V128" i="4"/>
  <c r="U128" i="4"/>
  <c r="T128" i="4"/>
  <c r="S128" i="4"/>
  <c r="R128" i="4"/>
  <c r="Q128" i="4"/>
  <c r="P128" i="4"/>
  <c r="O128" i="4"/>
  <c r="N128" i="4"/>
  <c r="L128" i="4" s="1"/>
  <c r="M128" i="4"/>
  <c r="V127" i="4"/>
  <c r="U127" i="4"/>
  <c r="T127" i="4"/>
  <c r="S127" i="4"/>
  <c r="R127" i="4"/>
  <c r="Q127" i="4"/>
  <c r="P127" i="4"/>
  <c r="O127" i="4"/>
  <c r="N127" i="4"/>
  <c r="L127" i="4" s="1"/>
  <c r="M127" i="4"/>
  <c r="V126" i="4"/>
  <c r="U126" i="4"/>
  <c r="T126" i="4"/>
  <c r="S126" i="4"/>
  <c r="R126" i="4"/>
  <c r="Q126" i="4"/>
  <c r="P126" i="4"/>
  <c r="O126" i="4"/>
  <c r="N126" i="4"/>
  <c r="L126" i="4" s="1"/>
  <c r="M126" i="4"/>
  <c r="V125" i="4"/>
  <c r="U125" i="4"/>
  <c r="T125" i="4"/>
  <c r="S125" i="4"/>
  <c r="R125" i="4"/>
  <c r="Q125" i="4"/>
  <c r="P125" i="4"/>
  <c r="O125" i="4"/>
  <c r="N125" i="4"/>
  <c r="L125" i="4" s="1"/>
  <c r="M125" i="4"/>
  <c r="V124" i="4"/>
  <c r="U124" i="4"/>
  <c r="T124" i="4"/>
  <c r="S124" i="4"/>
  <c r="R124" i="4"/>
  <c r="Q124" i="4"/>
  <c r="P124" i="4"/>
  <c r="O124" i="4"/>
  <c r="N124" i="4"/>
  <c r="L124" i="4" s="1"/>
  <c r="M124" i="4"/>
  <c r="V123" i="4"/>
  <c r="U123" i="4"/>
  <c r="T123" i="4"/>
  <c r="S123" i="4"/>
  <c r="R123" i="4"/>
  <c r="Q123" i="4"/>
  <c r="P123" i="4"/>
  <c r="O123" i="4"/>
  <c r="N123" i="4"/>
  <c r="L123" i="4" s="1"/>
  <c r="M123" i="4"/>
  <c r="V122" i="4"/>
  <c r="U122" i="4"/>
  <c r="T122" i="4"/>
  <c r="S122" i="4"/>
  <c r="R122" i="4"/>
  <c r="Q122" i="4"/>
  <c r="P122" i="4"/>
  <c r="O122" i="4"/>
  <c r="N122" i="4"/>
  <c r="L122" i="4" s="1"/>
  <c r="M122" i="4"/>
  <c r="V121" i="4"/>
  <c r="U121" i="4"/>
  <c r="T121" i="4"/>
  <c r="S121" i="4"/>
  <c r="R121" i="4"/>
  <c r="Q121" i="4"/>
  <c r="P121" i="4"/>
  <c r="O121" i="4"/>
  <c r="N121" i="4"/>
  <c r="L121" i="4" s="1"/>
  <c r="M121" i="4"/>
  <c r="V120" i="4"/>
  <c r="U120" i="4"/>
  <c r="T120" i="4"/>
  <c r="S120" i="4"/>
  <c r="R120" i="4"/>
  <c r="Q120" i="4"/>
  <c r="P120" i="4"/>
  <c r="O120" i="4"/>
  <c r="N120" i="4"/>
  <c r="L120" i="4" s="1"/>
  <c r="M120" i="4"/>
  <c r="V119" i="4"/>
  <c r="U119" i="4"/>
  <c r="T119" i="4"/>
  <c r="S119" i="4"/>
  <c r="R119" i="4"/>
  <c r="Q119" i="4"/>
  <c r="P119" i="4"/>
  <c r="O119" i="4"/>
  <c r="N119" i="4"/>
  <c r="L119" i="4" s="1"/>
  <c r="M119" i="4"/>
  <c r="V118" i="4"/>
  <c r="U118" i="4"/>
  <c r="T118" i="4"/>
  <c r="S118" i="4"/>
  <c r="R118" i="4"/>
  <c r="Q118" i="4"/>
  <c r="P118" i="4"/>
  <c r="O118" i="4"/>
  <c r="N118" i="4"/>
  <c r="L118" i="4" s="1"/>
  <c r="M118" i="4"/>
  <c r="V117" i="4"/>
  <c r="U117" i="4"/>
  <c r="T117" i="4"/>
  <c r="S117" i="4"/>
  <c r="R117" i="4"/>
  <c r="Q117" i="4"/>
  <c r="P117" i="4"/>
  <c r="O117" i="4"/>
  <c r="N117" i="4"/>
  <c r="L117" i="4" s="1"/>
  <c r="M117" i="4"/>
  <c r="V116" i="4"/>
  <c r="U116" i="4"/>
  <c r="T116" i="4"/>
  <c r="S116" i="4"/>
  <c r="R116" i="4"/>
  <c r="Q116" i="4"/>
  <c r="P116" i="4"/>
  <c r="O116" i="4"/>
  <c r="N116" i="4"/>
  <c r="L116" i="4" s="1"/>
  <c r="M116" i="4"/>
  <c r="V115" i="4"/>
  <c r="U115" i="4"/>
  <c r="T115" i="4"/>
  <c r="S115" i="4"/>
  <c r="R115" i="4"/>
  <c r="Q115" i="4"/>
  <c r="P115" i="4"/>
  <c r="O115" i="4"/>
  <c r="N115" i="4"/>
  <c r="L115" i="4" s="1"/>
  <c r="M115" i="4"/>
  <c r="V114" i="4"/>
  <c r="U114" i="4"/>
  <c r="T114" i="4"/>
  <c r="S114" i="4"/>
  <c r="R114" i="4"/>
  <c r="Q114" i="4"/>
  <c r="P114" i="4"/>
  <c r="O114" i="4"/>
  <c r="N114" i="4"/>
  <c r="L114" i="4" s="1"/>
  <c r="M114" i="4"/>
  <c r="V113" i="4"/>
  <c r="U113" i="4"/>
  <c r="T113" i="4"/>
  <c r="S113" i="4"/>
  <c r="R113" i="4"/>
  <c r="Q113" i="4"/>
  <c r="P113" i="4"/>
  <c r="O113" i="4"/>
  <c r="N113" i="4"/>
  <c r="L113" i="4" s="1"/>
  <c r="M113" i="4"/>
  <c r="V112" i="4"/>
  <c r="U112" i="4"/>
  <c r="T112" i="4"/>
  <c r="S112" i="4"/>
  <c r="R112" i="4"/>
  <c r="Q112" i="4"/>
  <c r="P112" i="4"/>
  <c r="O112" i="4"/>
  <c r="N112" i="4"/>
  <c r="L112" i="4" s="1"/>
  <c r="M112" i="4"/>
  <c r="V111" i="4"/>
  <c r="U111" i="4"/>
  <c r="T111" i="4"/>
  <c r="S111" i="4"/>
  <c r="R111" i="4"/>
  <c r="Q111" i="4"/>
  <c r="P111" i="4"/>
  <c r="O111" i="4"/>
  <c r="N111" i="4"/>
  <c r="L111" i="4" s="1"/>
  <c r="M111" i="4"/>
  <c r="V110" i="4"/>
  <c r="U110" i="4"/>
  <c r="T110" i="4"/>
  <c r="S110" i="4"/>
  <c r="R110" i="4"/>
  <c r="Q110" i="4"/>
  <c r="P110" i="4"/>
  <c r="O110" i="4"/>
  <c r="N110" i="4"/>
  <c r="L110" i="4" s="1"/>
  <c r="M110" i="4"/>
  <c r="V109" i="4"/>
  <c r="U109" i="4"/>
  <c r="T109" i="4"/>
  <c r="S109" i="4"/>
  <c r="R109" i="4"/>
  <c r="Q109" i="4"/>
  <c r="P109" i="4"/>
  <c r="O109" i="4"/>
  <c r="N109" i="4"/>
  <c r="L109" i="4" s="1"/>
  <c r="M109" i="4"/>
  <c r="V108" i="4"/>
  <c r="U108" i="4"/>
  <c r="T108" i="4"/>
  <c r="S108" i="4"/>
  <c r="R108" i="4"/>
  <c r="Q108" i="4"/>
  <c r="P108" i="4"/>
  <c r="O108" i="4"/>
  <c r="N108" i="4"/>
  <c r="L108" i="4" s="1"/>
  <c r="M108" i="4"/>
  <c r="V107" i="4"/>
  <c r="U107" i="4"/>
  <c r="T107" i="4"/>
  <c r="S107" i="4"/>
  <c r="R107" i="4"/>
  <c r="Q107" i="4"/>
  <c r="P107" i="4"/>
  <c r="O107" i="4"/>
  <c r="N107" i="4"/>
  <c r="L107" i="4" s="1"/>
  <c r="M107" i="4"/>
  <c r="V106" i="4"/>
  <c r="U106" i="4"/>
  <c r="T106" i="4"/>
  <c r="S106" i="4"/>
  <c r="R106" i="4"/>
  <c r="Q106" i="4"/>
  <c r="P106" i="4"/>
  <c r="O106" i="4"/>
  <c r="N106" i="4"/>
  <c r="L106" i="4" s="1"/>
  <c r="M106" i="4"/>
  <c r="V105" i="4"/>
  <c r="U105" i="4"/>
  <c r="T105" i="4"/>
  <c r="S105" i="4"/>
  <c r="R105" i="4"/>
  <c r="Q105" i="4"/>
  <c r="P105" i="4"/>
  <c r="O105" i="4"/>
  <c r="N105" i="4"/>
  <c r="L105" i="4" s="1"/>
  <c r="M105" i="4"/>
  <c r="V104" i="4"/>
  <c r="U104" i="4"/>
  <c r="T104" i="4"/>
  <c r="S104" i="4"/>
  <c r="R104" i="4"/>
  <c r="Q104" i="4"/>
  <c r="P104" i="4"/>
  <c r="O104" i="4"/>
  <c r="N104" i="4"/>
  <c r="L104" i="4" s="1"/>
  <c r="M104" i="4"/>
  <c r="V103" i="4"/>
  <c r="U103" i="4"/>
  <c r="T103" i="4"/>
  <c r="S103" i="4"/>
  <c r="R103" i="4"/>
  <c r="Q103" i="4"/>
  <c r="P103" i="4"/>
  <c r="O103" i="4"/>
  <c r="N103" i="4"/>
  <c r="L103" i="4" s="1"/>
  <c r="M103" i="4"/>
  <c r="V102" i="4"/>
  <c r="U102" i="4"/>
  <c r="T102" i="4"/>
  <c r="S102" i="4"/>
  <c r="R102" i="4"/>
  <c r="Q102" i="4"/>
  <c r="P102" i="4"/>
  <c r="O102" i="4"/>
  <c r="N102" i="4"/>
  <c r="L102" i="4" s="1"/>
  <c r="M102" i="4"/>
  <c r="V101" i="4"/>
  <c r="U101" i="4"/>
  <c r="T101" i="4"/>
  <c r="S101" i="4"/>
  <c r="R101" i="4"/>
  <c r="Q101" i="4"/>
  <c r="P101" i="4"/>
  <c r="O101" i="4"/>
  <c r="N101" i="4"/>
  <c r="L101" i="4" s="1"/>
  <c r="M101" i="4"/>
  <c r="V100" i="4"/>
  <c r="U100" i="4"/>
  <c r="T100" i="4"/>
  <c r="S100" i="4"/>
  <c r="R100" i="4"/>
  <c r="Q100" i="4"/>
  <c r="P100" i="4"/>
  <c r="O100" i="4"/>
  <c r="N100" i="4"/>
  <c r="L100" i="4" s="1"/>
  <c r="M100" i="4"/>
  <c r="V99" i="4"/>
  <c r="U99" i="4"/>
  <c r="T99" i="4"/>
  <c r="S99" i="4"/>
  <c r="R99" i="4"/>
  <c r="Q99" i="4"/>
  <c r="P99" i="4"/>
  <c r="O99" i="4"/>
  <c r="N99" i="4"/>
  <c r="L99" i="4" s="1"/>
  <c r="M99" i="4"/>
  <c r="V98" i="4"/>
  <c r="U98" i="4"/>
  <c r="T98" i="4"/>
  <c r="S98" i="4"/>
  <c r="R98" i="4"/>
  <c r="Q98" i="4"/>
  <c r="P98" i="4"/>
  <c r="O98" i="4"/>
  <c r="N98" i="4"/>
  <c r="L98" i="4" s="1"/>
  <c r="M98" i="4"/>
  <c r="V97" i="4"/>
  <c r="U97" i="4"/>
  <c r="T97" i="4"/>
  <c r="S97" i="4"/>
  <c r="R97" i="4"/>
  <c r="Q97" i="4"/>
  <c r="P97" i="4"/>
  <c r="O97" i="4"/>
  <c r="N97" i="4"/>
  <c r="L97" i="4" s="1"/>
  <c r="M97" i="4"/>
  <c r="V96" i="4"/>
  <c r="U96" i="4"/>
  <c r="T96" i="4"/>
  <c r="S96" i="4"/>
  <c r="R96" i="4"/>
  <c r="Q96" i="4"/>
  <c r="P96" i="4"/>
  <c r="O96" i="4"/>
  <c r="N96" i="4"/>
  <c r="L96" i="4" s="1"/>
  <c r="M96" i="4"/>
  <c r="V95" i="4"/>
  <c r="U95" i="4"/>
  <c r="T95" i="4"/>
  <c r="S95" i="4"/>
  <c r="R95" i="4"/>
  <c r="Q95" i="4"/>
  <c r="P95" i="4"/>
  <c r="O95" i="4"/>
  <c r="N95" i="4"/>
  <c r="L95" i="4" s="1"/>
  <c r="M95" i="4"/>
  <c r="V94" i="4"/>
  <c r="U94" i="4"/>
  <c r="T94" i="4"/>
  <c r="S94" i="4"/>
  <c r="R94" i="4"/>
  <c r="Q94" i="4"/>
  <c r="P94" i="4"/>
  <c r="O94" i="4"/>
  <c r="N94" i="4"/>
  <c r="L94" i="4" s="1"/>
  <c r="M94" i="4"/>
  <c r="V93" i="4"/>
  <c r="U93" i="4"/>
  <c r="T93" i="4"/>
  <c r="S93" i="4"/>
  <c r="R93" i="4"/>
  <c r="Q93" i="4"/>
  <c r="P93" i="4"/>
  <c r="O93" i="4"/>
  <c r="N93" i="4"/>
  <c r="L93" i="4" s="1"/>
  <c r="M93" i="4"/>
  <c r="V92" i="4"/>
  <c r="U92" i="4"/>
  <c r="T92" i="4"/>
  <c r="S92" i="4"/>
  <c r="R92" i="4"/>
  <c r="Q92" i="4"/>
  <c r="P92" i="4"/>
  <c r="O92" i="4"/>
  <c r="N92" i="4"/>
  <c r="L92" i="4" s="1"/>
  <c r="M92" i="4"/>
  <c r="V91" i="4"/>
  <c r="U91" i="4"/>
  <c r="T91" i="4"/>
  <c r="S91" i="4"/>
  <c r="R91" i="4"/>
  <c r="Q91" i="4"/>
  <c r="P91" i="4"/>
  <c r="O91" i="4"/>
  <c r="N91" i="4"/>
  <c r="L91" i="4" s="1"/>
  <c r="M91" i="4"/>
  <c r="V90" i="4"/>
  <c r="U90" i="4"/>
  <c r="T90" i="4"/>
  <c r="S90" i="4"/>
  <c r="R90" i="4"/>
  <c r="Q90" i="4"/>
  <c r="P90" i="4"/>
  <c r="O90" i="4"/>
  <c r="N90" i="4"/>
  <c r="L90" i="4" s="1"/>
  <c r="M90" i="4"/>
  <c r="V89" i="4"/>
  <c r="U89" i="4"/>
  <c r="T89" i="4"/>
  <c r="S89" i="4"/>
  <c r="R89" i="4"/>
  <c r="Q89" i="4"/>
  <c r="P89" i="4"/>
  <c r="O89" i="4"/>
  <c r="N89" i="4"/>
  <c r="L89" i="4" s="1"/>
  <c r="M89" i="4"/>
  <c r="V88" i="4"/>
  <c r="U88" i="4"/>
  <c r="T88" i="4"/>
  <c r="S88" i="4"/>
  <c r="R88" i="4"/>
  <c r="Q88" i="4"/>
  <c r="P88" i="4"/>
  <c r="O88" i="4"/>
  <c r="N88" i="4"/>
  <c r="L88" i="4" s="1"/>
  <c r="M88" i="4"/>
  <c r="V87" i="4"/>
  <c r="U87" i="4"/>
  <c r="T87" i="4"/>
  <c r="S87" i="4"/>
  <c r="R87" i="4"/>
  <c r="Q87" i="4"/>
  <c r="P87" i="4"/>
  <c r="O87" i="4"/>
  <c r="N87" i="4"/>
  <c r="L87" i="4" s="1"/>
  <c r="M87" i="4"/>
  <c r="V86" i="4"/>
  <c r="U86" i="4"/>
  <c r="T86" i="4"/>
  <c r="S86" i="4"/>
  <c r="R86" i="4"/>
  <c r="Q86" i="4"/>
  <c r="P86" i="4"/>
  <c r="O86" i="4"/>
  <c r="N86" i="4"/>
  <c r="L86" i="4" s="1"/>
  <c r="M86" i="4"/>
  <c r="V85" i="4"/>
  <c r="U85" i="4"/>
  <c r="T85" i="4"/>
  <c r="S85" i="4"/>
  <c r="R85" i="4"/>
  <c r="Q85" i="4"/>
  <c r="P85" i="4"/>
  <c r="O85" i="4"/>
  <c r="N85" i="4"/>
  <c r="L85" i="4" s="1"/>
  <c r="M85" i="4"/>
  <c r="V84" i="4"/>
  <c r="U84" i="4"/>
  <c r="T84" i="4"/>
  <c r="S84" i="4"/>
  <c r="R84" i="4"/>
  <c r="Q84" i="4"/>
  <c r="P84" i="4"/>
  <c r="O84" i="4"/>
  <c r="N84" i="4"/>
  <c r="L84" i="4" s="1"/>
  <c r="M84" i="4"/>
  <c r="V83" i="4"/>
  <c r="U83" i="4"/>
  <c r="T83" i="4"/>
  <c r="S83" i="4"/>
  <c r="R83" i="4"/>
  <c r="Q83" i="4"/>
  <c r="P83" i="4"/>
  <c r="O83" i="4"/>
  <c r="N83" i="4"/>
  <c r="L83" i="4" s="1"/>
  <c r="M83" i="4"/>
  <c r="V82" i="4"/>
  <c r="U82" i="4"/>
  <c r="T82" i="4"/>
  <c r="S82" i="4"/>
  <c r="R82" i="4"/>
  <c r="Q82" i="4"/>
  <c r="P82" i="4"/>
  <c r="O82" i="4"/>
  <c r="N82" i="4"/>
  <c r="L82" i="4" s="1"/>
  <c r="M82" i="4"/>
  <c r="V81" i="4"/>
  <c r="U81" i="4"/>
  <c r="T81" i="4"/>
  <c r="S81" i="4"/>
  <c r="R81" i="4"/>
  <c r="Q81" i="4"/>
  <c r="P81" i="4"/>
  <c r="O81" i="4"/>
  <c r="N81" i="4"/>
  <c r="L81" i="4" s="1"/>
  <c r="M81" i="4"/>
  <c r="V80" i="4"/>
  <c r="U80" i="4"/>
  <c r="T80" i="4"/>
  <c r="S80" i="4"/>
  <c r="R80" i="4"/>
  <c r="Q80" i="4"/>
  <c r="P80" i="4"/>
  <c r="O80" i="4"/>
  <c r="N80" i="4"/>
  <c r="L80" i="4" s="1"/>
  <c r="M80" i="4"/>
  <c r="V79" i="4"/>
  <c r="U79" i="4"/>
  <c r="T79" i="4"/>
  <c r="S79" i="4"/>
  <c r="R79" i="4"/>
  <c r="Q79" i="4"/>
  <c r="P79" i="4"/>
  <c r="O79" i="4"/>
  <c r="N79" i="4"/>
  <c r="L79" i="4" s="1"/>
  <c r="M79" i="4"/>
  <c r="V78" i="4"/>
  <c r="U78" i="4"/>
  <c r="T78" i="4"/>
  <c r="S78" i="4"/>
  <c r="R78" i="4"/>
  <c r="Q78" i="4"/>
  <c r="P78" i="4"/>
  <c r="O78" i="4"/>
  <c r="N78" i="4"/>
  <c r="L78" i="4" s="1"/>
  <c r="M78" i="4"/>
  <c r="V77" i="4"/>
  <c r="U77" i="4"/>
  <c r="T77" i="4"/>
  <c r="S77" i="4"/>
  <c r="R77" i="4"/>
  <c r="Q77" i="4"/>
  <c r="P77" i="4"/>
  <c r="O77" i="4"/>
  <c r="N77" i="4"/>
  <c r="L77" i="4" s="1"/>
  <c r="M77" i="4"/>
  <c r="V76" i="4"/>
  <c r="U76" i="4"/>
  <c r="T76" i="4"/>
  <c r="S76" i="4"/>
  <c r="R76" i="4"/>
  <c r="Q76" i="4"/>
  <c r="P76" i="4"/>
  <c r="O76" i="4"/>
  <c r="N76" i="4"/>
  <c r="L76" i="4" s="1"/>
  <c r="M76" i="4"/>
  <c r="V75" i="4"/>
  <c r="U75" i="4"/>
  <c r="T75" i="4"/>
  <c r="S75" i="4"/>
  <c r="R75" i="4"/>
  <c r="Q75" i="4"/>
  <c r="P75" i="4"/>
  <c r="O75" i="4"/>
  <c r="N75" i="4"/>
  <c r="L75" i="4" s="1"/>
  <c r="M75" i="4"/>
  <c r="V74" i="4"/>
  <c r="U74" i="4"/>
  <c r="T74" i="4"/>
  <c r="S74" i="4"/>
  <c r="R74" i="4"/>
  <c r="Q74" i="4"/>
  <c r="P74" i="4"/>
  <c r="O74" i="4"/>
  <c r="N74" i="4"/>
  <c r="L74" i="4" s="1"/>
  <c r="M74" i="4"/>
  <c r="V73" i="4"/>
  <c r="U73" i="4"/>
  <c r="T73" i="4"/>
  <c r="S73" i="4"/>
  <c r="R73" i="4"/>
  <c r="Q73" i="4"/>
  <c r="P73" i="4"/>
  <c r="O73" i="4"/>
  <c r="N73" i="4"/>
  <c r="L73" i="4" s="1"/>
  <c r="M73" i="4"/>
  <c r="V72" i="4"/>
  <c r="U72" i="4"/>
  <c r="T72" i="4"/>
  <c r="S72" i="4"/>
  <c r="R72" i="4"/>
  <c r="Q72" i="4"/>
  <c r="P72" i="4"/>
  <c r="O72" i="4"/>
  <c r="N72" i="4"/>
  <c r="L72" i="4" s="1"/>
  <c r="M72" i="4"/>
  <c r="V71" i="4"/>
  <c r="U71" i="4"/>
  <c r="T71" i="4"/>
  <c r="S71" i="4"/>
  <c r="R71" i="4"/>
  <c r="Q71" i="4"/>
  <c r="P71" i="4"/>
  <c r="O71" i="4"/>
  <c r="N71" i="4"/>
  <c r="L71" i="4" s="1"/>
  <c r="M71" i="4"/>
  <c r="V70" i="4"/>
  <c r="U70" i="4"/>
  <c r="T70" i="4"/>
  <c r="S70" i="4"/>
  <c r="R70" i="4"/>
  <c r="Q70" i="4"/>
  <c r="P70" i="4"/>
  <c r="O70" i="4"/>
  <c r="N70" i="4"/>
  <c r="L70" i="4" s="1"/>
  <c r="M70" i="4"/>
  <c r="V69" i="4"/>
  <c r="U69" i="4"/>
  <c r="T69" i="4"/>
  <c r="S69" i="4"/>
  <c r="R69" i="4"/>
  <c r="Q69" i="4"/>
  <c r="P69" i="4"/>
  <c r="O69" i="4"/>
  <c r="N69" i="4"/>
  <c r="L69" i="4" s="1"/>
  <c r="M69" i="4"/>
  <c r="V68" i="4"/>
  <c r="U68" i="4"/>
  <c r="T68" i="4"/>
  <c r="S68" i="4"/>
  <c r="R68" i="4"/>
  <c r="Q68" i="4"/>
  <c r="P68" i="4"/>
  <c r="O68" i="4"/>
  <c r="N68" i="4"/>
  <c r="L68" i="4" s="1"/>
  <c r="M68" i="4"/>
  <c r="V67" i="4"/>
  <c r="U67" i="4"/>
  <c r="T67" i="4"/>
  <c r="S67" i="4"/>
  <c r="R67" i="4"/>
  <c r="Q67" i="4"/>
  <c r="P67" i="4"/>
  <c r="O67" i="4"/>
  <c r="N67" i="4"/>
  <c r="L67" i="4" s="1"/>
  <c r="M67" i="4"/>
  <c r="V66" i="4"/>
  <c r="U66" i="4"/>
  <c r="T66" i="4"/>
  <c r="S66" i="4"/>
  <c r="R66" i="4"/>
  <c r="Q66" i="4"/>
  <c r="P66" i="4"/>
  <c r="O66" i="4"/>
  <c r="N66" i="4"/>
  <c r="L66" i="4" s="1"/>
  <c r="M66" i="4"/>
  <c r="V65" i="4"/>
  <c r="U65" i="4"/>
  <c r="T65" i="4"/>
  <c r="S65" i="4"/>
  <c r="R65" i="4"/>
  <c r="Q65" i="4"/>
  <c r="P65" i="4"/>
  <c r="O65" i="4"/>
  <c r="N65" i="4"/>
  <c r="L65" i="4" s="1"/>
  <c r="M65" i="4"/>
  <c r="V64" i="4"/>
  <c r="U64" i="4"/>
  <c r="T64" i="4"/>
  <c r="S64" i="4"/>
  <c r="R64" i="4"/>
  <c r="Q64" i="4"/>
  <c r="P64" i="4"/>
  <c r="O64" i="4"/>
  <c r="N64" i="4"/>
  <c r="M64" i="4"/>
  <c r="V63" i="4"/>
  <c r="U63" i="4"/>
  <c r="T63" i="4"/>
  <c r="S63" i="4"/>
  <c r="R63" i="4"/>
  <c r="Q63" i="4"/>
  <c r="P63" i="4"/>
  <c r="O63" i="4"/>
  <c r="N63" i="4"/>
  <c r="L63" i="4" s="1"/>
  <c r="M63" i="4"/>
  <c r="V62" i="4"/>
  <c r="U62" i="4"/>
  <c r="T62" i="4"/>
  <c r="S62" i="4"/>
  <c r="R62" i="4"/>
  <c r="Q62" i="4"/>
  <c r="P62" i="4"/>
  <c r="O62" i="4"/>
  <c r="N62" i="4"/>
  <c r="L62" i="4" s="1"/>
  <c r="M62" i="4"/>
  <c r="V61" i="4"/>
  <c r="U61" i="4"/>
  <c r="T61" i="4"/>
  <c r="S61" i="4"/>
  <c r="R61" i="4"/>
  <c r="Q61" i="4"/>
  <c r="P61" i="4"/>
  <c r="O61" i="4"/>
  <c r="N61" i="4"/>
  <c r="M61" i="4"/>
  <c r="V60" i="4"/>
  <c r="U60" i="4"/>
  <c r="T60" i="4"/>
  <c r="S60" i="4"/>
  <c r="R60" i="4"/>
  <c r="Q60" i="4"/>
  <c r="P60" i="4"/>
  <c r="O60" i="4"/>
  <c r="N60" i="4"/>
  <c r="M60" i="4"/>
  <c r="V59" i="4"/>
  <c r="U59" i="4"/>
  <c r="T59" i="4"/>
  <c r="S59" i="4"/>
  <c r="R59" i="4"/>
  <c r="Q59" i="4"/>
  <c r="P59" i="4"/>
  <c r="O59" i="4"/>
  <c r="N59" i="4"/>
  <c r="M59" i="4"/>
  <c r="V58" i="4"/>
  <c r="U58" i="4"/>
  <c r="T58" i="4"/>
  <c r="S58" i="4"/>
  <c r="R58" i="4"/>
  <c r="Q58" i="4"/>
  <c r="P58" i="4"/>
  <c r="O58" i="4"/>
  <c r="N58" i="4"/>
  <c r="M58" i="4"/>
  <c r="V57" i="4"/>
  <c r="U57" i="4"/>
  <c r="T57" i="4"/>
  <c r="S57" i="4"/>
  <c r="R57" i="4"/>
  <c r="Q57" i="4"/>
  <c r="P57" i="4"/>
  <c r="O57" i="4"/>
  <c r="N57" i="4"/>
  <c r="L57" i="4" s="1"/>
  <c r="M57" i="4"/>
  <c r="V56" i="4"/>
  <c r="U56" i="4"/>
  <c r="T56" i="4"/>
  <c r="S56" i="4"/>
  <c r="R56" i="4"/>
  <c r="Q56" i="4"/>
  <c r="P56" i="4"/>
  <c r="O56" i="4"/>
  <c r="N56" i="4"/>
  <c r="L56" i="4" s="1"/>
  <c r="M56" i="4"/>
  <c r="V55" i="4"/>
  <c r="U55" i="4"/>
  <c r="T55" i="4"/>
  <c r="S55" i="4"/>
  <c r="R55" i="4"/>
  <c r="Q55" i="4"/>
  <c r="P55" i="4"/>
  <c r="O55" i="4"/>
  <c r="N55" i="4"/>
  <c r="M55" i="4"/>
  <c r="V54" i="4"/>
  <c r="U54" i="4"/>
  <c r="T54" i="4"/>
  <c r="S54" i="4"/>
  <c r="R54" i="4"/>
  <c r="Q54" i="4"/>
  <c r="P54" i="4"/>
  <c r="O54" i="4"/>
  <c r="N54" i="4"/>
  <c r="M54" i="4"/>
  <c r="V53" i="4"/>
  <c r="U53" i="4"/>
  <c r="T53" i="4"/>
  <c r="S53" i="4"/>
  <c r="R53" i="4"/>
  <c r="Q53" i="4"/>
  <c r="P53" i="4"/>
  <c r="O53" i="4"/>
  <c r="N53" i="4"/>
  <c r="M53" i="4"/>
  <c r="V52" i="4"/>
  <c r="U52" i="4"/>
  <c r="T52" i="4"/>
  <c r="S52" i="4"/>
  <c r="R52" i="4"/>
  <c r="Q52" i="4"/>
  <c r="P52" i="4"/>
  <c r="O52" i="4"/>
  <c r="N52" i="4"/>
  <c r="M52" i="4"/>
  <c r="V51" i="4"/>
  <c r="U51" i="4"/>
  <c r="T51" i="4"/>
  <c r="S51" i="4"/>
  <c r="R51" i="4"/>
  <c r="Q51" i="4"/>
  <c r="P51" i="4"/>
  <c r="O51" i="4"/>
  <c r="N51" i="4"/>
  <c r="M51" i="4"/>
  <c r="V50" i="4"/>
  <c r="U50" i="4"/>
  <c r="T50" i="4"/>
  <c r="S50" i="4"/>
  <c r="R50" i="4"/>
  <c r="Q50" i="4"/>
  <c r="P50" i="4"/>
  <c r="O50" i="4"/>
  <c r="N50" i="4"/>
  <c r="L50" i="4" s="1"/>
  <c r="M50" i="4"/>
  <c r="V49" i="4"/>
  <c r="U49" i="4"/>
  <c r="T49" i="4"/>
  <c r="S49" i="4"/>
  <c r="R49" i="4"/>
  <c r="Q49" i="4"/>
  <c r="P49" i="4"/>
  <c r="O49" i="4"/>
  <c r="N49" i="4"/>
  <c r="M49" i="4"/>
  <c r="V48" i="4"/>
  <c r="U48" i="4"/>
  <c r="T48" i="4"/>
  <c r="S48" i="4"/>
  <c r="R48" i="4"/>
  <c r="Q48" i="4"/>
  <c r="P48" i="4"/>
  <c r="O48" i="4"/>
  <c r="N48" i="4"/>
  <c r="L48" i="4" s="1"/>
  <c r="M48" i="4"/>
  <c r="V47" i="4"/>
  <c r="U47" i="4"/>
  <c r="T47" i="4"/>
  <c r="S47" i="4"/>
  <c r="R47" i="4"/>
  <c r="Q47" i="4"/>
  <c r="P47" i="4"/>
  <c r="O47" i="4"/>
  <c r="N47" i="4"/>
  <c r="M47" i="4"/>
  <c r="V46" i="4"/>
  <c r="U46" i="4"/>
  <c r="T46" i="4"/>
  <c r="S46" i="4"/>
  <c r="R46" i="4"/>
  <c r="Q46" i="4"/>
  <c r="P46" i="4"/>
  <c r="O46" i="4"/>
  <c r="N46" i="4"/>
  <c r="M46" i="4"/>
  <c r="V45" i="4"/>
  <c r="U45" i="4"/>
  <c r="T45" i="4"/>
  <c r="S45" i="4"/>
  <c r="R45" i="4"/>
  <c r="Q45" i="4"/>
  <c r="P45" i="4"/>
  <c r="O45" i="4"/>
  <c r="N45" i="4"/>
  <c r="M45" i="4"/>
  <c r="V44" i="4"/>
  <c r="U44" i="4"/>
  <c r="T44" i="4"/>
  <c r="S44" i="4"/>
  <c r="R44" i="4"/>
  <c r="Q44" i="4"/>
  <c r="P44" i="4"/>
  <c r="O44" i="4"/>
  <c r="N44" i="4"/>
  <c r="M44" i="4"/>
  <c r="V43" i="4"/>
  <c r="U43" i="4"/>
  <c r="T43" i="4"/>
  <c r="S43" i="4"/>
  <c r="R43" i="4"/>
  <c r="Q43" i="4"/>
  <c r="P43" i="4"/>
  <c r="O43" i="4"/>
  <c r="N43" i="4"/>
  <c r="M43" i="4"/>
  <c r="V42" i="4"/>
  <c r="U42" i="4"/>
  <c r="T42" i="4"/>
  <c r="S42" i="4"/>
  <c r="R42" i="4"/>
  <c r="Q42" i="4"/>
  <c r="P42" i="4"/>
  <c r="O42" i="4"/>
  <c r="N42" i="4"/>
  <c r="L42" i="4" s="1"/>
  <c r="M42" i="4"/>
  <c r="V41" i="4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L40" i="4" s="1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V34" i="4"/>
  <c r="U34" i="4"/>
  <c r="T34" i="4"/>
  <c r="S34" i="4"/>
  <c r="R34" i="4"/>
  <c r="Q34" i="4"/>
  <c r="P34" i="4"/>
  <c r="O34" i="4"/>
  <c r="N34" i="4"/>
  <c r="L34" i="4" s="1"/>
  <c r="M34" i="4"/>
  <c r="V33" i="4"/>
  <c r="U33" i="4"/>
  <c r="T33" i="4"/>
  <c r="S33" i="4"/>
  <c r="R33" i="4"/>
  <c r="Q33" i="4"/>
  <c r="P33" i="4"/>
  <c r="O33" i="4"/>
  <c r="N33" i="4"/>
  <c r="M33" i="4"/>
  <c r="V32" i="4"/>
  <c r="U32" i="4"/>
  <c r="T32" i="4"/>
  <c r="S32" i="4"/>
  <c r="R32" i="4"/>
  <c r="Q32" i="4"/>
  <c r="P32" i="4"/>
  <c r="O32" i="4"/>
  <c r="N32" i="4"/>
  <c r="L32" i="4" s="1"/>
  <c r="M32" i="4"/>
  <c r="V31" i="4"/>
  <c r="U31" i="4"/>
  <c r="T31" i="4"/>
  <c r="S31" i="4"/>
  <c r="R31" i="4"/>
  <c r="Q31" i="4"/>
  <c r="P31" i="4"/>
  <c r="O31" i="4"/>
  <c r="N31" i="4"/>
  <c r="M31" i="4"/>
  <c r="V30" i="4"/>
  <c r="U30" i="4"/>
  <c r="T30" i="4"/>
  <c r="S30" i="4"/>
  <c r="R30" i="4"/>
  <c r="Q30" i="4"/>
  <c r="P30" i="4"/>
  <c r="O30" i="4"/>
  <c r="N30" i="4"/>
  <c r="M30" i="4"/>
  <c r="V29" i="4"/>
  <c r="U29" i="4"/>
  <c r="T29" i="4"/>
  <c r="S29" i="4"/>
  <c r="R29" i="4"/>
  <c r="Q29" i="4"/>
  <c r="P29" i="4"/>
  <c r="O29" i="4"/>
  <c r="N29" i="4"/>
  <c r="M29" i="4"/>
  <c r="V28" i="4"/>
  <c r="U28" i="4"/>
  <c r="T28" i="4"/>
  <c r="S28" i="4"/>
  <c r="R28" i="4"/>
  <c r="Q28" i="4"/>
  <c r="P28" i="4"/>
  <c r="O28" i="4"/>
  <c r="N28" i="4"/>
  <c r="M28" i="4"/>
  <c r="V27" i="4"/>
  <c r="U27" i="4"/>
  <c r="T27" i="4"/>
  <c r="S27" i="4"/>
  <c r="R27" i="4"/>
  <c r="Q27" i="4"/>
  <c r="P27" i="4"/>
  <c r="O27" i="4"/>
  <c r="N27" i="4"/>
  <c r="M27" i="4"/>
  <c r="V26" i="4"/>
  <c r="U26" i="4"/>
  <c r="T26" i="4"/>
  <c r="S26" i="4"/>
  <c r="R26" i="4"/>
  <c r="Q26" i="4"/>
  <c r="P26" i="4"/>
  <c r="O26" i="4"/>
  <c r="N26" i="4"/>
  <c r="L26" i="4" s="1"/>
  <c r="M26" i="4"/>
  <c r="V25" i="4"/>
  <c r="U25" i="4"/>
  <c r="T25" i="4"/>
  <c r="S25" i="4"/>
  <c r="R25" i="4"/>
  <c r="Q25" i="4"/>
  <c r="P25" i="4"/>
  <c r="O25" i="4"/>
  <c r="N25" i="4"/>
  <c r="M25" i="4"/>
  <c r="V24" i="4"/>
  <c r="U24" i="4"/>
  <c r="T24" i="4"/>
  <c r="S24" i="4"/>
  <c r="R24" i="4"/>
  <c r="Q24" i="4"/>
  <c r="P24" i="4"/>
  <c r="O24" i="4"/>
  <c r="N24" i="4"/>
  <c r="L24" i="4" s="1"/>
  <c r="M24" i="4"/>
  <c r="V23" i="4"/>
  <c r="U23" i="4"/>
  <c r="T23" i="4"/>
  <c r="S23" i="4"/>
  <c r="R23" i="4"/>
  <c r="Q23" i="4"/>
  <c r="P23" i="4"/>
  <c r="O23" i="4"/>
  <c r="N23" i="4"/>
  <c r="M23" i="4"/>
  <c r="V22" i="4"/>
  <c r="U22" i="4"/>
  <c r="T22" i="4"/>
  <c r="S22" i="4"/>
  <c r="R22" i="4"/>
  <c r="Q22" i="4"/>
  <c r="P22" i="4"/>
  <c r="O22" i="4"/>
  <c r="N22" i="4"/>
  <c r="M22" i="4"/>
  <c r="V21" i="4"/>
  <c r="U21" i="4"/>
  <c r="T21" i="4"/>
  <c r="S21" i="4"/>
  <c r="R21" i="4"/>
  <c r="Q21" i="4"/>
  <c r="P21" i="4"/>
  <c r="O21" i="4"/>
  <c r="N21" i="4"/>
  <c r="M21" i="4"/>
  <c r="V20" i="4"/>
  <c r="U20" i="4"/>
  <c r="T20" i="4"/>
  <c r="S20" i="4"/>
  <c r="R20" i="4"/>
  <c r="Q20" i="4"/>
  <c r="P20" i="4"/>
  <c r="O20" i="4"/>
  <c r="N20" i="4"/>
  <c r="M20" i="4"/>
  <c r="V19" i="4"/>
  <c r="U19" i="4"/>
  <c r="T19" i="4"/>
  <c r="S19" i="4"/>
  <c r="R19" i="4"/>
  <c r="Q19" i="4"/>
  <c r="P19" i="4"/>
  <c r="O19" i="4"/>
  <c r="N19" i="4"/>
  <c r="M19" i="4"/>
  <c r="V18" i="4"/>
  <c r="U18" i="4"/>
  <c r="T18" i="4"/>
  <c r="S18" i="4"/>
  <c r="R18" i="4"/>
  <c r="Q18" i="4"/>
  <c r="P18" i="4"/>
  <c r="O18" i="4"/>
  <c r="N18" i="4"/>
  <c r="L18" i="4" s="1"/>
  <c r="M18" i="4"/>
  <c r="V17" i="4"/>
  <c r="U17" i="4"/>
  <c r="T17" i="4"/>
  <c r="S17" i="4"/>
  <c r="R17" i="4"/>
  <c r="Q17" i="4"/>
  <c r="P17" i="4"/>
  <c r="O17" i="4"/>
  <c r="N17" i="4"/>
  <c r="M17" i="4"/>
  <c r="V16" i="4"/>
  <c r="U16" i="4"/>
  <c r="T16" i="4"/>
  <c r="S16" i="4"/>
  <c r="R16" i="4"/>
  <c r="Q16" i="4"/>
  <c r="P16" i="4"/>
  <c r="O16" i="4"/>
  <c r="N16" i="4"/>
  <c r="L16" i="4" s="1"/>
  <c r="M16" i="4"/>
  <c r="V15" i="4"/>
  <c r="U15" i="4"/>
  <c r="T15" i="4"/>
  <c r="S15" i="4"/>
  <c r="R15" i="4"/>
  <c r="Q15" i="4"/>
  <c r="P15" i="4"/>
  <c r="O15" i="4"/>
  <c r="N15" i="4"/>
  <c r="M15" i="4"/>
  <c r="V14" i="4"/>
  <c r="U14" i="4"/>
  <c r="T14" i="4"/>
  <c r="S14" i="4"/>
  <c r="R14" i="4"/>
  <c r="Q14" i="4"/>
  <c r="P14" i="4"/>
  <c r="O14" i="4"/>
  <c r="N14" i="4"/>
  <c r="M14" i="4"/>
  <c r="V13" i="4"/>
  <c r="U13" i="4"/>
  <c r="T13" i="4"/>
  <c r="S13" i="4"/>
  <c r="R13" i="4"/>
  <c r="Q13" i="4"/>
  <c r="P13" i="4"/>
  <c r="O13" i="4"/>
  <c r="N13" i="4"/>
  <c r="M13" i="4"/>
  <c r="V12" i="4"/>
  <c r="U12" i="4"/>
  <c r="T12" i="4"/>
  <c r="S12" i="4"/>
  <c r="R12" i="4"/>
  <c r="Q12" i="4"/>
  <c r="P12" i="4"/>
  <c r="O12" i="4"/>
  <c r="N12" i="4"/>
  <c r="M12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L10" i="4" s="1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L8" i="4" s="1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V3" i="4"/>
  <c r="U3" i="4"/>
  <c r="T3" i="4"/>
  <c r="S3" i="4"/>
  <c r="R3" i="4"/>
  <c r="Q3" i="4"/>
  <c r="P3" i="4"/>
  <c r="O3" i="4"/>
  <c r="N3" i="4"/>
  <c r="M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V2" i="4"/>
  <c r="U2" i="4"/>
  <c r="T2" i="4"/>
  <c r="S2" i="4"/>
  <c r="R2" i="4"/>
  <c r="Q2" i="4"/>
  <c r="P2" i="4"/>
  <c r="O2" i="4"/>
  <c r="N2" i="4"/>
  <c r="L2" i="4" s="1"/>
  <c r="M2" i="4"/>
  <c r="U210" i="3"/>
  <c r="T210" i="3"/>
  <c r="S210" i="3"/>
  <c r="R210" i="3"/>
  <c r="Q210" i="3"/>
  <c r="P210" i="3"/>
  <c r="O210" i="3"/>
  <c r="L210" i="3" s="1"/>
  <c r="N210" i="3"/>
  <c r="M210" i="3"/>
  <c r="U209" i="3"/>
  <c r="T209" i="3"/>
  <c r="S209" i="3"/>
  <c r="R209" i="3"/>
  <c r="Q209" i="3"/>
  <c r="P209" i="3"/>
  <c r="O209" i="3"/>
  <c r="N209" i="3"/>
  <c r="M209" i="3"/>
  <c r="L209" i="3"/>
  <c r="U208" i="3"/>
  <c r="T208" i="3"/>
  <c r="S208" i="3"/>
  <c r="R208" i="3"/>
  <c r="Q208" i="3"/>
  <c r="P208" i="3"/>
  <c r="O208" i="3"/>
  <c r="N208" i="3"/>
  <c r="M208" i="3"/>
  <c r="U207" i="3"/>
  <c r="T207" i="3"/>
  <c r="S207" i="3"/>
  <c r="R207" i="3"/>
  <c r="Q207" i="3"/>
  <c r="P207" i="3"/>
  <c r="L207" i="3" s="1"/>
  <c r="O207" i="3"/>
  <c r="N207" i="3"/>
  <c r="M207" i="3"/>
  <c r="U206" i="3"/>
  <c r="T206" i="3"/>
  <c r="S206" i="3"/>
  <c r="R206" i="3"/>
  <c r="Q206" i="3"/>
  <c r="L206" i="3" s="1"/>
  <c r="P206" i="3"/>
  <c r="O206" i="3"/>
  <c r="N206" i="3"/>
  <c r="M206" i="3"/>
  <c r="U205" i="3"/>
  <c r="T205" i="3"/>
  <c r="S205" i="3"/>
  <c r="R205" i="3"/>
  <c r="Q205" i="3"/>
  <c r="P205" i="3"/>
  <c r="O205" i="3"/>
  <c r="N205" i="3"/>
  <c r="L205" i="3" s="1"/>
  <c r="M205" i="3"/>
  <c r="U204" i="3"/>
  <c r="T204" i="3"/>
  <c r="S204" i="3"/>
  <c r="R204" i="3"/>
  <c r="Q204" i="3"/>
  <c r="P204" i="3"/>
  <c r="O204" i="3"/>
  <c r="N204" i="3"/>
  <c r="M204" i="3"/>
  <c r="U203" i="3"/>
  <c r="T203" i="3"/>
  <c r="S203" i="3"/>
  <c r="R203" i="3"/>
  <c r="Q203" i="3"/>
  <c r="L203" i="3" s="1"/>
  <c r="P203" i="3"/>
  <c r="O203" i="3"/>
  <c r="N203" i="3"/>
  <c r="M203" i="3"/>
  <c r="U202" i="3"/>
  <c r="T202" i="3"/>
  <c r="S202" i="3"/>
  <c r="L202" i="3" s="1"/>
  <c r="R202" i="3"/>
  <c r="Q202" i="3"/>
  <c r="P202" i="3"/>
  <c r="O202" i="3"/>
  <c r="N202" i="3"/>
  <c r="M202" i="3"/>
  <c r="U201" i="3"/>
  <c r="T201" i="3"/>
  <c r="S201" i="3"/>
  <c r="R201" i="3"/>
  <c r="Q201" i="3"/>
  <c r="P201" i="3"/>
  <c r="O201" i="3"/>
  <c r="N201" i="3"/>
  <c r="L201" i="3" s="1"/>
  <c r="M201" i="3"/>
  <c r="U200" i="3"/>
  <c r="T200" i="3"/>
  <c r="S200" i="3"/>
  <c r="R200" i="3"/>
  <c r="Q200" i="3"/>
  <c r="P200" i="3"/>
  <c r="O200" i="3"/>
  <c r="N200" i="3"/>
  <c r="M200" i="3"/>
  <c r="U199" i="3"/>
  <c r="T199" i="3"/>
  <c r="S199" i="3"/>
  <c r="R199" i="3"/>
  <c r="Q199" i="3"/>
  <c r="P199" i="3"/>
  <c r="O199" i="3"/>
  <c r="N199" i="3"/>
  <c r="L199" i="3" s="1"/>
  <c r="M199" i="3"/>
  <c r="U198" i="3"/>
  <c r="T198" i="3"/>
  <c r="S198" i="3"/>
  <c r="R198" i="3"/>
  <c r="Q198" i="3"/>
  <c r="P198" i="3"/>
  <c r="O198" i="3"/>
  <c r="L198" i="3" s="1"/>
  <c r="N198" i="3"/>
  <c r="M198" i="3"/>
  <c r="U197" i="3"/>
  <c r="T197" i="3"/>
  <c r="S197" i="3"/>
  <c r="R197" i="3"/>
  <c r="Q197" i="3"/>
  <c r="P197" i="3"/>
  <c r="L197" i="3" s="1"/>
  <c r="O197" i="3"/>
  <c r="N197" i="3"/>
  <c r="M197" i="3"/>
  <c r="U196" i="3"/>
  <c r="T196" i="3"/>
  <c r="S196" i="3"/>
  <c r="R196" i="3"/>
  <c r="Q196" i="3"/>
  <c r="P196" i="3"/>
  <c r="O196" i="3"/>
  <c r="N196" i="3"/>
  <c r="M196" i="3"/>
  <c r="U195" i="3"/>
  <c r="T195" i="3"/>
  <c r="S195" i="3"/>
  <c r="R195" i="3"/>
  <c r="Q195" i="3"/>
  <c r="P195" i="3"/>
  <c r="O195" i="3"/>
  <c r="N195" i="3"/>
  <c r="L195" i="3" s="1"/>
  <c r="M195" i="3"/>
  <c r="U194" i="3"/>
  <c r="T194" i="3"/>
  <c r="S194" i="3"/>
  <c r="R194" i="3"/>
  <c r="Q194" i="3"/>
  <c r="P194" i="3"/>
  <c r="O194" i="3"/>
  <c r="L194" i="3" s="1"/>
  <c r="N194" i="3"/>
  <c r="M194" i="3"/>
  <c r="U193" i="3"/>
  <c r="T193" i="3"/>
  <c r="S193" i="3"/>
  <c r="R193" i="3"/>
  <c r="Q193" i="3"/>
  <c r="P193" i="3"/>
  <c r="O193" i="3"/>
  <c r="N193" i="3"/>
  <c r="M193" i="3"/>
  <c r="L193" i="3"/>
  <c r="U192" i="3"/>
  <c r="T192" i="3"/>
  <c r="S192" i="3"/>
  <c r="R192" i="3"/>
  <c r="Q192" i="3"/>
  <c r="P192" i="3"/>
  <c r="O192" i="3"/>
  <c r="N192" i="3"/>
  <c r="M192" i="3"/>
  <c r="U191" i="3"/>
  <c r="T191" i="3"/>
  <c r="S191" i="3"/>
  <c r="R191" i="3"/>
  <c r="Q191" i="3"/>
  <c r="P191" i="3"/>
  <c r="L191" i="3" s="1"/>
  <c r="O191" i="3"/>
  <c r="N191" i="3"/>
  <c r="M191" i="3"/>
  <c r="U190" i="3"/>
  <c r="T190" i="3"/>
  <c r="S190" i="3"/>
  <c r="R190" i="3"/>
  <c r="Q190" i="3"/>
  <c r="L190" i="3" s="1"/>
  <c r="P190" i="3"/>
  <c r="O190" i="3"/>
  <c r="N190" i="3"/>
  <c r="M190" i="3"/>
  <c r="U189" i="3"/>
  <c r="T189" i="3"/>
  <c r="S189" i="3"/>
  <c r="R189" i="3"/>
  <c r="Q189" i="3"/>
  <c r="P189" i="3"/>
  <c r="O189" i="3"/>
  <c r="N189" i="3"/>
  <c r="L189" i="3" s="1"/>
  <c r="M189" i="3"/>
  <c r="U188" i="3"/>
  <c r="T188" i="3"/>
  <c r="S188" i="3"/>
  <c r="R188" i="3"/>
  <c r="Q188" i="3"/>
  <c r="P188" i="3"/>
  <c r="O188" i="3"/>
  <c r="N188" i="3"/>
  <c r="M188" i="3"/>
  <c r="U187" i="3"/>
  <c r="T187" i="3"/>
  <c r="S187" i="3"/>
  <c r="R187" i="3"/>
  <c r="Q187" i="3"/>
  <c r="L187" i="3" s="1"/>
  <c r="P187" i="3"/>
  <c r="O187" i="3"/>
  <c r="N187" i="3"/>
  <c r="M187" i="3"/>
  <c r="U186" i="3"/>
  <c r="T186" i="3"/>
  <c r="S186" i="3"/>
  <c r="L186" i="3" s="1"/>
  <c r="R186" i="3"/>
  <c r="Q186" i="3"/>
  <c r="P186" i="3"/>
  <c r="O186" i="3"/>
  <c r="N186" i="3"/>
  <c r="M186" i="3"/>
  <c r="U185" i="3"/>
  <c r="T185" i="3"/>
  <c r="S185" i="3"/>
  <c r="R185" i="3"/>
  <c r="Q185" i="3"/>
  <c r="P185" i="3"/>
  <c r="O185" i="3"/>
  <c r="N185" i="3"/>
  <c r="L185" i="3" s="1"/>
  <c r="M185" i="3"/>
  <c r="U184" i="3"/>
  <c r="T184" i="3"/>
  <c r="S184" i="3"/>
  <c r="R184" i="3"/>
  <c r="Q184" i="3"/>
  <c r="P184" i="3"/>
  <c r="O184" i="3"/>
  <c r="N184" i="3"/>
  <c r="M184" i="3"/>
  <c r="U183" i="3"/>
  <c r="T183" i="3"/>
  <c r="S183" i="3"/>
  <c r="R183" i="3"/>
  <c r="Q183" i="3"/>
  <c r="P183" i="3"/>
  <c r="O183" i="3"/>
  <c r="N183" i="3"/>
  <c r="L183" i="3" s="1"/>
  <c r="M183" i="3"/>
  <c r="U182" i="3"/>
  <c r="T182" i="3"/>
  <c r="S182" i="3"/>
  <c r="R182" i="3"/>
  <c r="Q182" i="3"/>
  <c r="P182" i="3"/>
  <c r="O182" i="3"/>
  <c r="L182" i="3" s="1"/>
  <c r="N182" i="3"/>
  <c r="M182" i="3"/>
  <c r="U181" i="3"/>
  <c r="T181" i="3"/>
  <c r="S181" i="3"/>
  <c r="R181" i="3"/>
  <c r="Q181" i="3"/>
  <c r="P181" i="3"/>
  <c r="L181" i="3" s="1"/>
  <c r="O181" i="3"/>
  <c r="N181" i="3"/>
  <c r="M181" i="3"/>
  <c r="U180" i="3"/>
  <c r="T180" i="3"/>
  <c r="S180" i="3"/>
  <c r="R180" i="3"/>
  <c r="Q180" i="3"/>
  <c r="P180" i="3"/>
  <c r="O180" i="3"/>
  <c r="N180" i="3"/>
  <c r="M180" i="3"/>
  <c r="U179" i="3"/>
  <c r="T179" i="3"/>
  <c r="S179" i="3"/>
  <c r="R179" i="3"/>
  <c r="Q179" i="3"/>
  <c r="P179" i="3"/>
  <c r="O179" i="3"/>
  <c r="N179" i="3"/>
  <c r="L179" i="3" s="1"/>
  <c r="M179" i="3"/>
  <c r="U178" i="3"/>
  <c r="T178" i="3"/>
  <c r="S178" i="3"/>
  <c r="R178" i="3"/>
  <c r="Q178" i="3"/>
  <c r="P178" i="3"/>
  <c r="L178" i="3" s="1"/>
  <c r="O178" i="3"/>
  <c r="N178" i="3"/>
  <c r="M178" i="3"/>
  <c r="U177" i="3"/>
  <c r="T177" i="3"/>
  <c r="S177" i="3"/>
  <c r="R177" i="3"/>
  <c r="Q177" i="3"/>
  <c r="P177" i="3"/>
  <c r="O177" i="3"/>
  <c r="N177" i="3"/>
  <c r="L177" i="3" s="1"/>
  <c r="M177" i="3"/>
  <c r="U176" i="3"/>
  <c r="T176" i="3"/>
  <c r="S176" i="3"/>
  <c r="R176" i="3"/>
  <c r="Q176" i="3"/>
  <c r="P176" i="3"/>
  <c r="O176" i="3"/>
  <c r="N176" i="3"/>
  <c r="L176" i="3" s="1"/>
  <c r="M176" i="3"/>
  <c r="U175" i="3"/>
  <c r="T175" i="3"/>
  <c r="S175" i="3"/>
  <c r="R175" i="3"/>
  <c r="Q175" i="3"/>
  <c r="L175" i="3" s="1"/>
  <c r="P175" i="3"/>
  <c r="O175" i="3"/>
  <c r="N175" i="3"/>
  <c r="M175" i="3"/>
  <c r="U174" i="3"/>
  <c r="T174" i="3"/>
  <c r="S174" i="3"/>
  <c r="R174" i="3"/>
  <c r="Q174" i="3"/>
  <c r="P174" i="3"/>
  <c r="O174" i="3"/>
  <c r="L174" i="3" s="1"/>
  <c r="N174" i="3"/>
  <c r="M174" i="3"/>
  <c r="U173" i="3"/>
  <c r="T173" i="3"/>
  <c r="S173" i="3"/>
  <c r="R173" i="3"/>
  <c r="Q173" i="3"/>
  <c r="P173" i="3"/>
  <c r="O173" i="3"/>
  <c r="N173" i="3"/>
  <c r="L173" i="3" s="1"/>
  <c r="M173" i="3"/>
  <c r="U172" i="3"/>
  <c r="T172" i="3"/>
  <c r="S172" i="3"/>
  <c r="R172" i="3"/>
  <c r="Q172" i="3"/>
  <c r="P172" i="3"/>
  <c r="O172" i="3"/>
  <c r="N172" i="3"/>
  <c r="M172" i="3"/>
  <c r="U171" i="3"/>
  <c r="T171" i="3"/>
  <c r="S171" i="3"/>
  <c r="R171" i="3"/>
  <c r="Q171" i="3"/>
  <c r="P171" i="3"/>
  <c r="O171" i="3"/>
  <c r="N171" i="3"/>
  <c r="L171" i="3" s="1"/>
  <c r="M171" i="3"/>
  <c r="U170" i="3"/>
  <c r="T170" i="3"/>
  <c r="S170" i="3"/>
  <c r="R170" i="3"/>
  <c r="Q170" i="3"/>
  <c r="P170" i="3"/>
  <c r="O170" i="3"/>
  <c r="N170" i="3"/>
  <c r="L170" i="3" s="1"/>
  <c r="M170" i="3"/>
  <c r="U169" i="3"/>
  <c r="T169" i="3"/>
  <c r="S169" i="3"/>
  <c r="R169" i="3"/>
  <c r="Q169" i="3"/>
  <c r="L169" i="3" s="1"/>
  <c r="P169" i="3"/>
  <c r="O169" i="3"/>
  <c r="N169" i="3"/>
  <c r="M169" i="3"/>
  <c r="U168" i="3"/>
  <c r="T168" i="3"/>
  <c r="S168" i="3"/>
  <c r="R168" i="3"/>
  <c r="Q168" i="3"/>
  <c r="P168" i="3"/>
  <c r="O168" i="3"/>
  <c r="N168" i="3"/>
  <c r="L168" i="3" s="1"/>
  <c r="M168" i="3"/>
  <c r="U167" i="3"/>
  <c r="T167" i="3"/>
  <c r="S167" i="3"/>
  <c r="R167" i="3"/>
  <c r="Q167" i="3"/>
  <c r="P167" i="3"/>
  <c r="O167" i="3"/>
  <c r="L167" i="3" s="1"/>
  <c r="N167" i="3"/>
  <c r="M167" i="3"/>
  <c r="U166" i="3"/>
  <c r="T166" i="3"/>
  <c r="S166" i="3"/>
  <c r="R166" i="3"/>
  <c r="Q166" i="3"/>
  <c r="L166" i="3" s="1"/>
  <c r="P166" i="3"/>
  <c r="O166" i="3"/>
  <c r="N166" i="3"/>
  <c r="M166" i="3"/>
  <c r="U165" i="3"/>
  <c r="T165" i="3"/>
  <c r="S165" i="3"/>
  <c r="R165" i="3"/>
  <c r="Q165" i="3"/>
  <c r="P165" i="3"/>
  <c r="O165" i="3"/>
  <c r="N165" i="3"/>
  <c r="L165" i="3" s="1"/>
  <c r="M165" i="3"/>
  <c r="U164" i="3"/>
  <c r="T164" i="3"/>
  <c r="S164" i="3"/>
  <c r="R164" i="3"/>
  <c r="Q164" i="3"/>
  <c r="P164" i="3"/>
  <c r="O164" i="3"/>
  <c r="N164" i="3"/>
  <c r="M164" i="3"/>
  <c r="U163" i="3"/>
  <c r="T163" i="3"/>
  <c r="S163" i="3"/>
  <c r="R163" i="3"/>
  <c r="Q163" i="3"/>
  <c r="L163" i="3" s="1"/>
  <c r="P163" i="3"/>
  <c r="O163" i="3"/>
  <c r="N163" i="3"/>
  <c r="M163" i="3"/>
  <c r="U162" i="3"/>
  <c r="T162" i="3"/>
  <c r="S162" i="3"/>
  <c r="R162" i="3"/>
  <c r="Q162" i="3"/>
  <c r="P162" i="3"/>
  <c r="O162" i="3"/>
  <c r="N162" i="3"/>
  <c r="L162" i="3" s="1"/>
  <c r="M162" i="3"/>
  <c r="U161" i="3"/>
  <c r="T161" i="3"/>
  <c r="S161" i="3"/>
  <c r="R161" i="3"/>
  <c r="Q161" i="3"/>
  <c r="P161" i="3"/>
  <c r="O161" i="3"/>
  <c r="L161" i="3" s="1"/>
  <c r="N161" i="3"/>
  <c r="M161" i="3"/>
  <c r="U160" i="3"/>
  <c r="T160" i="3"/>
  <c r="S160" i="3"/>
  <c r="R160" i="3"/>
  <c r="Q160" i="3"/>
  <c r="P160" i="3"/>
  <c r="O160" i="3"/>
  <c r="N160" i="3"/>
  <c r="M160" i="3"/>
  <c r="L160" i="3"/>
  <c r="U159" i="3"/>
  <c r="T159" i="3"/>
  <c r="S159" i="3"/>
  <c r="R159" i="3"/>
  <c r="Q159" i="3"/>
  <c r="P159" i="3"/>
  <c r="O159" i="3"/>
  <c r="N159" i="3"/>
  <c r="L159" i="3" s="1"/>
  <c r="M159" i="3"/>
  <c r="U158" i="3"/>
  <c r="T158" i="3"/>
  <c r="S158" i="3"/>
  <c r="R158" i="3"/>
  <c r="Q158" i="3"/>
  <c r="P158" i="3"/>
  <c r="O158" i="3"/>
  <c r="L158" i="3" s="1"/>
  <c r="N158" i="3"/>
  <c r="M158" i="3"/>
  <c r="U157" i="3"/>
  <c r="T157" i="3"/>
  <c r="S157" i="3"/>
  <c r="R157" i="3"/>
  <c r="Q157" i="3"/>
  <c r="P157" i="3"/>
  <c r="O157" i="3"/>
  <c r="N157" i="3"/>
  <c r="M157" i="3"/>
  <c r="L157" i="3"/>
  <c r="U156" i="3"/>
  <c r="T156" i="3"/>
  <c r="S156" i="3"/>
  <c r="R156" i="3"/>
  <c r="Q156" i="3"/>
  <c r="P156" i="3"/>
  <c r="O156" i="3"/>
  <c r="N156" i="3"/>
  <c r="M156" i="3"/>
  <c r="U155" i="3"/>
  <c r="T155" i="3"/>
  <c r="S155" i="3"/>
  <c r="R155" i="3"/>
  <c r="Q155" i="3"/>
  <c r="P155" i="3"/>
  <c r="L155" i="3" s="1"/>
  <c r="O155" i="3"/>
  <c r="N155" i="3"/>
  <c r="M155" i="3"/>
  <c r="U154" i="3"/>
  <c r="T154" i="3"/>
  <c r="S154" i="3"/>
  <c r="R154" i="3"/>
  <c r="Q154" i="3"/>
  <c r="P154" i="3"/>
  <c r="O154" i="3"/>
  <c r="N154" i="3"/>
  <c r="M154" i="3"/>
  <c r="L154" i="3"/>
  <c r="U153" i="3"/>
  <c r="T153" i="3"/>
  <c r="S153" i="3"/>
  <c r="R153" i="3"/>
  <c r="Q153" i="3"/>
  <c r="P153" i="3"/>
  <c r="O153" i="3"/>
  <c r="N153" i="3"/>
  <c r="L153" i="3" s="1"/>
  <c r="M153" i="3"/>
  <c r="U152" i="3"/>
  <c r="T152" i="3"/>
  <c r="S152" i="3"/>
  <c r="R152" i="3"/>
  <c r="Q152" i="3"/>
  <c r="L152" i="3" s="1"/>
  <c r="P152" i="3"/>
  <c r="O152" i="3"/>
  <c r="N152" i="3"/>
  <c r="M152" i="3"/>
  <c r="U151" i="3"/>
  <c r="T151" i="3"/>
  <c r="S151" i="3"/>
  <c r="R151" i="3"/>
  <c r="Q151" i="3"/>
  <c r="P151" i="3"/>
  <c r="O151" i="3"/>
  <c r="N151" i="3"/>
  <c r="L151" i="3" s="1"/>
  <c r="M151" i="3"/>
  <c r="U150" i="3"/>
  <c r="T150" i="3"/>
  <c r="S150" i="3"/>
  <c r="R150" i="3"/>
  <c r="Q150" i="3"/>
  <c r="P150" i="3"/>
  <c r="O150" i="3"/>
  <c r="L150" i="3" s="1"/>
  <c r="N150" i="3"/>
  <c r="M150" i="3"/>
  <c r="U149" i="3"/>
  <c r="T149" i="3"/>
  <c r="S149" i="3"/>
  <c r="R149" i="3"/>
  <c r="Q149" i="3"/>
  <c r="P149" i="3"/>
  <c r="L149" i="3" s="1"/>
  <c r="O149" i="3"/>
  <c r="N149" i="3"/>
  <c r="M149" i="3"/>
  <c r="U148" i="3"/>
  <c r="T148" i="3"/>
  <c r="S148" i="3"/>
  <c r="R148" i="3"/>
  <c r="Q148" i="3"/>
  <c r="P148" i="3"/>
  <c r="O148" i="3"/>
  <c r="N148" i="3"/>
  <c r="L148" i="3" s="1"/>
  <c r="M148" i="3"/>
  <c r="U147" i="3"/>
  <c r="T147" i="3"/>
  <c r="S147" i="3"/>
  <c r="R147" i="3"/>
  <c r="Q147" i="3"/>
  <c r="P147" i="3"/>
  <c r="O147" i="3"/>
  <c r="N147" i="3"/>
  <c r="L147" i="3" s="1"/>
  <c r="M147" i="3"/>
  <c r="U146" i="3"/>
  <c r="T146" i="3"/>
  <c r="S146" i="3"/>
  <c r="R146" i="3"/>
  <c r="Q146" i="3"/>
  <c r="L146" i="3" s="1"/>
  <c r="P146" i="3"/>
  <c r="O146" i="3"/>
  <c r="N146" i="3"/>
  <c r="M146" i="3"/>
  <c r="U145" i="3"/>
  <c r="T145" i="3"/>
  <c r="S145" i="3"/>
  <c r="R145" i="3"/>
  <c r="Q145" i="3"/>
  <c r="P145" i="3"/>
  <c r="O145" i="3"/>
  <c r="N145" i="3"/>
  <c r="L145" i="3" s="1"/>
  <c r="M145" i="3"/>
  <c r="U144" i="3"/>
  <c r="T144" i="3"/>
  <c r="S144" i="3"/>
  <c r="R144" i="3"/>
  <c r="Q144" i="3"/>
  <c r="P144" i="3"/>
  <c r="O144" i="3"/>
  <c r="L144" i="3" s="1"/>
  <c r="N144" i="3"/>
  <c r="M144" i="3"/>
  <c r="U143" i="3"/>
  <c r="T143" i="3"/>
  <c r="S143" i="3"/>
  <c r="R143" i="3"/>
  <c r="Q143" i="3"/>
  <c r="P143" i="3"/>
  <c r="O143" i="3"/>
  <c r="N143" i="3"/>
  <c r="M143" i="3"/>
  <c r="L143" i="3"/>
  <c r="U142" i="3"/>
  <c r="T142" i="3"/>
  <c r="S142" i="3"/>
  <c r="R142" i="3"/>
  <c r="Q142" i="3"/>
  <c r="P142" i="3"/>
  <c r="O142" i="3"/>
  <c r="N142" i="3"/>
  <c r="L142" i="3" s="1"/>
  <c r="M142" i="3"/>
  <c r="U141" i="3"/>
  <c r="T141" i="3"/>
  <c r="S141" i="3"/>
  <c r="R141" i="3"/>
  <c r="Q141" i="3"/>
  <c r="P141" i="3"/>
  <c r="L141" i="3" s="1"/>
  <c r="O141" i="3"/>
  <c r="N141" i="3"/>
  <c r="M141" i="3"/>
  <c r="U140" i="3"/>
  <c r="T140" i="3"/>
  <c r="S140" i="3"/>
  <c r="R140" i="3"/>
  <c r="Q140" i="3"/>
  <c r="P140" i="3"/>
  <c r="O140" i="3"/>
  <c r="N140" i="3"/>
  <c r="L140" i="3" s="1"/>
  <c r="M140" i="3"/>
  <c r="U139" i="3"/>
  <c r="T139" i="3"/>
  <c r="S139" i="3"/>
  <c r="R139" i="3"/>
  <c r="Q139" i="3"/>
  <c r="P139" i="3"/>
  <c r="O139" i="3"/>
  <c r="N139" i="3"/>
  <c r="L139" i="3" s="1"/>
  <c r="M139" i="3"/>
  <c r="U138" i="3"/>
  <c r="T138" i="3"/>
  <c r="S138" i="3"/>
  <c r="R138" i="3"/>
  <c r="Q138" i="3"/>
  <c r="L138" i="3" s="1"/>
  <c r="P138" i="3"/>
  <c r="O138" i="3"/>
  <c r="N138" i="3"/>
  <c r="M138" i="3"/>
  <c r="U137" i="3"/>
  <c r="T137" i="3"/>
  <c r="S137" i="3"/>
  <c r="R137" i="3"/>
  <c r="Q137" i="3"/>
  <c r="P137" i="3"/>
  <c r="O137" i="3"/>
  <c r="N137" i="3"/>
  <c r="L137" i="3" s="1"/>
  <c r="M137" i="3"/>
  <c r="U136" i="3"/>
  <c r="T136" i="3"/>
  <c r="S136" i="3"/>
  <c r="R136" i="3"/>
  <c r="Q136" i="3"/>
  <c r="P136" i="3"/>
  <c r="O136" i="3"/>
  <c r="L136" i="3" s="1"/>
  <c r="N136" i="3"/>
  <c r="M136" i="3"/>
  <c r="U135" i="3"/>
  <c r="T135" i="3"/>
  <c r="S135" i="3"/>
  <c r="R135" i="3"/>
  <c r="Q135" i="3"/>
  <c r="P135" i="3"/>
  <c r="O135" i="3"/>
  <c r="N135" i="3"/>
  <c r="M135" i="3"/>
  <c r="L135" i="3"/>
  <c r="U134" i="3"/>
  <c r="T134" i="3"/>
  <c r="S134" i="3"/>
  <c r="R134" i="3"/>
  <c r="Q134" i="3"/>
  <c r="P134" i="3"/>
  <c r="O134" i="3"/>
  <c r="N134" i="3"/>
  <c r="L134" i="3" s="1"/>
  <c r="M134" i="3"/>
  <c r="U133" i="3"/>
  <c r="T133" i="3"/>
  <c r="S133" i="3"/>
  <c r="R133" i="3"/>
  <c r="Q133" i="3"/>
  <c r="P133" i="3"/>
  <c r="L133" i="3" s="1"/>
  <c r="O133" i="3"/>
  <c r="N133" i="3"/>
  <c r="M133" i="3"/>
  <c r="U132" i="3"/>
  <c r="T132" i="3"/>
  <c r="S132" i="3"/>
  <c r="R132" i="3"/>
  <c r="Q132" i="3"/>
  <c r="P132" i="3"/>
  <c r="O132" i="3"/>
  <c r="N132" i="3"/>
  <c r="L132" i="3" s="1"/>
  <c r="M132" i="3"/>
  <c r="U131" i="3"/>
  <c r="T131" i="3"/>
  <c r="S131" i="3"/>
  <c r="R131" i="3"/>
  <c r="Q131" i="3"/>
  <c r="P131" i="3"/>
  <c r="O131" i="3"/>
  <c r="N131" i="3"/>
  <c r="L131" i="3" s="1"/>
  <c r="M131" i="3"/>
  <c r="U130" i="3"/>
  <c r="T130" i="3"/>
  <c r="S130" i="3"/>
  <c r="R130" i="3"/>
  <c r="Q130" i="3"/>
  <c r="L130" i="3" s="1"/>
  <c r="P130" i="3"/>
  <c r="O130" i="3"/>
  <c r="N130" i="3"/>
  <c r="M130" i="3"/>
  <c r="U129" i="3"/>
  <c r="T129" i="3"/>
  <c r="S129" i="3"/>
  <c r="R129" i="3"/>
  <c r="Q129" i="3"/>
  <c r="P129" i="3"/>
  <c r="O129" i="3"/>
  <c r="N129" i="3"/>
  <c r="L129" i="3" s="1"/>
  <c r="M129" i="3"/>
  <c r="U128" i="3"/>
  <c r="T128" i="3"/>
  <c r="S128" i="3"/>
  <c r="R128" i="3"/>
  <c r="Q128" i="3"/>
  <c r="P128" i="3"/>
  <c r="O128" i="3"/>
  <c r="N128" i="3"/>
  <c r="L128" i="3" s="1"/>
  <c r="M128" i="3"/>
  <c r="U127" i="3"/>
  <c r="T127" i="3"/>
  <c r="S127" i="3"/>
  <c r="R127" i="3"/>
  <c r="Q127" i="3"/>
  <c r="P127" i="3"/>
  <c r="O127" i="3"/>
  <c r="N127" i="3"/>
  <c r="M127" i="3"/>
  <c r="L127" i="3"/>
  <c r="U126" i="3"/>
  <c r="T126" i="3"/>
  <c r="S126" i="3"/>
  <c r="R126" i="3"/>
  <c r="Q126" i="3"/>
  <c r="P126" i="3"/>
  <c r="O126" i="3"/>
  <c r="N126" i="3"/>
  <c r="L126" i="3" s="1"/>
  <c r="M126" i="3"/>
  <c r="U125" i="3"/>
  <c r="T125" i="3"/>
  <c r="S125" i="3"/>
  <c r="R125" i="3"/>
  <c r="Q125" i="3"/>
  <c r="P125" i="3"/>
  <c r="L125" i="3" s="1"/>
  <c r="O125" i="3"/>
  <c r="N125" i="3"/>
  <c r="M125" i="3"/>
  <c r="U124" i="3"/>
  <c r="T124" i="3"/>
  <c r="S124" i="3"/>
  <c r="R124" i="3"/>
  <c r="Q124" i="3"/>
  <c r="P124" i="3"/>
  <c r="O124" i="3"/>
  <c r="N124" i="3"/>
  <c r="L124" i="3" s="1"/>
  <c r="M124" i="3"/>
  <c r="U123" i="3"/>
  <c r="T123" i="3"/>
  <c r="S123" i="3"/>
  <c r="R123" i="3"/>
  <c r="Q123" i="3"/>
  <c r="P123" i="3"/>
  <c r="O123" i="3"/>
  <c r="N123" i="3"/>
  <c r="L123" i="3" s="1"/>
  <c r="M123" i="3"/>
  <c r="U122" i="3"/>
  <c r="T122" i="3"/>
  <c r="S122" i="3"/>
  <c r="R122" i="3"/>
  <c r="Q122" i="3"/>
  <c r="L122" i="3" s="1"/>
  <c r="P122" i="3"/>
  <c r="O122" i="3"/>
  <c r="N122" i="3"/>
  <c r="M122" i="3"/>
  <c r="U121" i="3"/>
  <c r="T121" i="3"/>
  <c r="S121" i="3"/>
  <c r="R121" i="3"/>
  <c r="Q121" i="3"/>
  <c r="P121" i="3"/>
  <c r="O121" i="3"/>
  <c r="N121" i="3"/>
  <c r="L121" i="3" s="1"/>
  <c r="M121" i="3"/>
  <c r="U120" i="3"/>
  <c r="T120" i="3"/>
  <c r="S120" i="3"/>
  <c r="R120" i="3"/>
  <c r="Q120" i="3"/>
  <c r="P120" i="3"/>
  <c r="O120" i="3"/>
  <c r="N120" i="3"/>
  <c r="L120" i="3" s="1"/>
  <c r="M120" i="3"/>
  <c r="U119" i="3"/>
  <c r="T119" i="3"/>
  <c r="S119" i="3"/>
  <c r="R119" i="3"/>
  <c r="Q119" i="3"/>
  <c r="P119" i="3"/>
  <c r="O119" i="3"/>
  <c r="N119" i="3"/>
  <c r="M119" i="3"/>
  <c r="L119" i="3"/>
  <c r="U118" i="3"/>
  <c r="T118" i="3"/>
  <c r="S118" i="3"/>
  <c r="R118" i="3"/>
  <c r="Q118" i="3"/>
  <c r="P118" i="3"/>
  <c r="O118" i="3"/>
  <c r="N118" i="3"/>
  <c r="L118" i="3" s="1"/>
  <c r="M118" i="3"/>
  <c r="U117" i="3"/>
  <c r="T117" i="3"/>
  <c r="S117" i="3"/>
  <c r="R117" i="3"/>
  <c r="Q117" i="3"/>
  <c r="P117" i="3"/>
  <c r="L117" i="3" s="1"/>
  <c r="O117" i="3"/>
  <c r="N117" i="3"/>
  <c r="M117" i="3"/>
  <c r="U116" i="3"/>
  <c r="T116" i="3"/>
  <c r="S116" i="3"/>
  <c r="R116" i="3"/>
  <c r="Q116" i="3"/>
  <c r="P116" i="3"/>
  <c r="O116" i="3"/>
  <c r="N116" i="3"/>
  <c r="L116" i="3" s="1"/>
  <c r="M116" i="3"/>
  <c r="U115" i="3"/>
  <c r="T115" i="3"/>
  <c r="S115" i="3"/>
  <c r="R115" i="3"/>
  <c r="Q115" i="3"/>
  <c r="P115" i="3"/>
  <c r="O115" i="3"/>
  <c r="N115" i="3"/>
  <c r="L115" i="3" s="1"/>
  <c r="M115" i="3"/>
  <c r="U114" i="3"/>
  <c r="T114" i="3"/>
  <c r="S114" i="3"/>
  <c r="R114" i="3"/>
  <c r="Q114" i="3"/>
  <c r="L114" i="3" s="1"/>
  <c r="P114" i="3"/>
  <c r="O114" i="3"/>
  <c r="N114" i="3"/>
  <c r="M114" i="3"/>
  <c r="U113" i="3"/>
  <c r="T113" i="3"/>
  <c r="S113" i="3"/>
  <c r="R113" i="3"/>
  <c r="Q113" i="3"/>
  <c r="P113" i="3"/>
  <c r="O113" i="3"/>
  <c r="N113" i="3"/>
  <c r="L113" i="3" s="1"/>
  <c r="M113" i="3"/>
  <c r="U112" i="3"/>
  <c r="T112" i="3"/>
  <c r="S112" i="3"/>
  <c r="R112" i="3"/>
  <c r="Q112" i="3"/>
  <c r="P112" i="3"/>
  <c r="O112" i="3"/>
  <c r="N112" i="3"/>
  <c r="L112" i="3" s="1"/>
  <c r="M112" i="3"/>
  <c r="U111" i="3"/>
  <c r="T111" i="3"/>
  <c r="S111" i="3"/>
  <c r="R111" i="3"/>
  <c r="Q111" i="3"/>
  <c r="P111" i="3"/>
  <c r="O111" i="3"/>
  <c r="N111" i="3"/>
  <c r="M111" i="3"/>
  <c r="L111" i="3"/>
  <c r="U110" i="3"/>
  <c r="T110" i="3"/>
  <c r="S110" i="3"/>
  <c r="R110" i="3"/>
  <c r="Q110" i="3"/>
  <c r="P110" i="3"/>
  <c r="O110" i="3"/>
  <c r="N110" i="3"/>
  <c r="L110" i="3" s="1"/>
  <c r="M110" i="3"/>
  <c r="U109" i="3"/>
  <c r="T109" i="3"/>
  <c r="S109" i="3"/>
  <c r="R109" i="3"/>
  <c r="Q109" i="3"/>
  <c r="P109" i="3"/>
  <c r="L109" i="3" s="1"/>
  <c r="O109" i="3"/>
  <c r="N109" i="3"/>
  <c r="M109" i="3"/>
  <c r="U108" i="3"/>
  <c r="T108" i="3"/>
  <c r="S108" i="3"/>
  <c r="R108" i="3"/>
  <c r="Q108" i="3"/>
  <c r="P108" i="3"/>
  <c r="O108" i="3"/>
  <c r="N108" i="3"/>
  <c r="L108" i="3" s="1"/>
  <c r="M108" i="3"/>
  <c r="U107" i="3"/>
  <c r="T107" i="3"/>
  <c r="S107" i="3"/>
  <c r="R107" i="3"/>
  <c r="Q107" i="3"/>
  <c r="P107" i="3"/>
  <c r="O107" i="3"/>
  <c r="N107" i="3"/>
  <c r="L107" i="3" s="1"/>
  <c r="M107" i="3"/>
  <c r="U106" i="3"/>
  <c r="T106" i="3"/>
  <c r="S106" i="3"/>
  <c r="R106" i="3"/>
  <c r="Q106" i="3"/>
  <c r="L106" i="3" s="1"/>
  <c r="P106" i="3"/>
  <c r="O106" i="3"/>
  <c r="N106" i="3"/>
  <c r="M106" i="3"/>
  <c r="U105" i="3"/>
  <c r="T105" i="3"/>
  <c r="S105" i="3"/>
  <c r="R105" i="3"/>
  <c r="Q105" i="3"/>
  <c r="P105" i="3"/>
  <c r="O105" i="3"/>
  <c r="N105" i="3"/>
  <c r="L105" i="3" s="1"/>
  <c r="M105" i="3"/>
  <c r="U104" i="3"/>
  <c r="T104" i="3"/>
  <c r="S104" i="3"/>
  <c r="R104" i="3"/>
  <c r="Q104" i="3"/>
  <c r="P104" i="3"/>
  <c r="O104" i="3"/>
  <c r="N104" i="3"/>
  <c r="L104" i="3" s="1"/>
  <c r="M104" i="3"/>
  <c r="U103" i="3"/>
  <c r="T103" i="3"/>
  <c r="S103" i="3"/>
  <c r="R103" i="3"/>
  <c r="Q103" i="3"/>
  <c r="P103" i="3"/>
  <c r="O103" i="3"/>
  <c r="N103" i="3"/>
  <c r="M103" i="3"/>
  <c r="L103" i="3"/>
  <c r="U102" i="3"/>
  <c r="T102" i="3"/>
  <c r="S102" i="3"/>
  <c r="R102" i="3"/>
  <c r="Q102" i="3"/>
  <c r="P102" i="3"/>
  <c r="O102" i="3"/>
  <c r="N102" i="3"/>
  <c r="L102" i="3" s="1"/>
  <c r="M102" i="3"/>
  <c r="U101" i="3"/>
  <c r="T101" i="3"/>
  <c r="S101" i="3"/>
  <c r="R101" i="3"/>
  <c r="Q101" i="3"/>
  <c r="P101" i="3"/>
  <c r="L101" i="3" s="1"/>
  <c r="O101" i="3"/>
  <c r="N101" i="3"/>
  <c r="M101" i="3"/>
  <c r="U100" i="3"/>
  <c r="T100" i="3"/>
  <c r="S100" i="3"/>
  <c r="R100" i="3"/>
  <c r="Q100" i="3"/>
  <c r="P100" i="3"/>
  <c r="O100" i="3"/>
  <c r="N100" i="3"/>
  <c r="L100" i="3" s="1"/>
  <c r="M100" i="3"/>
  <c r="U99" i="3"/>
  <c r="T99" i="3"/>
  <c r="S99" i="3"/>
  <c r="R99" i="3"/>
  <c r="Q99" i="3"/>
  <c r="P99" i="3"/>
  <c r="O99" i="3"/>
  <c r="N99" i="3"/>
  <c r="L99" i="3" s="1"/>
  <c r="M99" i="3"/>
  <c r="U98" i="3"/>
  <c r="T98" i="3"/>
  <c r="S98" i="3"/>
  <c r="R98" i="3"/>
  <c r="Q98" i="3"/>
  <c r="L98" i="3" s="1"/>
  <c r="P98" i="3"/>
  <c r="O98" i="3"/>
  <c r="N98" i="3"/>
  <c r="M98" i="3"/>
  <c r="U97" i="3"/>
  <c r="T97" i="3"/>
  <c r="S97" i="3"/>
  <c r="R97" i="3"/>
  <c r="Q97" i="3"/>
  <c r="P97" i="3"/>
  <c r="O97" i="3"/>
  <c r="N97" i="3"/>
  <c r="L97" i="3" s="1"/>
  <c r="M97" i="3"/>
  <c r="U96" i="3"/>
  <c r="T96" i="3"/>
  <c r="S96" i="3"/>
  <c r="R96" i="3"/>
  <c r="Q96" i="3"/>
  <c r="P96" i="3"/>
  <c r="O96" i="3"/>
  <c r="N96" i="3"/>
  <c r="L96" i="3" s="1"/>
  <c r="M96" i="3"/>
  <c r="U95" i="3"/>
  <c r="T95" i="3"/>
  <c r="S95" i="3"/>
  <c r="R95" i="3"/>
  <c r="Q95" i="3"/>
  <c r="P95" i="3"/>
  <c r="O95" i="3"/>
  <c r="N95" i="3"/>
  <c r="M95" i="3"/>
  <c r="L95" i="3"/>
  <c r="U94" i="3"/>
  <c r="T94" i="3"/>
  <c r="S94" i="3"/>
  <c r="R94" i="3"/>
  <c r="Q94" i="3"/>
  <c r="P94" i="3"/>
  <c r="O94" i="3"/>
  <c r="N94" i="3"/>
  <c r="L94" i="3" s="1"/>
  <c r="M94" i="3"/>
  <c r="U93" i="3"/>
  <c r="T93" i="3"/>
  <c r="S93" i="3"/>
  <c r="R93" i="3"/>
  <c r="Q93" i="3"/>
  <c r="P93" i="3"/>
  <c r="L93" i="3" s="1"/>
  <c r="O93" i="3"/>
  <c r="N93" i="3"/>
  <c r="M93" i="3"/>
  <c r="U92" i="3"/>
  <c r="T92" i="3"/>
  <c r="S92" i="3"/>
  <c r="R92" i="3"/>
  <c r="Q92" i="3"/>
  <c r="P92" i="3"/>
  <c r="O92" i="3"/>
  <c r="N92" i="3"/>
  <c r="L92" i="3" s="1"/>
  <c r="M92" i="3"/>
  <c r="U91" i="3"/>
  <c r="T91" i="3"/>
  <c r="S91" i="3"/>
  <c r="R91" i="3"/>
  <c r="Q91" i="3"/>
  <c r="P91" i="3"/>
  <c r="O91" i="3"/>
  <c r="N91" i="3"/>
  <c r="L91" i="3" s="1"/>
  <c r="M91" i="3"/>
  <c r="U90" i="3"/>
  <c r="T90" i="3"/>
  <c r="S90" i="3"/>
  <c r="R90" i="3"/>
  <c r="Q90" i="3"/>
  <c r="L90" i="3" s="1"/>
  <c r="P90" i="3"/>
  <c r="O90" i="3"/>
  <c r="N90" i="3"/>
  <c r="M90" i="3"/>
  <c r="U89" i="3"/>
  <c r="T89" i="3"/>
  <c r="S89" i="3"/>
  <c r="R89" i="3"/>
  <c r="Q89" i="3"/>
  <c r="P89" i="3"/>
  <c r="O89" i="3"/>
  <c r="N89" i="3"/>
  <c r="L89" i="3" s="1"/>
  <c r="M89" i="3"/>
  <c r="U88" i="3"/>
  <c r="T88" i="3"/>
  <c r="S88" i="3"/>
  <c r="R88" i="3"/>
  <c r="Q88" i="3"/>
  <c r="P88" i="3"/>
  <c r="O88" i="3"/>
  <c r="N88" i="3"/>
  <c r="L88" i="3" s="1"/>
  <c r="M88" i="3"/>
  <c r="U87" i="3"/>
  <c r="T87" i="3"/>
  <c r="S87" i="3"/>
  <c r="R87" i="3"/>
  <c r="Q87" i="3"/>
  <c r="P87" i="3"/>
  <c r="O87" i="3"/>
  <c r="N87" i="3"/>
  <c r="M87" i="3"/>
  <c r="L87" i="3"/>
  <c r="U86" i="3"/>
  <c r="T86" i="3"/>
  <c r="S86" i="3"/>
  <c r="R86" i="3"/>
  <c r="Q86" i="3"/>
  <c r="P86" i="3"/>
  <c r="O86" i="3"/>
  <c r="N86" i="3"/>
  <c r="L86" i="3" s="1"/>
  <c r="M86" i="3"/>
  <c r="U85" i="3"/>
  <c r="T85" i="3"/>
  <c r="S85" i="3"/>
  <c r="R85" i="3"/>
  <c r="Q85" i="3"/>
  <c r="P85" i="3"/>
  <c r="L85" i="3" s="1"/>
  <c r="O85" i="3"/>
  <c r="N85" i="3"/>
  <c r="M85" i="3"/>
  <c r="U84" i="3"/>
  <c r="T84" i="3"/>
  <c r="S84" i="3"/>
  <c r="R84" i="3"/>
  <c r="Q84" i="3"/>
  <c r="P84" i="3"/>
  <c r="O84" i="3"/>
  <c r="N84" i="3"/>
  <c r="L84" i="3" s="1"/>
  <c r="M84" i="3"/>
  <c r="U83" i="3"/>
  <c r="T83" i="3"/>
  <c r="S83" i="3"/>
  <c r="R83" i="3"/>
  <c r="Q83" i="3"/>
  <c r="P83" i="3"/>
  <c r="O83" i="3"/>
  <c r="N83" i="3"/>
  <c r="L83" i="3" s="1"/>
  <c r="M83" i="3"/>
  <c r="U82" i="3"/>
  <c r="T82" i="3"/>
  <c r="S82" i="3"/>
  <c r="R82" i="3"/>
  <c r="Q82" i="3"/>
  <c r="L82" i="3" s="1"/>
  <c r="P82" i="3"/>
  <c r="O82" i="3"/>
  <c r="N82" i="3"/>
  <c r="M82" i="3"/>
  <c r="U81" i="3"/>
  <c r="T81" i="3"/>
  <c r="S81" i="3"/>
  <c r="R81" i="3"/>
  <c r="Q81" i="3"/>
  <c r="P81" i="3"/>
  <c r="O81" i="3"/>
  <c r="N81" i="3"/>
  <c r="L81" i="3" s="1"/>
  <c r="M81" i="3"/>
  <c r="U80" i="3"/>
  <c r="T80" i="3"/>
  <c r="S80" i="3"/>
  <c r="R80" i="3"/>
  <c r="Q80" i="3"/>
  <c r="P80" i="3"/>
  <c r="O80" i="3"/>
  <c r="N80" i="3"/>
  <c r="L80" i="3" s="1"/>
  <c r="M80" i="3"/>
  <c r="U79" i="3"/>
  <c r="T79" i="3"/>
  <c r="S79" i="3"/>
  <c r="R79" i="3"/>
  <c r="Q79" i="3"/>
  <c r="P79" i="3"/>
  <c r="O79" i="3"/>
  <c r="N79" i="3"/>
  <c r="M79" i="3"/>
  <c r="L79" i="3"/>
  <c r="U78" i="3"/>
  <c r="T78" i="3"/>
  <c r="S78" i="3"/>
  <c r="R78" i="3"/>
  <c r="Q78" i="3"/>
  <c r="P78" i="3"/>
  <c r="O78" i="3"/>
  <c r="N78" i="3"/>
  <c r="L78" i="3" s="1"/>
  <c r="M78" i="3"/>
  <c r="U77" i="3"/>
  <c r="T77" i="3"/>
  <c r="S77" i="3"/>
  <c r="R77" i="3"/>
  <c r="Q77" i="3"/>
  <c r="P77" i="3"/>
  <c r="L77" i="3" s="1"/>
  <c r="O77" i="3"/>
  <c r="N77" i="3"/>
  <c r="M77" i="3"/>
  <c r="U76" i="3"/>
  <c r="T76" i="3"/>
  <c r="S76" i="3"/>
  <c r="R76" i="3"/>
  <c r="Q76" i="3"/>
  <c r="P76" i="3"/>
  <c r="O76" i="3"/>
  <c r="N76" i="3"/>
  <c r="L76" i="3" s="1"/>
  <c r="M76" i="3"/>
  <c r="U75" i="3"/>
  <c r="T75" i="3"/>
  <c r="S75" i="3"/>
  <c r="R75" i="3"/>
  <c r="Q75" i="3"/>
  <c r="P75" i="3"/>
  <c r="O75" i="3"/>
  <c r="N75" i="3"/>
  <c r="L75" i="3" s="1"/>
  <c r="M75" i="3"/>
  <c r="U74" i="3"/>
  <c r="T74" i="3"/>
  <c r="S74" i="3"/>
  <c r="R74" i="3"/>
  <c r="Q74" i="3"/>
  <c r="L74" i="3" s="1"/>
  <c r="P74" i="3"/>
  <c r="O74" i="3"/>
  <c r="N74" i="3"/>
  <c r="M74" i="3"/>
  <c r="U73" i="3"/>
  <c r="T73" i="3"/>
  <c r="S73" i="3"/>
  <c r="R73" i="3"/>
  <c r="Q73" i="3"/>
  <c r="P73" i="3"/>
  <c r="O73" i="3"/>
  <c r="N73" i="3"/>
  <c r="L73" i="3" s="1"/>
  <c r="M73" i="3"/>
  <c r="U72" i="3"/>
  <c r="T72" i="3"/>
  <c r="S72" i="3"/>
  <c r="R72" i="3"/>
  <c r="Q72" i="3"/>
  <c r="P72" i="3"/>
  <c r="O72" i="3"/>
  <c r="N72" i="3"/>
  <c r="L72" i="3" s="1"/>
  <c r="M72" i="3"/>
  <c r="U71" i="3"/>
  <c r="T71" i="3"/>
  <c r="S71" i="3"/>
  <c r="R71" i="3"/>
  <c r="Q71" i="3"/>
  <c r="P71" i="3"/>
  <c r="O71" i="3"/>
  <c r="N71" i="3"/>
  <c r="M71" i="3"/>
  <c r="L71" i="3"/>
  <c r="U70" i="3"/>
  <c r="T70" i="3"/>
  <c r="S70" i="3"/>
  <c r="R70" i="3"/>
  <c r="Q70" i="3"/>
  <c r="P70" i="3"/>
  <c r="O70" i="3"/>
  <c r="N70" i="3"/>
  <c r="L70" i="3" s="1"/>
  <c r="M70" i="3"/>
  <c r="U69" i="3"/>
  <c r="T69" i="3"/>
  <c r="S69" i="3"/>
  <c r="R69" i="3"/>
  <c r="Q69" i="3"/>
  <c r="P69" i="3"/>
  <c r="L69" i="3" s="1"/>
  <c r="O69" i="3"/>
  <c r="N69" i="3"/>
  <c r="M69" i="3"/>
  <c r="U68" i="3"/>
  <c r="T68" i="3"/>
  <c r="S68" i="3"/>
  <c r="R68" i="3"/>
  <c r="Q68" i="3"/>
  <c r="P68" i="3"/>
  <c r="O68" i="3"/>
  <c r="N68" i="3"/>
  <c r="L68" i="3" s="1"/>
  <c r="M68" i="3"/>
  <c r="U67" i="3"/>
  <c r="T67" i="3"/>
  <c r="S67" i="3"/>
  <c r="R67" i="3"/>
  <c r="Q67" i="3"/>
  <c r="P67" i="3"/>
  <c r="O67" i="3"/>
  <c r="N67" i="3"/>
  <c r="L67" i="3" s="1"/>
  <c r="M67" i="3"/>
  <c r="U66" i="3"/>
  <c r="T66" i="3"/>
  <c r="S66" i="3"/>
  <c r="R66" i="3"/>
  <c r="Q66" i="3"/>
  <c r="L66" i="3" s="1"/>
  <c r="P66" i="3"/>
  <c r="O66" i="3"/>
  <c r="N66" i="3"/>
  <c r="M66" i="3"/>
  <c r="U65" i="3"/>
  <c r="T65" i="3"/>
  <c r="S65" i="3"/>
  <c r="R65" i="3"/>
  <c r="Q65" i="3"/>
  <c r="P65" i="3"/>
  <c r="O65" i="3"/>
  <c r="N65" i="3"/>
  <c r="L65" i="3" s="1"/>
  <c r="M65" i="3"/>
  <c r="U64" i="3"/>
  <c r="T64" i="3"/>
  <c r="S64" i="3"/>
  <c r="R64" i="3"/>
  <c r="Q64" i="3"/>
  <c r="P64" i="3"/>
  <c r="O64" i="3"/>
  <c r="N64" i="3"/>
  <c r="L64" i="3" s="1"/>
  <c r="M64" i="3"/>
  <c r="U63" i="3"/>
  <c r="T63" i="3"/>
  <c r="S63" i="3"/>
  <c r="R63" i="3"/>
  <c r="Q63" i="3"/>
  <c r="P63" i="3"/>
  <c r="O63" i="3"/>
  <c r="N63" i="3"/>
  <c r="M63" i="3"/>
  <c r="L63" i="3"/>
  <c r="U62" i="3"/>
  <c r="T62" i="3"/>
  <c r="S62" i="3"/>
  <c r="R62" i="3"/>
  <c r="Q62" i="3"/>
  <c r="P62" i="3"/>
  <c r="O62" i="3"/>
  <c r="N62" i="3"/>
  <c r="L62" i="3" s="1"/>
  <c r="M62" i="3"/>
  <c r="U61" i="3"/>
  <c r="T61" i="3"/>
  <c r="S61" i="3"/>
  <c r="R61" i="3"/>
  <c r="Q61" i="3"/>
  <c r="P61" i="3"/>
  <c r="L61" i="3" s="1"/>
  <c r="O61" i="3"/>
  <c r="N61" i="3"/>
  <c r="M61" i="3"/>
  <c r="U60" i="3"/>
  <c r="T60" i="3"/>
  <c r="S60" i="3"/>
  <c r="R60" i="3"/>
  <c r="Q60" i="3"/>
  <c r="P60" i="3"/>
  <c r="O60" i="3"/>
  <c r="N60" i="3"/>
  <c r="L60" i="3" s="1"/>
  <c r="M60" i="3"/>
  <c r="U59" i="3"/>
  <c r="T59" i="3"/>
  <c r="S59" i="3"/>
  <c r="R59" i="3"/>
  <c r="Q59" i="3"/>
  <c r="P59" i="3"/>
  <c r="O59" i="3"/>
  <c r="N59" i="3"/>
  <c r="L59" i="3" s="1"/>
  <c r="M59" i="3"/>
  <c r="U58" i="3"/>
  <c r="T58" i="3"/>
  <c r="S58" i="3"/>
  <c r="R58" i="3"/>
  <c r="Q58" i="3"/>
  <c r="L58" i="3" s="1"/>
  <c r="P58" i="3"/>
  <c r="O58" i="3"/>
  <c r="N58" i="3"/>
  <c r="M58" i="3"/>
  <c r="U57" i="3"/>
  <c r="T57" i="3"/>
  <c r="S57" i="3"/>
  <c r="R57" i="3"/>
  <c r="Q57" i="3"/>
  <c r="P57" i="3"/>
  <c r="O57" i="3"/>
  <c r="N57" i="3"/>
  <c r="L57" i="3" s="1"/>
  <c r="M57" i="3"/>
  <c r="U56" i="3"/>
  <c r="T56" i="3"/>
  <c r="S56" i="3"/>
  <c r="R56" i="3"/>
  <c r="Q56" i="3"/>
  <c r="P56" i="3"/>
  <c r="O56" i="3"/>
  <c r="N56" i="3"/>
  <c r="L56" i="3" s="1"/>
  <c r="M56" i="3"/>
  <c r="U55" i="3"/>
  <c r="T55" i="3"/>
  <c r="S55" i="3"/>
  <c r="R55" i="3"/>
  <c r="Q55" i="3"/>
  <c r="P55" i="3"/>
  <c r="O55" i="3"/>
  <c r="N55" i="3"/>
  <c r="M55" i="3"/>
  <c r="L55" i="3"/>
  <c r="U54" i="3"/>
  <c r="T54" i="3"/>
  <c r="S54" i="3"/>
  <c r="R54" i="3"/>
  <c r="Q54" i="3"/>
  <c r="P54" i="3"/>
  <c r="O54" i="3"/>
  <c r="N54" i="3"/>
  <c r="L54" i="3" s="1"/>
  <c r="M54" i="3"/>
  <c r="U53" i="3"/>
  <c r="T53" i="3"/>
  <c r="S53" i="3"/>
  <c r="R53" i="3"/>
  <c r="Q53" i="3"/>
  <c r="P53" i="3"/>
  <c r="L53" i="3" s="1"/>
  <c r="O53" i="3"/>
  <c r="N53" i="3"/>
  <c r="M53" i="3"/>
  <c r="U52" i="3"/>
  <c r="T52" i="3"/>
  <c r="S52" i="3"/>
  <c r="R52" i="3"/>
  <c r="Q52" i="3"/>
  <c r="P52" i="3"/>
  <c r="O52" i="3"/>
  <c r="N52" i="3"/>
  <c r="L52" i="3" s="1"/>
  <c r="M52" i="3"/>
  <c r="U51" i="3"/>
  <c r="T51" i="3"/>
  <c r="S51" i="3"/>
  <c r="R51" i="3"/>
  <c r="Q51" i="3"/>
  <c r="P51" i="3"/>
  <c r="O51" i="3"/>
  <c r="N51" i="3"/>
  <c r="L51" i="3" s="1"/>
  <c r="M51" i="3"/>
  <c r="U50" i="3"/>
  <c r="T50" i="3"/>
  <c r="S50" i="3"/>
  <c r="R50" i="3"/>
  <c r="Q50" i="3"/>
  <c r="L50" i="3" s="1"/>
  <c r="P50" i="3"/>
  <c r="O50" i="3"/>
  <c r="N50" i="3"/>
  <c r="M50" i="3"/>
  <c r="U49" i="3"/>
  <c r="T49" i="3"/>
  <c r="S49" i="3"/>
  <c r="R49" i="3"/>
  <c r="Q49" i="3"/>
  <c r="P49" i="3"/>
  <c r="O49" i="3"/>
  <c r="N49" i="3"/>
  <c r="L49" i="3" s="1"/>
  <c r="M49" i="3"/>
  <c r="U48" i="3"/>
  <c r="T48" i="3"/>
  <c r="S48" i="3"/>
  <c r="R48" i="3"/>
  <c r="Q48" i="3"/>
  <c r="P48" i="3"/>
  <c r="O48" i="3"/>
  <c r="N48" i="3"/>
  <c r="L48" i="3" s="1"/>
  <c r="M48" i="3"/>
  <c r="U47" i="3"/>
  <c r="T47" i="3"/>
  <c r="S47" i="3"/>
  <c r="R47" i="3"/>
  <c r="Q47" i="3"/>
  <c r="P47" i="3"/>
  <c r="O47" i="3"/>
  <c r="N47" i="3"/>
  <c r="M47" i="3"/>
  <c r="L47" i="3"/>
  <c r="U46" i="3"/>
  <c r="T46" i="3"/>
  <c r="S46" i="3"/>
  <c r="R46" i="3"/>
  <c r="Q46" i="3"/>
  <c r="P46" i="3"/>
  <c r="O46" i="3"/>
  <c r="N46" i="3"/>
  <c r="L46" i="3" s="1"/>
  <c r="M46" i="3"/>
  <c r="U45" i="3"/>
  <c r="T45" i="3"/>
  <c r="S45" i="3"/>
  <c r="R45" i="3"/>
  <c r="Q45" i="3"/>
  <c r="P45" i="3"/>
  <c r="L45" i="3" s="1"/>
  <c r="O45" i="3"/>
  <c r="N45" i="3"/>
  <c r="M45" i="3"/>
  <c r="U44" i="3"/>
  <c r="T44" i="3"/>
  <c r="S44" i="3"/>
  <c r="R44" i="3"/>
  <c r="Q44" i="3"/>
  <c r="P44" i="3"/>
  <c r="O44" i="3"/>
  <c r="N44" i="3"/>
  <c r="L44" i="3" s="1"/>
  <c r="M44" i="3"/>
  <c r="U43" i="3"/>
  <c r="T43" i="3"/>
  <c r="S43" i="3"/>
  <c r="R43" i="3"/>
  <c r="Q43" i="3"/>
  <c r="P43" i="3"/>
  <c r="O43" i="3"/>
  <c r="N43" i="3"/>
  <c r="L43" i="3" s="1"/>
  <c r="M43" i="3"/>
  <c r="U42" i="3"/>
  <c r="T42" i="3"/>
  <c r="S42" i="3"/>
  <c r="R42" i="3"/>
  <c r="Q42" i="3"/>
  <c r="L42" i="3" s="1"/>
  <c r="P42" i="3"/>
  <c r="O42" i="3"/>
  <c r="N42" i="3"/>
  <c r="M42" i="3"/>
  <c r="U41" i="3"/>
  <c r="T41" i="3"/>
  <c r="S41" i="3"/>
  <c r="R41" i="3"/>
  <c r="Q41" i="3"/>
  <c r="P41" i="3"/>
  <c r="O41" i="3"/>
  <c r="N41" i="3"/>
  <c r="L41" i="3" s="1"/>
  <c r="M41" i="3"/>
  <c r="U40" i="3"/>
  <c r="T40" i="3"/>
  <c r="S40" i="3"/>
  <c r="R40" i="3"/>
  <c r="Q40" i="3"/>
  <c r="P40" i="3"/>
  <c r="O40" i="3"/>
  <c r="N40" i="3"/>
  <c r="L40" i="3" s="1"/>
  <c r="M40" i="3"/>
  <c r="U39" i="3"/>
  <c r="T39" i="3"/>
  <c r="S39" i="3"/>
  <c r="R39" i="3"/>
  <c r="Q39" i="3"/>
  <c r="P39" i="3"/>
  <c r="O39" i="3"/>
  <c r="N39" i="3"/>
  <c r="M39" i="3"/>
  <c r="L39" i="3"/>
  <c r="U38" i="3"/>
  <c r="T38" i="3"/>
  <c r="S38" i="3"/>
  <c r="R38" i="3"/>
  <c r="Q38" i="3"/>
  <c r="P38" i="3"/>
  <c r="O38" i="3"/>
  <c r="N38" i="3"/>
  <c r="L38" i="3" s="1"/>
  <c r="M38" i="3"/>
  <c r="U37" i="3"/>
  <c r="T37" i="3"/>
  <c r="S37" i="3"/>
  <c r="R37" i="3"/>
  <c r="Q37" i="3"/>
  <c r="P37" i="3"/>
  <c r="L37" i="3" s="1"/>
  <c r="O37" i="3"/>
  <c r="N37" i="3"/>
  <c r="M37" i="3"/>
  <c r="U36" i="3"/>
  <c r="T36" i="3"/>
  <c r="S36" i="3"/>
  <c r="R36" i="3"/>
  <c r="Q36" i="3"/>
  <c r="P36" i="3"/>
  <c r="O36" i="3"/>
  <c r="N36" i="3"/>
  <c r="L36" i="3" s="1"/>
  <c r="M36" i="3"/>
  <c r="U35" i="3"/>
  <c r="T35" i="3"/>
  <c r="S35" i="3"/>
  <c r="R35" i="3"/>
  <c r="Q35" i="3"/>
  <c r="P35" i="3"/>
  <c r="O35" i="3"/>
  <c r="N35" i="3"/>
  <c r="L35" i="3" s="1"/>
  <c r="M35" i="3"/>
  <c r="U34" i="3"/>
  <c r="T34" i="3"/>
  <c r="S34" i="3"/>
  <c r="R34" i="3"/>
  <c r="Q34" i="3"/>
  <c r="L34" i="3" s="1"/>
  <c r="P34" i="3"/>
  <c r="O34" i="3"/>
  <c r="N34" i="3"/>
  <c r="M34" i="3"/>
  <c r="U33" i="3"/>
  <c r="T33" i="3"/>
  <c r="S33" i="3"/>
  <c r="R33" i="3"/>
  <c r="Q33" i="3"/>
  <c r="P33" i="3"/>
  <c r="O33" i="3"/>
  <c r="N33" i="3"/>
  <c r="L33" i="3" s="1"/>
  <c r="M33" i="3"/>
  <c r="U32" i="3"/>
  <c r="T32" i="3"/>
  <c r="S32" i="3"/>
  <c r="R32" i="3"/>
  <c r="Q32" i="3"/>
  <c r="P32" i="3"/>
  <c r="O32" i="3"/>
  <c r="N32" i="3"/>
  <c r="L32" i="3" s="1"/>
  <c r="M32" i="3"/>
  <c r="U31" i="3"/>
  <c r="T31" i="3"/>
  <c r="S31" i="3"/>
  <c r="R31" i="3"/>
  <c r="Q31" i="3"/>
  <c r="P31" i="3"/>
  <c r="O31" i="3"/>
  <c r="N31" i="3"/>
  <c r="M31" i="3"/>
  <c r="L31" i="3"/>
  <c r="U30" i="3"/>
  <c r="T30" i="3"/>
  <c r="S30" i="3"/>
  <c r="R30" i="3"/>
  <c r="Q30" i="3"/>
  <c r="P30" i="3"/>
  <c r="O30" i="3"/>
  <c r="N30" i="3"/>
  <c r="L30" i="3" s="1"/>
  <c r="M30" i="3"/>
  <c r="U29" i="3"/>
  <c r="T29" i="3"/>
  <c r="S29" i="3"/>
  <c r="R29" i="3"/>
  <c r="Q29" i="3"/>
  <c r="P29" i="3"/>
  <c r="L29" i="3" s="1"/>
  <c r="O29" i="3"/>
  <c r="N29" i="3"/>
  <c r="M29" i="3"/>
  <c r="U28" i="3"/>
  <c r="T28" i="3"/>
  <c r="S28" i="3"/>
  <c r="R28" i="3"/>
  <c r="Q28" i="3"/>
  <c r="P28" i="3"/>
  <c r="O28" i="3"/>
  <c r="N28" i="3"/>
  <c r="L28" i="3" s="1"/>
  <c r="M28" i="3"/>
  <c r="U27" i="3"/>
  <c r="T27" i="3"/>
  <c r="S27" i="3"/>
  <c r="R27" i="3"/>
  <c r="Q27" i="3"/>
  <c r="P27" i="3"/>
  <c r="O27" i="3"/>
  <c r="N27" i="3"/>
  <c r="L27" i="3" s="1"/>
  <c r="M27" i="3"/>
  <c r="U26" i="3"/>
  <c r="T26" i="3"/>
  <c r="S26" i="3"/>
  <c r="R26" i="3"/>
  <c r="Q26" i="3"/>
  <c r="L26" i="3" s="1"/>
  <c r="P26" i="3"/>
  <c r="O26" i="3"/>
  <c r="N26" i="3"/>
  <c r="M26" i="3"/>
  <c r="U25" i="3"/>
  <c r="T25" i="3"/>
  <c r="S25" i="3"/>
  <c r="R25" i="3"/>
  <c r="Q25" i="3"/>
  <c r="P25" i="3"/>
  <c r="O25" i="3"/>
  <c r="N25" i="3"/>
  <c r="L25" i="3" s="1"/>
  <c r="M25" i="3"/>
  <c r="U24" i="3"/>
  <c r="T24" i="3"/>
  <c r="S24" i="3"/>
  <c r="R24" i="3"/>
  <c r="Q24" i="3"/>
  <c r="P24" i="3"/>
  <c r="O24" i="3"/>
  <c r="N24" i="3"/>
  <c r="L24" i="3" s="1"/>
  <c r="M24" i="3"/>
  <c r="U23" i="3"/>
  <c r="T23" i="3"/>
  <c r="S23" i="3"/>
  <c r="R23" i="3"/>
  <c r="Q23" i="3"/>
  <c r="P23" i="3"/>
  <c r="O23" i="3"/>
  <c r="N23" i="3"/>
  <c r="M23" i="3"/>
  <c r="L23" i="3"/>
  <c r="U22" i="3"/>
  <c r="T22" i="3"/>
  <c r="S22" i="3"/>
  <c r="R22" i="3"/>
  <c r="Q22" i="3"/>
  <c r="P22" i="3"/>
  <c r="O22" i="3"/>
  <c r="N22" i="3"/>
  <c r="L22" i="3" s="1"/>
  <c r="M22" i="3"/>
  <c r="U21" i="3"/>
  <c r="T21" i="3"/>
  <c r="S21" i="3"/>
  <c r="R21" i="3"/>
  <c r="Q21" i="3"/>
  <c r="P21" i="3"/>
  <c r="L21" i="3" s="1"/>
  <c r="O21" i="3"/>
  <c r="N21" i="3"/>
  <c r="M21" i="3"/>
  <c r="U20" i="3"/>
  <c r="T20" i="3"/>
  <c r="S20" i="3"/>
  <c r="R20" i="3"/>
  <c r="Q20" i="3"/>
  <c r="P20" i="3"/>
  <c r="O20" i="3"/>
  <c r="N20" i="3"/>
  <c r="L20" i="3" s="1"/>
  <c r="M20" i="3"/>
  <c r="U19" i="3"/>
  <c r="T19" i="3"/>
  <c r="S19" i="3"/>
  <c r="R19" i="3"/>
  <c r="Q19" i="3"/>
  <c r="P19" i="3"/>
  <c r="O19" i="3"/>
  <c r="N19" i="3"/>
  <c r="L19" i="3" s="1"/>
  <c r="M19" i="3"/>
  <c r="U18" i="3"/>
  <c r="T18" i="3"/>
  <c r="S18" i="3"/>
  <c r="R18" i="3"/>
  <c r="Q18" i="3"/>
  <c r="L18" i="3" s="1"/>
  <c r="P18" i="3"/>
  <c r="O18" i="3"/>
  <c r="N18" i="3"/>
  <c r="M18" i="3"/>
  <c r="U17" i="3"/>
  <c r="T17" i="3"/>
  <c r="S17" i="3"/>
  <c r="R17" i="3"/>
  <c r="Q17" i="3"/>
  <c r="P17" i="3"/>
  <c r="O17" i="3"/>
  <c r="N17" i="3"/>
  <c r="L17" i="3" s="1"/>
  <c r="M17" i="3"/>
  <c r="U16" i="3"/>
  <c r="T16" i="3"/>
  <c r="S16" i="3"/>
  <c r="R16" i="3"/>
  <c r="Q16" i="3"/>
  <c r="P16" i="3"/>
  <c r="O16" i="3"/>
  <c r="N16" i="3"/>
  <c r="L16" i="3" s="1"/>
  <c r="M16" i="3"/>
  <c r="U15" i="3"/>
  <c r="T15" i="3"/>
  <c r="S15" i="3"/>
  <c r="R15" i="3"/>
  <c r="Q15" i="3"/>
  <c r="P15" i="3"/>
  <c r="O15" i="3"/>
  <c r="N15" i="3"/>
  <c r="M15" i="3"/>
  <c r="L15" i="3"/>
  <c r="U14" i="3"/>
  <c r="T14" i="3"/>
  <c r="S14" i="3"/>
  <c r="R14" i="3"/>
  <c r="Q14" i="3"/>
  <c r="P14" i="3"/>
  <c r="O14" i="3"/>
  <c r="N14" i="3"/>
  <c r="L14" i="3" s="1"/>
  <c r="M14" i="3"/>
  <c r="U13" i="3"/>
  <c r="T13" i="3"/>
  <c r="S13" i="3"/>
  <c r="R13" i="3"/>
  <c r="Q13" i="3"/>
  <c r="P13" i="3"/>
  <c r="L13" i="3" s="1"/>
  <c r="O13" i="3"/>
  <c r="N13" i="3"/>
  <c r="M13" i="3"/>
  <c r="U12" i="3"/>
  <c r="T12" i="3"/>
  <c r="S12" i="3"/>
  <c r="R12" i="3"/>
  <c r="Q12" i="3"/>
  <c r="P12" i="3"/>
  <c r="O12" i="3"/>
  <c r="N12" i="3"/>
  <c r="L12" i="3" s="1"/>
  <c r="M12" i="3"/>
  <c r="U11" i="3"/>
  <c r="T11" i="3"/>
  <c r="S11" i="3"/>
  <c r="R11" i="3"/>
  <c r="Q11" i="3"/>
  <c r="P11" i="3"/>
  <c r="O11" i="3"/>
  <c r="N11" i="3"/>
  <c r="L11" i="3" s="1"/>
  <c r="M11" i="3"/>
  <c r="U10" i="3"/>
  <c r="T10" i="3"/>
  <c r="S10" i="3"/>
  <c r="R10" i="3"/>
  <c r="Q10" i="3"/>
  <c r="L10" i="3" s="1"/>
  <c r="P10" i="3"/>
  <c r="O10" i="3"/>
  <c r="N10" i="3"/>
  <c r="M10" i="3"/>
  <c r="U9" i="3"/>
  <c r="T9" i="3"/>
  <c r="S9" i="3"/>
  <c r="R9" i="3"/>
  <c r="Q9" i="3"/>
  <c r="P9" i="3"/>
  <c r="O9" i="3"/>
  <c r="N9" i="3"/>
  <c r="L9" i="3" s="1"/>
  <c r="M9" i="3"/>
  <c r="U8" i="3"/>
  <c r="T8" i="3"/>
  <c r="S8" i="3"/>
  <c r="R8" i="3"/>
  <c r="Q8" i="3"/>
  <c r="P8" i="3"/>
  <c r="O8" i="3"/>
  <c r="N8" i="3"/>
  <c r="L8" i="3" s="1"/>
  <c r="M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L6" i="3" s="1"/>
  <c r="M6" i="3"/>
  <c r="U5" i="3"/>
  <c r="T5" i="3"/>
  <c r="S5" i="3"/>
  <c r="R5" i="3"/>
  <c r="Q5" i="3"/>
  <c r="P5" i="3"/>
  <c r="L5" i="3" s="1"/>
  <c r="O5" i="3"/>
  <c r="N5" i="3"/>
  <c r="M5" i="3"/>
  <c r="U4" i="3"/>
  <c r="T4" i="3"/>
  <c r="S4" i="3"/>
  <c r="R4" i="3"/>
  <c r="Q4" i="3"/>
  <c r="P4" i="3"/>
  <c r="O4" i="3"/>
  <c r="N4" i="3"/>
  <c r="L4" i="3" s="1"/>
  <c r="M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U3" i="3"/>
  <c r="T3" i="3"/>
  <c r="S3" i="3"/>
  <c r="R3" i="3"/>
  <c r="Q3" i="3"/>
  <c r="P3" i="3"/>
  <c r="O3" i="3"/>
  <c r="N3" i="3"/>
  <c r="L3" i="3" s="1"/>
  <c r="M3" i="3"/>
  <c r="A3" i="3"/>
  <c r="U2" i="3"/>
  <c r="T2" i="3"/>
  <c r="S2" i="3"/>
  <c r="R2" i="3"/>
  <c r="Q2" i="3"/>
  <c r="L2" i="3" s="1"/>
  <c r="P2" i="3"/>
  <c r="O2" i="3"/>
  <c r="N2" i="3"/>
  <c r="M2" i="3"/>
  <c r="U210" i="2"/>
  <c r="T210" i="2"/>
  <c r="S210" i="2"/>
  <c r="R210" i="2"/>
  <c r="Q210" i="2"/>
  <c r="P210" i="2"/>
  <c r="O210" i="2"/>
  <c r="N210" i="2"/>
  <c r="M210" i="2"/>
  <c r="I210" i="2" s="1"/>
  <c r="L210" i="2"/>
  <c r="U209" i="2"/>
  <c r="T209" i="2"/>
  <c r="S209" i="2"/>
  <c r="R209" i="2"/>
  <c r="Q209" i="2"/>
  <c r="P209" i="2"/>
  <c r="O209" i="2"/>
  <c r="I209" i="2" s="1"/>
  <c r="N209" i="2"/>
  <c r="M209" i="2"/>
  <c r="L209" i="2"/>
  <c r="U208" i="2"/>
  <c r="T208" i="2"/>
  <c r="S208" i="2"/>
  <c r="R208" i="2"/>
  <c r="Q208" i="2"/>
  <c r="P208" i="2"/>
  <c r="O208" i="2"/>
  <c r="N208" i="2"/>
  <c r="M208" i="2"/>
  <c r="I208" i="2" s="1"/>
  <c r="L208" i="2"/>
  <c r="U207" i="2"/>
  <c r="T207" i="2"/>
  <c r="S207" i="2"/>
  <c r="R207" i="2"/>
  <c r="Q207" i="2"/>
  <c r="P207" i="2"/>
  <c r="O207" i="2"/>
  <c r="I207" i="2" s="1"/>
  <c r="N207" i="2"/>
  <c r="M207" i="2"/>
  <c r="L207" i="2"/>
  <c r="U206" i="2"/>
  <c r="T206" i="2"/>
  <c r="S206" i="2"/>
  <c r="R206" i="2"/>
  <c r="Q206" i="2"/>
  <c r="P206" i="2"/>
  <c r="O206" i="2"/>
  <c r="N206" i="2"/>
  <c r="M206" i="2"/>
  <c r="I206" i="2" s="1"/>
  <c r="L206" i="2"/>
  <c r="U205" i="2"/>
  <c r="T205" i="2"/>
  <c r="S205" i="2"/>
  <c r="R205" i="2"/>
  <c r="Q205" i="2"/>
  <c r="P205" i="2"/>
  <c r="O205" i="2"/>
  <c r="I205" i="2" s="1"/>
  <c r="N205" i="2"/>
  <c r="M205" i="2"/>
  <c r="L205" i="2"/>
  <c r="U204" i="2"/>
  <c r="T204" i="2"/>
  <c r="S204" i="2"/>
  <c r="R204" i="2"/>
  <c r="Q204" i="2"/>
  <c r="P204" i="2"/>
  <c r="O204" i="2"/>
  <c r="N204" i="2"/>
  <c r="M204" i="2"/>
  <c r="I204" i="2" s="1"/>
  <c r="L204" i="2"/>
  <c r="U203" i="2"/>
  <c r="T203" i="2"/>
  <c r="S203" i="2"/>
  <c r="R203" i="2"/>
  <c r="Q203" i="2"/>
  <c r="P203" i="2"/>
  <c r="O203" i="2"/>
  <c r="I203" i="2" s="1"/>
  <c r="N203" i="2"/>
  <c r="M203" i="2"/>
  <c r="L203" i="2"/>
  <c r="U202" i="2"/>
  <c r="T202" i="2"/>
  <c r="S202" i="2"/>
  <c r="R202" i="2"/>
  <c r="Q202" i="2"/>
  <c r="P202" i="2"/>
  <c r="O202" i="2"/>
  <c r="N202" i="2"/>
  <c r="M202" i="2"/>
  <c r="I202" i="2" s="1"/>
  <c r="L202" i="2"/>
  <c r="U201" i="2"/>
  <c r="T201" i="2"/>
  <c r="S201" i="2"/>
  <c r="R201" i="2"/>
  <c r="Q201" i="2"/>
  <c r="P201" i="2"/>
  <c r="O201" i="2"/>
  <c r="I201" i="2" s="1"/>
  <c r="N201" i="2"/>
  <c r="M201" i="2"/>
  <c r="L201" i="2"/>
  <c r="U200" i="2"/>
  <c r="T200" i="2"/>
  <c r="S200" i="2"/>
  <c r="R200" i="2"/>
  <c r="Q200" i="2"/>
  <c r="P200" i="2"/>
  <c r="O200" i="2"/>
  <c r="N200" i="2"/>
  <c r="M200" i="2"/>
  <c r="I200" i="2" s="1"/>
  <c r="L200" i="2"/>
  <c r="U199" i="2"/>
  <c r="T199" i="2"/>
  <c r="S199" i="2"/>
  <c r="R199" i="2"/>
  <c r="Q199" i="2"/>
  <c r="P199" i="2"/>
  <c r="O199" i="2"/>
  <c r="I199" i="2" s="1"/>
  <c r="N199" i="2"/>
  <c r="M199" i="2"/>
  <c r="L199" i="2"/>
  <c r="U198" i="2"/>
  <c r="T198" i="2"/>
  <c r="S198" i="2"/>
  <c r="R198" i="2"/>
  <c r="Q198" i="2"/>
  <c r="P198" i="2"/>
  <c r="O198" i="2"/>
  <c r="N198" i="2"/>
  <c r="M198" i="2"/>
  <c r="I198" i="2" s="1"/>
  <c r="L198" i="2"/>
  <c r="U197" i="2"/>
  <c r="T197" i="2"/>
  <c r="S197" i="2"/>
  <c r="R197" i="2"/>
  <c r="Q197" i="2"/>
  <c r="P197" i="2"/>
  <c r="O197" i="2"/>
  <c r="N197" i="2"/>
  <c r="M197" i="2"/>
  <c r="L197" i="2"/>
  <c r="I197" i="2" s="1"/>
  <c r="U196" i="2"/>
  <c r="T196" i="2"/>
  <c r="S196" i="2"/>
  <c r="R196" i="2"/>
  <c r="Q196" i="2"/>
  <c r="P196" i="2"/>
  <c r="O196" i="2"/>
  <c r="N196" i="2"/>
  <c r="M196" i="2"/>
  <c r="I196" i="2" s="1"/>
  <c r="L196" i="2"/>
  <c r="U195" i="2"/>
  <c r="T195" i="2"/>
  <c r="S195" i="2"/>
  <c r="R195" i="2"/>
  <c r="Q195" i="2"/>
  <c r="P195" i="2"/>
  <c r="O195" i="2"/>
  <c r="N195" i="2"/>
  <c r="M195" i="2"/>
  <c r="L195" i="2"/>
  <c r="I195" i="2" s="1"/>
  <c r="U194" i="2"/>
  <c r="T194" i="2"/>
  <c r="S194" i="2"/>
  <c r="R194" i="2"/>
  <c r="Q194" i="2"/>
  <c r="P194" i="2"/>
  <c r="O194" i="2"/>
  <c r="N194" i="2"/>
  <c r="M194" i="2"/>
  <c r="I194" i="2" s="1"/>
  <c r="L194" i="2"/>
  <c r="U193" i="2"/>
  <c r="T193" i="2"/>
  <c r="S193" i="2"/>
  <c r="R193" i="2"/>
  <c r="Q193" i="2"/>
  <c r="P193" i="2"/>
  <c r="O193" i="2"/>
  <c r="N193" i="2"/>
  <c r="M193" i="2"/>
  <c r="L193" i="2"/>
  <c r="I193" i="2" s="1"/>
  <c r="U192" i="2"/>
  <c r="T192" i="2"/>
  <c r="S192" i="2"/>
  <c r="R192" i="2"/>
  <c r="Q192" i="2"/>
  <c r="P192" i="2"/>
  <c r="O192" i="2"/>
  <c r="N192" i="2"/>
  <c r="M192" i="2"/>
  <c r="I192" i="2" s="1"/>
  <c r="L192" i="2"/>
  <c r="U191" i="2"/>
  <c r="T191" i="2"/>
  <c r="S191" i="2"/>
  <c r="R191" i="2"/>
  <c r="Q191" i="2"/>
  <c r="P191" i="2"/>
  <c r="O191" i="2"/>
  <c r="N191" i="2"/>
  <c r="M191" i="2"/>
  <c r="L191" i="2"/>
  <c r="I191" i="2" s="1"/>
  <c r="U190" i="2"/>
  <c r="T190" i="2"/>
  <c r="S190" i="2"/>
  <c r="R190" i="2"/>
  <c r="Q190" i="2"/>
  <c r="P190" i="2"/>
  <c r="O190" i="2"/>
  <c r="N190" i="2"/>
  <c r="M190" i="2"/>
  <c r="I190" i="2" s="1"/>
  <c r="L190" i="2"/>
  <c r="U189" i="2"/>
  <c r="T189" i="2"/>
  <c r="S189" i="2"/>
  <c r="R189" i="2"/>
  <c r="Q189" i="2"/>
  <c r="P189" i="2"/>
  <c r="O189" i="2"/>
  <c r="N189" i="2"/>
  <c r="M189" i="2"/>
  <c r="L189" i="2"/>
  <c r="I189" i="2" s="1"/>
  <c r="U188" i="2"/>
  <c r="T188" i="2"/>
  <c r="S188" i="2"/>
  <c r="R188" i="2"/>
  <c r="Q188" i="2"/>
  <c r="P188" i="2"/>
  <c r="O188" i="2"/>
  <c r="N188" i="2"/>
  <c r="M188" i="2"/>
  <c r="I188" i="2" s="1"/>
  <c r="L188" i="2"/>
  <c r="U187" i="2"/>
  <c r="T187" i="2"/>
  <c r="S187" i="2"/>
  <c r="R187" i="2"/>
  <c r="Q187" i="2"/>
  <c r="P187" i="2"/>
  <c r="O187" i="2"/>
  <c r="N187" i="2"/>
  <c r="M187" i="2"/>
  <c r="L187" i="2"/>
  <c r="I187" i="2" s="1"/>
  <c r="U186" i="2"/>
  <c r="T186" i="2"/>
  <c r="S186" i="2"/>
  <c r="R186" i="2"/>
  <c r="Q186" i="2"/>
  <c r="P186" i="2"/>
  <c r="O186" i="2"/>
  <c r="N186" i="2"/>
  <c r="M186" i="2"/>
  <c r="I186" i="2" s="1"/>
  <c r="L186" i="2"/>
  <c r="U185" i="2"/>
  <c r="T185" i="2"/>
  <c r="S185" i="2"/>
  <c r="R185" i="2"/>
  <c r="Q185" i="2"/>
  <c r="P185" i="2"/>
  <c r="O185" i="2"/>
  <c r="N185" i="2"/>
  <c r="M185" i="2"/>
  <c r="L185" i="2"/>
  <c r="I185" i="2" s="1"/>
  <c r="U184" i="2"/>
  <c r="T184" i="2"/>
  <c r="S184" i="2"/>
  <c r="R184" i="2"/>
  <c r="Q184" i="2"/>
  <c r="P184" i="2"/>
  <c r="O184" i="2"/>
  <c r="N184" i="2"/>
  <c r="M184" i="2"/>
  <c r="I184" i="2" s="1"/>
  <c r="L184" i="2"/>
  <c r="U183" i="2"/>
  <c r="T183" i="2"/>
  <c r="S183" i="2"/>
  <c r="R183" i="2"/>
  <c r="Q183" i="2"/>
  <c r="P183" i="2"/>
  <c r="O183" i="2"/>
  <c r="N183" i="2"/>
  <c r="M183" i="2"/>
  <c r="L183" i="2"/>
  <c r="I183" i="2" s="1"/>
  <c r="U182" i="2"/>
  <c r="T182" i="2"/>
  <c r="S182" i="2"/>
  <c r="R182" i="2"/>
  <c r="Q182" i="2"/>
  <c r="P182" i="2"/>
  <c r="O182" i="2"/>
  <c r="N182" i="2"/>
  <c r="M182" i="2"/>
  <c r="I182" i="2" s="1"/>
  <c r="L182" i="2"/>
  <c r="U181" i="2"/>
  <c r="T181" i="2"/>
  <c r="S181" i="2"/>
  <c r="R181" i="2"/>
  <c r="Q181" i="2"/>
  <c r="P181" i="2"/>
  <c r="O181" i="2"/>
  <c r="N181" i="2"/>
  <c r="M181" i="2"/>
  <c r="L181" i="2"/>
  <c r="I181" i="2" s="1"/>
  <c r="U180" i="2"/>
  <c r="T180" i="2"/>
  <c r="S180" i="2"/>
  <c r="R180" i="2"/>
  <c r="Q180" i="2"/>
  <c r="P180" i="2"/>
  <c r="O180" i="2"/>
  <c r="N180" i="2"/>
  <c r="M180" i="2"/>
  <c r="I180" i="2" s="1"/>
  <c r="L180" i="2"/>
  <c r="U179" i="2"/>
  <c r="T179" i="2"/>
  <c r="S179" i="2"/>
  <c r="R179" i="2"/>
  <c r="Q179" i="2"/>
  <c r="P179" i="2"/>
  <c r="O179" i="2"/>
  <c r="N179" i="2"/>
  <c r="M179" i="2"/>
  <c r="L179" i="2"/>
  <c r="I179" i="2" s="1"/>
  <c r="U178" i="2"/>
  <c r="T178" i="2"/>
  <c r="S178" i="2"/>
  <c r="R178" i="2"/>
  <c r="Q178" i="2"/>
  <c r="P178" i="2"/>
  <c r="O178" i="2"/>
  <c r="N178" i="2"/>
  <c r="M178" i="2"/>
  <c r="I178" i="2" s="1"/>
  <c r="L178" i="2"/>
  <c r="U177" i="2"/>
  <c r="T177" i="2"/>
  <c r="S177" i="2"/>
  <c r="R177" i="2"/>
  <c r="Q177" i="2"/>
  <c r="P177" i="2"/>
  <c r="O177" i="2"/>
  <c r="N177" i="2"/>
  <c r="M177" i="2"/>
  <c r="L177" i="2"/>
  <c r="I177" i="2" s="1"/>
  <c r="U176" i="2"/>
  <c r="T176" i="2"/>
  <c r="S176" i="2"/>
  <c r="R176" i="2"/>
  <c r="Q176" i="2"/>
  <c r="P176" i="2"/>
  <c r="O176" i="2"/>
  <c r="N176" i="2"/>
  <c r="M176" i="2"/>
  <c r="I176" i="2" s="1"/>
  <c r="L176" i="2"/>
  <c r="U175" i="2"/>
  <c r="T175" i="2"/>
  <c r="S175" i="2"/>
  <c r="R175" i="2"/>
  <c r="Q175" i="2"/>
  <c r="P175" i="2"/>
  <c r="O175" i="2"/>
  <c r="N175" i="2"/>
  <c r="M175" i="2"/>
  <c r="L175" i="2"/>
  <c r="I175" i="2" s="1"/>
  <c r="U174" i="2"/>
  <c r="T174" i="2"/>
  <c r="S174" i="2"/>
  <c r="R174" i="2"/>
  <c r="Q174" i="2"/>
  <c r="P174" i="2"/>
  <c r="O174" i="2"/>
  <c r="N174" i="2"/>
  <c r="M174" i="2"/>
  <c r="I174" i="2" s="1"/>
  <c r="L174" i="2"/>
  <c r="U173" i="2"/>
  <c r="T173" i="2"/>
  <c r="S173" i="2"/>
  <c r="R173" i="2"/>
  <c r="Q173" i="2"/>
  <c r="P173" i="2"/>
  <c r="O173" i="2"/>
  <c r="N173" i="2"/>
  <c r="M173" i="2"/>
  <c r="L173" i="2"/>
  <c r="I173" i="2" s="1"/>
  <c r="U172" i="2"/>
  <c r="T172" i="2"/>
  <c r="S172" i="2"/>
  <c r="R172" i="2"/>
  <c r="Q172" i="2"/>
  <c r="P172" i="2"/>
  <c r="O172" i="2"/>
  <c r="N172" i="2"/>
  <c r="M172" i="2"/>
  <c r="I172" i="2" s="1"/>
  <c r="L172" i="2"/>
  <c r="U171" i="2"/>
  <c r="T171" i="2"/>
  <c r="S171" i="2"/>
  <c r="R171" i="2"/>
  <c r="Q171" i="2"/>
  <c r="P171" i="2"/>
  <c r="O171" i="2"/>
  <c r="N171" i="2"/>
  <c r="M171" i="2"/>
  <c r="L171" i="2"/>
  <c r="I171" i="2" s="1"/>
  <c r="U170" i="2"/>
  <c r="T170" i="2"/>
  <c r="S170" i="2"/>
  <c r="R170" i="2"/>
  <c r="Q170" i="2"/>
  <c r="P170" i="2"/>
  <c r="O170" i="2"/>
  <c r="N170" i="2"/>
  <c r="M170" i="2"/>
  <c r="I170" i="2" s="1"/>
  <c r="L170" i="2"/>
  <c r="U169" i="2"/>
  <c r="T169" i="2"/>
  <c r="S169" i="2"/>
  <c r="R169" i="2"/>
  <c r="Q169" i="2"/>
  <c r="P169" i="2"/>
  <c r="O169" i="2"/>
  <c r="N169" i="2"/>
  <c r="M169" i="2"/>
  <c r="L169" i="2"/>
  <c r="I169" i="2" s="1"/>
  <c r="U168" i="2"/>
  <c r="T168" i="2"/>
  <c r="S168" i="2"/>
  <c r="R168" i="2"/>
  <c r="Q168" i="2"/>
  <c r="P168" i="2"/>
  <c r="O168" i="2"/>
  <c r="N168" i="2"/>
  <c r="M168" i="2"/>
  <c r="I168" i="2" s="1"/>
  <c r="L168" i="2"/>
  <c r="U167" i="2"/>
  <c r="T167" i="2"/>
  <c r="S167" i="2"/>
  <c r="R167" i="2"/>
  <c r="Q167" i="2"/>
  <c r="P167" i="2"/>
  <c r="O167" i="2"/>
  <c r="N167" i="2"/>
  <c r="M167" i="2"/>
  <c r="L167" i="2"/>
  <c r="I167" i="2" s="1"/>
  <c r="U166" i="2"/>
  <c r="T166" i="2"/>
  <c r="S166" i="2"/>
  <c r="R166" i="2"/>
  <c r="Q166" i="2"/>
  <c r="P166" i="2"/>
  <c r="O166" i="2"/>
  <c r="N166" i="2"/>
  <c r="M166" i="2"/>
  <c r="I166" i="2" s="1"/>
  <c r="L166" i="2"/>
  <c r="U165" i="2"/>
  <c r="T165" i="2"/>
  <c r="S165" i="2"/>
  <c r="R165" i="2"/>
  <c r="Q165" i="2"/>
  <c r="P165" i="2"/>
  <c r="O165" i="2"/>
  <c r="N165" i="2"/>
  <c r="M165" i="2"/>
  <c r="L165" i="2"/>
  <c r="I165" i="2" s="1"/>
  <c r="U164" i="2"/>
  <c r="T164" i="2"/>
  <c r="S164" i="2"/>
  <c r="R164" i="2"/>
  <c r="Q164" i="2"/>
  <c r="P164" i="2"/>
  <c r="O164" i="2"/>
  <c r="N164" i="2"/>
  <c r="M164" i="2"/>
  <c r="I164" i="2" s="1"/>
  <c r="L164" i="2"/>
  <c r="U163" i="2"/>
  <c r="T163" i="2"/>
  <c r="S163" i="2"/>
  <c r="R163" i="2"/>
  <c r="Q163" i="2"/>
  <c r="P163" i="2"/>
  <c r="O163" i="2"/>
  <c r="N163" i="2"/>
  <c r="M163" i="2"/>
  <c r="L163" i="2"/>
  <c r="I163" i="2" s="1"/>
  <c r="U162" i="2"/>
  <c r="T162" i="2"/>
  <c r="S162" i="2"/>
  <c r="R162" i="2"/>
  <c r="Q162" i="2"/>
  <c r="P162" i="2"/>
  <c r="O162" i="2"/>
  <c r="N162" i="2"/>
  <c r="M162" i="2"/>
  <c r="I162" i="2" s="1"/>
  <c r="L162" i="2"/>
  <c r="U161" i="2"/>
  <c r="T161" i="2"/>
  <c r="S161" i="2"/>
  <c r="R161" i="2"/>
  <c r="Q161" i="2"/>
  <c r="P161" i="2"/>
  <c r="O161" i="2"/>
  <c r="N161" i="2"/>
  <c r="M161" i="2"/>
  <c r="L161" i="2"/>
  <c r="I161" i="2" s="1"/>
  <c r="U160" i="2"/>
  <c r="T160" i="2"/>
  <c r="S160" i="2"/>
  <c r="R160" i="2"/>
  <c r="Q160" i="2"/>
  <c r="P160" i="2"/>
  <c r="O160" i="2"/>
  <c r="N160" i="2"/>
  <c r="M160" i="2"/>
  <c r="I160" i="2" s="1"/>
  <c r="L160" i="2"/>
  <c r="U159" i="2"/>
  <c r="T159" i="2"/>
  <c r="S159" i="2"/>
  <c r="R159" i="2"/>
  <c r="Q159" i="2"/>
  <c r="P159" i="2"/>
  <c r="O159" i="2"/>
  <c r="N159" i="2"/>
  <c r="M159" i="2"/>
  <c r="L159" i="2"/>
  <c r="I159" i="2" s="1"/>
  <c r="U158" i="2"/>
  <c r="T158" i="2"/>
  <c r="S158" i="2"/>
  <c r="R158" i="2"/>
  <c r="Q158" i="2"/>
  <c r="P158" i="2"/>
  <c r="O158" i="2"/>
  <c r="N158" i="2"/>
  <c r="M158" i="2"/>
  <c r="I158" i="2" s="1"/>
  <c r="L158" i="2"/>
  <c r="U157" i="2"/>
  <c r="T157" i="2"/>
  <c r="S157" i="2"/>
  <c r="R157" i="2"/>
  <c r="Q157" i="2"/>
  <c r="P157" i="2"/>
  <c r="O157" i="2"/>
  <c r="N157" i="2"/>
  <c r="M157" i="2"/>
  <c r="L157" i="2"/>
  <c r="I157" i="2" s="1"/>
  <c r="U156" i="2"/>
  <c r="T156" i="2"/>
  <c r="S156" i="2"/>
  <c r="R156" i="2"/>
  <c r="Q156" i="2"/>
  <c r="P156" i="2"/>
  <c r="O156" i="2"/>
  <c r="N156" i="2"/>
  <c r="M156" i="2"/>
  <c r="I156" i="2" s="1"/>
  <c r="L156" i="2"/>
  <c r="U155" i="2"/>
  <c r="T155" i="2"/>
  <c r="S155" i="2"/>
  <c r="R155" i="2"/>
  <c r="Q155" i="2"/>
  <c r="P155" i="2"/>
  <c r="O155" i="2"/>
  <c r="N155" i="2"/>
  <c r="M155" i="2"/>
  <c r="L155" i="2"/>
  <c r="I155" i="2" s="1"/>
  <c r="U154" i="2"/>
  <c r="T154" i="2"/>
  <c r="S154" i="2"/>
  <c r="R154" i="2"/>
  <c r="Q154" i="2"/>
  <c r="P154" i="2"/>
  <c r="O154" i="2"/>
  <c r="N154" i="2"/>
  <c r="M154" i="2"/>
  <c r="I154" i="2" s="1"/>
  <c r="L154" i="2"/>
  <c r="U153" i="2"/>
  <c r="T153" i="2"/>
  <c r="S153" i="2"/>
  <c r="R153" i="2"/>
  <c r="Q153" i="2"/>
  <c r="P153" i="2"/>
  <c r="O153" i="2"/>
  <c r="N153" i="2"/>
  <c r="M153" i="2"/>
  <c r="L153" i="2"/>
  <c r="I153" i="2" s="1"/>
  <c r="U152" i="2"/>
  <c r="T152" i="2"/>
  <c r="S152" i="2"/>
  <c r="R152" i="2"/>
  <c r="Q152" i="2"/>
  <c r="P152" i="2"/>
  <c r="O152" i="2"/>
  <c r="N152" i="2"/>
  <c r="M152" i="2"/>
  <c r="I152" i="2" s="1"/>
  <c r="L152" i="2"/>
  <c r="U151" i="2"/>
  <c r="T151" i="2"/>
  <c r="S151" i="2"/>
  <c r="R151" i="2"/>
  <c r="Q151" i="2"/>
  <c r="P151" i="2"/>
  <c r="O151" i="2"/>
  <c r="N151" i="2"/>
  <c r="M151" i="2"/>
  <c r="L151" i="2"/>
  <c r="I151" i="2" s="1"/>
  <c r="U150" i="2"/>
  <c r="T150" i="2"/>
  <c r="S150" i="2"/>
  <c r="R150" i="2"/>
  <c r="Q150" i="2"/>
  <c r="P150" i="2"/>
  <c r="O150" i="2"/>
  <c r="N150" i="2"/>
  <c r="M150" i="2"/>
  <c r="I150" i="2" s="1"/>
  <c r="L150" i="2"/>
  <c r="U149" i="2"/>
  <c r="T149" i="2"/>
  <c r="S149" i="2"/>
  <c r="R149" i="2"/>
  <c r="Q149" i="2"/>
  <c r="P149" i="2"/>
  <c r="O149" i="2"/>
  <c r="N149" i="2"/>
  <c r="M149" i="2"/>
  <c r="L149" i="2"/>
  <c r="I149" i="2" s="1"/>
  <c r="U148" i="2"/>
  <c r="T148" i="2"/>
  <c r="S148" i="2"/>
  <c r="R148" i="2"/>
  <c r="Q148" i="2"/>
  <c r="P148" i="2"/>
  <c r="O148" i="2"/>
  <c r="N148" i="2"/>
  <c r="M148" i="2"/>
  <c r="I148" i="2" s="1"/>
  <c r="L148" i="2"/>
  <c r="U147" i="2"/>
  <c r="T147" i="2"/>
  <c r="S147" i="2"/>
  <c r="R147" i="2"/>
  <c r="Q147" i="2"/>
  <c r="P147" i="2"/>
  <c r="O147" i="2"/>
  <c r="N147" i="2"/>
  <c r="M147" i="2"/>
  <c r="L147" i="2"/>
  <c r="I147" i="2" s="1"/>
  <c r="U146" i="2"/>
  <c r="T146" i="2"/>
  <c r="S146" i="2"/>
  <c r="R146" i="2"/>
  <c r="Q146" i="2"/>
  <c r="P146" i="2"/>
  <c r="O146" i="2"/>
  <c r="N146" i="2"/>
  <c r="M146" i="2"/>
  <c r="I146" i="2" s="1"/>
  <c r="L146" i="2"/>
  <c r="U145" i="2"/>
  <c r="T145" i="2"/>
  <c r="S145" i="2"/>
  <c r="R145" i="2"/>
  <c r="Q145" i="2"/>
  <c r="P145" i="2"/>
  <c r="O145" i="2"/>
  <c r="N145" i="2"/>
  <c r="M145" i="2"/>
  <c r="L145" i="2"/>
  <c r="I145" i="2" s="1"/>
  <c r="U144" i="2"/>
  <c r="T144" i="2"/>
  <c r="S144" i="2"/>
  <c r="R144" i="2"/>
  <c r="Q144" i="2"/>
  <c r="P144" i="2"/>
  <c r="O144" i="2"/>
  <c r="N144" i="2"/>
  <c r="M144" i="2"/>
  <c r="I144" i="2" s="1"/>
  <c r="L144" i="2"/>
  <c r="U143" i="2"/>
  <c r="T143" i="2"/>
  <c r="S143" i="2"/>
  <c r="R143" i="2"/>
  <c r="Q143" i="2"/>
  <c r="P143" i="2"/>
  <c r="O143" i="2"/>
  <c r="N143" i="2"/>
  <c r="M143" i="2"/>
  <c r="L143" i="2"/>
  <c r="I143" i="2" s="1"/>
  <c r="U142" i="2"/>
  <c r="T142" i="2"/>
  <c r="S142" i="2"/>
  <c r="R142" i="2"/>
  <c r="Q142" i="2"/>
  <c r="P142" i="2"/>
  <c r="O142" i="2"/>
  <c r="N142" i="2"/>
  <c r="M142" i="2"/>
  <c r="I142" i="2" s="1"/>
  <c r="L142" i="2"/>
  <c r="U141" i="2"/>
  <c r="T141" i="2"/>
  <c r="S141" i="2"/>
  <c r="R141" i="2"/>
  <c r="Q141" i="2"/>
  <c r="P141" i="2"/>
  <c r="O141" i="2"/>
  <c r="N141" i="2"/>
  <c r="M141" i="2"/>
  <c r="L141" i="2"/>
  <c r="I141" i="2" s="1"/>
  <c r="U140" i="2"/>
  <c r="T140" i="2"/>
  <c r="S140" i="2"/>
  <c r="R140" i="2"/>
  <c r="Q140" i="2"/>
  <c r="P140" i="2"/>
  <c r="O140" i="2"/>
  <c r="N140" i="2"/>
  <c r="M140" i="2"/>
  <c r="I140" i="2" s="1"/>
  <c r="L140" i="2"/>
  <c r="U139" i="2"/>
  <c r="T139" i="2"/>
  <c r="S139" i="2"/>
  <c r="R139" i="2"/>
  <c r="Q139" i="2"/>
  <c r="P139" i="2"/>
  <c r="O139" i="2"/>
  <c r="N139" i="2"/>
  <c r="M139" i="2"/>
  <c r="L139" i="2"/>
  <c r="I139" i="2" s="1"/>
  <c r="U138" i="2"/>
  <c r="T138" i="2"/>
  <c r="S138" i="2"/>
  <c r="R138" i="2"/>
  <c r="Q138" i="2"/>
  <c r="P138" i="2"/>
  <c r="O138" i="2"/>
  <c r="N138" i="2"/>
  <c r="M138" i="2"/>
  <c r="I138" i="2" s="1"/>
  <c r="L138" i="2"/>
  <c r="U137" i="2"/>
  <c r="T137" i="2"/>
  <c r="S137" i="2"/>
  <c r="R137" i="2"/>
  <c r="Q137" i="2"/>
  <c r="P137" i="2"/>
  <c r="O137" i="2"/>
  <c r="N137" i="2"/>
  <c r="M137" i="2"/>
  <c r="L137" i="2"/>
  <c r="I137" i="2" s="1"/>
  <c r="U136" i="2"/>
  <c r="T136" i="2"/>
  <c r="S136" i="2"/>
  <c r="R136" i="2"/>
  <c r="Q136" i="2"/>
  <c r="P136" i="2"/>
  <c r="O136" i="2"/>
  <c r="N136" i="2"/>
  <c r="M136" i="2"/>
  <c r="I136" i="2" s="1"/>
  <c r="L136" i="2"/>
  <c r="U135" i="2"/>
  <c r="T135" i="2"/>
  <c r="S135" i="2"/>
  <c r="R135" i="2"/>
  <c r="Q135" i="2"/>
  <c r="P135" i="2"/>
  <c r="O135" i="2"/>
  <c r="N135" i="2"/>
  <c r="M135" i="2"/>
  <c r="L135" i="2"/>
  <c r="I135" i="2" s="1"/>
  <c r="U134" i="2"/>
  <c r="T134" i="2"/>
  <c r="S134" i="2"/>
  <c r="R134" i="2"/>
  <c r="Q134" i="2"/>
  <c r="P134" i="2"/>
  <c r="O134" i="2"/>
  <c r="N134" i="2"/>
  <c r="M134" i="2"/>
  <c r="I134" i="2" s="1"/>
  <c r="L134" i="2"/>
  <c r="U133" i="2"/>
  <c r="T133" i="2"/>
  <c r="S133" i="2"/>
  <c r="R133" i="2"/>
  <c r="Q133" i="2"/>
  <c r="P133" i="2"/>
  <c r="O133" i="2"/>
  <c r="N133" i="2"/>
  <c r="M133" i="2"/>
  <c r="L133" i="2"/>
  <c r="I133" i="2" s="1"/>
  <c r="U132" i="2"/>
  <c r="T132" i="2"/>
  <c r="S132" i="2"/>
  <c r="R132" i="2"/>
  <c r="Q132" i="2"/>
  <c r="P132" i="2"/>
  <c r="O132" i="2"/>
  <c r="N132" i="2"/>
  <c r="M132" i="2"/>
  <c r="I132" i="2" s="1"/>
  <c r="L132" i="2"/>
  <c r="U131" i="2"/>
  <c r="T131" i="2"/>
  <c r="S131" i="2"/>
  <c r="R131" i="2"/>
  <c r="Q131" i="2"/>
  <c r="P131" i="2"/>
  <c r="O131" i="2"/>
  <c r="N131" i="2"/>
  <c r="M131" i="2"/>
  <c r="L131" i="2"/>
  <c r="I131" i="2" s="1"/>
  <c r="U130" i="2"/>
  <c r="T130" i="2"/>
  <c r="S130" i="2"/>
  <c r="R130" i="2"/>
  <c r="Q130" i="2"/>
  <c r="P130" i="2"/>
  <c r="O130" i="2"/>
  <c r="N130" i="2"/>
  <c r="M130" i="2"/>
  <c r="L130" i="2"/>
  <c r="I130" i="2" s="1"/>
  <c r="U129" i="2"/>
  <c r="T129" i="2"/>
  <c r="S129" i="2"/>
  <c r="R129" i="2"/>
  <c r="Q129" i="2"/>
  <c r="P129" i="2"/>
  <c r="O129" i="2"/>
  <c r="N129" i="2"/>
  <c r="M129" i="2"/>
  <c r="L129" i="2"/>
  <c r="I129" i="2" s="1"/>
  <c r="U128" i="2"/>
  <c r="T128" i="2"/>
  <c r="S128" i="2"/>
  <c r="R128" i="2"/>
  <c r="Q128" i="2"/>
  <c r="P128" i="2"/>
  <c r="O128" i="2"/>
  <c r="N128" i="2"/>
  <c r="M128" i="2"/>
  <c r="L128" i="2"/>
  <c r="I128" i="2" s="1"/>
  <c r="U127" i="2"/>
  <c r="T127" i="2"/>
  <c r="S127" i="2"/>
  <c r="R127" i="2"/>
  <c r="Q127" i="2"/>
  <c r="P127" i="2"/>
  <c r="O127" i="2"/>
  <c r="N127" i="2"/>
  <c r="M127" i="2"/>
  <c r="L127" i="2"/>
  <c r="I127" i="2" s="1"/>
  <c r="U126" i="2"/>
  <c r="T126" i="2"/>
  <c r="S126" i="2"/>
  <c r="R126" i="2"/>
  <c r="Q126" i="2"/>
  <c r="P126" i="2"/>
  <c r="O126" i="2"/>
  <c r="N126" i="2"/>
  <c r="M126" i="2"/>
  <c r="L126" i="2"/>
  <c r="I126" i="2" s="1"/>
  <c r="U125" i="2"/>
  <c r="T125" i="2"/>
  <c r="S125" i="2"/>
  <c r="R125" i="2"/>
  <c r="Q125" i="2"/>
  <c r="P125" i="2"/>
  <c r="O125" i="2"/>
  <c r="N125" i="2"/>
  <c r="M125" i="2"/>
  <c r="L125" i="2"/>
  <c r="I125" i="2" s="1"/>
  <c r="U124" i="2"/>
  <c r="T124" i="2"/>
  <c r="S124" i="2"/>
  <c r="R124" i="2"/>
  <c r="Q124" i="2"/>
  <c r="P124" i="2"/>
  <c r="O124" i="2"/>
  <c r="N124" i="2"/>
  <c r="M124" i="2"/>
  <c r="L124" i="2"/>
  <c r="I124" i="2" s="1"/>
  <c r="U123" i="2"/>
  <c r="T123" i="2"/>
  <c r="S123" i="2"/>
  <c r="R123" i="2"/>
  <c r="Q123" i="2"/>
  <c r="P123" i="2"/>
  <c r="O123" i="2"/>
  <c r="N123" i="2"/>
  <c r="M123" i="2"/>
  <c r="L123" i="2"/>
  <c r="I123" i="2" s="1"/>
  <c r="U122" i="2"/>
  <c r="T122" i="2"/>
  <c r="S122" i="2"/>
  <c r="R122" i="2"/>
  <c r="Q122" i="2"/>
  <c r="P122" i="2"/>
  <c r="O122" i="2"/>
  <c r="N122" i="2"/>
  <c r="M122" i="2"/>
  <c r="L122" i="2"/>
  <c r="I122" i="2" s="1"/>
  <c r="U121" i="2"/>
  <c r="T121" i="2"/>
  <c r="S121" i="2"/>
  <c r="R121" i="2"/>
  <c r="Q121" i="2"/>
  <c r="P121" i="2"/>
  <c r="O121" i="2"/>
  <c r="N121" i="2"/>
  <c r="M121" i="2"/>
  <c r="L121" i="2"/>
  <c r="I121" i="2" s="1"/>
  <c r="U120" i="2"/>
  <c r="T120" i="2"/>
  <c r="S120" i="2"/>
  <c r="R120" i="2"/>
  <c r="Q120" i="2"/>
  <c r="P120" i="2"/>
  <c r="O120" i="2"/>
  <c r="N120" i="2"/>
  <c r="M120" i="2"/>
  <c r="L120" i="2"/>
  <c r="I120" i="2" s="1"/>
  <c r="U119" i="2"/>
  <c r="T119" i="2"/>
  <c r="S119" i="2"/>
  <c r="R119" i="2"/>
  <c r="Q119" i="2"/>
  <c r="P119" i="2"/>
  <c r="O119" i="2"/>
  <c r="N119" i="2"/>
  <c r="M119" i="2"/>
  <c r="L119" i="2"/>
  <c r="I119" i="2" s="1"/>
  <c r="U118" i="2"/>
  <c r="T118" i="2"/>
  <c r="S118" i="2"/>
  <c r="R118" i="2"/>
  <c r="Q118" i="2"/>
  <c r="P118" i="2"/>
  <c r="O118" i="2"/>
  <c r="N118" i="2"/>
  <c r="M118" i="2"/>
  <c r="L118" i="2"/>
  <c r="I118" i="2" s="1"/>
  <c r="U117" i="2"/>
  <c r="T117" i="2"/>
  <c r="S117" i="2"/>
  <c r="R117" i="2"/>
  <c r="Q117" i="2"/>
  <c r="P117" i="2"/>
  <c r="O117" i="2"/>
  <c r="N117" i="2"/>
  <c r="M117" i="2"/>
  <c r="L117" i="2"/>
  <c r="I117" i="2" s="1"/>
  <c r="U116" i="2"/>
  <c r="T116" i="2"/>
  <c r="S116" i="2"/>
  <c r="R116" i="2"/>
  <c r="Q116" i="2"/>
  <c r="P116" i="2"/>
  <c r="O116" i="2"/>
  <c r="N116" i="2"/>
  <c r="M116" i="2"/>
  <c r="L116" i="2"/>
  <c r="I116" i="2" s="1"/>
  <c r="U115" i="2"/>
  <c r="T115" i="2"/>
  <c r="S115" i="2"/>
  <c r="R115" i="2"/>
  <c r="Q115" i="2"/>
  <c r="P115" i="2"/>
  <c r="O115" i="2"/>
  <c r="N115" i="2"/>
  <c r="M115" i="2"/>
  <c r="L115" i="2"/>
  <c r="I115" i="2" s="1"/>
  <c r="U114" i="2"/>
  <c r="T114" i="2"/>
  <c r="S114" i="2"/>
  <c r="R114" i="2"/>
  <c r="Q114" i="2"/>
  <c r="P114" i="2"/>
  <c r="O114" i="2"/>
  <c r="N114" i="2"/>
  <c r="M114" i="2"/>
  <c r="L114" i="2"/>
  <c r="I114" i="2" s="1"/>
  <c r="U113" i="2"/>
  <c r="T113" i="2"/>
  <c r="S113" i="2"/>
  <c r="R113" i="2"/>
  <c r="Q113" i="2"/>
  <c r="P113" i="2"/>
  <c r="O113" i="2"/>
  <c r="N113" i="2"/>
  <c r="M113" i="2"/>
  <c r="L113" i="2"/>
  <c r="I113" i="2" s="1"/>
  <c r="U112" i="2"/>
  <c r="T112" i="2"/>
  <c r="S112" i="2"/>
  <c r="R112" i="2"/>
  <c r="Q112" i="2"/>
  <c r="P112" i="2"/>
  <c r="O112" i="2"/>
  <c r="N112" i="2"/>
  <c r="M112" i="2"/>
  <c r="L112" i="2"/>
  <c r="I112" i="2" s="1"/>
  <c r="U111" i="2"/>
  <c r="T111" i="2"/>
  <c r="S111" i="2"/>
  <c r="R111" i="2"/>
  <c r="Q111" i="2"/>
  <c r="P111" i="2"/>
  <c r="O111" i="2"/>
  <c r="N111" i="2"/>
  <c r="M111" i="2"/>
  <c r="L111" i="2"/>
  <c r="I111" i="2" s="1"/>
  <c r="U110" i="2"/>
  <c r="T110" i="2"/>
  <c r="S110" i="2"/>
  <c r="R110" i="2"/>
  <c r="Q110" i="2"/>
  <c r="P110" i="2"/>
  <c r="O110" i="2"/>
  <c r="N110" i="2"/>
  <c r="M110" i="2"/>
  <c r="L110" i="2"/>
  <c r="I110" i="2" s="1"/>
  <c r="U109" i="2"/>
  <c r="T109" i="2"/>
  <c r="S109" i="2"/>
  <c r="R109" i="2"/>
  <c r="Q109" i="2"/>
  <c r="P109" i="2"/>
  <c r="O109" i="2"/>
  <c r="N109" i="2"/>
  <c r="M109" i="2"/>
  <c r="L109" i="2"/>
  <c r="I109" i="2" s="1"/>
  <c r="U108" i="2"/>
  <c r="T108" i="2"/>
  <c r="S108" i="2"/>
  <c r="R108" i="2"/>
  <c r="Q108" i="2"/>
  <c r="P108" i="2"/>
  <c r="O108" i="2"/>
  <c r="N108" i="2"/>
  <c r="M108" i="2"/>
  <c r="L108" i="2"/>
  <c r="I108" i="2" s="1"/>
  <c r="U107" i="2"/>
  <c r="T107" i="2"/>
  <c r="S107" i="2"/>
  <c r="R107" i="2"/>
  <c r="Q107" i="2"/>
  <c r="P107" i="2"/>
  <c r="O107" i="2"/>
  <c r="N107" i="2"/>
  <c r="M107" i="2"/>
  <c r="L107" i="2"/>
  <c r="I107" i="2" s="1"/>
  <c r="U106" i="2"/>
  <c r="T106" i="2"/>
  <c r="S106" i="2"/>
  <c r="R106" i="2"/>
  <c r="Q106" i="2"/>
  <c r="P106" i="2"/>
  <c r="O106" i="2"/>
  <c r="N106" i="2"/>
  <c r="M106" i="2"/>
  <c r="L106" i="2"/>
  <c r="I106" i="2" s="1"/>
  <c r="U105" i="2"/>
  <c r="T105" i="2"/>
  <c r="S105" i="2"/>
  <c r="R105" i="2"/>
  <c r="Q105" i="2"/>
  <c r="P105" i="2"/>
  <c r="O105" i="2"/>
  <c r="N105" i="2"/>
  <c r="M105" i="2"/>
  <c r="L105" i="2"/>
  <c r="I105" i="2" s="1"/>
  <c r="U104" i="2"/>
  <c r="T104" i="2"/>
  <c r="S104" i="2"/>
  <c r="R104" i="2"/>
  <c r="Q104" i="2"/>
  <c r="P104" i="2"/>
  <c r="O104" i="2"/>
  <c r="N104" i="2"/>
  <c r="M104" i="2"/>
  <c r="L104" i="2"/>
  <c r="I104" i="2" s="1"/>
  <c r="U103" i="2"/>
  <c r="T103" i="2"/>
  <c r="S103" i="2"/>
  <c r="R103" i="2"/>
  <c r="Q103" i="2"/>
  <c r="P103" i="2"/>
  <c r="O103" i="2"/>
  <c r="N103" i="2"/>
  <c r="M103" i="2"/>
  <c r="L103" i="2"/>
  <c r="I103" i="2" s="1"/>
  <c r="U102" i="2"/>
  <c r="T102" i="2"/>
  <c r="S102" i="2"/>
  <c r="R102" i="2"/>
  <c r="Q102" i="2"/>
  <c r="P102" i="2"/>
  <c r="O102" i="2"/>
  <c r="N102" i="2"/>
  <c r="M102" i="2"/>
  <c r="L102" i="2"/>
  <c r="I102" i="2" s="1"/>
  <c r="U101" i="2"/>
  <c r="T101" i="2"/>
  <c r="S101" i="2"/>
  <c r="R101" i="2"/>
  <c r="Q101" i="2"/>
  <c r="P101" i="2"/>
  <c r="O101" i="2"/>
  <c r="N101" i="2"/>
  <c r="M101" i="2"/>
  <c r="L101" i="2"/>
  <c r="I101" i="2" s="1"/>
  <c r="U100" i="2"/>
  <c r="T100" i="2"/>
  <c r="S100" i="2"/>
  <c r="R100" i="2"/>
  <c r="Q100" i="2"/>
  <c r="P100" i="2"/>
  <c r="O100" i="2"/>
  <c r="N100" i="2"/>
  <c r="M100" i="2"/>
  <c r="L100" i="2"/>
  <c r="I100" i="2" s="1"/>
  <c r="U99" i="2"/>
  <c r="T99" i="2"/>
  <c r="S99" i="2"/>
  <c r="R99" i="2"/>
  <c r="Q99" i="2"/>
  <c r="P99" i="2"/>
  <c r="O99" i="2"/>
  <c r="N99" i="2"/>
  <c r="M99" i="2"/>
  <c r="L99" i="2"/>
  <c r="I99" i="2" s="1"/>
  <c r="U98" i="2"/>
  <c r="T98" i="2"/>
  <c r="S98" i="2"/>
  <c r="R98" i="2"/>
  <c r="Q98" i="2"/>
  <c r="P98" i="2"/>
  <c r="O98" i="2"/>
  <c r="N98" i="2"/>
  <c r="M98" i="2"/>
  <c r="L98" i="2"/>
  <c r="I98" i="2" s="1"/>
  <c r="U97" i="2"/>
  <c r="T97" i="2"/>
  <c r="S97" i="2"/>
  <c r="R97" i="2"/>
  <c r="Q97" i="2"/>
  <c r="P97" i="2"/>
  <c r="O97" i="2"/>
  <c r="N97" i="2"/>
  <c r="M97" i="2"/>
  <c r="L97" i="2"/>
  <c r="I97" i="2" s="1"/>
  <c r="U96" i="2"/>
  <c r="T96" i="2"/>
  <c r="S96" i="2"/>
  <c r="R96" i="2"/>
  <c r="Q96" i="2"/>
  <c r="P96" i="2"/>
  <c r="O96" i="2"/>
  <c r="N96" i="2"/>
  <c r="M96" i="2"/>
  <c r="L96" i="2"/>
  <c r="I96" i="2" s="1"/>
  <c r="U95" i="2"/>
  <c r="T95" i="2"/>
  <c r="S95" i="2"/>
  <c r="R95" i="2"/>
  <c r="Q95" i="2"/>
  <c r="P95" i="2"/>
  <c r="O95" i="2"/>
  <c r="N95" i="2"/>
  <c r="M95" i="2"/>
  <c r="L95" i="2"/>
  <c r="I95" i="2" s="1"/>
  <c r="U94" i="2"/>
  <c r="T94" i="2"/>
  <c r="S94" i="2"/>
  <c r="R94" i="2"/>
  <c r="Q94" i="2"/>
  <c r="P94" i="2"/>
  <c r="O94" i="2"/>
  <c r="N94" i="2"/>
  <c r="M94" i="2"/>
  <c r="L94" i="2"/>
  <c r="I94" i="2" s="1"/>
  <c r="U93" i="2"/>
  <c r="T93" i="2"/>
  <c r="S93" i="2"/>
  <c r="R93" i="2"/>
  <c r="Q93" i="2"/>
  <c r="P93" i="2"/>
  <c r="O93" i="2"/>
  <c r="N93" i="2"/>
  <c r="M93" i="2"/>
  <c r="L93" i="2"/>
  <c r="I93" i="2" s="1"/>
  <c r="U92" i="2"/>
  <c r="T92" i="2"/>
  <c r="S92" i="2"/>
  <c r="R92" i="2"/>
  <c r="Q92" i="2"/>
  <c r="P92" i="2"/>
  <c r="O92" i="2"/>
  <c r="N92" i="2"/>
  <c r="M92" i="2"/>
  <c r="L92" i="2"/>
  <c r="I92" i="2" s="1"/>
  <c r="U91" i="2"/>
  <c r="T91" i="2"/>
  <c r="S91" i="2"/>
  <c r="R91" i="2"/>
  <c r="Q91" i="2"/>
  <c r="P91" i="2"/>
  <c r="O91" i="2"/>
  <c r="N91" i="2"/>
  <c r="M91" i="2"/>
  <c r="L91" i="2"/>
  <c r="I91" i="2" s="1"/>
  <c r="U90" i="2"/>
  <c r="T90" i="2"/>
  <c r="S90" i="2"/>
  <c r="R90" i="2"/>
  <c r="Q90" i="2"/>
  <c r="P90" i="2"/>
  <c r="O90" i="2"/>
  <c r="N90" i="2"/>
  <c r="M90" i="2"/>
  <c r="L90" i="2"/>
  <c r="I90" i="2" s="1"/>
  <c r="U89" i="2"/>
  <c r="T89" i="2"/>
  <c r="S89" i="2"/>
  <c r="R89" i="2"/>
  <c r="Q89" i="2"/>
  <c r="P89" i="2"/>
  <c r="O89" i="2"/>
  <c r="N89" i="2"/>
  <c r="M89" i="2"/>
  <c r="L89" i="2"/>
  <c r="I89" i="2" s="1"/>
  <c r="U88" i="2"/>
  <c r="T88" i="2"/>
  <c r="S88" i="2"/>
  <c r="R88" i="2"/>
  <c r="Q88" i="2"/>
  <c r="P88" i="2"/>
  <c r="O88" i="2"/>
  <c r="N88" i="2"/>
  <c r="M88" i="2"/>
  <c r="L88" i="2"/>
  <c r="I88" i="2" s="1"/>
  <c r="U87" i="2"/>
  <c r="T87" i="2"/>
  <c r="S87" i="2"/>
  <c r="R87" i="2"/>
  <c r="Q87" i="2"/>
  <c r="P87" i="2"/>
  <c r="O87" i="2"/>
  <c r="N87" i="2"/>
  <c r="M87" i="2"/>
  <c r="L87" i="2"/>
  <c r="I87" i="2" s="1"/>
  <c r="U86" i="2"/>
  <c r="T86" i="2"/>
  <c r="S86" i="2"/>
  <c r="R86" i="2"/>
  <c r="Q86" i="2"/>
  <c r="P86" i="2"/>
  <c r="O86" i="2"/>
  <c r="N86" i="2"/>
  <c r="M86" i="2"/>
  <c r="L86" i="2"/>
  <c r="I86" i="2" s="1"/>
  <c r="U85" i="2"/>
  <c r="T85" i="2"/>
  <c r="S85" i="2"/>
  <c r="R85" i="2"/>
  <c r="Q85" i="2"/>
  <c r="P85" i="2"/>
  <c r="O85" i="2"/>
  <c r="N85" i="2"/>
  <c r="M85" i="2"/>
  <c r="L85" i="2"/>
  <c r="I85" i="2" s="1"/>
  <c r="U84" i="2"/>
  <c r="T84" i="2"/>
  <c r="S84" i="2"/>
  <c r="R84" i="2"/>
  <c r="Q84" i="2"/>
  <c r="P84" i="2"/>
  <c r="O84" i="2"/>
  <c r="N84" i="2"/>
  <c r="M84" i="2"/>
  <c r="L84" i="2"/>
  <c r="I84" i="2" s="1"/>
  <c r="U83" i="2"/>
  <c r="T83" i="2"/>
  <c r="S83" i="2"/>
  <c r="R83" i="2"/>
  <c r="Q83" i="2"/>
  <c r="P83" i="2"/>
  <c r="O83" i="2"/>
  <c r="N83" i="2"/>
  <c r="M83" i="2"/>
  <c r="L83" i="2"/>
  <c r="I83" i="2" s="1"/>
  <c r="U82" i="2"/>
  <c r="T82" i="2"/>
  <c r="S82" i="2"/>
  <c r="R82" i="2"/>
  <c r="Q82" i="2"/>
  <c r="P82" i="2"/>
  <c r="O82" i="2"/>
  <c r="N82" i="2"/>
  <c r="M82" i="2"/>
  <c r="L82" i="2"/>
  <c r="I82" i="2" s="1"/>
  <c r="U81" i="2"/>
  <c r="T81" i="2"/>
  <c r="S81" i="2"/>
  <c r="R81" i="2"/>
  <c r="Q81" i="2"/>
  <c r="P81" i="2"/>
  <c r="O81" i="2"/>
  <c r="N81" i="2"/>
  <c r="M81" i="2"/>
  <c r="L81" i="2"/>
  <c r="I81" i="2" s="1"/>
  <c r="U80" i="2"/>
  <c r="T80" i="2"/>
  <c r="S80" i="2"/>
  <c r="R80" i="2"/>
  <c r="Q80" i="2"/>
  <c r="P80" i="2"/>
  <c r="O80" i="2"/>
  <c r="N80" i="2"/>
  <c r="M80" i="2"/>
  <c r="L80" i="2"/>
  <c r="I80" i="2" s="1"/>
  <c r="U79" i="2"/>
  <c r="T79" i="2"/>
  <c r="S79" i="2"/>
  <c r="R79" i="2"/>
  <c r="Q79" i="2"/>
  <c r="P79" i="2"/>
  <c r="O79" i="2"/>
  <c r="N79" i="2"/>
  <c r="M79" i="2"/>
  <c r="L79" i="2"/>
  <c r="I79" i="2" s="1"/>
  <c r="U78" i="2"/>
  <c r="T78" i="2"/>
  <c r="S78" i="2"/>
  <c r="R78" i="2"/>
  <c r="Q78" i="2"/>
  <c r="P78" i="2"/>
  <c r="O78" i="2"/>
  <c r="N78" i="2"/>
  <c r="M78" i="2"/>
  <c r="L78" i="2"/>
  <c r="I78" i="2" s="1"/>
  <c r="U77" i="2"/>
  <c r="T77" i="2"/>
  <c r="S77" i="2"/>
  <c r="R77" i="2"/>
  <c r="Q77" i="2"/>
  <c r="P77" i="2"/>
  <c r="O77" i="2"/>
  <c r="N77" i="2"/>
  <c r="M77" i="2"/>
  <c r="L77" i="2"/>
  <c r="I77" i="2" s="1"/>
  <c r="U76" i="2"/>
  <c r="T76" i="2"/>
  <c r="S76" i="2"/>
  <c r="R76" i="2"/>
  <c r="Q76" i="2"/>
  <c r="P76" i="2"/>
  <c r="O76" i="2"/>
  <c r="N76" i="2"/>
  <c r="M76" i="2"/>
  <c r="L76" i="2"/>
  <c r="I76" i="2" s="1"/>
  <c r="U75" i="2"/>
  <c r="T75" i="2"/>
  <c r="S75" i="2"/>
  <c r="R75" i="2"/>
  <c r="Q75" i="2"/>
  <c r="P75" i="2"/>
  <c r="O75" i="2"/>
  <c r="N75" i="2"/>
  <c r="M75" i="2"/>
  <c r="L75" i="2"/>
  <c r="I75" i="2" s="1"/>
  <c r="U74" i="2"/>
  <c r="T74" i="2"/>
  <c r="S74" i="2"/>
  <c r="R74" i="2"/>
  <c r="Q74" i="2"/>
  <c r="P74" i="2"/>
  <c r="O74" i="2"/>
  <c r="N74" i="2"/>
  <c r="M74" i="2"/>
  <c r="L74" i="2"/>
  <c r="I74" i="2" s="1"/>
  <c r="U73" i="2"/>
  <c r="T73" i="2"/>
  <c r="S73" i="2"/>
  <c r="R73" i="2"/>
  <c r="Q73" i="2"/>
  <c r="P73" i="2"/>
  <c r="O73" i="2"/>
  <c r="N73" i="2"/>
  <c r="M73" i="2"/>
  <c r="L73" i="2"/>
  <c r="I73" i="2" s="1"/>
  <c r="U72" i="2"/>
  <c r="T72" i="2"/>
  <c r="S72" i="2"/>
  <c r="R72" i="2"/>
  <c r="Q72" i="2"/>
  <c r="P72" i="2"/>
  <c r="O72" i="2"/>
  <c r="N72" i="2"/>
  <c r="M72" i="2"/>
  <c r="L72" i="2"/>
  <c r="I72" i="2" s="1"/>
  <c r="U71" i="2"/>
  <c r="T71" i="2"/>
  <c r="S71" i="2"/>
  <c r="R71" i="2"/>
  <c r="Q71" i="2"/>
  <c r="P71" i="2"/>
  <c r="O71" i="2"/>
  <c r="N71" i="2"/>
  <c r="M71" i="2"/>
  <c r="L71" i="2"/>
  <c r="I71" i="2" s="1"/>
  <c r="U70" i="2"/>
  <c r="T70" i="2"/>
  <c r="S70" i="2"/>
  <c r="R70" i="2"/>
  <c r="Q70" i="2"/>
  <c r="P70" i="2"/>
  <c r="O70" i="2"/>
  <c r="N70" i="2"/>
  <c r="M70" i="2"/>
  <c r="L70" i="2"/>
  <c r="I70" i="2" s="1"/>
  <c r="U69" i="2"/>
  <c r="T69" i="2"/>
  <c r="S69" i="2"/>
  <c r="R69" i="2"/>
  <c r="Q69" i="2"/>
  <c r="P69" i="2"/>
  <c r="O69" i="2"/>
  <c r="N69" i="2"/>
  <c r="M69" i="2"/>
  <c r="L69" i="2"/>
  <c r="I69" i="2" s="1"/>
  <c r="U68" i="2"/>
  <c r="T68" i="2"/>
  <c r="S68" i="2"/>
  <c r="R68" i="2"/>
  <c r="Q68" i="2"/>
  <c r="P68" i="2"/>
  <c r="O68" i="2"/>
  <c r="N68" i="2"/>
  <c r="M68" i="2"/>
  <c r="L68" i="2"/>
  <c r="I68" i="2" s="1"/>
  <c r="U67" i="2"/>
  <c r="T67" i="2"/>
  <c r="S67" i="2"/>
  <c r="R67" i="2"/>
  <c r="Q67" i="2"/>
  <c r="P67" i="2"/>
  <c r="O67" i="2"/>
  <c r="N67" i="2"/>
  <c r="M67" i="2"/>
  <c r="L67" i="2"/>
  <c r="I67" i="2" s="1"/>
  <c r="U66" i="2"/>
  <c r="T66" i="2"/>
  <c r="S66" i="2"/>
  <c r="R66" i="2"/>
  <c r="Q66" i="2"/>
  <c r="P66" i="2"/>
  <c r="O66" i="2"/>
  <c r="N66" i="2"/>
  <c r="M66" i="2"/>
  <c r="L66" i="2"/>
  <c r="I66" i="2" s="1"/>
  <c r="U65" i="2"/>
  <c r="T65" i="2"/>
  <c r="S65" i="2"/>
  <c r="R65" i="2"/>
  <c r="Q65" i="2"/>
  <c r="P65" i="2"/>
  <c r="O65" i="2"/>
  <c r="N65" i="2"/>
  <c r="M65" i="2"/>
  <c r="L65" i="2"/>
  <c r="I65" i="2" s="1"/>
  <c r="U64" i="2"/>
  <c r="T64" i="2"/>
  <c r="S64" i="2"/>
  <c r="R64" i="2"/>
  <c r="Q64" i="2"/>
  <c r="P64" i="2"/>
  <c r="O64" i="2"/>
  <c r="N64" i="2"/>
  <c r="M64" i="2"/>
  <c r="L64" i="2"/>
  <c r="I64" i="2" s="1"/>
  <c r="U63" i="2"/>
  <c r="T63" i="2"/>
  <c r="S63" i="2"/>
  <c r="R63" i="2"/>
  <c r="Q63" i="2"/>
  <c r="P63" i="2"/>
  <c r="O63" i="2"/>
  <c r="N63" i="2"/>
  <c r="M63" i="2"/>
  <c r="L63" i="2"/>
  <c r="I63" i="2" s="1"/>
  <c r="U62" i="2"/>
  <c r="T62" i="2"/>
  <c r="S62" i="2"/>
  <c r="R62" i="2"/>
  <c r="Q62" i="2"/>
  <c r="P62" i="2"/>
  <c r="O62" i="2"/>
  <c r="N62" i="2"/>
  <c r="M62" i="2"/>
  <c r="L62" i="2"/>
  <c r="I62" i="2" s="1"/>
  <c r="U61" i="2"/>
  <c r="T61" i="2"/>
  <c r="S61" i="2"/>
  <c r="R61" i="2"/>
  <c r="Q61" i="2"/>
  <c r="P61" i="2"/>
  <c r="O61" i="2"/>
  <c r="N61" i="2"/>
  <c r="M61" i="2"/>
  <c r="L61" i="2"/>
  <c r="I61" i="2" s="1"/>
  <c r="U60" i="2"/>
  <c r="T60" i="2"/>
  <c r="S60" i="2"/>
  <c r="R60" i="2"/>
  <c r="Q60" i="2"/>
  <c r="P60" i="2"/>
  <c r="O60" i="2"/>
  <c r="N60" i="2"/>
  <c r="M60" i="2"/>
  <c r="L60" i="2"/>
  <c r="I60" i="2" s="1"/>
  <c r="U59" i="2"/>
  <c r="T59" i="2"/>
  <c r="S59" i="2"/>
  <c r="R59" i="2"/>
  <c r="Q59" i="2"/>
  <c r="P59" i="2"/>
  <c r="O59" i="2"/>
  <c r="N59" i="2"/>
  <c r="M59" i="2"/>
  <c r="L59" i="2"/>
  <c r="I59" i="2" s="1"/>
  <c r="U58" i="2"/>
  <c r="T58" i="2"/>
  <c r="S58" i="2"/>
  <c r="R58" i="2"/>
  <c r="Q58" i="2"/>
  <c r="P58" i="2"/>
  <c r="O58" i="2"/>
  <c r="N58" i="2"/>
  <c r="M58" i="2"/>
  <c r="L58" i="2"/>
  <c r="I58" i="2" s="1"/>
  <c r="U57" i="2"/>
  <c r="T57" i="2"/>
  <c r="S57" i="2"/>
  <c r="R57" i="2"/>
  <c r="Q57" i="2"/>
  <c r="P57" i="2"/>
  <c r="O57" i="2"/>
  <c r="N57" i="2"/>
  <c r="M57" i="2"/>
  <c r="L57" i="2"/>
  <c r="I57" i="2" s="1"/>
  <c r="U56" i="2"/>
  <c r="T56" i="2"/>
  <c r="S56" i="2"/>
  <c r="R56" i="2"/>
  <c r="Q56" i="2"/>
  <c r="P56" i="2"/>
  <c r="O56" i="2"/>
  <c r="N56" i="2"/>
  <c r="M56" i="2"/>
  <c r="L56" i="2"/>
  <c r="I56" i="2" s="1"/>
  <c r="U55" i="2"/>
  <c r="T55" i="2"/>
  <c r="S55" i="2"/>
  <c r="R55" i="2"/>
  <c r="Q55" i="2"/>
  <c r="P55" i="2"/>
  <c r="O55" i="2"/>
  <c r="N55" i="2"/>
  <c r="M55" i="2"/>
  <c r="L55" i="2"/>
  <c r="I55" i="2" s="1"/>
  <c r="U54" i="2"/>
  <c r="T54" i="2"/>
  <c r="S54" i="2"/>
  <c r="R54" i="2"/>
  <c r="Q54" i="2"/>
  <c r="P54" i="2"/>
  <c r="O54" i="2"/>
  <c r="N54" i="2"/>
  <c r="M54" i="2"/>
  <c r="L54" i="2"/>
  <c r="I54" i="2" s="1"/>
  <c r="U53" i="2"/>
  <c r="T53" i="2"/>
  <c r="S53" i="2"/>
  <c r="R53" i="2"/>
  <c r="Q53" i="2"/>
  <c r="P53" i="2"/>
  <c r="O53" i="2"/>
  <c r="N53" i="2"/>
  <c r="M53" i="2"/>
  <c r="L53" i="2"/>
  <c r="I53" i="2" s="1"/>
  <c r="U52" i="2"/>
  <c r="T52" i="2"/>
  <c r="S52" i="2"/>
  <c r="R52" i="2"/>
  <c r="Q52" i="2"/>
  <c r="P52" i="2"/>
  <c r="O52" i="2"/>
  <c r="N52" i="2"/>
  <c r="M52" i="2"/>
  <c r="L52" i="2"/>
  <c r="I52" i="2" s="1"/>
  <c r="U51" i="2"/>
  <c r="T51" i="2"/>
  <c r="S51" i="2"/>
  <c r="R51" i="2"/>
  <c r="Q51" i="2"/>
  <c r="P51" i="2"/>
  <c r="O51" i="2"/>
  <c r="N51" i="2"/>
  <c r="M51" i="2"/>
  <c r="L51" i="2"/>
  <c r="I51" i="2" s="1"/>
  <c r="U50" i="2"/>
  <c r="T50" i="2"/>
  <c r="S50" i="2"/>
  <c r="R50" i="2"/>
  <c r="Q50" i="2"/>
  <c r="P50" i="2"/>
  <c r="O50" i="2"/>
  <c r="N50" i="2"/>
  <c r="M50" i="2"/>
  <c r="L50" i="2"/>
  <c r="I50" i="2" s="1"/>
  <c r="U49" i="2"/>
  <c r="T49" i="2"/>
  <c r="S49" i="2"/>
  <c r="R49" i="2"/>
  <c r="Q49" i="2"/>
  <c r="P49" i="2"/>
  <c r="O49" i="2"/>
  <c r="N49" i="2"/>
  <c r="M49" i="2"/>
  <c r="L49" i="2"/>
  <c r="I49" i="2" s="1"/>
  <c r="U48" i="2"/>
  <c r="T48" i="2"/>
  <c r="S48" i="2"/>
  <c r="R48" i="2"/>
  <c r="Q48" i="2"/>
  <c r="P48" i="2"/>
  <c r="O48" i="2"/>
  <c r="N48" i="2"/>
  <c r="M48" i="2"/>
  <c r="L48" i="2"/>
  <c r="I48" i="2" s="1"/>
  <c r="U47" i="2"/>
  <c r="T47" i="2"/>
  <c r="S47" i="2"/>
  <c r="R47" i="2"/>
  <c r="Q47" i="2"/>
  <c r="P47" i="2"/>
  <c r="O47" i="2"/>
  <c r="N47" i="2"/>
  <c r="M47" i="2"/>
  <c r="L47" i="2"/>
  <c r="I47" i="2" s="1"/>
  <c r="U46" i="2"/>
  <c r="T46" i="2"/>
  <c r="S46" i="2"/>
  <c r="R46" i="2"/>
  <c r="Q46" i="2"/>
  <c r="P46" i="2"/>
  <c r="O46" i="2"/>
  <c r="N46" i="2"/>
  <c r="M46" i="2"/>
  <c r="L46" i="2"/>
  <c r="I46" i="2" s="1"/>
  <c r="U45" i="2"/>
  <c r="T45" i="2"/>
  <c r="S45" i="2"/>
  <c r="R45" i="2"/>
  <c r="Q45" i="2"/>
  <c r="P45" i="2"/>
  <c r="O45" i="2"/>
  <c r="N45" i="2"/>
  <c r="M45" i="2"/>
  <c r="L45" i="2"/>
  <c r="I45" i="2" s="1"/>
  <c r="U44" i="2"/>
  <c r="T44" i="2"/>
  <c r="S44" i="2"/>
  <c r="R44" i="2"/>
  <c r="Q44" i="2"/>
  <c r="P44" i="2"/>
  <c r="O44" i="2"/>
  <c r="N44" i="2"/>
  <c r="M44" i="2"/>
  <c r="L44" i="2"/>
  <c r="I44" i="2" s="1"/>
  <c r="U43" i="2"/>
  <c r="T43" i="2"/>
  <c r="S43" i="2"/>
  <c r="R43" i="2"/>
  <c r="Q43" i="2"/>
  <c r="P43" i="2"/>
  <c r="O43" i="2"/>
  <c r="N43" i="2"/>
  <c r="M43" i="2"/>
  <c r="L43" i="2"/>
  <c r="I43" i="2" s="1"/>
  <c r="U42" i="2"/>
  <c r="T42" i="2"/>
  <c r="S42" i="2"/>
  <c r="R42" i="2"/>
  <c r="Q42" i="2"/>
  <c r="P42" i="2"/>
  <c r="O42" i="2"/>
  <c r="N42" i="2"/>
  <c r="M42" i="2"/>
  <c r="L42" i="2"/>
  <c r="I42" i="2" s="1"/>
  <c r="U41" i="2"/>
  <c r="T41" i="2"/>
  <c r="S41" i="2"/>
  <c r="R41" i="2"/>
  <c r="Q41" i="2"/>
  <c r="P41" i="2"/>
  <c r="O41" i="2"/>
  <c r="N41" i="2"/>
  <c r="M41" i="2"/>
  <c r="L41" i="2"/>
  <c r="I41" i="2" s="1"/>
  <c r="U40" i="2"/>
  <c r="T40" i="2"/>
  <c r="S40" i="2"/>
  <c r="R40" i="2"/>
  <c r="Q40" i="2"/>
  <c r="P40" i="2"/>
  <c r="O40" i="2"/>
  <c r="N40" i="2"/>
  <c r="M40" i="2"/>
  <c r="L40" i="2"/>
  <c r="I40" i="2" s="1"/>
  <c r="U39" i="2"/>
  <c r="T39" i="2"/>
  <c r="S39" i="2"/>
  <c r="R39" i="2"/>
  <c r="Q39" i="2"/>
  <c r="P39" i="2"/>
  <c r="O39" i="2"/>
  <c r="N39" i="2"/>
  <c r="M39" i="2"/>
  <c r="L39" i="2"/>
  <c r="I39" i="2" s="1"/>
  <c r="U38" i="2"/>
  <c r="T38" i="2"/>
  <c r="S38" i="2"/>
  <c r="R38" i="2"/>
  <c r="Q38" i="2"/>
  <c r="P38" i="2"/>
  <c r="O38" i="2"/>
  <c r="N38" i="2"/>
  <c r="M38" i="2"/>
  <c r="L38" i="2"/>
  <c r="I38" i="2" s="1"/>
  <c r="U37" i="2"/>
  <c r="T37" i="2"/>
  <c r="S37" i="2"/>
  <c r="R37" i="2"/>
  <c r="Q37" i="2"/>
  <c r="P37" i="2"/>
  <c r="O37" i="2"/>
  <c r="N37" i="2"/>
  <c r="M37" i="2"/>
  <c r="L37" i="2"/>
  <c r="I37" i="2" s="1"/>
  <c r="U36" i="2"/>
  <c r="T36" i="2"/>
  <c r="S36" i="2"/>
  <c r="R36" i="2"/>
  <c r="Q36" i="2"/>
  <c r="P36" i="2"/>
  <c r="O36" i="2"/>
  <c r="N36" i="2"/>
  <c r="M36" i="2"/>
  <c r="L36" i="2"/>
  <c r="I36" i="2" s="1"/>
  <c r="U35" i="2"/>
  <c r="T35" i="2"/>
  <c r="S35" i="2"/>
  <c r="R35" i="2"/>
  <c r="Q35" i="2"/>
  <c r="P35" i="2"/>
  <c r="O35" i="2"/>
  <c r="N35" i="2"/>
  <c r="M35" i="2"/>
  <c r="L35" i="2"/>
  <c r="I35" i="2" s="1"/>
  <c r="U34" i="2"/>
  <c r="T34" i="2"/>
  <c r="S34" i="2"/>
  <c r="R34" i="2"/>
  <c r="Q34" i="2"/>
  <c r="P34" i="2"/>
  <c r="O34" i="2"/>
  <c r="N34" i="2"/>
  <c r="M34" i="2"/>
  <c r="L34" i="2"/>
  <c r="I34" i="2" s="1"/>
  <c r="U33" i="2"/>
  <c r="T33" i="2"/>
  <c r="S33" i="2"/>
  <c r="R33" i="2"/>
  <c r="Q33" i="2"/>
  <c r="P33" i="2"/>
  <c r="O33" i="2"/>
  <c r="N33" i="2"/>
  <c r="M33" i="2"/>
  <c r="L33" i="2"/>
  <c r="I33" i="2" s="1"/>
  <c r="U32" i="2"/>
  <c r="T32" i="2"/>
  <c r="S32" i="2"/>
  <c r="R32" i="2"/>
  <c r="Q32" i="2"/>
  <c r="P32" i="2"/>
  <c r="O32" i="2"/>
  <c r="N32" i="2"/>
  <c r="M32" i="2"/>
  <c r="L32" i="2"/>
  <c r="I32" i="2" s="1"/>
  <c r="U31" i="2"/>
  <c r="T31" i="2"/>
  <c r="S31" i="2"/>
  <c r="R31" i="2"/>
  <c r="Q31" i="2"/>
  <c r="P31" i="2"/>
  <c r="O31" i="2"/>
  <c r="N31" i="2"/>
  <c r="M31" i="2"/>
  <c r="L31" i="2"/>
  <c r="I31" i="2" s="1"/>
  <c r="U30" i="2"/>
  <c r="T30" i="2"/>
  <c r="S30" i="2"/>
  <c r="R30" i="2"/>
  <c r="Q30" i="2"/>
  <c r="P30" i="2"/>
  <c r="O30" i="2"/>
  <c r="N30" i="2"/>
  <c r="M30" i="2"/>
  <c r="L30" i="2"/>
  <c r="I30" i="2" s="1"/>
  <c r="U29" i="2"/>
  <c r="T29" i="2"/>
  <c r="S29" i="2"/>
  <c r="R29" i="2"/>
  <c r="Q29" i="2"/>
  <c r="P29" i="2"/>
  <c r="O29" i="2"/>
  <c r="N29" i="2"/>
  <c r="M29" i="2"/>
  <c r="L29" i="2"/>
  <c r="I29" i="2" s="1"/>
  <c r="U28" i="2"/>
  <c r="T28" i="2"/>
  <c r="S28" i="2"/>
  <c r="R28" i="2"/>
  <c r="Q28" i="2"/>
  <c r="P28" i="2"/>
  <c r="O28" i="2"/>
  <c r="N28" i="2"/>
  <c r="M28" i="2"/>
  <c r="L28" i="2"/>
  <c r="I28" i="2" s="1"/>
  <c r="U27" i="2"/>
  <c r="T27" i="2"/>
  <c r="S27" i="2"/>
  <c r="R27" i="2"/>
  <c r="Q27" i="2"/>
  <c r="P27" i="2"/>
  <c r="O27" i="2"/>
  <c r="N27" i="2"/>
  <c r="M27" i="2"/>
  <c r="L27" i="2"/>
  <c r="I27" i="2" s="1"/>
  <c r="U26" i="2"/>
  <c r="T26" i="2"/>
  <c r="S26" i="2"/>
  <c r="R26" i="2"/>
  <c r="Q26" i="2"/>
  <c r="P26" i="2"/>
  <c r="O26" i="2"/>
  <c r="N26" i="2"/>
  <c r="M26" i="2"/>
  <c r="L26" i="2"/>
  <c r="I26" i="2" s="1"/>
  <c r="U25" i="2"/>
  <c r="T25" i="2"/>
  <c r="S25" i="2"/>
  <c r="R25" i="2"/>
  <c r="Q25" i="2"/>
  <c r="P25" i="2"/>
  <c r="O25" i="2"/>
  <c r="N25" i="2"/>
  <c r="M25" i="2"/>
  <c r="L25" i="2"/>
  <c r="I25" i="2" s="1"/>
  <c r="U24" i="2"/>
  <c r="T24" i="2"/>
  <c r="S24" i="2"/>
  <c r="R24" i="2"/>
  <c r="Q24" i="2"/>
  <c r="P24" i="2"/>
  <c r="O24" i="2"/>
  <c r="N24" i="2"/>
  <c r="M24" i="2"/>
  <c r="L24" i="2"/>
  <c r="I24" i="2" s="1"/>
  <c r="U23" i="2"/>
  <c r="T23" i="2"/>
  <c r="S23" i="2"/>
  <c r="R23" i="2"/>
  <c r="Q23" i="2"/>
  <c r="P23" i="2"/>
  <c r="O23" i="2"/>
  <c r="N23" i="2"/>
  <c r="M23" i="2"/>
  <c r="L23" i="2"/>
  <c r="I23" i="2" s="1"/>
  <c r="U22" i="2"/>
  <c r="T22" i="2"/>
  <c r="S22" i="2"/>
  <c r="R22" i="2"/>
  <c r="Q22" i="2"/>
  <c r="P22" i="2"/>
  <c r="O22" i="2"/>
  <c r="N22" i="2"/>
  <c r="M22" i="2"/>
  <c r="L22" i="2"/>
  <c r="I22" i="2" s="1"/>
  <c r="U21" i="2"/>
  <c r="T21" i="2"/>
  <c r="S21" i="2"/>
  <c r="R21" i="2"/>
  <c r="Q21" i="2"/>
  <c r="P21" i="2"/>
  <c r="O21" i="2"/>
  <c r="N21" i="2"/>
  <c r="M21" i="2"/>
  <c r="L21" i="2"/>
  <c r="I21" i="2" s="1"/>
  <c r="U20" i="2"/>
  <c r="T20" i="2"/>
  <c r="S20" i="2"/>
  <c r="R20" i="2"/>
  <c r="Q20" i="2"/>
  <c r="P20" i="2"/>
  <c r="O20" i="2"/>
  <c r="N20" i="2"/>
  <c r="M20" i="2"/>
  <c r="L20" i="2"/>
  <c r="I20" i="2" s="1"/>
  <c r="U19" i="2"/>
  <c r="T19" i="2"/>
  <c r="S19" i="2"/>
  <c r="R19" i="2"/>
  <c r="Q19" i="2"/>
  <c r="P19" i="2"/>
  <c r="O19" i="2"/>
  <c r="N19" i="2"/>
  <c r="M19" i="2"/>
  <c r="L19" i="2"/>
  <c r="I19" i="2" s="1"/>
  <c r="U18" i="2"/>
  <c r="T18" i="2"/>
  <c r="S18" i="2"/>
  <c r="R18" i="2"/>
  <c r="Q18" i="2"/>
  <c r="P18" i="2"/>
  <c r="O18" i="2"/>
  <c r="N18" i="2"/>
  <c r="M18" i="2"/>
  <c r="L18" i="2"/>
  <c r="I18" i="2" s="1"/>
  <c r="U17" i="2"/>
  <c r="T17" i="2"/>
  <c r="S17" i="2"/>
  <c r="R17" i="2"/>
  <c r="Q17" i="2"/>
  <c r="P17" i="2"/>
  <c r="O17" i="2"/>
  <c r="N17" i="2"/>
  <c r="M17" i="2"/>
  <c r="L17" i="2"/>
  <c r="I17" i="2" s="1"/>
  <c r="U16" i="2"/>
  <c r="T16" i="2"/>
  <c r="S16" i="2"/>
  <c r="R16" i="2"/>
  <c r="Q16" i="2"/>
  <c r="P16" i="2"/>
  <c r="O16" i="2"/>
  <c r="N16" i="2"/>
  <c r="M16" i="2"/>
  <c r="L16" i="2"/>
  <c r="I16" i="2" s="1"/>
  <c r="U15" i="2"/>
  <c r="T15" i="2"/>
  <c r="S15" i="2"/>
  <c r="R15" i="2"/>
  <c r="Q15" i="2"/>
  <c r="P15" i="2"/>
  <c r="O15" i="2"/>
  <c r="N15" i="2"/>
  <c r="M15" i="2"/>
  <c r="L15" i="2"/>
  <c r="I15" i="2" s="1"/>
  <c r="U14" i="2"/>
  <c r="T14" i="2"/>
  <c r="S14" i="2"/>
  <c r="R14" i="2"/>
  <c r="Q14" i="2"/>
  <c r="P14" i="2"/>
  <c r="O14" i="2"/>
  <c r="N14" i="2"/>
  <c r="M14" i="2"/>
  <c r="L14" i="2"/>
  <c r="I14" i="2" s="1"/>
  <c r="U13" i="2"/>
  <c r="T13" i="2"/>
  <c r="S13" i="2"/>
  <c r="R13" i="2"/>
  <c r="Q13" i="2"/>
  <c r="P13" i="2"/>
  <c r="O13" i="2"/>
  <c r="N13" i="2"/>
  <c r="M13" i="2"/>
  <c r="L13" i="2"/>
  <c r="I13" i="2" s="1"/>
  <c r="U12" i="2"/>
  <c r="T12" i="2"/>
  <c r="S12" i="2"/>
  <c r="R12" i="2"/>
  <c r="Q12" i="2"/>
  <c r="P12" i="2"/>
  <c r="O12" i="2"/>
  <c r="N12" i="2"/>
  <c r="M12" i="2"/>
  <c r="L12" i="2"/>
  <c r="I12" i="2" s="1"/>
  <c r="U11" i="2"/>
  <c r="T11" i="2"/>
  <c r="S11" i="2"/>
  <c r="R11" i="2"/>
  <c r="Q11" i="2"/>
  <c r="P11" i="2"/>
  <c r="O11" i="2"/>
  <c r="N11" i="2"/>
  <c r="M11" i="2"/>
  <c r="L11" i="2"/>
  <c r="I11" i="2" s="1"/>
  <c r="U10" i="2"/>
  <c r="T10" i="2"/>
  <c r="S10" i="2"/>
  <c r="R10" i="2"/>
  <c r="Q10" i="2"/>
  <c r="P10" i="2"/>
  <c r="O10" i="2"/>
  <c r="N10" i="2"/>
  <c r="M10" i="2"/>
  <c r="L10" i="2"/>
  <c r="I10" i="2" s="1"/>
  <c r="U9" i="2"/>
  <c r="T9" i="2"/>
  <c r="S9" i="2"/>
  <c r="R9" i="2"/>
  <c r="Q9" i="2"/>
  <c r="P9" i="2"/>
  <c r="O9" i="2"/>
  <c r="N9" i="2"/>
  <c r="M9" i="2"/>
  <c r="L9" i="2"/>
  <c r="I9" i="2" s="1"/>
  <c r="U8" i="2"/>
  <c r="T8" i="2"/>
  <c r="S8" i="2"/>
  <c r="R8" i="2"/>
  <c r="Q8" i="2"/>
  <c r="P8" i="2"/>
  <c r="O8" i="2"/>
  <c r="N8" i="2"/>
  <c r="M8" i="2"/>
  <c r="L8" i="2"/>
  <c r="I8" i="2" s="1"/>
  <c r="U7" i="2"/>
  <c r="T7" i="2"/>
  <c r="S7" i="2"/>
  <c r="R7" i="2"/>
  <c r="Q7" i="2"/>
  <c r="P7" i="2"/>
  <c r="O7" i="2"/>
  <c r="N7" i="2"/>
  <c r="M7" i="2"/>
  <c r="L7" i="2"/>
  <c r="I7" i="2" s="1"/>
  <c r="U6" i="2"/>
  <c r="T6" i="2"/>
  <c r="S6" i="2"/>
  <c r="R6" i="2"/>
  <c r="Q6" i="2"/>
  <c r="P6" i="2"/>
  <c r="O6" i="2"/>
  <c r="N6" i="2"/>
  <c r="M6" i="2"/>
  <c r="L6" i="2"/>
  <c r="I6" i="2" s="1"/>
  <c r="U5" i="2"/>
  <c r="T5" i="2"/>
  <c r="S5" i="2"/>
  <c r="R5" i="2"/>
  <c r="Q5" i="2"/>
  <c r="P5" i="2"/>
  <c r="O5" i="2"/>
  <c r="N5" i="2"/>
  <c r="M5" i="2"/>
  <c r="L5" i="2"/>
  <c r="I5" i="2" s="1"/>
  <c r="U4" i="2"/>
  <c r="T4" i="2"/>
  <c r="S4" i="2"/>
  <c r="R4" i="2"/>
  <c r="Q4" i="2"/>
  <c r="P4" i="2"/>
  <c r="O4" i="2"/>
  <c r="N4" i="2"/>
  <c r="M4" i="2"/>
  <c r="L4" i="2"/>
  <c r="I4" i="2" s="1"/>
  <c r="U3" i="2"/>
  <c r="T3" i="2"/>
  <c r="S3" i="2"/>
  <c r="R3" i="2"/>
  <c r="Q3" i="2"/>
  <c r="P3" i="2"/>
  <c r="O3" i="2"/>
  <c r="N3" i="2"/>
  <c r="M3" i="2"/>
  <c r="L3" i="2"/>
  <c r="I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U2" i="2"/>
  <c r="T2" i="2"/>
  <c r="S2" i="2"/>
  <c r="R2" i="2"/>
  <c r="Q2" i="2"/>
  <c r="P2" i="2"/>
  <c r="O2" i="2"/>
  <c r="N2" i="2"/>
  <c r="M2" i="2"/>
  <c r="L2" i="2"/>
  <c r="I2" i="2" s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D210" i="1"/>
  <c r="K210" i="1" s="1"/>
  <c r="D209" i="1"/>
  <c r="M209" i="1" s="1"/>
  <c r="D208" i="1"/>
  <c r="G208" i="1" s="1"/>
  <c r="D207" i="1"/>
  <c r="L207" i="1" s="1"/>
  <c r="I206" i="1"/>
  <c r="D206" i="1"/>
  <c r="K206" i="1" s="1"/>
  <c r="G205" i="1"/>
  <c r="D205" i="1"/>
  <c r="L205" i="1" s="1"/>
  <c r="K204" i="1"/>
  <c r="H204" i="1"/>
  <c r="E204" i="1"/>
  <c r="D204" i="1"/>
  <c r="G204" i="1" s="1"/>
  <c r="K203" i="1"/>
  <c r="D203" i="1"/>
  <c r="L203" i="1" s="1"/>
  <c r="J202" i="1"/>
  <c r="I202" i="1"/>
  <c r="E202" i="1"/>
  <c r="D202" i="1"/>
  <c r="K202" i="1" s="1"/>
  <c r="G201" i="1"/>
  <c r="D201" i="1"/>
  <c r="L201" i="1" s="1"/>
  <c r="M200" i="1"/>
  <c r="K200" i="1"/>
  <c r="I200" i="1"/>
  <c r="H200" i="1"/>
  <c r="E200" i="1"/>
  <c r="D200" i="1"/>
  <c r="G200" i="1" s="1"/>
  <c r="L199" i="1"/>
  <c r="K199" i="1"/>
  <c r="H199" i="1"/>
  <c r="D199" i="1"/>
  <c r="J199" i="1" s="1"/>
  <c r="D198" i="1"/>
  <c r="I198" i="1" s="1"/>
  <c r="D197" i="1"/>
  <c r="K196" i="1"/>
  <c r="I196" i="1"/>
  <c r="H196" i="1"/>
  <c r="E196" i="1"/>
  <c r="D196" i="1"/>
  <c r="G196" i="1" s="1"/>
  <c r="D195" i="1"/>
  <c r="M195" i="1" s="1"/>
  <c r="D194" i="1"/>
  <c r="M194" i="1" s="1"/>
  <c r="D193" i="1"/>
  <c r="L193" i="1" s="1"/>
  <c r="M192" i="1"/>
  <c r="K192" i="1"/>
  <c r="I192" i="1"/>
  <c r="H192" i="1"/>
  <c r="E192" i="1"/>
  <c r="D192" i="1"/>
  <c r="G192" i="1" s="1"/>
  <c r="M191" i="1"/>
  <c r="D191" i="1"/>
  <c r="L191" i="1" s="1"/>
  <c r="D190" i="1"/>
  <c r="L190" i="1" s="1"/>
  <c r="L189" i="1"/>
  <c r="G189" i="1"/>
  <c r="D189" i="1"/>
  <c r="K189" i="1" s="1"/>
  <c r="M188" i="1"/>
  <c r="K188" i="1"/>
  <c r="I188" i="1"/>
  <c r="H188" i="1"/>
  <c r="E188" i="1"/>
  <c r="D188" i="1"/>
  <c r="G188" i="1" s="1"/>
  <c r="M187" i="1"/>
  <c r="L187" i="1"/>
  <c r="G187" i="1"/>
  <c r="D187" i="1"/>
  <c r="K187" i="1" s="1"/>
  <c r="L186" i="1"/>
  <c r="F186" i="1"/>
  <c r="D186" i="1"/>
  <c r="M186" i="1" s="1"/>
  <c r="K185" i="1"/>
  <c r="D185" i="1"/>
  <c r="L185" i="1" s="1"/>
  <c r="K184" i="1"/>
  <c r="H184" i="1"/>
  <c r="D184" i="1"/>
  <c r="G184" i="1" s="1"/>
  <c r="L183" i="1"/>
  <c r="K183" i="1"/>
  <c r="E183" i="1"/>
  <c r="D183" i="1"/>
  <c r="J183" i="1" s="1"/>
  <c r="M182" i="1"/>
  <c r="L182" i="1"/>
  <c r="J182" i="1"/>
  <c r="I182" i="1"/>
  <c r="E182" i="1"/>
  <c r="D182" i="1"/>
  <c r="I181" i="1"/>
  <c r="D181" i="1"/>
  <c r="L181" i="1" s="1"/>
  <c r="K180" i="1"/>
  <c r="I180" i="1"/>
  <c r="H180" i="1"/>
  <c r="E180" i="1"/>
  <c r="D180" i="1"/>
  <c r="G180" i="1" s="1"/>
  <c r="D179" i="1"/>
  <c r="M179" i="1" s="1"/>
  <c r="D178" i="1"/>
  <c r="M178" i="1" s="1"/>
  <c r="I177" i="1"/>
  <c r="D177" i="1"/>
  <c r="L177" i="1" s="1"/>
  <c r="K176" i="1"/>
  <c r="H176" i="1"/>
  <c r="D176" i="1"/>
  <c r="G176" i="1" s="1"/>
  <c r="M175" i="1"/>
  <c r="L175" i="1"/>
  <c r="K175" i="1"/>
  <c r="H175" i="1"/>
  <c r="G175" i="1"/>
  <c r="D175" i="1"/>
  <c r="J175" i="1" s="1"/>
  <c r="M174" i="1"/>
  <c r="J174" i="1"/>
  <c r="I174" i="1"/>
  <c r="F174" i="1"/>
  <c r="D174" i="1"/>
  <c r="G174" i="1" s="1"/>
  <c r="H173" i="1"/>
  <c r="D173" i="1"/>
  <c r="H172" i="1"/>
  <c r="D172" i="1"/>
  <c r="H171" i="1"/>
  <c r="D171" i="1"/>
  <c r="G170" i="1"/>
  <c r="D170" i="1"/>
  <c r="K169" i="1"/>
  <c r="F169" i="1"/>
  <c r="D169" i="1"/>
  <c r="G169" i="1" s="1"/>
  <c r="M168" i="1"/>
  <c r="K168" i="1"/>
  <c r="I168" i="1"/>
  <c r="H168" i="1"/>
  <c r="E168" i="1"/>
  <c r="D168" i="1"/>
  <c r="G168" i="1" s="1"/>
  <c r="D167" i="1"/>
  <c r="J166" i="1"/>
  <c r="E166" i="1"/>
  <c r="D166" i="1"/>
  <c r="F166" i="1" s="1"/>
  <c r="D165" i="1"/>
  <c r="F164" i="1"/>
  <c r="D164" i="1"/>
  <c r="D163" i="1"/>
  <c r="M163" i="1" s="1"/>
  <c r="D162" i="1"/>
  <c r="M162" i="1" s="1"/>
  <c r="D161" i="1"/>
  <c r="L161" i="1" s="1"/>
  <c r="H160" i="1"/>
  <c r="D160" i="1"/>
  <c r="M159" i="1"/>
  <c r="D159" i="1"/>
  <c r="L159" i="1" s="1"/>
  <c r="M158" i="1"/>
  <c r="D158" i="1"/>
  <c r="L158" i="1" s="1"/>
  <c r="L157" i="1"/>
  <c r="D157" i="1"/>
  <c r="D156" i="1"/>
  <c r="D155" i="1"/>
  <c r="M154" i="1"/>
  <c r="J154" i="1"/>
  <c r="F154" i="1"/>
  <c r="D154" i="1"/>
  <c r="L154" i="1" s="1"/>
  <c r="L153" i="1"/>
  <c r="K153" i="1"/>
  <c r="I153" i="1"/>
  <c r="F153" i="1"/>
  <c r="D153" i="1"/>
  <c r="M152" i="1"/>
  <c r="K152" i="1"/>
  <c r="J152" i="1"/>
  <c r="I152" i="1"/>
  <c r="H152" i="1"/>
  <c r="F152" i="1"/>
  <c r="E152" i="1"/>
  <c r="D152" i="1"/>
  <c r="G152" i="1" s="1"/>
  <c r="D151" i="1"/>
  <c r="D150" i="1"/>
  <c r="K149" i="1"/>
  <c r="I149" i="1"/>
  <c r="H149" i="1"/>
  <c r="D149" i="1"/>
  <c r="L149" i="1" s="1"/>
  <c r="M148" i="1"/>
  <c r="K148" i="1"/>
  <c r="J148" i="1"/>
  <c r="I148" i="1"/>
  <c r="H148" i="1"/>
  <c r="F148" i="1"/>
  <c r="E148" i="1"/>
  <c r="D148" i="1"/>
  <c r="G148" i="1" s="1"/>
  <c r="D147" i="1"/>
  <c r="J146" i="1"/>
  <c r="I146" i="1"/>
  <c r="G146" i="1"/>
  <c r="D146" i="1"/>
  <c r="E146" i="1" s="1"/>
  <c r="L145" i="1"/>
  <c r="H145" i="1"/>
  <c r="D145" i="1"/>
  <c r="F144" i="1"/>
  <c r="D144" i="1"/>
  <c r="M143" i="1"/>
  <c r="K143" i="1"/>
  <c r="J143" i="1"/>
  <c r="G143" i="1"/>
  <c r="D143" i="1"/>
  <c r="L143" i="1" s="1"/>
  <c r="D142" i="1"/>
  <c r="L141" i="1"/>
  <c r="K141" i="1"/>
  <c r="I141" i="1"/>
  <c r="G141" i="1"/>
  <c r="F141" i="1"/>
  <c r="D141" i="1"/>
  <c r="H141" i="1" s="1"/>
  <c r="M140" i="1"/>
  <c r="K140" i="1"/>
  <c r="J140" i="1"/>
  <c r="I140" i="1"/>
  <c r="F140" i="1"/>
  <c r="E140" i="1"/>
  <c r="D140" i="1"/>
  <c r="G140" i="1" s="1"/>
  <c r="M139" i="1"/>
  <c r="L139" i="1"/>
  <c r="K139" i="1"/>
  <c r="J139" i="1"/>
  <c r="G139" i="1"/>
  <c r="E139" i="1"/>
  <c r="D139" i="1"/>
  <c r="H139" i="1" s="1"/>
  <c r="M138" i="1"/>
  <c r="L138" i="1"/>
  <c r="J138" i="1"/>
  <c r="I138" i="1"/>
  <c r="F138" i="1"/>
  <c r="E138" i="1"/>
  <c r="D138" i="1"/>
  <c r="G138" i="1" s="1"/>
  <c r="G137" i="1"/>
  <c r="D137" i="1"/>
  <c r="F137" i="1" s="1"/>
  <c r="M136" i="1"/>
  <c r="I136" i="1"/>
  <c r="D136" i="1"/>
  <c r="J136" i="1" s="1"/>
  <c r="D135" i="1"/>
  <c r="E135" i="1" s="1"/>
  <c r="D134" i="1"/>
  <c r="E134" i="1" s="1"/>
  <c r="D133" i="1"/>
  <c r="M132" i="1"/>
  <c r="K132" i="1"/>
  <c r="I132" i="1"/>
  <c r="H132" i="1"/>
  <c r="E132" i="1"/>
  <c r="D132" i="1"/>
  <c r="G132" i="1" s="1"/>
  <c r="D131" i="1"/>
  <c r="H131" i="1" s="1"/>
  <c r="D130" i="1"/>
  <c r="G130" i="1" s="1"/>
  <c r="D129" i="1"/>
  <c r="L129" i="1" s="1"/>
  <c r="M128" i="1"/>
  <c r="K128" i="1"/>
  <c r="J128" i="1"/>
  <c r="I128" i="1"/>
  <c r="H128" i="1"/>
  <c r="F128" i="1"/>
  <c r="E128" i="1"/>
  <c r="D128" i="1"/>
  <c r="G128" i="1" s="1"/>
  <c r="D127" i="1"/>
  <c r="L127" i="1" s="1"/>
  <c r="D126" i="1"/>
  <c r="L125" i="1"/>
  <c r="K125" i="1"/>
  <c r="G125" i="1"/>
  <c r="D125" i="1"/>
  <c r="M124" i="1"/>
  <c r="K124" i="1"/>
  <c r="J124" i="1"/>
  <c r="I124" i="1"/>
  <c r="H124" i="1"/>
  <c r="F124" i="1"/>
  <c r="E124" i="1"/>
  <c r="D124" i="1"/>
  <c r="G124" i="1" s="1"/>
  <c r="M123" i="1"/>
  <c r="L123" i="1"/>
  <c r="G123" i="1"/>
  <c r="D123" i="1"/>
  <c r="K123" i="1" s="1"/>
  <c r="M122" i="1"/>
  <c r="F122" i="1"/>
  <c r="D122" i="1"/>
  <c r="J122" i="1" s="1"/>
  <c r="K121" i="1"/>
  <c r="I121" i="1"/>
  <c r="F121" i="1"/>
  <c r="D121" i="1"/>
  <c r="L121" i="1" s="1"/>
  <c r="K120" i="1"/>
  <c r="H120" i="1"/>
  <c r="E120" i="1"/>
  <c r="D120" i="1"/>
  <c r="L119" i="1"/>
  <c r="E119" i="1"/>
  <c r="D119" i="1"/>
  <c r="M118" i="1"/>
  <c r="L118" i="1"/>
  <c r="I118" i="1"/>
  <c r="E118" i="1"/>
  <c r="D118" i="1"/>
  <c r="J118" i="1" s="1"/>
  <c r="L117" i="1"/>
  <c r="K117" i="1"/>
  <c r="I117" i="1"/>
  <c r="H117" i="1"/>
  <c r="D117" i="1"/>
  <c r="M116" i="1"/>
  <c r="K116" i="1"/>
  <c r="J116" i="1"/>
  <c r="I116" i="1"/>
  <c r="H116" i="1"/>
  <c r="F116" i="1"/>
  <c r="E116" i="1"/>
  <c r="D116" i="1"/>
  <c r="G116" i="1" s="1"/>
  <c r="L115" i="1"/>
  <c r="K115" i="1"/>
  <c r="H115" i="1"/>
  <c r="D115" i="1"/>
  <c r="L114" i="1"/>
  <c r="G114" i="1"/>
  <c r="D114" i="1"/>
  <c r="K113" i="1"/>
  <c r="I113" i="1"/>
  <c r="H113" i="1"/>
  <c r="G113" i="1"/>
  <c r="D113" i="1"/>
  <c r="L113" i="1" s="1"/>
  <c r="D112" i="1"/>
  <c r="L111" i="1"/>
  <c r="K111" i="1"/>
  <c r="H111" i="1"/>
  <c r="E111" i="1"/>
  <c r="D111" i="1"/>
  <c r="I111" i="1" s="1"/>
  <c r="L110" i="1"/>
  <c r="I110" i="1"/>
  <c r="D110" i="1"/>
  <c r="K110" i="1" s="1"/>
  <c r="K109" i="1"/>
  <c r="J109" i="1"/>
  <c r="D109" i="1"/>
  <c r="L109" i="1" s="1"/>
  <c r="K108" i="1"/>
  <c r="D108" i="1"/>
  <c r="G108" i="1" s="1"/>
  <c r="D107" i="1"/>
  <c r="I107" i="1" s="1"/>
  <c r="D106" i="1"/>
  <c r="F105" i="1"/>
  <c r="D105" i="1"/>
  <c r="L104" i="1"/>
  <c r="K104" i="1"/>
  <c r="J104" i="1"/>
  <c r="I104" i="1"/>
  <c r="F104" i="1"/>
  <c r="E104" i="1"/>
  <c r="D104" i="1"/>
  <c r="G104" i="1" s="1"/>
  <c r="D103" i="1"/>
  <c r="D102" i="1"/>
  <c r="I102" i="1" s="1"/>
  <c r="I101" i="1"/>
  <c r="D101" i="1"/>
  <c r="L100" i="1"/>
  <c r="D100" i="1"/>
  <c r="K100" i="1" s="1"/>
  <c r="J99" i="1"/>
  <c r="D99" i="1"/>
  <c r="L98" i="1"/>
  <c r="D98" i="1"/>
  <c r="L97" i="1"/>
  <c r="D97" i="1"/>
  <c r="K97" i="1" s="1"/>
  <c r="L96" i="1"/>
  <c r="D96" i="1"/>
  <c r="G96" i="1" s="1"/>
  <c r="D95" i="1"/>
  <c r="I95" i="1" s="1"/>
  <c r="I94" i="1"/>
  <c r="D94" i="1"/>
  <c r="J94" i="1" s="1"/>
  <c r="J93" i="1"/>
  <c r="G93" i="1"/>
  <c r="D93" i="1"/>
  <c r="K93" i="1" s="1"/>
  <c r="J92" i="1"/>
  <c r="F92" i="1"/>
  <c r="D92" i="1"/>
  <c r="K91" i="1"/>
  <c r="H91" i="1"/>
  <c r="G91" i="1"/>
  <c r="D91" i="1"/>
  <c r="I91" i="1" s="1"/>
  <c r="D90" i="1"/>
  <c r="L89" i="1"/>
  <c r="J89" i="1"/>
  <c r="I89" i="1"/>
  <c r="F89" i="1"/>
  <c r="D89" i="1"/>
  <c r="K89" i="1" s="1"/>
  <c r="K88" i="1"/>
  <c r="J88" i="1"/>
  <c r="D88" i="1"/>
  <c r="G88" i="1" s="1"/>
  <c r="L87" i="1"/>
  <c r="K87" i="1"/>
  <c r="D87" i="1"/>
  <c r="I87" i="1" s="1"/>
  <c r="L86" i="1"/>
  <c r="D86" i="1"/>
  <c r="K86" i="1" s="1"/>
  <c r="L85" i="1"/>
  <c r="D85" i="1"/>
  <c r="G85" i="1" s="1"/>
  <c r="D84" i="1"/>
  <c r="G84" i="1" s="1"/>
  <c r="L83" i="1"/>
  <c r="K83" i="1"/>
  <c r="J83" i="1"/>
  <c r="H83" i="1"/>
  <c r="F83" i="1"/>
  <c r="E83" i="1"/>
  <c r="D83" i="1"/>
  <c r="I83" i="1" s="1"/>
  <c r="L82" i="1"/>
  <c r="J82" i="1"/>
  <c r="I82" i="1"/>
  <c r="H82" i="1"/>
  <c r="F82" i="1"/>
  <c r="D82" i="1"/>
  <c r="K81" i="1"/>
  <c r="I81" i="1"/>
  <c r="D81" i="1"/>
  <c r="J81" i="1" s="1"/>
  <c r="D80" i="1"/>
  <c r="J79" i="1"/>
  <c r="D79" i="1"/>
  <c r="L79" i="1" s="1"/>
  <c r="L78" i="1"/>
  <c r="J78" i="1"/>
  <c r="I78" i="1"/>
  <c r="D78" i="1"/>
  <c r="K78" i="1" s="1"/>
  <c r="D77" i="1"/>
  <c r="J77" i="1" s="1"/>
  <c r="K76" i="1"/>
  <c r="J76" i="1"/>
  <c r="I76" i="1"/>
  <c r="H76" i="1"/>
  <c r="F76" i="1"/>
  <c r="E76" i="1"/>
  <c r="D76" i="1"/>
  <c r="L76" i="1" s="1"/>
  <c r="J75" i="1"/>
  <c r="I75" i="1"/>
  <c r="H75" i="1"/>
  <c r="G75" i="1"/>
  <c r="D75" i="1"/>
  <c r="F75" i="1" s="1"/>
  <c r="J74" i="1"/>
  <c r="D74" i="1"/>
  <c r="K73" i="1"/>
  <c r="D73" i="1"/>
  <c r="J73" i="1" s="1"/>
  <c r="D72" i="1"/>
  <c r="I71" i="1"/>
  <c r="H71" i="1"/>
  <c r="D71" i="1"/>
  <c r="K70" i="1"/>
  <c r="J70" i="1"/>
  <c r="I70" i="1"/>
  <c r="D70" i="1"/>
  <c r="H70" i="1" s="1"/>
  <c r="K69" i="1"/>
  <c r="D69" i="1"/>
  <c r="J69" i="1" s="1"/>
  <c r="K68" i="1"/>
  <c r="J68" i="1"/>
  <c r="I68" i="1"/>
  <c r="H68" i="1"/>
  <c r="F68" i="1"/>
  <c r="E68" i="1"/>
  <c r="D68" i="1"/>
  <c r="L68" i="1" s="1"/>
  <c r="J67" i="1"/>
  <c r="I67" i="1"/>
  <c r="H67" i="1"/>
  <c r="G67" i="1"/>
  <c r="D67" i="1"/>
  <c r="F67" i="1" s="1"/>
  <c r="D66" i="1"/>
  <c r="D65" i="1"/>
  <c r="J65" i="1" s="1"/>
  <c r="J64" i="1"/>
  <c r="G64" i="1"/>
  <c r="E64" i="1"/>
  <c r="D64" i="1"/>
  <c r="D63" i="1"/>
  <c r="K62" i="1"/>
  <c r="J62" i="1"/>
  <c r="I62" i="1"/>
  <c r="D62" i="1"/>
  <c r="H62" i="1" s="1"/>
  <c r="D61" i="1"/>
  <c r="J61" i="1" s="1"/>
  <c r="K60" i="1"/>
  <c r="J60" i="1"/>
  <c r="I60" i="1"/>
  <c r="H60" i="1"/>
  <c r="F60" i="1"/>
  <c r="E60" i="1"/>
  <c r="D60" i="1"/>
  <c r="L60" i="1" s="1"/>
  <c r="J59" i="1"/>
  <c r="I59" i="1"/>
  <c r="H59" i="1"/>
  <c r="G59" i="1"/>
  <c r="D59" i="1"/>
  <c r="F59" i="1" s="1"/>
  <c r="J58" i="1"/>
  <c r="D58" i="1"/>
  <c r="K57" i="1"/>
  <c r="D57" i="1"/>
  <c r="J57" i="1" s="1"/>
  <c r="M56" i="1"/>
  <c r="I56" i="1"/>
  <c r="F56" i="1"/>
  <c r="D56" i="1"/>
  <c r="J56" i="1" s="1"/>
  <c r="I55" i="1"/>
  <c r="H55" i="1"/>
  <c r="D55" i="1"/>
  <c r="K54" i="1"/>
  <c r="J54" i="1"/>
  <c r="I54" i="1"/>
  <c r="D54" i="1"/>
  <c r="H54" i="1" s="1"/>
  <c r="K53" i="1"/>
  <c r="D53" i="1"/>
  <c r="J53" i="1" s="1"/>
  <c r="K52" i="1"/>
  <c r="J52" i="1"/>
  <c r="I52" i="1"/>
  <c r="H52" i="1"/>
  <c r="F52" i="1"/>
  <c r="E52" i="1"/>
  <c r="D52" i="1"/>
  <c r="L52" i="1" s="1"/>
  <c r="J51" i="1"/>
  <c r="I51" i="1"/>
  <c r="H51" i="1"/>
  <c r="G51" i="1"/>
  <c r="D51" i="1"/>
  <c r="F51" i="1" s="1"/>
  <c r="K50" i="1"/>
  <c r="D50" i="1"/>
  <c r="J50" i="1" s="1"/>
  <c r="D49" i="1"/>
  <c r="J49" i="1" s="1"/>
  <c r="J48" i="1"/>
  <c r="G48" i="1"/>
  <c r="F48" i="1"/>
  <c r="E48" i="1"/>
  <c r="D48" i="1"/>
  <c r="M48" i="1" s="1"/>
  <c r="I47" i="1"/>
  <c r="D47" i="1"/>
  <c r="K46" i="1"/>
  <c r="J46" i="1"/>
  <c r="I46" i="1"/>
  <c r="D46" i="1"/>
  <c r="H46" i="1" s="1"/>
  <c r="D45" i="1"/>
  <c r="J45" i="1" s="1"/>
  <c r="K44" i="1"/>
  <c r="J44" i="1"/>
  <c r="I44" i="1"/>
  <c r="H44" i="1"/>
  <c r="G44" i="1"/>
  <c r="F44" i="1"/>
  <c r="E44" i="1"/>
  <c r="D44" i="1"/>
  <c r="L44" i="1" s="1"/>
  <c r="J43" i="1"/>
  <c r="I43" i="1"/>
  <c r="H43" i="1"/>
  <c r="G43" i="1"/>
  <c r="D43" i="1"/>
  <c r="F43" i="1" s="1"/>
  <c r="D42" i="1"/>
  <c r="D41" i="1"/>
  <c r="J41" i="1" s="1"/>
  <c r="M40" i="1"/>
  <c r="J40" i="1"/>
  <c r="I40" i="1"/>
  <c r="G40" i="1"/>
  <c r="F40" i="1"/>
  <c r="E40" i="1"/>
  <c r="D40" i="1"/>
  <c r="D39" i="1"/>
  <c r="K38" i="1"/>
  <c r="J38" i="1"/>
  <c r="I38" i="1"/>
  <c r="D38" i="1"/>
  <c r="H38" i="1" s="1"/>
  <c r="D37" i="1"/>
  <c r="J37" i="1" s="1"/>
  <c r="K36" i="1"/>
  <c r="J36" i="1"/>
  <c r="I36" i="1"/>
  <c r="H36" i="1"/>
  <c r="G36" i="1"/>
  <c r="F36" i="1"/>
  <c r="E36" i="1"/>
  <c r="D36" i="1"/>
  <c r="L36" i="1" s="1"/>
  <c r="I35" i="1"/>
  <c r="H35" i="1"/>
  <c r="G35" i="1"/>
  <c r="D35" i="1"/>
  <c r="F35" i="1" s="1"/>
  <c r="K34" i="1"/>
  <c r="D34" i="1"/>
  <c r="D33" i="1"/>
  <c r="J33" i="1" s="1"/>
  <c r="D32" i="1"/>
  <c r="M32" i="1" s="1"/>
  <c r="D31" i="1"/>
  <c r="J31" i="1" s="1"/>
  <c r="D30" i="1"/>
  <c r="H30" i="1" s="1"/>
  <c r="D29" i="1"/>
  <c r="J29" i="1" s="1"/>
  <c r="J28" i="1"/>
  <c r="F28" i="1"/>
  <c r="D28" i="1"/>
  <c r="K28" i="1" s="1"/>
  <c r="J27" i="1"/>
  <c r="I27" i="1"/>
  <c r="G27" i="1"/>
  <c r="D27" i="1"/>
  <c r="F27" i="1" s="1"/>
  <c r="K26" i="1"/>
  <c r="J26" i="1"/>
  <c r="I26" i="1"/>
  <c r="D26" i="1"/>
  <c r="H26" i="1" s="1"/>
  <c r="K25" i="1"/>
  <c r="D25" i="1"/>
  <c r="J25" i="1" s="1"/>
  <c r="J24" i="1"/>
  <c r="H24" i="1"/>
  <c r="F24" i="1"/>
  <c r="D24" i="1"/>
  <c r="L24" i="1" s="1"/>
  <c r="I23" i="1"/>
  <c r="H23" i="1"/>
  <c r="G23" i="1"/>
  <c r="D23" i="1"/>
  <c r="F23" i="1" s="1"/>
  <c r="K22" i="1"/>
  <c r="I22" i="1"/>
  <c r="D22" i="1"/>
  <c r="H22" i="1" s="1"/>
  <c r="K21" i="1"/>
  <c r="D21" i="1"/>
  <c r="J21" i="1" s="1"/>
  <c r="J20" i="1"/>
  <c r="F20" i="1"/>
  <c r="D20" i="1"/>
  <c r="L20" i="1" s="1"/>
  <c r="J19" i="1"/>
  <c r="I19" i="1"/>
  <c r="G19" i="1"/>
  <c r="D19" i="1"/>
  <c r="F19" i="1" s="1"/>
  <c r="K18" i="1"/>
  <c r="J18" i="1"/>
  <c r="I18" i="1"/>
  <c r="D18" i="1"/>
  <c r="H18" i="1" s="1"/>
  <c r="K17" i="1"/>
  <c r="D17" i="1"/>
  <c r="J17" i="1" s="1"/>
  <c r="J16" i="1"/>
  <c r="H16" i="1"/>
  <c r="F16" i="1"/>
  <c r="D16" i="1"/>
  <c r="L16" i="1" s="1"/>
  <c r="I15" i="1"/>
  <c r="H15" i="1"/>
  <c r="G15" i="1"/>
  <c r="D15" i="1"/>
  <c r="F15" i="1" s="1"/>
  <c r="K14" i="1"/>
  <c r="I14" i="1"/>
  <c r="D14" i="1"/>
  <c r="H14" i="1" s="1"/>
  <c r="K13" i="1"/>
  <c r="D13" i="1"/>
  <c r="J13" i="1" s="1"/>
  <c r="J12" i="1"/>
  <c r="F12" i="1"/>
  <c r="D12" i="1"/>
  <c r="L12" i="1" s="1"/>
  <c r="J11" i="1"/>
  <c r="I11" i="1"/>
  <c r="G11" i="1"/>
  <c r="D11" i="1"/>
  <c r="F11" i="1" s="1"/>
  <c r="K10" i="1"/>
  <c r="J10" i="1"/>
  <c r="I10" i="1"/>
  <c r="D10" i="1"/>
  <c r="H10" i="1" s="1"/>
  <c r="K9" i="1"/>
  <c r="D9" i="1"/>
  <c r="J9" i="1" s="1"/>
  <c r="J8" i="1"/>
  <c r="H8" i="1"/>
  <c r="F8" i="1"/>
  <c r="D8" i="1"/>
  <c r="L8" i="1" s="1"/>
  <c r="D7" i="1"/>
  <c r="F7" i="1" s="1"/>
  <c r="D6" i="1"/>
  <c r="H6" i="1" s="1"/>
  <c r="D5" i="1"/>
  <c r="J5" i="1" s="1"/>
  <c r="K4" i="1"/>
  <c r="I4" i="1"/>
  <c r="G4" i="1"/>
  <c r="F4" i="1"/>
  <c r="E4" i="1"/>
  <c r="D4" i="1"/>
  <c r="L4" i="1" s="1"/>
  <c r="K3" i="1"/>
  <c r="I3" i="1"/>
  <c r="G3" i="1"/>
  <c r="D3" i="1"/>
  <c r="F3" i="1" s="1"/>
  <c r="K2" i="1"/>
  <c r="J2" i="1"/>
  <c r="I2" i="1"/>
  <c r="D2" i="1"/>
  <c r="H2" i="1" s="1"/>
  <c r="M20" i="1" l="1"/>
  <c r="K5" i="1"/>
  <c r="I7" i="1"/>
  <c r="I8" i="1"/>
  <c r="E12" i="1"/>
  <c r="I16" i="1"/>
  <c r="E20" i="1"/>
  <c r="I24" i="1"/>
  <c r="E28" i="1"/>
  <c r="K29" i="1"/>
  <c r="E56" i="1"/>
  <c r="H58" i="1"/>
  <c r="I58" i="1"/>
  <c r="K61" i="1"/>
  <c r="L64" i="1"/>
  <c r="K64" i="1"/>
  <c r="H64" i="1"/>
  <c r="K65" i="1"/>
  <c r="H79" i="1"/>
  <c r="H81" i="1"/>
  <c r="F93" i="1"/>
  <c r="G94" i="1"/>
  <c r="K98" i="1"/>
  <c r="J98" i="1"/>
  <c r="K106" i="1"/>
  <c r="E106" i="1"/>
  <c r="G120" i="1"/>
  <c r="M120" i="1"/>
  <c r="I120" i="1"/>
  <c r="M127" i="1"/>
  <c r="F136" i="1"/>
  <c r="G172" i="1"/>
  <c r="F172" i="1"/>
  <c r="E172" i="1"/>
  <c r="M172" i="1"/>
  <c r="K172" i="1"/>
  <c r="J172" i="1"/>
  <c r="I172" i="1"/>
  <c r="J7" i="1"/>
  <c r="L32" i="1"/>
  <c r="H32" i="1"/>
  <c r="H66" i="1"/>
  <c r="I66" i="1"/>
  <c r="K90" i="1"/>
  <c r="E90" i="1"/>
  <c r="I103" i="1"/>
  <c r="G103" i="1"/>
  <c r="G112" i="1"/>
  <c r="I112" i="1"/>
  <c r="J142" i="1"/>
  <c r="G142" i="1"/>
  <c r="F142" i="1"/>
  <c r="M155" i="1"/>
  <c r="L155" i="1"/>
  <c r="G155" i="1"/>
  <c r="G167" i="1"/>
  <c r="E167" i="1"/>
  <c r="F39" i="1"/>
  <c r="J39" i="1"/>
  <c r="G39" i="1"/>
  <c r="L72" i="1"/>
  <c r="K72" i="1"/>
  <c r="H72" i="1"/>
  <c r="H3" i="1"/>
  <c r="H4" i="1"/>
  <c r="I6" i="1"/>
  <c r="K7" i="1"/>
  <c r="K8" i="1"/>
  <c r="G12" i="1"/>
  <c r="J15" i="1"/>
  <c r="K16" i="1"/>
  <c r="G20" i="1"/>
  <c r="J23" i="1"/>
  <c r="K24" i="1"/>
  <c r="G28" i="1"/>
  <c r="I30" i="1"/>
  <c r="E32" i="1"/>
  <c r="K33" i="1"/>
  <c r="J35" i="1"/>
  <c r="H39" i="1"/>
  <c r="I48" i="1"/>
  <c r="G56" i="1"/>
  <c r="K58" i="1"/>
  <c r="F64" i="1"/>
  <c r="J66" i="1"/>
  <c r="E72" i="1"/>
  <c r="H74" i="1"/>
  <c r="I74" i="1"/>
  <c r="K77" i="1"/>
  <c r="H90" i="1"/>
  <c r="G92" i="1"/>
  <c r="L92" i="1"/>
  <c r="I92" i="1"/>
  <c r="H93" i="1"/>
  <c r="I99" i="1"/>
  <c r="L99" i="1"/>
  <c r="L101" i="1"/>
  <c r="K101" i="1"/>
  <c r="H101" i="1"/>
  <c r="F103" i="1"/>
  <c r="J110" i="1"/>
  <c r="H112" i="1"/>
  <c r="M114" i="1"/>
  <c r="I114" i="1"/>
  <c r="F120" i="1"/>
  <c r="I142" i="1"/>
  <c r="G144" i="1"/>
  <c r="K144" i="1"/>
  <c r="I144" i="1"/>
  <c r="H144" i="1"/>
  <c r="E144" i="1"/>
  <c r="K155" i="1"/>
  <c r="G164" i="1"/>
  <c r="M164" i="1"/>
  <c r="K164" i="1"/>
  <c r="I164" i="1"/>
  <c r="H164" i="1"/>
  <c r="E164" i="1"/>
  <c r="K167" i="1"/>
  <c r="G173" i="1"/>
  <c r="F173" i="1"/>
  <c r="L173" i="1"/>
  <c r="K173" i="1"/>
  <c r="I173" i="1"/>
  <c r="J6" i="1"/>
  <c r="H20" i="1"/>
  <c r="M24" i="1"/>
  <c r="H28" i="1"/>
  <c r="F32" i="1"/>
  <c r="I39" i="1"/>
  <c r="F47" i="1"/>
  <c r="J47" i="1"/>
  <c r="G47" i="1"/>
  <c r="K66" i="1"/>
  <c r="F72" i="1"/>
  <c r="G80" i="1"/>
  <c r="J80" i="1"/>
  <c r="I90" i="1"/>
  <c r="H103" i="1"/>
  <c r="J112" i="1"/>
  <c r="L142" i="1"/>
  <c r="M150" i="1"/>
  <c r="L150" i="1"/>
  <c r="I150" i="1"/>
  <c r="E150" i="1"/>
  <c r="G156" i="1"/>
  <c r="F156" i="1"/>
  <c r="E156" i="1"/>
  <c r="M156" i="1"/>
  <c r="K156" i="1"/>
  <c r="I156" i="1"/>
  <c r="M8" i="1"/>
  <c r="H12" i="1"/>
  <c r="M16" i="1"/>
  <c r="J30" i="1"/>
  <c r="H34" i="1"/>
  <c r="I34" i="1"/>
  <c r="J3" i="1"/>
  <c r="J4" i="1"/>
  <c r="K6" i="1"/>
  <c r="E8" i="1"/>
  <c r="H11" i="1"/>
  <c r="I12" i="1"/>
  <c r="J14" i="1"/>
  <c r="E16" i="1"/>
  <c r="H19" i="1"/>
  <c r="I20" i="1"/>
  <c r="J22" i="1"/>
  <c r="E24" i="1"/>
  <c r="H27" i="1"/>
  <c r="I28" i="1"/>
  <c r="K30" i="1"/>
  <c r="G32" i="1"/>
  <c r="J34" i="1"/>
  <c r="K37" i="1"/>
  <c r="L40" i="1"/>
  <c r="K40" i="1"/>
  <c r="H40" i="1"/>
  <c r="K41" i="1"/>
  <c r="H47" i="1"/>
  <c r="F55" i="1"/>
  <c r="J55" i="1"/>
  <c r="G55" i="1"/>
  <c r="I64" i="1"/>
  <c r="G72" i="1"/>
  <c r="K74" i="1"/>
  <c r="H80" i="1"/>
  <c r="K82" i="1"/>
  <c r="G82" i="1"/>
  <c r="J90" i="1"/>
  <c r="H92" i="1"/>
  <c r="K99" i="1"/>
  <c r="J101" i="1"/>
  <c r="J103" i="1"/>
  <c r="L108" i="1"/>
  <c r="K112" i="1"/>
  <c r="J114" i="1"/>
  <c r="M119" i="1"/>
  <c r="J119" i="1"/>
  <c r="J120" i="1"/>
  <c r="L122" i="1"/>
  <c r="F134" i="1"/>
  <c r="M142" i="1"/>
  <c r="J144" i="1"/>
  <c r="J150" i="1"/>
  <c r="H156" i="1"/>
  <c r="G160" i="1"/>
  <c r="F160" i="1"/>
  <c r="E160" i="1"/>
  <c r="M160" i="1"/>
  <c r="K160" i="1"/>
  <c r="I160" i="1"/>
  <c r="J164" i="1"/>
  <c r="F170" i="1"/>
  <c r="E170" i="1"/>
  <c r="M170" i="1"/>
  <c r="L170" i="1"/>
  <c r="J170" i="1"/>
  <c r="I170" i="1"/>
  <c r="F31" i="1"/>
  <c r="G31" i="1"/>
  <c r="I32" i="1"/>
  <c r="H42" i="1"/>
  <c r="I42" i="1"/>
  <c r="I72" i="1"/>
  <c r="I80" i="1"/>
  <c r="L90" i="1"/>
  <c r="K94" i="1"/>
  <c r="L94" i="1"/>
  <c r="H94" i="1"/>
  <c r="G100" i="1"/>
  <c r="I100" i="1"/>
  <c r="K102" i="1"/>
  <c r="J102" i="1"/>
  <c r="K103" i="1"/>
  <c r="M144" i="1"/>
  <c r="E147" i="1"/>
  <c r="J147" i="1"/>
  <c r="H147" i="1"/>
  <c r="L151" i="1"/>
  <c r="K151" i="1"/>
  <c r="E151" i="1"/>
  <c r="J156" i="1"/>
  <c r="F63" i="1"/>
  <c r="J63" i="1"/>
  <c r="G63" i="1"/>
  <c r="M4" i="1"/>
  <c r="G7" i="1"/>
  <c r="G8" i="1"/>
  <c r="K12" i="1"/>
  <c r="G16" i="1"/>
  <c r="K20" i="1"/>
  <c r="G24" i="1"/>
  <c r="H31" i="1"/>
  <c r="J32" i="1"/>
  <c r="J42" i="1"/>
  <c r="K45" i="1"/>
  <c r="L48" i="1"/>
  <c r="K48" i="1"/>
  <c r="H48" i="1"/>
  <c r="K49" i="1"/>
  <c r="H63" i="1"/>
  <c r="M64" i="1"/>
  <c r="F71" i="1"/>
  <c r="J71" i="1"/>
  <c r="G71" i="1"/>
  <c r="J72" i="1"/>
  <c r="K80" i="1"/>
  <c r="K92" i="1"/>
  <c r="E94" i="1"/>
  <c r="E100" i="1"/>
  <c r="G102" i="1"/>
  <c r="L103" i="1"/>
  <c r="M115" i="1"/>
  <c r="J115" i="1"/>
  <c r="K119" i="1"/>
  <c r="L126" i="1"/>
  <c r="M126" i="1"/>
  <c r="G135" i="1"/>
  <c r="K145" i="1"/>
  <c r="I145" i="1"/>
  <c r="G145" i="1"/>
  <c r="K147" i="1"/>
  <c r="J151" i="1"/>
  <c r="K157" i="1"/>
  <c r="G157" i="1"/>
  <c r="J160" i="1"/>
  <c r="G171" i="1"/>
  <c r="E171" i="1"/>
  <c r="M171" i="1"/>
  <c r="L171" i="1"/>
  <c r="K171" i="1"/>
  <c r="J171" i="1"/>
  <c r="H7" i="1"/>
  <c r="M12" i="1"/>
  <c r="L28" i="1"/>
  <c r="M28" i="1"/>
  <c r="I31" i="1"/>
  <c r="K32" i="1"/>
  <c r="K42" i="1"/>
  <c r="H50" i="1"/>
  <c r="I50" i="1"/>
  <c r="L56" i="1"/>
  <c r="K56" i="1"/>
  <c r="H56" i="1"/>
  <c r="I63" i="1"/>
  <c r="M72" i="1"/>
  <c r="I79" i="1"/>
  <c r="K79" i="1"/>
  <c r="E79" i="1"/>
  <c r="G81" i="1"/>
  <c r="L81" i="1"/>
  <c r="L93" i="1"/>
  <c r="I93" i="1"/>
  <c r="F94" i="1"/>
  <c r="J100" i="1"/>
  <c r="H102" i="1"/>
  <c r="G136" i="1"/>
  <c r="K136" i="1"/>
  <c r="H136" i="1"/>
  <c r="E136" i="1"/>
  <c r="M151" i="1"/>
  <c r="L174" i="1"/>
  <c r="M176" i="1"/>
  <c r="I178" i="1"/>
  <c r="J180" i="1"/>
  <c r="M183" i="1"/>
  <c r="M184" i="1"/>
  <c r="J186" i="1"/>
  <c r="J196" i="1"/>
  <c r="J198" i="1"/>
  <c r="M202" i="1"/>
  <c r="F204" i="1"/>
  <c r="G207" i="1"/>
  <c r="I208" i="1"/>
  <c r="E210" i="1"/>
  <c r="L198" i="1"/>
  <c r="H207" i="1"/>
  <c r="J208" i="1"/>
  <c r="F210" i="1"/>
  <c r="M36" i="1"/>
  <c r="M44" i="1"/>
  <c r="M52" i="1"/>
  <c r="M60" i="1"/>
  <c r="M68" i="1"/>
  <c r="M76" i="1"/>
  <c r="F132" i="1"/>
  <c r="H143" i="1"/>
  <c r="F168" i="1"/>
  <c r="E176" i="1"/>
  <c r="G177" i="1"/>
  <c r="J179" i="1"/>
  <c r="M180" i="1"/>
  <c r="E184" i="1"/>
  <c r="F185" i="1"/>
  <c r="F188" i="1"/>
  <c r="F192" i="1"/>
  <c r="M196" i="1"/>
  <c r="M198" i="1"/>
  <c r="F200" i="1"/>
  <c r="G203" i="1"/>
  <c r="I204" i="1"/>
  <c r="E206" i="1"/>
  <c r="K207" i="1"/>
  <c r="K208" i="1"/>
  <c r="I210" i="1"/>
  <c r="F176" i="1"/>
  <c r="H177" i="1"/>
  <c r="F184" i="1"/>
  <c r="I185" i="1"/>
  <c r="H203" i="1"/>
  <c r="J204" i="1"/>
  <c r="F206" i="1"/>
  <c r="M208" i="1"/>
  <c r="J210" i="1"/>
  <c r="M210" i="1"/>
  <c r="G52" i="1"/>
  <c r="G60" i="1"/>
  <c r="G68" i="1"/>
  <c r="G76" i="1"/>
  <c r="G83" i="1"/>
  <c r="L88" i="1"/>
  <c r="J91" i="1"/>
  <c r="H104" i="1"/>
  <c r="J111" i="1"/>
  <c r="J132" i="1"/>
  <c r="H140" i="1"/>
  <c r="J168" i="1"/>
  <c r="I176" i="1"/>
  <c r="K177" i="1"/>
  <c r="F180" i="1"/>
  <c r="I184" i="1"/>
  <c r="J188" i="1"/>
  <c r="M190" i="1"/>
  <c r="J192" i="1"/>
  <c r="F196" i="1"/>
  <c r="E198" i="1"/>
  <c r="J200" i="1"/>
  <c r="F202" i="1"/>
  <c r="M204" i="1"/>
  <c r="J206" i="1"/>
  <c r="E208" i="1"/>
  <c r="G209" i="1"/>
  <c r="J176" i="1"/>
  <c r="J184" i="1"/>
  <c r="F198" i="1"/>
  <c r="M206" i="1"/>
  <c r="F208" i="1"/>
  <c r="H209" i="1"/>
  <c r="H208" i="1"/>
  <c r="M95" i="1"/>
  <c r="M105" i="1"/>
  <c r="E105" i="1"/>
  <c r="M106" i="1"/>
  <c r="L107" i="1"/>
  <c r="M130" i="1"/>
  <c r="M131" i="1"/>
  <c r="K134" i="1"/>
  <c r="H134" i="1"/>
  <c r="I135" i="1"/>
  <c r="F135" i="1"/>
  <c r="M137" i="1"/>
  <c r="E137" i="1"/>
  <c r="J137" i="1"/>
  <c r="K166" i="1"/>
  <c r="H166" i="1"/>
  <c r="I167" i="1"/>
  <c r="F167" i="1"/>
  <c r="M169" i="1"/>
  <c r="E169" i="1"/>
  <c r="J169" i="1"/>
  <c r="G178" i="1"/>
  <c r="H179" i="1"/>
  <c r="H181" i="1"/>
  <c r="L73" i="1"/>
  <c r="M133" i="1"/>
  <c r="E133" i="1"/>
  <c r="J133" i="1"/>
  <c r="K162" i="1"/>
  <c r="H162" i="1"/>
  <c r="I163" i="1"/>
  <c r="F163" i="1"/>
  <c r="M165" i="1"/>
  <c r="E165" i="1"/>
  <c r="J165" i="1"/>
  <c r="K194" i="1"/>
  <c r="H194" i="1"/>
  <c r="I195" i="1"/>
  <c r="F195" i="1"/>
  <c r="M197" i="1"/>
  <c r="E197" i="1"/>
  <c r="J197" i="1"/>
  <c r="I197" i="1"/>
  <c r="L17" i="1"/>
  <c r="L53" i="1"/>
  <c r="L65" i="1"/>
  <c r="L69" i="1"/>
  <c r="E95" i="1"/>
  <c r="E5" i="1"/>
  <c r="E17" i="1"/>
  <c r="E49" i="1"/>
  <c r="M57" i="1"/>
  <c r="E65" i="1"/>
  <c r="M65" i="1"/>
  <c r="F95" i="1"/>
  <c r="M97" i="1"/>
  <c r="E97" i="1"/>
  <c r="M98" i="1"/>
  <c r="G105" i="1"/>
  <c r="F106" i="1"/>
  <c r="M108" i="1"/>
  <c r="K126" i="1"/>
  <c r="H126" i="1"/>
  <c r="I127" i="1"/>
  <c r="F127" i="1"/>
  <c r="M129" i="1"/>
  <c r="E129" i="1"/>
  <c r="J129" i="1"/>
  <c r="E130" i="1"/>
  <c r="E131" i="1"/>
  <c r="F133" i="1"/>
  <c r="K158" i="1"/>
  <c r="H158" i="1"/>
  <c r="I159" i="1"/>
  <c r="F159" i="1"/>
  <c r="M161" i="1"/>
  <c r="E161" i="1"/>
  <c r="J161" i="1"/>
  <c r="E162" i="1"/>
  <c r="E163" i="1"/>
  <c r="F165" i="1"/>
  <c r="J178" i="1"/>
  <c r="K179" i="1"/>
  <c r="K181" i="1"/>
  <c r="K190" i="1"/>
  <c r="H190" i="1"/>
  <c r="I191" i="1"/>
  <c r="F191" i="1"/>
  <c r="M193" i="1"/>
  <c r="E193" i="1"/>
  <c r="J193" i="1"/>
  <c r="E194" i="1"/>
  <c r="E195" i="1"/>
  <c r="F197" i="1"/>
  <c r="L21" i="1"/>
  <c r="L29" i="1"/>
  <c r="L37" i="1"/>
  <c r="L61" i="1"/>
  <c r="E84" i="1"/>
  <c r="E13" i="1"/>
  <c r="M21" i="1"/>
  <c r="E25" i="1"/>
  <c r="E33" i="1"/>
  <c r="M41" i="1"/>
  <c r="M49" i="1"/>
  <c r="L58" i="1"/>
  <c r="F61" i="1"/>
  <c r="F69" i="1"/>
  <c r="L70" i="1"/>
  <c r="F77" i="1"/>
  <c r="M78" i="1"/>
  <c r="M88" i="1"/>
  <c r="H105" i="1"/>
  <c r="G106" i="1"/>
  <c r="F107" i="1"/>
  <c r="E108" i="1"/>
  <c r="M109" i="1"/>
  <c r="E109" i="1"/>
  <c r="M110" i="1"/>
  <c r="K122" i="1"/>
  <c r="H122" i="1"/>
  <c r="I123" i="1"/>
  <c r="F123" i="1"/>
  <c r="M125" i="1"/>
  <c r="E125" i="1"/>
  <c r="J125" i="1"/>
  <c r="E126" i="1"/>
  <c r="E127" i="1"/>
  <c r="F129" i="1"/>
  <c r="F130" i="1"/>
  <c r="G131" i="1"/>
  <c r="G133" i="1"/>
  <c r="G134" i="1"/>
  <c r="H135" i="1"/>
  <c r="H137" i="1"/>
  <c r="L146" i="1"/>
  <c r="L147" i="1"/>
  <c r="K154" i="1"/>
  <c r="H154" i="1"/>
  <c r="I155" i="1"/>
  <c r="F155" i="1"/>
  <c r="M157" i="1"/>
  <c r="E157" i="1"/>
  <c r="J157" i="1"/>
  <c r="E158" i="1"/>
  <c r="E159" i="1"/>
  <c r="F161" i="1"/>
  <c r="F162" i="1"/>
  <c r="G163" i="1"/>
  <c r="G165" i="1"/>
  <c r="G166" i="1"/>
  <c r="H167" i="1"/>
  <c r="H169" i="1"/>
  <c r="L178" i="1"/>
  <c r="L179" i="1"/>
  <c r="K186" i="1"/>
  <c r="H186" i="1"/>
  <c r="I187" i="1"/>
  <c r="F187" i="1"/>
  <c r="M189" i="1"/>
  <c r="E189" i="1"/>
  <c r="J189" i="1"/>
  <c r="E190" i="1"/>
  <c r="E191" i="1"/>
  <c r="F193" i="1"/>
  <c r="F194" i="1"/>
  <c r="G195" i="1"/>
  <c r="G197" i="1"/>
  <c r="M84" i="1"/>
  <c r="L5" i="1"/>
  <c r="L13" i="1"/>
  <c r="L45" i="1"/>
  <c r="L77" i="1"/>
  <c r="E29" i="1"/>
  <c r="E73" i="1"/>
  <c r="M73" i="1"/>
  <c r="E96" i="1"/>
  <c r="F45" i="1"/>
  <c r="L46" i="1"/>
  <c r="F49" i="1"/>
  <c r="L74" i="1"/>
  <c r="G95" i="1"/>
  <c r="M99" i="1"/>
  <c r="M2" i="1"/>
  <c r="G5" i="1"/>
  <c r="M6" i="1"/>
  <c r="G9" i="1"/>
  <c r="E10" i="1"/>
  <c r="M10" i="1"/>
  <c r="K11" i="1"/>
  <c r="G13" i="1"/>
  <c r="E14" i="1"/>
  <c r="M14" i="1"/>
  <c r="K15" i="1"/>
  <c r="G17" i="1"/>
  <c r="E18" i="1"/>
  <c r="M18" i="1"/>
  <c r="K19" i="1"/>
  <c r="G21" i="1"/>
  <c r="E22" i="1"/>
  <c r="M22" i="1"/>
  <c r="K23" i="1"/>
  <c r="G25" i="1"/>
  <c r="E26" i="1"/>
  <c r="M26" i="1"/>
  <c r="K27" i="1"/>
  <c r="G29" i="1"/>
  <c r="E30" i="1"/>
  <c r="M30" i="1"/>
  <c r="K31" i="1"/>
  <c r="G33" i="1"/>
  <c r="E34" i="1"/>
  <c r="M34" i="1"/>
  <c r="K35" i="1"/>
  <c r="G37" i="1"/>
  <c r="E38" i="1"/>
  <c r="M38" i="1"/>
  <c r="K39" i="1"/>
  <c r="G41" i="1"/>
  <c r="E42" i="1"/>
  <c r="M42" i="1"/>
  <c r="K43" i="1"/>
  <c r="G45" i="1"/>
  <c r="E46" i="1"/>
  <c r="M46" i="1"/>
  <c r="K47" i="1"/>
  <c r="G49" i="1"/>
  <c r="E50" i="1"/>
  <c r="M50" i="1"/>
  <c r="K51" i="1"/>
  <c r="G53" i="1"/>
  <c r="E54" i="1"/>
  <c r="M54" i="1"/>
  <c r="K55" i="1"/>
  <c r="G57" i="1"/>
  <c r="E58" i="1"/>
  <c r="M58" i="1"/>
  <c r="K59" i="1"/>
  <c r="G61" i="1"/>
  <c r="E62" i="1"/>
  <c r="M62" i="1"/>
  <c r="K63" i="1"/>
  <c r="G65" i="1"/>
  <c r="E66" i="1"/>
  <c r="M66" i="1"/>
  <c r="K67" i="1"/>
  <c r="G69" i="1"/>
  <c r="E70" i="1"/>
  <c r="M70" i="1"/>
  <c r="K71" i="1"/>
  <c r="G73" i="1"/>
  <c r="E74" i="1"/>
  <c r="M74" i="1"/>
  <c r="K75" i="1"/>
  <c r="G77" i="1"/>
  <c r="E78" i="1"/>
  <c r="M79" i="1"/>
  <c r="L80" i="1"/>
  <c r="I84" i="1"/>
  <c r="H85" i="1"/>
  <c r="G86" i="1"/>
  <c r="F87" i="1"/>
  <c r="E88" i="1"/>
  <c r="M89" i="1"/>
  <c r="E89" i="1"/>
  <c r="M90" i="1"/>
  <c r="L91" i="1"/>
  <c r="H95" i="1"/>
  <c r="H96" i="1"/>
  <c r="G97" i="1"/>
  <c r="F98" i="1"/>
  <c r="E99" i="1"/>
  <c r="M100" i="1"/>
  <c r="L102" i="1"/>
  <c r="I105" i="1"/>
  <c r="H106" i="1"/>
  <c r="G107" i="1"/>
  <c r="F108" i="1"/>
  <c r="F109" i="1"/>
  <c r="E110" i="1"/>
  <c r="M111" i="1"/>
  <c r="L112" i="1"/>
  <c r="K118" i="1"/>
  <c r="H118" i="1"/>
  <c r="I119" i="1"/>
  <c r="F119" i="1"/>
  <c r="M121" i="1"/>
  <c r="E121" i="1"/>
  <c r="J121" i="1"/>
  <c r="E122" i="1"/>
  <c r="E123" i="1"/>
  <c r="F125" i="1"/>
  <c r="F126" i="1"/>
  <c r="G127" i="1"/>
  <c r="G129" i="1"/>
  <c r="H133" i="1"/>
  <c r="I134" i="1"/>
  <c r="J135" i="1"/>
  <c r="I137" i="1"/>
  <c r="M146" i="1"/>
  <c r="M147" i="1"/>
  <c r="K150" i="1"/>
  <c r="H150" i="1"/>
  <c r="I151" i="1"/>
  <c r="F151" i="1"/>
  <c r="M153" i="1"/>
  <c r="E153" i="1"/>
  <c r="J153" i="1"/>
  <c r="E154" i="1"/>
  <c r="E155" i="1"/>
  <c r="F157" i="1"/>
  <c r="F158" i="1"/>
  <c r="G159" i="1"/>
  <c r="G161" i="1"/>
  <c r="G162" i="1"/>
  <c r="H163" i="1"/>
  <c r="H165" i="1"/>
  <c r="I166" i="1"/>
  <c r="J167" i="1"/>
  <c r="I169" i="1"/>
  <c r="K182" i="1"/>
  <c r="H182" i="1"/>
  <c r="I183" i="1"/>
  <c r="F183" i="1"/>
  <c r="M185" i="1"/>
  <c r="E185" i="1"/>
  <c r="J185" i="1"/>
  <c r="E186" i="1"/>
  <c r="E187" i="1"/>
  <c r="F189" i="1"/>
  <c r="F190" i="1"/>
  <c r="G191" i="1"/>
  <c r="G193" i="1"/>
  <c r="G194" i="1"/>
  <c r="H195" i="1"/>
  <c r="H197" i="1"/>
  <c r="M201" i="1"/>
  <c r="E201" i="1"/>
  <c r="J201" i="1"/>
  <c r="I201" i="1"/>
  <c r="F201" i="1"/>
  <c r="M205" i="1"/>
  <c r="E205" i="1"/>
  <c r="J205" i="1"/>
  <c r="I205" i="1"/>
  <c r="F205" i="1"/>
  <c r="L9" i="1"/>
  <c r="L25" i="1"/>
  <c r="L33" i="1"/>
  <c r="L57" i="1"/>
  <c r="M86" i="1"/>
  <c r="K130" i="1"/>
  <c r="H130" i="1"/>
  <c r="M9" i="1"/>
  <c r="M17" i="1"/>
  <c r="M29" i="1"/>
  <c r="E37" i="1"/>
  <c r="E45" i="1"/>
  <c r="E53" i="1"/>
  <c r="M53" i="1"/>
  <c r="E61" i="1"/>
  <c r="M61" i="1"/>
  <c r="M69" i="1"/>
  <c r="E77" i="1"/>
  <c r="M77" i="1"/>
  <c r="E107" i="1"/>
  <c r="F5" i="1"/>
  <c r="L6" i="1"/>
  <c r="F13" i="1"/>
  <c r="L14" i="1"/>
  <c r="F21" i="1"/>
  <c r="F29" i="1"/>
  <c r="L38" i="1"/>
  <c r="L42" i="1"/>
  <c r="L54" i="1"/>
  <c r="F57" i="1"/>
  <c r="F65" i="1"/>
  <c r="F73" i="1"/>
  <c r="H84" i="1"/>
  <c r="F86" i="1"/>
  <c r="E87" i="1"/>
  <c r="F97" i="1"/>
  <c r="E6" i="1"/>
  <c r="H5" i="1"/>
  <c r="F6" i="1"/>
  <c r="H17" i="1"/>
  <c r="F18" i="1"/>
  <c r="L27" i="1"/>
  <c r="H37" i="1"/>
  <c r="F38" i="1"/>
  <c r="L39" i="1"/>
  <c r="H49" i="1"/>
  <c r="F50" i="1"/>
  <c r="L51" i="1"/>
  <c r="H53" i="1"/>
  <c r="F54" i="1"/>
  <c r="L55" i="1"/>
  <c r="H57" i="1"/>
  <c r="F58" i="1"/>
  <c r="L59" i="1"/>
  <c r="F62" i="1"/>
  <c r="H69" i="1"/>
  <c r="F70" i="1"/>
  <c r="H86" i="1"/>
  <c r="M101" i="1"/>
  <c r="E101" i="1"/>
  <c r="M102" i="1"/>
  <c r="K114" i="1"/>
  <c r="H114" i="1"/>
  <c r="I115" i="1"/>
  <c r="F115" i="1"/>
  <c r="G126" i="1"/>
  <c r="I133" i="1"/>
  <c r="J134" i="1"/>
  <c r="K135" i="1"/>
  <c r="M149" i="1"/>
  <c r="E149" i="1"/>
  <c r="J149" i="1"/>
  <c r="H161" i="1"/>
  <c r="I162" i="1"/>
  <c r="J163" i="1"/>
  <c r="K178" i="1"/>
  <c r="H178" i="1"/>
  <c r="I179" i="1"/>
  <c r="F179" i="1"/>
  <c r="M181" i="1"/>
  <c r="E181" i="1"/>
  <c r="J181" i="1"/>
  <c r="G190" i="1"/>
  <c r="H191" i="1"/>
  <c r="H193" i="1"/>
  <c r="I194" i="1"/>
  <c r="J195" i="1"/>
  <c r="K197" i="1"/>
  <c r="L41" i="1"/>
  <c r="M85" i="1"/>
  <c r="E85" i="1"/>
  <c r="M107" i="1"/>
  <c r="I131" i="1"/>
  <c r="F131" i="1"/>
  <c r="E9" i="1"/>
  <c r="M25" i="1"/>
  <c r="M33" i="1"/>
  <c r="E41" i="1"/>
  <c r="E57" i="1"/>
  <c r="F85" i="1"/>
  <c r="E86" i="1"/>
  <c r="M87" i="1"/>
  <c r="L22" i="1"/>
  <c r="L26" i="1"/>
  <c r="L30" i="1"/>
  <c r="L34" i="1"/>
  <c r="F37" i="1"/>
  <c r="E2" i="1"/>
  <c r="F2" i="1"/>
  <c r="L3" i="1"/>
  <c r="H13" i="1"/>
  <c r="F14" i="1"/>
  <c r="L15" i="1"/>
  <c r="H21" i="1"/>
  <c r="F22" i="1"/>
  <c r="H29" i="1"/>
  <c r="F30" i="1"/>
  <c r="L31" i="1"/>
  <c r="L35" i="1"/>
  <c r="H45" i="1"/>
  <c r="F46" i="1"/>
  <c r="H61" i="1"/>
  <c r="L63" i="1"/>
  <c r="H65" i="1"/>
  <c r="L67" i="1"/>
  <c r="L71" i="1"/>
  <c r="H73" i="1"/>
  <c r="H77" i="1"/>
  <c r="F78" i="1"/>
  <c r="J84" i="1"/>
  <c r="J105" i="1"/>
  <c r="I106" i="1"/>
  <c r="H107" i="1"/>
  <c r="H108" i="1"/>
  <c r="G109" i="1"/>
  <c r="F110" i="1"/>
  <c r="M117" i="1"/>
  <c r="E117" i="1"/>
  <c r="J117" i="1"/>
  <c r="H129" i="1"/>
  <c r="I130" i="1"/>
  <c r="J131" i="1"/>
  <c r="G158" i="1"/>
  <c r="H159" i="1"/>
  <c r="I165" i="1"/>
  <c r="G2" i="1"/>
  <c r="E3" i="1"/>
  <c r="M3" i="1"/>
  <c r="I5" i="1"/>
  <c r="I9" i="1"/>
  <c r="G10" i="1"/>
  <c r="E11" i="1"/>
  <c r="M11" i="1"/>
  <c r="I17" i="1"/>
  <c r="G18" i="1"/>
  <c r="E19" i="1"/>
  <c r="M19" i="1"/>
  <c r="I21" i="1"/>
  <c r="I25" i="1"/>
  <c r="G26" i="1"/>
  <c r="E27" i="1"/>
  <c r="M27" i="1"/>
  <c r="I33" i="1"/>
  <c r="G34" i="1"/>
  <c r="E35" i="1"/>
  <c r="M35" i="1"/>
  <c r="I41" i="1"/>
  <c r="G42" i="1"/>
  <c r="E43" i="1"/>
  <c r="M43" i="1"/>
  <c r="G46" i="1"/>
  <c r="M47" i="1"/>
  <c r="I53" i="1"/>
  <c r="G54" i="1"/>
  <c r="E55" i="1"/>
  <c r="M55" i="1"/>
  <c r="I61" i="1"/>
  <c r="G62" i="1"/>
  <c r="E63" i="1"/>
  <c r="M63" i="1"/>
  <c r="I69" i="1"/>
  <c r="G70" i="1"/>
  <c r="E71" i="1"/>
  <c r="M71" i="1"/>
  <c r="I77" i="1"/>
  <c r="G78" i="1"/>
  <c r="F79" i="1"/>
  <c r="E80" i="1"/>
  <c r="M81" i="1"/>
  <c r="E81" i="1"/>
  <c r="K95" i="1"/>
  <c r="J96" i="1"/>
  <c r="I97" i="1"/>
  <c r="H98" i="1"/>
  <c r="G99" i="1"/>
  <c r="F100" i="1"/>
  <c r="F101" i="1"/>
  <c r="E102" i="1"/>
  <c r="J107" i="1"/>
  <c r="H109" i="1"/>
  <c r="F111" i="1"/>
  <c r="M113" i="1"/>
  <c r="E113" i="1"/>
  <c r="J113" i="1"/>
  <c r="E114" i="1"/>
  <c r="E115" i="1"/>
  <c r="G121" i="1"/>
  <c r="G122" i="1"/>
  <c r="H125" i="1"/>
  <c r="I126" i="1"/>
  <c r="J127" i="1"/>
  <c r="I129" i="1"/>
  <c r="J130" i="1"/>
  <c r="K131" i="1"/>
  <c r="K133" i="1"/>
  <c r="L134" i="1"/>
  <c r="L135" i="1"/>
  <c r="L137" i="1"/>
  <c r="K142" i="1"/>
  <c r="H142" i="1"/>
  <c r="I143" i="1"/>
  <c r="F143" i="1"/>
  <c r="M145" i="1"/>
  <c r="E145" i="1"/>
  <c r="J145" i="1"/>
  <c r="F149" i="1"/>
  <c r="F150" i="1"/>
  <c r="G151" i="1"/>
  <c r="G153" i="1"/>
  <c r="G154" i="1"/>
  <c r="H155" i="1"/>
  <c r="H157" i="1"/>
  <c r="I158" i="1"/>
  <c r="J159" i="1"/>
  <c r="I161" i="1"/>
  <c r="J162" i="1"/>
  <c r="K163" i="1"/>
  <c r="K165" i="1"/>
  <c r="L166" i="1"/>
  <c r="L167" i="1"/>
  <c r="L169" i="1"/>
  <c r="K174" i="1"/>
  <c r="H174" i="1"/>
  <c r="I175" i="1"/>
  <c r="F175" i="1"/>
  <c r="M177" i="1"/>
  <c r="E177" i="1"/>
  <c r="J177" i="1"/>
  <c r="E178" i="1"/>
  <c r="E179" i="1"/>
  <c r="F181" i="1"/>
  <c r="F182" i="1"/>
  <c r="G183" i="1"/>
  <c r="G185" i="1"/>
  <c r="G186" i="1"/>
  <c r="H187" i="1"/>
  <c r="H189" i="1"/>
  <c r="I190" i="1"/>
  <c r="J191" i="1"/>
  <c r="I193" i="1"/>
  <c r="J194" i="1"/>
  <c r="K195" i="1"/>
  <c r="L197" i="1"/>
  <c r="I199" i="1"/>
  <c r="F199" i="1"/>
  <c r="M199" i="1"/>
  <c r="E199" i="1"/>
  <c r="H201" i="1"/>
  <c r="H205" i="1"/>
  <c r="L49" i="1"/>
  <c r="M96" i="1"/>
  <c r="M5" i="1"/>
  <c r="M13" i="1"/>
  <c r="E21" i="1"/>
  <c r="M37" i="1"/>
  <c r="M45" i="1"/>
  <c r="E69" i="1"/>
  <c r="F84" i="1"/>
  <c r="L2" i="1"/>
  <c r="F9" i="1"/>
  <c r="L10" i="1"/>
  <c r="F17" i="1"/>
  <c r="L18" i="1"/>
  <c r="F25" i="1"/>
  <c r="F33" i="1"/>
  <c r="F41" i="1"/>
  <c r="L50" i="1"/>
  <c r="F53" i="1"/>
  <c r="L62" i="1"/>
  <c r="L66" i="1"/>
  <c r="F96" i="1"/>
  <c r="E98" i="1"/>
  <c r="L7" i="1"/>
  <c r="H9" i="1"/>
  <c r="F10" i="1"/>
  <c r="L11" i="1"/>
  <c r="L19" i="1"/>
  <c r="L23" i="1"/>
  <c r="H25" i="1"/>
  <c r="F26" i="1"/>
  <c r="H33" i="1"/>
  <c r="F34" i="1"/>
  <c r="H41" i="1"/>
  <c r="F42" i="1"/>
  <c r="L43" i="1"/>
  <c r="L47" i="1"/>
  <c r="F66" i="1"/>
  <c r="F74" i="1"/>
  <c r="L75" i="1"/>
  <c r="M80" i="1"/>
  <c r="I85" i="1"/>
  <c r="G87" i="1"/>
  <c r="F88" i="1"/>
  <c r="M91" i="1"/>
  <c r="J95" i="1"/>
  <c r="I96" i="1"/>
  <c r="H97" i="1"/>
  <c r="G98" i="1"/>
  <c r="F99" i="1"/>
  <c r="M112" i="1"/>
  <c r="H127" i="1"/>
  <c r="K137" i="1"/>
  <c r="K146" i="1"/>
  <c r="H146" i="1"/>
  <c r="I147" i="1"/>
  <c r="F147" i="1"/>
  <c r="G6" i="1"/>
  <c r="E7" i="1"/>
  <c r="M7" i="1"/>
  <c r="I13" i="1"/>
  <c r="G14" i="1"/>
  <c r="E15" i="1"/>
  <c r="M15" i="1"/>
  <c r="G22" i="1"/>
  <c r="E23" i="1"/>
  <c r="M23" i="1"/>
  <c r="I29" i="1"/>
  <c r="G30" i="1"/>
  <c r="E31" i="1"/>
  <c r="M31" i="1"/>
  <c r="I37" i="1"/>
  <c r="G38" i="1"/>
  <c r="E39" i="1"/>
  <c r="M39" i="1"/>
  <c r="I45" i="1"/>
  <c r="E47" i="1"/>
  <c r="I49" i="1"/>
  <c r="G50" i="1"/>
  <c r="E51" i="1"/>
  <c r="M51" i="1"/>
  <c r="I57" i="1"/>
  <c r="G58" i="1"/>
  <c r="E59" i="1"/>
  <c r="M59" i="1"/>
  <c r="I65" i="1"/>
  <c r="G66" i="1"/>
  <c r="E67" i="1"/>
  <c r="M67" i="1"/>
  <c r="I73" i="1"/>
  <c r="G74" i="1"/>
  <c r="E75" i="1"/>
  <c r="M75" i="1"/>
  <c r="M82" i="1"/>
  <c r="K84" i="1"/>
  <c r="J85" i="1"/>
  <c r="I86" i="1"/>
  <c r="H87" i="1"/>
  <c r="H88" i="1"/>
  <c r="G89" i="1"/>
  <c r="F90" i="1"/>
  <c r="E91" i="1"/>
  <c r="M92" i="1"/>
  <c r="M103" i="1"/>
  <c r="K105" i="1"/>
  <c r="J106" i="1"/>
  <c r="I108" i="1"/>
  <c r="G110" i="1"/>
  <c r="E112" i="1"/>
  <c r="F117" i="1"/>
  <c r="F118" i="1"/>
  <c r="G119" i="1"/>
  <c r="H123" i="1"/>
  <c r="H78" i="1"/>
  <c r="G79" i="1"/>
  <c r="F80" i="1"/>
  <c r="F81" i="1"/>
  <c r="E82" i="1"/>
  <c r="M83" i="1"/>
  <c r="L84" i="1"/>
  <c r="K85" i="1"/>
  <c r="J86" i="1"/>
  <c r="J87" i="1"/>
  <c r="I88" i="1"/>
  <c r="H89" i="1"/>
  <c r="G90" i="1"/>
  <c r="F91" i="1"/>
  <c r="E92" i="1"/>
  <c r="M93" i="1"/>
  <c r="E93" i="1"/>
  <c r="M94" i="1"/>
  <c r="L95" i="1"/>
  <c r="K96" i="1"/>
  <c r="J97" i="1"/>
  <c r="I98" i="1"/>
  <c r="H99" i="1"/>
  <c r="H100" i="1"/>
  <c r="G101" i="1"/>
  <c r="F102" i="1"/>
  <c r="E103" i="1"/>
  <c r="M104" i="1"/>
  <c r="L105" i="1"/>
  <c r="L106" i="1"/>
  <c r="K107" i="1"/>
  <c r="J108" i="1"/>
  <c r="I109" i="1"/>
  <c r="H110" i="1"/>
  <c r="G111" i="1"/>
  <c r="F112" i="1"/>
  <c r="F113" i="1"/>
  <c r="F114" i="1"/>
  <c r="G115" i="1"/>
  <c r="G117" i="1"/>
  <c r="G118" i="1"/>
  <c r="H119" i="1"/>
  <c r="H121" i="1"/>
  <c r="I122" i="1"/>
  <c r="J123" i="1"/>
  <c r="I125" i="1"/>
  <c r="J126" i="1"/>
  <c r="K127" i="1"/>
  <c r="K129" i="1"/>
  <c r="L130" i="1"/>
  <c r="L131" i="1"/>
  <c r="L133" i="1"/>
  <c r="M134" i="1"/>
  <c r="M135" i="1"/>
  <c r="K138" i="1"/>
  <c r="H138" i="1"/>
  <c r="I139" i="1"/>
  <c r="F139" i="1"/>
  <c r="M141" i="1"/>
  <c r="E141" i="1"/>
  <c r="J141" i="1"/>
  <c r="E142" i="1"/>
  <c r="E143" i="1"/>
  <c r="F145" i="1"/>
  <c r="F146" i="1"/>
  <c r="G147" i="1"/>
  <c r="G149" i="1"/>
  <c r="G150" i="1"/>
  <c r="H151" i="1"/>
  <c r="H153" i="1"/>
  <c r="I154" i="1"/>
  <c r="J155" i="1"/>
  <c r="I157" i="1"/>
  <c r="J158" i="1"/>
  <c r="K159" i="1"/>
  <c r="K161" i="1"/>
  <c r="L162" i="1"/>
  <c r="L163" i="1"/>
  <c r="L165" i="1"/>
  <c r="M166" i="1"/>
  <c r="M167" i="1"/>
  <c r="K170" i="1"/>
  <c r="H170" i="1"/>
  <c r="I171" i="1"/>
  <c r="F171" i="1"/>
  <c r="M173" i="1"/>
  <c r="E173" i="1"/>
  <c r="J173" i="1"/>
  <c r="E174" i="1"/>
  <c r="E175" i="1"/>
  <c r="F177" i="1"/>
  <c r="F178" i="1"/>
  <c r="G179" i="1"/>
  <c r="G181" i="1"/>
  <c r="G182" i="1"/>
  <c r="H183" i="1"/>
  <c r="H185" i="1"/>
  <c r="I186" i="1"/>
  <c r="J187" i="1"/>
  <c r="I189" i="1"/>
  <c r="J190" i="1"/>
  <c r="K191" i="1"/>
  <c r="K193" i="1"/>
  <c r="L194" i="1"/>
  <c r="L195" i="1"/>
  <c r="K198" i="1"/>
  <c r="H198" i="1"/>
  <c r="G198" i="1"/>
  <c r="G199" i="1"/>
  <c r="K201" i="1"/>
  <c r="I203" i="1"/>
  <c r="F203" i="1"/>
  <c r="M203" i="1"/>
  <c r="E203" i="1"/>
  <c r="J203" i="1"/>
  <c r="K205" i="1"/>
  <c r="I207" i="1"/>
  <c r="F207" i="1"/>
  <c r="M207" i="1"/>
  <c r="E207" i="1"/>
  <c r="J207" i="1"/>
  <c r="L202" i="1"/>
  <c r="L206" i="1"/>
  <c r="F209" i="1"/>
  <c r="L210" i="1"/>
  <c r="L156" i="3"/>
  <c r="L192" i="3"/>
  <c r="L208" i="3"/>
  <c r="L5" i="4"/>
  <c r="L13" i="4"/>
  <c r="L21" i="4"/>
  <c r="L29" i="4"/>
  <c r="L37" i="4"/>
  <c r="L45" i="4"/>
  <c r="L53" i="4"/>
  <c r="L59" i="4"/>
  <c r="G202" i="1"/>
  <c r="G206" i="1"/>
  <c r="I209" i="1"/>
  <c r="G210" i="1"/>
  <c r="L180" i="3"/>
  <c r="L196" i="3"/>
  <c r="L3" i="4"/>
  <c r="L11" i="4"/>
  <c r="L19" i="4"/>
  <c r="L27" i="4"/>
  <c r="L35" i="4"/>
  <c r="L43" i="4"/>
  <c r="L51" i="4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H202" i="1"/>
  <c r="L204" i="1"/>
  <c r="H206" i="1"/>
  <c r="L208" i="1"/>
  <c r="J209" i="1"/>
  <c r="H210" i="1"/>
  <c r="L6" i="4"/>
  <c r="L14" i="4"/>
  <c r="L22" i="4"/>
  <c r="L30" i="4"/>
  <c r="L38" i="4"/>
  <c r="L46" i="4"/>
  <c r="L54" i="4"/>
  <c r="L60" i="4"/>
  <c r="K209" i="1"/>
  <c r="L172" i="3"/>
  <c r="L184" i="3"/>
  <c r="L200" i="3"/>
  <c r="L9" i="4"/>
  <c r="L17" i="4"/>
  <c r="L25" i="4"/>
  <c r="L33" i="4"/>
  <c r="L41" i="4"/>
  <c r="L49" i="4"/>
  <c r="T23" i="10"/>
  <c r="AA23" i="10" s="1"/>
  <c r="AH23" i="10" s="1"/>
  <c r="AO23" i="10" s="1"/>
  <c r="L209" i="1"/>
  <c r="L4" i="4"/>
  <c r="L12" i="4"/>
  <c r="L20" i="4"/>
  <c r="L28" i="4"/>
  <c r="L36" i="4"/>
  <c r="L44" i="4"/>
  <c r="L52" i="4"/>
  <c r="L61" i="4"/>
  <c r="L64" i="4"/>
  <c r="E209" i="1"/>
  <c r="L164" i="3"/>
  <c r="L188" i="3"/>
  <c r="L204" i="3"/>
  <c r="L7" i="4"/>
  <c r="L15" i="4"/>
  <c r="L23" i="4"/>
  <c r="L31" i="4"/>
  <c r="L39" i="4"/>
  <c r="L47" i="4"/>
  <c r="L55" i="4"/>
  <c r="L58" i="4"/>
  <c r="L200" i="11"/>
  <c r="L198" i="11"/>
  <c r="L199" i="11"/>
  <c r="L124" i="11"/>
  <c r="L199" i="10"/>
  <c r="S199" i="10" s="1"/>
  <c r="Z199" i="10" s="1"/>
  <c r="AG199" i="10" s="1"/>
  <c r="AN199" i="10" s="1"/>
  <c r="L200" i="10"/>
  <c r="S200" i="10" s="1"/>
  <c r="Z200" i="10" s="1"/>
  <c r="AG200" i="10" s="1"/>
  <c r="AN200" i="10" s="1"/>
  <c r="L198" i="10"/>
  <c r="L124" i="10"/>
  <c r="M167" i="11"/>
  <c r="M49" i="11"/>
  <c r="M167" i="10"/>
  <c r="T167" i="10" s="1"/>
  <c r="AA167" i="10" s="1"/>
  <c r="AH167" i="10" s="1"/>
  <c r="AO167" i="10" s="1"/>
  <c r="M49" i="10"/>
  <c r="K83" i="11"/>
  <c r="K83" i="10"/>
  <c r="R83" i="10" s="1"/>
  <c r="Y83" i="10" s="1"/>
  <c r="AF83" i="10" s="1"/>
  <c r="AM83" i="10" s="1"/>
  <c r="M149" i="11"/>
  <c r="M149" i="10"/>
  <c r="M202" i="11"/>
  <c r="M201" i="11"/>
  <c r="M192" i="11"/>
  <c r="M192" i="10"/>
  <c r="T192" i="10" s="1"/>
  <c r="AA192" i="10" s="1"/>
  <c r="AH192" i="10" s="1"/>
  <c r="AO192" i="10" s="1"/>
  <c r="M201" i="10"/>
  <c r="T201" i="10" s="1"/>
  <c r="AA201" i="10" s="1"/>
  <c r="AH201" i="10" s="1"/>
  <c r="AO201" i="10" s="1"/>
  <c r="M202" i="10"/>
  <c r="M143" i="11"/>
  <c r="M101" i="11"/>
  <c r="M95" i="11"/>
  <c r="M91" i="11"/>
  <c r="M85" i="11"/>
  <c r="M93" i="11"/>
  <c r="M100" i="11"/>
  <c r="M92" i="11"/>
  <c r="M94" i="11"/>
  <c r="M102" i="11"/>
  <c r="M31" i="11"/>
  <c r="M84" i="11"/>
  <c r="M18" i="11"/>
  <c r="M8" i="11"/>
  <c r="M143" i="10"/>
  <c r="T143" i="10" s="1"/>
  <c r="AA143" i="10" s="1"/>
  <c r="AH143" i="10" s="1"/>
  <c r="AO143" i="10" s="1"/>
  <c r="M95" i="10"/>
  <c r="T95" i="10" s="1"/>
  <c r="AA95" i="10" s="1"/>
  <c r="AH95" i="10" s="1"/>
  <c r="AO95" i="10" s="1"/>
  <c r="M91" i="10"/>
  <c r="T91" i="10" s="1"/>
  <c r="AA91" i="10" s="1"/>
  <c r="AH91" i="10" s="1"/>
  <c r="AO91" i="10" s="1"/>
  <c r="M100" i="10"/>
  <c r="T100" i="10" s="1"/>
  <c r="AA100" i="10" s="1"/>
  <c r="AH100" i="10" s="1"/>
  <c r="AO100" i="10" s="1"/>
  <c r="M92" i="10"/>
  <c r="T92" i="10" s="1"/>
  <c r="AA92" i="10" s="1"/>
  <c r="AH92" i="10" s="1"/>
  <c r="AO92" i="10" s="1"/>
  <c r="M84" i="10"/>
  <c r="T84" i="10" s="1"/>
  <c r="AA84" i="10" s="1"/>
  <c r="AH84" i="10" s="1"/>
  <c r="AO84" i="10" s="1"/>
  <c r="M101" i="10"/>
  <c r="T101" i="10" s="1"/>
  <c r="AA101" i="10" s="1"/>
  <c r="AH101" i="10" s="1"/>
  <c r="AO101" i="10" s="1"/>
  <c r="M93" i="10"/>
  <c r="T93" i="10" s="1"/>
  <c r="AA93" i="10" s="1"/>
  <c r="AH93" i="10" s="1"/>
  <c r="AO93" i="10" s="1"/>
  <c r="M85" i="10"/>
  <c r="T85" i="10" s="1"/>
  <c r="AA85" i="10" s="1"/>
  <c r="AH85" i="10" s="1"/>
  <c r="AO85" i="10" s="1"/>
  <c r="M102" i="10"/>
  <c r="M94" i="10"/>
  <c r="M18" i="10"/>
  <c r="T18" i="10" s="1"/>
  <c r="AA18" i="10" s="1"/>
  <c r="AH18" i="10" s="1"/>
  <c r="AO18" i="10" s="1"/>
  <c r="M31" i="10"/>
  <c r="T31" i="10" s="1"/>
  <c r="AA31" i="10" s="1"/>
  <c r="AH31" i="10" s="1"/>
  <c r="AO31" i="10" s="1"/>
  <c r="AS15" i="10"/>
  <c r="AT15" i="10" s="1"/>
  <c r="M17" i="10"/>
  <c r="AS19" i="10"/>
  <c r="AT19" i="10" s="1"/>
  <c r="M211" i="11"/>
  <c r="M157" i="11"/>
  <c r="M130" i="11"/>
  <c r="M131" i="11"/>
  <c r="M66" i="11"/>
  <c r="M65" i="11"/>
  <c r="M211" i="10"/>
  <c r="M157" i="10"/>
  <c r="T157" i="10" s="1"/>
  <c r="AA157" i="10" s="1"/>
  <c r="AH157" i="10" s="1"/>
  <c r="AO157" i="10" s="1"/>
  <c r="M130" i="10"/>
  <c r="T130" i="10" s="1"/>
  <c r="AA130" i="10" s="1"/>
  <c r="AH130" i="10" s="1"/>
  <c r="AO130" i="10" s="1"/>
  <c r="M131" i="10"/>
  <c r="M65" i="10"/>
  <c r="T65" i="10" s="1"/>
  <c r="AA65" i="10" s="1"/>
  <c r="AH65" i="10" s="1"/>
  <c r="AO65" i="10" s="1"/>
  <c r="M66" i="10"/>
  <c r="M193" i="11"/>
  <c r="M173" i="11"/>
  <c r="M193" i="10"/>
  <c r="T193" i="10" s="1"/>
  <c r="AA193" i="10" s="1"/>
  <c r="AH193" i="10" s="1"/>
  <c r="AO193" i="10" s="1"/>
  <c r="M173" i="10"/>
  <c r="M204" i="11"/>
  <c r="M188" i="11"/>
  <c r="M184" i="11"/>
  <c r="M148" i="11"/>
  <c r="M132" i="11"/>
  <c r="M54" i="11"/>
  <c r="M51" i="11"/>
  <c r="M53" i="11"/>
  <c r="M67" i="11"/>
  <c r="M29" i="11"/>
  <c r="M204" i="10"/>
  <c r="T204" i="10" s="1"/>
  <c r="AA204" i="10" s="1"/>
  <c r="AH204" i="10" s="1"/>
  <c r="AO204" i="10" s="1"/>
  <c r="M188" i="10"/>
  <c r="T188" i="10" s="1"/>
  <c r="AA188" i="10" s="1"/>
  <c r="AH188" i="10" s="1"/>
  <c r="AO188" i="10" s="1"/>
  <c r="M184" i="10"/>
  <c r="T184" i="10" s="1"/>
  <c r="AA184" i="10" s="1"/>
  <c r="AH184" i="10" s="1"/>
  <c r="AO184" i="10" s="1"/>
  <c r="M3" i="11"/>
  <c r="M148" i="10"/>
  <c r="T148" i="10" s="1"/>
  <c r="AA148" i="10" s="1"/>
  <c r="AH148" i="10" s="1"/>
  <c r="AO148" i="10" s="1"/>
  <c r="M132" i="10"/>
  <c r="T132" i="10" s="1"/>
  <c r="AA132" i="10" s="1"/>
  <c r="AH132" i="10" s="1"/>
  <c r="AO132" i="10" s="1"/>
  <c r="M67" i="10"/>
  <c r="T67" i="10" s="1"/>
  <c r="AA67" i="10" s="1"/>
  <c r="AH67" i="10" s="1"/>
  <c r="AO67" i="10" s="1"/>
  <c r="M53" i="10"/>
  <c r="M29" i="10"/>
  <c r="M54" i="10"/>
  <c r="T54" i="10" s="1"/>
  <c r="AA54" i="10" s="1"/>
  <c r="AH54" i="10" s="1"/>
  <c r="AO54" i="10" s="1"/>
  <c r="M51" i="10"/>
  <c r="T51" i="10" s="1"/>
  <c r="AA51" i="10" s="1"/>
  <c r="AH51" i="10" s="1"/>
  <c r="AO51" i="10" s="1"/>
  <c r="M55" i="11"/>
  <c r="M30" i="11"/>
  <c r="M30" i="10"/>
  <c r="T30" i="10" s="1"/>
  <c r="AA30" i="10" s="1"/>
  <c r="AH30" i="10" s="1"/>
  <c r="AO30" i="10" s="1"/>
  <c r="M55" i="10"/>
  <c r="T55" i="10" s="1"/>
  <c r="AA55" i="10" s="1"/>
  <c r="AH55" i="10" s="1"/>
  <c r="AO55" i="10" s="1"/>
  <c r="M50" i="11"/>
  <c r="M50" i="10"/>
  <c r="T50" i="10" s="1"/>
  <c r="AA50" i="10" s="1"/>
  <c r="AH50" i="10" s="1"/>
  <c r="AO50" i="10" s="1"/>
  <c r="M103" i="11"/>
  <c r="M86" i="11"/>
  <c r="M103" i="10"/>
  <c r="T103" i="10" s="1"/>
  <c r="AA103" i="10" s="1"/>
  <c r="AH103" i="10" s="1"/>
  <c r="AO103" i="10" s="1"/>
  <c r="M86" i="10"/>
  <c r="M150" i="11"/>
  <c r="M150" i="10"/>
  <c r="M209" i="11"/>
  <c r="M209" i="10"/>
  <c r="T209" i="10" s="1"/>
  <c r="AA209" i="10" s="1"/>
  <c r="AH209" i="10" s="1"/>
  <c r="AO209" i="10" s="1"/>
  <c r="AS6" i="10"/>
  <c r="AT6" i="10" s="1"/>
  <c r="AS10" i="10"/>
  <c r="AT10" i="10" s="1"/>
  <c r="M14" i="10"/>
  <c r="T14" i="10" s="1"/>
  <c r="AA14" i="10" s="1"/>
  <c r="AH14" i="10" s="1"/>
  <c r="AO14" i="10" s="1"/>
  <c r="J194" i="11"/>
  <c r="J170" i="11"/>
  <c r="J137" i="11"/>
  <c r="J194" i="10"/>
  <c r="J170" i="10"/>
  <c r="J137" i="10"/>
  <c r="M187" i="11"/>
  <c r="M185" i="11"/>
  <c r="M186" i="11"/>
  <c r="M172" i="11"/>
  <c r="M4" i="11"/>
  <c r="M187" i="10"/>
  <c r="T187" i="10" s="1"/>
  <c r="AA187" i="10" s="1"/>
  <c r="AH187" i="10" s="1"/>
  <c r="AO187" i="10" s="1"/>
  <c r="M186" i="10"/>
  <c r="M185" i="10"/>
  <c r="M172" i="10"/>
  <c r="T172" i="10" s="1"/>
  <c r="AA172" i="10" s="1"/>
  <c r="AH172" i="10" s="1"/>
  <c r="AO172" i="10" s="1"/>
  <c r="M32" i="11"/>
  <c r="M32" i="10"/>
  <c r="M57" i="11"/>
  <c r="M57" i="10"/>
  <c r="M99" i="11"/>
  <c r="M99" i="10"/>
  <c r="T99" i="10" s="1"/>
  <c r="AA99" i="10" s="1"/>
  <c r="AH99" i="10" s="1"/>
  <c r="AO99" i="10" s="1"/>
  <c r="M158" i="11"/>
  <c r="M158" i="10"/>
  <c r="Y3" i="11"/>
  <c r="AF3" i="11" s="1"/>
  <c r="AM3" i="11" s="1"/>
  <c r="AT3" i="11"/>
  <c r="R4" i="10"/>
  <c r="Y4" i="10" s="1"/>
  <c r="AF4" i="10" s="1"/>
  <c r="AM4" i="10" s="1"/>
  <c r="L5" i="10"/>
  <c r="S5" i="10" s="1"/>
  <c r="Z5" i="10" s="1"/>
  <c r="AG5" i="10" s="1"/>
  <c r="AN5" i="10" s="1"/>
  <c r="R8" i="10"/>
  <c r="Y8" i="10" s="1"/>
  <c r="AF8" i="10" s="1"/>
  <c r="AM8" i="10" s="1"/>
  <c r="R12" i="10"/>
  <c r="Y12" i="10" s="1"/>
  <c r="AF12" i="10" s="1"/>
  <c r="AM12" i="10" s="1"/>
  <c r="L203" i="11"/>
  <c r="L146" i="11"/>
  <c r="L116" i="11"/>
  <c r="L111" i="11"/>
  <c r="L113" i="11"/>
  <c r="L63" i="11"/>
  <c r="L44" i="11"/>
  <c r="L21" i="11"/>
  <c r="L11" i="11"/>
  <c r="L9" i="11"/>
  <c r="L5" i="11"/>
  <c r="L22" i="11"/>
  <c r="L203" i="10"/>
  <c r="S203" i="10" s="1"/>
  <c r="Z203" i="10" s="1"/>
  <c r="AG203" i="10" s="1"/>
  <c r="AN203" i="10" s="1"/>
  <c r="L12" i="11"/>
  <c r="L146" i="10"/>
  <c r="L116" i="10"/>
  <c r="S116" i="10" s="1"/>
  <c r="Z116" i="10" s="1"/>
  <c r="AG116" i="10" s="1"/>
  <c r="AN116" i="10" s="1"/>
  <c r="L113" i="10"/>
  <c r="L111" i="10"/>
  <c r="L44" i="10"/>
  <c r="L21" i="10"/>
  <c r="L63" i="10"/>
  <c r="S63" i="10" s="1"/>
  <c r="Z63" i="10" s="1"/>
  <c r="AG63" i="10" s="1"/>
  <c r="AN63" i="10" s="1"/>
  <c r="L22" i="10"/>
  <c r="S22" i="10" s="1"/>
  <c r="Z22" i="10" s="1"/>
  <c r="AG22" i="10" s="1"/>
  <c r="AN22" i="10" s="1"/>
  <c r="K164" i="11"/>
  <c r="K110" i="11"/>
  <c r="K58" i="11"/>
  <c r="K33" i="11"/>
  <c r="K164" i="10"/>
  <c r="R164" i="10" s="1"/>
  <c r="Y164" i="10" s="1"/>
  <c r="AF164" i="10" s="1"/>
  <c r="AM164" i="10" s="1"/>
  <c r="K110" i="10"/>
  <c r="R110" i="10" s="1"/>
  <c r="Y110" i="10" s="1"/>
  <c r="AF110" i="10" s="1"/>
  <c r="AM110" i="10" s="1"/>
  <c r="K33" i="10"/>
  <c r="K58" i="10"/>
  <c r="R58" i="10" s="1"/>
  <c r="Y58" i="10" s="1"/>
  <c r="AF58" i="10" s="1"/>
  <c r="AM58" i="10" s="1"/>
  <c r="K165" i="11"/>
  <c r="K145" i="11"/>
  <c r="K59" i="11"/>
  <c r="K165" i="10"/>
  <c r="K145" i="10"/>
  <c r="K59" i="10"/>
  <c r="M114" i="11"/>
  <c r="M114" i="10"/>
  <c r="T114" i="10" s="1"/>
  <c r="AA114" i="10" s="1"/>
  <c r="AH114" i="10" s="1"/>
  <c r="AO114" i="10" s="1"/>
  <c r="M159" i="11"/>
  <c r="M159" i="10"/>
  <c r="T159" i="10" s="1"/>
  <c r="AA159" i="10" s="1"/>
  <c r="AH159" i="10" s="1"/>
  <c r="AO159" i="10" s="1"/>
  <c r="AS5" i="10"/>
  <c r="AT5" i="10" s="1"/>
  <c r="Q7" i="10"/>
  <c r="X7" i="10" s="1"/>
  <c r="AE7" i="10" s="1"/>
  <c r="AL7" i="10" s="1"/>
  <c r="AS9" i="10"/>
  <c r="AT9" i="10" s="1"/>
  <c r="Q11" i="10"/>
  <c r="X11" i="10" s="1"/>
  <c r="AE11" i="10" s="1"/>
  <c r="AL11" i="10" s="1"/>
  <c r="M13" i="10"/>
  <c r="T13" i="10" s="1"/>
  <c r="AA13" i="10" s="1"/>
  <c r="AH13" i="10" s="1"/>
  <c r="AO13" i="10" s="1"/>
  <c r="Q34" i="10"/>
  <c r="X34" i="10" s="1"/>
  <c r="AE34" i="10" s="1"/>
  <c r="AL34" i="10" s="1"/>
  <c r="J195" i="11"/>
  <c r="J195" i="10"/>
  <c r="M34" i="11"/>
  <c r="M34" i="10"/>
  <c r="T34" i="10" s="1"/>
  <c r="AA34" i="10" s="1"/>
  <c r="AH34" i="10" s="1"/>
  <c r="AO34" i="10" s="1"/>
  <c r="K190" i="11"/>
  <c r="K60" i="11"/>
  <c r="K190" i="10"/>
  <c r="K60" i="10"/>
  <c r="K115" i="11"/>
  <c r="K115" i="10"/>
  <c r="K168" i="11"/>
  <c r="K168" i="10"/>
  <c r="R168" i="10" s="1"/>
  <c r="Y168" i="10" s="1"/>
  <c r="AF168" i="10" s="1"/>
  <c r="AM168" i="10" s="1"/>
  <c r="L12" i="10"/>
  <c r="S12" i="10" s="1"/>
  <c r="Z12" i="10" s="1"/>
  <c r="AG12" i="10" s="1"/>
  <c r="AN12" i="10" s="1"/>
  <c r="L139" i="11"/>
  <c r="L127" i="11"/>
  <c r="L125" i="11"/>
  <c r="L141" i="11"/>
  <c r="L126" i="11"/>
  <c r="L128" i="11"/>
  <c r="L62" i="11"/>
  <c r="L61" i="11"/>
  <c r="L128" i="10"/>
  <c r="S128" i="10" s="1"/>
  <c r="Z128" i="10" s="1"/>
  <c r="AG128" i="10" s="1"/>
  <c r="AN128" i="10" s="1"/>
  <c r="L141" i="10"/>
  <c r="S141" i="10" s="1"/>
  <c r="Z141" i="10" s="1"/>
  <c r="AG141" i="10" s="1"/>
  <c r="AN141" i="10" s="1"/>
  <c r="L125" i="10"/>
  <c r="L126" i="10"/>
  <c r="S126" i="10" s="1"/>
  <c r="Z126" i="10" s="1"/>
  <c r="AG126" i="10" s="1"/>
  <c r="AN126" i="10" s="1"/>
  <c r="L139" i="10"/>
  <c r="L62" i="10"/>
  <c r="S62" i="10" s="1"/>
  <c r="Z62" i="10" s="1"/>
  <c r="AG62" i="10" s="1"/>
  <c r="AN62" i="10" s="1"/>
  <c r="L127" i="10"/>
  <c r="S127" i="10" s="1"/>
  <c r="Z127" i="10" s="1"/>
  <c r="AG127" i="10" s="1"/>
  <c r="AN127" i="10" s="1"/>
  <c r="L61" i="10"/>
  <c r="M35" i="11"/>
  <c r="M35" i="10"/>
  <c r="T35" i="10" s="1"/>
  <c r="AA35" i="10" s="1"/>
  <c r="AH35" i="10" s="1"/>
  <c r="AO35" i="10" s="1"/>
  <c r="M133" i="11"/>
  <c r="M68" i="11"/>
  <c r="M69" i="11"/>
  <c r="M133" i="10"/>
  <c r="M68" i="10"/>
  <c r="T68" i="10" s="1"/>
  <c r="AA68" i="10" s="1"/>
  <c r="AH68" i="10" s="1"/>
  <c r="AO68" i="10" s="1"/>
  <c r="M69" i="10"/>
  <c r="T69" i="10" s="1"/>
  <c r="AA69" i="10" s="1"/>
  <c r="AH69" i="10" s="1"/>
  <c r="AO69" i="10" s="1"/>
  <c r="M120" i="11"/>
  <c r="M120" i="10"/>
  <c r="T120" i="10" s="1"/>
  <c r="AA120" i="10" s="1"/>
  <c r="AH120" i="10" s="1"/>
  <c r="AO120" i="10" s="1"/>
  <c r="M171" i="11"/>
  <c r="M171" i="10"/>
  <c r="T171" i="10" s="1"/>
  <c r="AA171" i="10" s="1"/>
  <c r="AH171" i="10" s="1"/>
  <c r="AO171" i="10" s="1"/>
  <c r="M162" i="11"/>
  <c r="M160" i="11"/>
  <c r="M161" i="11"/>
  <c r="M105" i="11"/>
  <c r="M97" i="11"/>
  <c r="M106" i="11"/>
  <c r="M96" i="11"/>
  <c r="M90" i="11"/>
  <c r="M104" i="11"/>
  <c r="M16" i="11"/>
  <c r="M14" i="11"/>
  <c r="M17" i="11"/>
  <c r="M15" i="11"/>
  <c r="M13" i="11"/>
  <c r="M7" i="11"/>
  <c r="M160" i="10"/>
  <c r="T160" i="10" s="1"/>
  <c r="AA160" i="10" s="1"/>
  <c r="AH160" i="10" s="1"/>
  <c r="AO160" i="10" s="1"/>
  <c r="M162" i="10"/>
  <c r="M161" i="10"/>
  <c r="T161" i="10" s="1"/>
  <c r="AA161" i="10" s="1"/>
  <c r="AH161" i="10" s="1"/>
  <c r="AO161" i="10" s="1"/>
  <c r="M104" i="10"/>
  <c r="T104" i="10" s="1"/>
  <c r="AA104" i="10" s="1"/>
  <c r="AH104" i="10" s="1"/>
  <c r="AO104" i="10" s="1"/>
  <c r="M96" i="10"/>
  <c r="T96" i="10" s="1"/>
  <c r="AA96" i="10" s="1"/>
  <c r="AH96" i="10" s="1"/>
  <c r="AO96" i="10" s="1"/>
  <c r="M105" i="10"/>
  <c r="T105" i="10" s="1"/>
  <c r="AA105" i="10" s="1"/>
  <c r="AH105" i="10" s="1"/>
  <c r="AO105" i="10" s="1"/>
  <c r="M97" i="10"/>
  <c r="T97" i="10" s="1"/>
  <c r="AA97" i="10" s="1"/>
  <c r="AH97" i="10" s="1"/>
  <c r="AO97" i="10" s="1"/>
  <c r="M106" i="10"/>
  <c r="T106" i="10" s="1"/>
  <c r="AA106" i="10" s="1"/>
  <c r="AH106" i="10" s="1"/>
  <c r="AO106" i="10" s="1"/>
  <c r="M90" i="10"/>
  <c r="AV24" i="11"/>
  <c r="T24" i="11"/>
  <c r="AA24" i="11" s="1"/>
  <c r="AH24" i="11" s="1"/>
  <c r="AO24" i="11" s="1"/>
  <c r="M4" i="10"/>
  <c r="T4" i="10" s="1"/>
  <c r="AA4" i="10" s="1"/>
  <c r="AH4" i="10" s="1"/>
  <c r="AO4" i="10" s="1"/>
  <c r="M8" i="10"/>
  <c r="T8" i="10" s="1"/>
  <c r="AA8" i="10" s="1"/>
  <c r="AH8" i="10" s="1"/>
  <c r="AO8" i="10" s="1"/>
  <c r="AS38" i="10"/>
  <c r="AT38" i="10" s="1"/>
  <c r="M183" i="11"/>
  <c r="M182" i="11"/>
  <c r="M176" i="11"/>
  <c r="M154" i="11"/>
  <c r="M155" i="11"/>
  <c r="M147" i="11"/>
  <c r="M129" i="11"/>
  <c r="M64" i="11"/>
  <c r="M23" i="11"/>
  <c r="M183" i="10"/>
  <c r="T183" i="10" s="1"/>
  <c r="AA183" i="10" s="1"/>
  <c r="AH183" i="10" s="1"/>
  <c r="AO183" i="10" s="1"/>
  <c r="M176" i="10"/>
  <c r="T176" i="10" s="1"/>
  <c r="AA176" i="10" s="1"/>
  <c r="AH176" i="10" s="1"/>
  <c r="AO176" i="10" s="1"/>
  <c r="M182" i="10"/>
  <c r="M155" i="10"/>
  <c r="T155" i="10" s="1"/>
  <c r="AA155" i="10" s="1"/>
  <c r="AH155" i="10" s="1"/>
  <c r="AO155" i="10" s="1"/>
  <c r="M147" i="10"/>
  <c r="T147" i="10" s="1"/>
  <c r="AA147" i="10" s="1"/>
  <c r="AH147" i="10" s="1"/>
  <c r="AO147" i="10" s="1"/>
  <c r="M154" i="10"/>
  <c r="M129" i="10"/>
  <c r="M64" i="10"/>
  <c r="T64" i="10" s="1"/>
  <c r="AA64" i="10" s="1"/>
  <c r="AH64" i="10" s="1"/>
  <c r="AO64" i="10" s="1"/>
  <c r="L210" i="11"/>
  <c r="L191" i="11"/>
  <c r="L191" i="10"/>
  <c r="S191" i="10" s="1"/>
  <c r="Z191" i="10" s="1"/>
  <c r="AG191" i="10" s="1"/>
  <c r="AN191" i="10" s="1"/>
  <c r="L210" i="10"/>
  <c r="S210" i="10" s="1"/>
  <c r="Z210" i="10" s="1"/>
  <c r="AG210" i="10" s="1"/>
  <c r="AN210" i="10" s="1"/>
  <c r="M47" i="11"/>
  <c r="M47" i="10"/>
  <c r="T47" i="10" s="1"/>
  <c r="AA47" i="10" s="1"/>
  <c r="AH47" i="10" s="1"/>
  <c r="AO47" i="10" s="1"/>
  <c r="M156" i="11"/>
  <c r="M98" i="11"/>
  <c r="M71" i="11"/>
  <c r="M156" i="10"/>
  <c r="T156" i="10" s="1"/>
  <c r="AA156" i="10" s="1"/>
  <c r="AH156" i="10" s="1"/>
  <c r="AO156" i="10" s="1"/>
  <c r="M71" i="10"/>
  <c r="T71" i="10" s="1"/>
  <c r="AA71" i="10" s="1"/>
  <c r="AH71" i="10" s="1"/>
  <c r="AO71" i="10" s="1"/>
  <c r="M98" i="10"/>
  <c r="K121" i="11"/>
  <c r="K121" i="10"/>
  <c r="K169" i="11"/>
  <c r="K80" i="11"/>
  <c r="K77" i="11"/>
  <c r="K27" i="11"/>
  <c r="K25" i="11"/>
  <c r="K169" i="10"/>
  <c r="K80" i="10"/>
  <c r="R80" i="10" s="1"/>
  <c r="Y80" i="10" s="1"/>
  <c r="AF80" i="10" s="1"/>
  <c r="AM80" i="10" s="1"/>
  <c r="K25" i="10"/>
  <c r="K77" i="10"/>
  <c r="K27" i="10"/>
  <c r="L11" i="10"/>
  <c r="S11" i="10" s="1"/>
  <c r="Z11" i="10" s="1"/>
  <c r="AG11" i="10" s="1"/>
  <c r="AN11" i="10" s="1"/>
  <c r="M16" i="10"/>
  <c r="T16" i="10" s="1"/>
  <c r="AA16" i="10" s="1"/>
  <c r="AH16" i="10" s="1"/>
  <c r="AO16" i="10" s="1"/>
  <c r="Q22" i="10"/>
  <c r="X22" i="10" s="1"/>
  <c r="AE22" i="10" s="1"/>
  <c r="AL22" i="10" s="1"/>
  <c r="M24" i="10"/>
  <c r="Q30" i="10"/>
  <c r="X30" i="10" s="1"/>
  <c r="AE30" i="10" s="1"/>
  <c r="AL30" i="10" s="1"/>
  <c r="M207" i="11"/>
  <c r="M181" i="11"/>
  <c r="M180" i="11"/>
  <c r="M179" i="11"/>
  <c r="M152" i="11"/>
  <c r="M166" i="11"/>
  <c r="M138" i="11"/>
  <c r="M108" i="11"/>
  <c r="M82" i="11"/>
  <c r="M26" i="11"/>
  <c r="M41" i="11"/>
  <c r="M10" i="11"/>
  <c r="M207" i="10"/>
  <c r="T207" i="10" s="1"/>
  <c r="AA207" i="10" s="1"/>
  <c r="AH207" i="10" s="1"/>
  <c r="AO207" i="10" s="1"/>
  <c r="M179" i="10"/>
  <c r="T179" i="10" s="1"/>
  <c r="AA179" i="10" s="1"/>
  <c r="AH179" i="10" s="1"/>
  <c r="AO179" i="10" s="1"/>
  <c r="M180" i="10"/>
  <c r="T180" i="10" s="1"/>
  <c r="AA180" i="10" s="1"/>
  <c r="AH180" i="10" s="1"/>
  <c r="AO180" i="10" s="1"/>
  <c r="M152" i="10"/>
  <c r="T152" i="10" s="1"/>
  <c r="AA152" i="10" s="1"/>
  <c r="AH152" i="10" s="1"/>
  <c r="AO152" i="10" s="1"/>
  <c r="M181" i="10"/>
  <c r="T181" i="10" s="1"/>
  <c r="AA181" i="10" s="1"/>
  <c r="AH181" i="10" s="1"/>
  <c r="AO181" i="10" s="1"/>
  <c r="M166" i="10"/>
  <c r="M138" i="10"/>
  <c r="T138" i="10" s="1"/>
  <c r="AA138" i="10" s="1"/>
  <c r="AH138" i="10" s="1"/>
  <c r="AO138" i="10" s="1"/>
  <c r="M108" i="10"/>
  <c r="T108" i="10" s="1"/>
  <c r="AA108" i="10" s="1"/>
  <c r="AH108" i="10" s="1"/>
  <c r="AO108" i="10" s="1"/>
  <c r="M82" i="10"/>
  <c r="M41" i="10"/>
  <c r="M26" i="10"/>
  <c r="T26" i="10" s="1"/>
  <c r="AA26" i="10" s="1"/>
  <c r="AH26" i="10" s="1"/>
  <c r="AO26" i="10" s="1"/>
  <c r="L197" i="11"/>
  <c r="L196" i="11"/>
  <c r="L175" i="11"/>
  <c r="L123" i="11"/>
  <c r="L175" i="10"/>
  <c r="S175" i="10" s="1"/>
  <c r="Z175" i="10" s="1"/>
  <c r="AG175" i="10" s="1"/>
  <c r="AN175" i="10" s="1"/>
  <c r="L196" i="10"/>
  <c r="S196" i="10" s="1"/>
  <c r="Z196" i="10" s="1"/>
  <c r="AG196" i="10" s="1"/>
  <c r="AN196" i="10" s="1"/>
  <c r="L197" i="10"/>
  <c r="S197" i="10" s="1"/>
  <c r="Z197" i="10" s="1"/>
  <c r="AG197" i="10" s="1"/>
  <c r="AN197" i="10" s="1"/>
  <c r="L123" i="10"/>
  <c r="M177" i="11"/>
  <c r="M118" i="11"/>
  <c r="M70" i="11"/>
  <c r="M48" i="11"/>
  <c r="M177" i="10"/>
  <c r="T177" i="10" s="1"/>
  <c r="AA177" i="10" s="1"/>
  <c r="AH177" i="10" s="1"/>
  <c r="AO177" i="10" s="1"/>
  <c r="M118" i="10"/>
  <c r="T118" i="10" s="1"/>
  <c r="AA118" i="10" s="1"/>
  <c r="AH118" i="10" s="1"/>
  <c r="AO118" i="10" s="1"/>
  <c r="M70" i="10"/>
  <c r="M48" i="10"/>
  <c r="M78" i="11"/>
  <c r="M81" i="11"/>
  <c r="M81" i="10"/>
  <c r="T81" i="10" s="1"/>
  <c r="AA81" i="10" s="1"/>
  <c r="AH81" i="10" s="1"/>
  <c r="AO81" i="10" s="1"/>
  <c r="M78" i="10"/>
  <c r="K189" i="11"/>
  <c r="K122" i="11"/>
  <c r="K189" i="10"/>
  <c r="K122" i="10"/>
  <c r="R122" i="10" s="1"/>
  <c r="Y122" i="10" s="1"/>
  <c r="AF122" i="10" s="1"/>
  <c r="AM122" i="10" s="1"/>
  <c r="K174" i="11"/>
  <c r="K174" i="10"/>
  <c r="R174" i="10" s="1"/>
  <c r="Y174" i="10" s="1"/>
  <c r="AF174" i="10" s="1"/>
  <c r="AM174" i="10" s="1"/>
  <c r="M206" i="11"/>
  <c r="M208" i="11"/>
  <c r="M205" i="11"/>
  <c r="M178" i="11"/>
  <c r="M142" i="11"/>
  <c r="M151" i="11"/>
  <c r="M136" i="11"/>
  <c r="M134" i="11"/>
  <c r="M135" i="11"/>
  <c r="M119" i="11"/>
  <c r="M112" i="11"/>
  <c r="M107" i="11"/>
  <c r="M117" i="11"/>
  <c r="M75" i="11"/>
  <c r="M52" i="11"/>
  <c r="M72" i="11"/>
  <c r="M74" i="11"/>
  <c r="M76" i="11"/>
  <c r="M28" i="11"/>
  <c r="M73" i="11"/>
  <c r="M43" i="11"/>
  <c r="M39" i="11"/>
  <c r="M37" i="11"/>
  <c r="M45" i="11"/>
  <c r="M42" i="11"/>
  <c r="M40" i="11"/>
  <c r="M38" i="11"/>
  <c r="M36" i="11"/>
  <c r="M46" i="11"/>
  <c r="M208" i="10"/>
  <c r="T208" i="10" s="1"/>
  <c r="AA208" i="10" s="1"/>
  <c r="AH208" i="10" s="1"/>
  <c r="AO208" i="10" s="1"/>
  <c r="M205" i="10"/>
  <c r="T205" i="10" s="1"/>
  <c r="AA205" i="10" s="1"/>
  <c r="AH205" i="10" s="1"/>
  <c r="AO205" i="10" s="1"/>
  <c r="M206" i="10"/>
  <c r="M151" i="10"/>
  <c r="T151" i="10" s="1"/>
  <c r="AA151" i="10" s="1"/>
  <c r="AH151" i="10" s="1"/>
  <c r="AO151" i="10" s="1"/>
  <c r="M178" i="10"/>
  <c r="M142" i="10"/>
  <c r="T142" i="10" s="1"/>
  <c r="AA142" i="10" s="1"/>
  <c r="AH142" i="10" s="1"/>
  <c r="AO142" i="10" s="1"/>
  <c r="M134" i="10"/>
  <c r="T134" i="10" s="1"/>
  <c r="AA134" i="10" s="1"/>
  <c r="AH134" i="10" s="1"/>
  <c r="AO134" i="10" s="1"/>
  <c r="M135" i="10"/>
  <c r="M136" i="10"/>
  <c r="T136" i="10" s="1"/>
  <c r="AA136" i="10" s="1"/>
  <c r="AH136" i="10" s="1"/>
  <c r="AO136" i="10" s="1"/>
  <c r="M119" i="10"/>
  <c r="M75" i="10"/>
  <c r="T75" i="10" s="1"/>
  <c r="AA75" i="10" s="1"/>
  <c r="AH75" i="10" s="1"/>
  <c r="AO75" i="10" s="1"/>
  <c r="M107" i="10"/>
  <c r="T107" i="10" s="1"/>
  <c r="AA107" i="10" s="1"/>
  <c r="AH107" i="10" s="1"/>
  <c r="AO107" i="10" s="1"/>
  <c r="M76" i="10"/>
  <c r="T76" i="10" s="1"/>
  <c r="AA76" i="10" s="1"/>
  <c r="AH76" i="10" s="1"/>
  <c r="AO76" i="10" s="1"/>
  <c r="M72" i="10"/>
  <c r="T72" i="10" s="1"/>
  <c r="AA72" i="10" s="1"/>
  <c r="AH72" i="10" s="1"/>
  <c r="AO72" i="10" s="1"/>
  <c r="M117" i="10"/>
  <c r="M73" i="10"/>
  <c r="T73" i="10" s="1"/>
  <c r="AA73" i="10" s="1"/>
  <c r="AH73" i="10" s="1"/>
  <c r="AO73" i="10" s="1"/>
  <c r="M112" i="10"/>
  <c r="M45" i="10"/>
  <c r="M37" i="10"/>
  <c r="M46" i="10"/>
  <c r="T46" i="10" s="1"/>
  <c r="AA46" i="10" s="1"/>
  <c r="AH46" i="10" s="1"/>
  <c r="AO46" i="10" s="1"/>
  <c r="M42" i="10"/>
  <c r="T42" i="10" s="1"/>
  <c r="AA42" i="10" s="1"/>
  <c r="AH42" i="10" s="1"/>
  <c r="AO42" i="10" s="1"/>
  <c r="M38" i="10"/>
  <c r="T38" i="10" s="1"/>
  <c r="AA38" i="10" s="1"/>
  <c r="AH38" i="10" s="1"/>
  <c r="AO38" i="10" s="1"/>
  <c r="M43" i="10"/>
  <c r="T43" i="10" s="1"/>
  <c r="AA43" i="10" s="1"/>
  <c r="AH43" i="10" s="1"/>
  <c r="AO43" i="10" s="1"/>
  <c r="M39" i="10"/>
  <c r="T39" i="10" s="1"/>
  <c r="AA39" i="10" s="1"/>
  <c r="AH39" i="10" s="1"/>
  <c r="AO39" i="10" s="1"/>
  <c r="M74" i="10"/>
  <c r="M52" i="10"/>
  <c r="M40" i="10"/>
  <c r="M36" i="10"/>
  <c r="M28" i="10"/>
  <c r="M3" i="10"/>
  <c r="M7" i="10"/>
  <c r="T7" i="10" s="1"/>
  <c r="AA7" i="10" s="1"/>
  <c r="AH7" i="10" s="1"/>
  <c r="AO7" i="10" s="1"/>
  <c r="AS18" i="10"/>
  <c r="AT18" i="10" s="1"/>
  <c r="AS20" i="10"/>
  <c r="AT20" i="10" s="1"/>
  <c r="Q26" i="10"/>
  <c r="X26" i="10" s="1"/>
  <c r="AE26" i="10" s="1"/>
  <c r="AL26" i="10" s="1"/>
  <c r="Q38" i="10"/>
  <c r="X38" i="10" s="1"/>
  <c r="AE38" i="10" s="1"/>
  <c r="AL38" i="10" s="1"/>
  <c r="Q42" i="10"/>
  <c r="X42" i="10" s="1"/>
  <c r="AE42" i="10" s="1"/>
  <c r="AL42" i="10" s="1"/>
  <c r="Q46" i="10"/>
  <c r="X46" i="10" s="1"/>
  <c r="AE46" i="10" s="1"/>
  <c r="AL46" i="10" s="1"/>
  <c r="Q50" i="10"/>
  <c r="X50" i="10" s="1"/>
  <c r="AE50" i="10" s="1"/>
  <c r="AL50" i="10" s="1"/>
  <c r="Q54" i="10"/>
  <c r="X54" i="10" s="1"/>
  <c r="AE54" i="10" s="1"/>
  <c r="AL54" i="10" s="1"/>
  <c r="AS56" i="10"/>
  <c r="AT56" i="10" s="1"/>
  <c r="Q58" i="10"/>
  <c r="X58" i="10" s="1"/>
  <c r="AE58" i="10" s="1"/>
  <c r="AL58" i="10" s="1"/>
  <c r="AS69" i="10"/>
  <c r="AT69" i="10" s="1"/>
  <c r="AS96" i="10"/>
  <c r="AT96" i="10" s="1"/>
  <c r="AS104" i="10"/>
  <c r="AT104" i="10" s="1"/>
  <c r="AS68" i="10"/>
  <c r="AT68" i="10" s="1"/>
  <c r="R73" i="10"/>
  <c r="Y73" i="10" s="1"/>
  <c r="AF73" i="10" s="1"/>
  <c r="AM73" i="10" s="1"/>
  <c r="R81" i="10"/>
  <c r="Y81" i="10" s="1"/>
  <c r="AF81" i="10" s="1"/>
  <c r="AM81" i="10" s="1"/>
  <c r="AS81" i="10"/>
  <c r="AT81" i="10" s="1"/>
  <c r="AS31" i="10"/>
  <c r="AT31" i="10" s="1"/>
  <c r="AS35" i="10"/>
  <c r="AT35" i="10" s="1"/>
  <c r="AS39" i="10"/>
  <c r="AT39" i="10" s="1"/>
  <c r="AS47" i="10"/>
  <c r="AT47" i="10" s="1"/>
  <c r="AS51" i="10"/>
  <c r="AT51" i="10" s="1"/>
  <c r="AS55" i="10"/>
  <c r="AT55" i="10" s="1"/>
  <c r="AS63" i="10"/>
  <c r="AT63" i="10" s="1"/>
  <c r="AS75" i="10"/>
  <c r="AT75" i="10" s="1"/>
  <c r="Q75" i="10"/>
  <c r="X75" i="10" s="1"/>
  <c r="AE75" i="10" s="1"/>
  <c r="AL75" i="10" s="1"/>
  <c r="AS83" i="10"/>
  <c r="AT83" i="10" s="1"/>
  <c r="R85" i="10"/>
  <c r="Y85" i="10" s="1"/>
  <c r="AF85" i="10" s="1"/>
  <c r="AM85" i="10" s="1"/>
  <c r="AS85" i="10"/>
  <c r="AT85" i="10" s="1"/>
  <c r="Q62" i="10"/>
  <c r="X62" i="10" s="1"/>
  <c r="AE62" i="10" s="1"/>
  <c r="AL62" i="10" s="1"/>
  <c r="AS65" i="10"/>
  <c r="AT65" i="10" s="1"/>
  <c r="AS79" i="10"/>
  <c r="AT79" i="10" s="1"/>
  <c r="Q79" i="10"/>
  <c r="X79" i="10" s="1"/>
  <c r="AE79" i="10" s="1"/>
  <c r="AL79" i="10" s="1"/>
  <c r="AS80" i="10"/>
  <c r="AT80" i="10" s="1"/>
  <c r="AS109" i="10"/>
  <c r="AT109" i="10" s="1"/>
  <c r="AS67" i="10"/>
  <c r="AT67" i="10" s="1"/>
  <c r="AS92" i="10"/>
  <c r="AT92" i="10" s="1"/>
  <c r="AS100" i="10"/>
  <c r="AT100" i="10" s="1"/>
  <c r="AS64" i="10"/>
  <c r="AT64" i="10" s="1"/>
  <c r="AS71" i="10"/>
  <c r="AT71" i="10" s="1"/>
  <c r="AS84" i="10"/>
  <c r="AT84" i="10" s="1"/>
  <c r="R89" i="10"/>
  <c r="Y89" i="10" s="1"/>
  <c r="AF89" i="10" s="1"/>
  <c r="AM89" i="10" s="1"/>
  <c r="AS89" i="10"/>
  <c r="AT89" i="10" s="1"/>
  <c r="AS88" i="10"/>
  <c r="AT88" i="10" s="1"/>
  <c r="Q107" i="10"/>
  <c r="X107" i="10" s="1"/>
  <c r="AE107" i="10" s="1"/>
  <c r="AL107" i="10" s="1"/>
  <c r="AS126" i="10"/>
  <c r="AT126" i="10" s="1"/>
  <c r="Q83" i="10"/>
  <c r="X83" i="10" s="1"/>
  <c r="AE83" i="10" s="1"/>
  <c r="AL83" i="10" s="1"/>
  <c r="Q87" i="10"/>
  <c r="X87" i="10" s="1"/>
  <c r="AE87" i="10" s="1"/>
  <c r="AL87" i="10" s="1"/>
  <c r="Q91" i="10"/>
  <c r="X91" i="10" s="1"/>
  <c r="AE91" i="10" s="1"/>
  <c r="AL91" i="10" s="1"/>
  <c r="AS93" i="10"/>
  <c r="AT93" i="10" s="1"/>
  <c r="Q95" i="10"/>
  <c r="X95" i="10" s="1"/>
  <c r="AE95" i="10" s="1"/>
  <c r="AL95" i="10" s="1"/>
  <c r="AS97" i="10"/>
  <c r="AT97" i="10" s="1"/>
  <c r="Q99" i="10"/>
  <c r="X99" i="10" s="1"/>
  <c r="AE99" i="10" s="1"/>
  <c r="AL99" i="10" s="1"/>
  <c r="Q103" i="10"/>
  <c r="X103" i="10" s="1"/>
  <c r="AE103" i="10" s="1"/>
  <c r="AL103" i="10" s="1"/>
  <c r="AS114" i="10"/>
  <c r="AT114" i="10" s="1"/>
  <c r="AS116" i="10"/>
  <c r="AT116" i="10" s="1"/>
  <c r="AS106" i="10"/>
  <c r="AT106" i="10" s="1"/>
  <c r="AS127" i="10"/>
  <c r="AT127" i="10" s="1"/>
  <c r="AS157" i="10"/>
  <c r="AT157" i="10" s="1"/>
  <c r="AS110" i="10"/>
  <c r="AT110" i="10" s="1"/>
  <c r="AS141" i="10"/>
  <c r="AT141" i="10" s="1"/>
  <c r="AS120" i="10"/>
  <c r="AT120" i="10" s="1"/>
  <c r="Q126" i="10"/>
  <c r="X126" i="10" s="1"/>
  <c r="AE126" i="10" s="1"/>
  <c r="AL126" i="10" s="1"/>
  <c r="Q130" i="10"/>
  <c r="X130" i="10" s="1"/>
  <c r="AE130" i="10" s="1"/>
  <c r="AL130" i="10" s="1"/>
  <c r="AS132" i="10"/>
  <c r="AT132" i="10" s="1"/>
  <c r="Q134" i="10"/>
  <c r="X134" i="10" s="1"/>
  <c r="AE134" i="10" s="1"/>
  <c r="AL134" i="10" s="1"/>
  <c r="AS136" i="10"/>
  <c r="AT136" i="10" s="1"/>
  <c r="Q138" i="10"/>
  <c r="X138" i="10" s="1"/>
  <c r="AE138" i="10" s="1"/>
  <c r="AL138" i="10" s="1"/>
  <c r="AS140" i="10"/>
  <c r="AT140" i="10" s="1"/>
  <c r="AS171" i="10"/>
  <c r="AT171" i="10" s="1"/>
  <c r="AS174" i="10"/>
  <c r="AT174" i="10" s="1"/>
  <c r="AS148" i="10"/>
  <c r="AT148" i="10" s="1"/>
  <c r="AS156" i="10"/>
  <c r="AT156" i="10" s="1"/>
  <c r="AS153" i="10"/>
  <c r="AT153" i="10" s="1"/>
  <c r="AS161" i="10"/>
  <c r="AT161" i="10" s="1"/>
  <c r="AS177" i="10"/>
  <c r="AT177" i="10" s="1"/>
  <c r="AS142" i="10"/>
  <c r="AT142" i="10" s="1"/>
  <c r="AS144" i="10"/>
  <c r="AT144" i="10" s="1"/>
  <c r="AS147" i="10"/>
  <c r="AT147" i="10" s="1"/>
  <c r="AS163" i="10"/>
  <c r="AT163" i="10" s="1"/>
  <c r="Q143" i="10"/>
  <c r="X143" i="10" s="1"/>
  <c r="AE143" i="10" s="1"/>
  <c r="AL143" i="10" s="1"/>
  <c r="AS152" i="10"/>
  <c r="AT152" i="10" s="1"/>
  <c r="AS160" i="10"/>
  <c r="AT160" i="10" s="1"/>
  <c r="AS164" i="10"/>
  <c r="AT164" i="10" s="1"/>
  <c r="Q151" i="10"/>
  <c r="X151" i="10" s="1"/>
  <c r="AE151" i="10" s="1"/>
  <c r="AL151" i="10" s="1"/>
  <c r="Q159" i="10"/>
  <c r="X159" i="10" s="1"/>
  <c r="AE159" i="10" s="1"/>
  <c r="AL159" i="10" s="1"/>
  <c r="AS168" i="10"/>
  <c r="AT168" i="10" s="1"/>
  <c r="AS191" i="10"/>
  <c r="AT191" i="10" s="1"/>
  <c r="AS204" i="10"/>
  <c r="AT204" i="10" s="1"/>
  <c r="AS208" i="10"/>
  <c r="AT208" i="10" s="1"/>
  <c r="AS181" i="10"/>
  <c r="AT181" i="10" s="1"/>
  <c r="AS175" i="10"/>
  <c r="AT175" i="10" s="1"/>
  <c r="AS188" i="10"/>
  <c r="AT188" i="10" s="1"/>
  <c r="AS197" i="10"/>
  <c r="AT197" i="10" s="1"/>
  <c r="AS176" i="10"/>
  <c r="AT176" i="10" s="1"/>
  <c r="Q174" i="10"/>
  <c r="X174" i="10" s="1"/>
  <c r="AE174" i="10" s="1"/>
  <c r="AL174" i="10" s="1"/>
  <c r="AS179" i="10"/>
  <c r="AT179" i="10" s="1"/>
  <c r="AS187" i="10"/>
  <c r="AT187" i="10" s="1"/>
  <c r="AS199" i="10"/>
  <c r="AT199" i="10" s="1"/>
  <c r="AS203" i="10"/>
  <c r="AT203" i="10" s="1"/>
  <c r="Q184" i="10"/>
  <c r="X184" i="10" s="1"/>
  <c r="AE184" i="10" s="1"/>
  <c r="AL184" i="10" s="1"/>
  <c r="AS183" i="10"/>
  <c r="AT183" i="10" s="1"/>
  <c r="AS192" i="10"/>
  <c r="AT192" i="10" s="1"/>
  <c r="R193" i="10"/>
  <c r="Y193" i="10" s="1"/>
  <c r="AF193" i="10" s="1"/>
  <c r="AM193" i="10" s="1"/>
  <c r="AS200" i="10"/>
  <c r="AT200" i="10" s="1"/>
  <c r="R197" i="10"/>
  <c r="Y197" i="10" s="1"/>
  <c r="AF197" i="10" s="1"/>
  <c r="AM197" i="10" s="1"/>
  <c r="R201" i="10"/>
  <c r="Y201" i="10" s="1"/>
  <c r="AF201" i="10" s="1"/>
  <c r="AM201" i="10" s="1"/>
  <c r="R205" i="10"/>
  <c r="Y205" i="10" s="1"/>
  <c r="AF205" i="10" s="1"/>
  <c r="AM205" i="10" s="1"/>
  <c r="AS209" i="10"/>
  <c r="AT209" i="10" s="1"/>
  <c r="AU4" i="11"/>
  <c r="Q6" i="11"/>
  <c r="X6" i="11" s="1"/>
  <c r="AE6" i="11" s="1"/>
  <c r="AL6" i="11" s="1"/>
  <c r="AX4" i="11"/>
  <c r="S6" i="11"/>
  <c r="Z6" i="11" s="1"/>
  <c r="AG6" i="11" s="1"/>
  <c r="AN6" i="11" s="1"/>
  <c r="AW13" i="11"/>
  <c r="U13" i="11"/>
  <c r="AB13" i="11" s="1"/>
  <c r="AI13" i="11" s="1"/>
  <c r="AP13" i="11" s="1"/>
  <c r="AU3" i="11"/>
  <c r="W11" i="11"/>
  <c r="AD11" i="11" s="1"/>
  <c r="AK11" i="11" s="1"/>
  <c r="AR11" i="11" s="1"/>
  <c r="AY15" i="11"/>
  <c r="W15" i="11"/>
  <c r="AD15" i="11" s="1"/>
  <c r="AK15" i="11" s="1"/>
  <c r="AR15" i="11" s="1"/>
  <c r="U5" i="11"/>
  <c r="AB5" i="11" s="1"/>
  <c r="AI5" i="11" s="1"/>
  <c r="AP5" i="11" s="1"/>
  <c r="AV9" i="11"/>
  <c r="AT14" i="11"/>
  <c r="R14" i="11"/>
  <c r="Y14" i="11" s="1"/>
  <c r="AF14" i="11" s="1"/>
  <c r="AM14" i="11" s="1"/>
  <c r="Q4" i="11"/>
  <c r="X4" i="11" s="1"/>
  <c r="AE4" i="11" s="1"/>
  <c r="AL4" i="11" s="1"/>
  <c r="V5" i="11"/>
  <c r="AC5" i="11" s="1"/>
  <c r="AJ5" i="11" s="1"/>
  <c r="AQ5" i="11" s="1"/>
  <c r="AW9" i="11"/>
  <c r="U9" i="11"/>
  <c r="AB9" i="11" s="1"/>
  <c r="AI9" i="11" s="1"/>
  <c r="AP9" i="11" s="1"/>
  <c r="AS10" i="11"/>
  <c r="Q10" i="11"/>
  <c r="X10" i="11" s="1"/>
  <c r="AE10" i="11" s="1"/>
  <c r="AL10" i="11" s="1"/>
  <c r="R4" i="11"/>
  <c r="Y4" i="11" s="1"/>
  <c r="AF4" i="11" s="1"/>
  <c r="AM4" i="11" s="1"/>
  <c r="W5" i="11"/>
  <c r="AD5" i="11" s="1"/>
  <c r="AK5" i="11" s="1"/>
  <c r="AR5" i="11" s="1"/>
  <c r="AV5" i="11"/>
  <c r="U7" i="11"/>
  <c r="AB7" i="11" s="1"/>
  <c r="AI7" i="11" s="1"/>
  <c r="AP7" i="11" s="1"/>
  <c r="R8" i="11"/>
  <c r="Y8" i="11" s="1"/>
  <c r="AF8" i="11" s="1"/>
  <c r="AM8" i="11" s="1"/>
  <c r="R12" i="11"/>
  <c r="Y12" i="11" s="1"/>
  <c r="AF12" i="11" s="1"/>
  <c r="AM12" i="11" s="1"/>
  <c r="V13" i="11"/>
  <c r="AC13" i="11" s="1"/>
  <c r="AJ13" i="11" s="1"/>
  <c r="AQ13" i="11" s="1"/>
  <c r="V7" i="11"/>
  <c r="AC7" i="11" s="1"/>
  <c r="AJ7" i="11" s="1"/>
  <c r="AQ7" i="11" s="1"/>
  <c r="S8" i="11"/>
  <c r="Z8" i="11" s="1"/>
  <c r="AG8" i="11" s="1"/>
  <c r="AN8" i="11" s="1"/>
  <c r="AW11" i="11"/>
  <c r="U11" i="11"/>
  <c r="AB11" i="11" s="1"/>
  <c r="AI11" i="11" s="1"/>
  <c r="AP11" i="11" s="1"/>
  <c r="AS12" i="11"/>
  <c r="Q12" i="11"/>
  <c r="X12" i="11" s="1"/>
  <c r="AE12" i="11" s="1"/>
  <c r="AL12" i="11" s="1"/>
  <c r="W13" i="11"/>
  <c r="AD13" i="11" s="1"/>
  <c r="AK13" i="11" s="1"/>
  <c r="AR13" i="11" s="1"/>
  <c r="Q14" i="11"/>
  <c r="X14" i="11" s="1"/>
  <c r="AE14" i="11" s="1"/>
  <c r="AL14" i="11" s="1"/>
  <c r="U15" i="11"/>
  <c r="AB15" i="11" s="1"/>
  <c r="AI15" i="11" s="1"/>
  <c r="AP15" i="11" s="1"/>
  <c r="Q16" i="11"/>
  <c r="X16" i="11" s="1"/>
  <c r="AE16" i="11" s="1"/>
  <c r="AL16" i="11" s="1"/>
  <c r="U17" i="11"/>
  <c r="AB17" i="11" s="1"/>
  <c r="AI17" i="11" s="1"/>
  <c r="AP17" i="11" s="1"/>
  <c r="Q18" i="11"/>
  <c r="X18" i="11" s="1"/>
  <c r="AE18" i="11" s="1"/>
  <c r="AL18" i="11" s="1"/>
  <c r="U19" i="11"/>
  <c r="AB19" i="11" s="1"/>
  <c r="AI19" i="11" s="1"/>
  <c r="AP19" i="11" s="1"/>
  <c r="Q20" i="11"/>
  <c r="X20" i="11" s="1"/>
  <c r="AE20" i="11" s="1"/>
  <c r="AL20" i="11" s="1"/>
  <c r="U21" i="11"/>
  <c r="AB21" i="11" s="1"/>
  <c r="AI21" i="11" s="1"/>
  <c r="AP21" i="11" s="1"/>
  <c r="Q22" i="11"/>
  <c r="X22" i="11" s="1"/>
  <c r="AE22" i="11" s="1"/>
  <c r="AL22" i="11" s="1"/>
  <c r="R24" i="11"/>
  <c r="Y24" i="11" s="1"/>
  <c r="AF24" i="11" s="1"/>
  <c r="AM24" i="11" s="1"/>
  <c r="T25" i="11"/>
  <c r="AA25" i="11" s="1"/>
  <c r="AH25" i="11" s="1"/>
  <c r="AO25" i="11" s="1"/>
  <c r="AW29" i="11"/>
  <c r="U29" i="11"/>
  <c r="AB29" i="11" s="1"/>
  <c r="AI29" i="11" s="1"/>
  <c r="AP29" i="11" s="1"/>
  <c r="AW31" i="11"/>
  <c r="U31" i="11"/>
  <c r="AB31" i="11" s="1"/>
  <c r="AI31" i="11" s="1"/>
  <c r="AP31" i="11" s="1"/>
  <c r="V15" i="11"/>
  <c r="AC15" i="11" s="1"/>
  <c r="AJ15" i="11" s="1"/>
  <c r="AQ15" i="11" s="1"/>
  <c r="R16" i="11"/>
  <c r="Y16" i="11" s="1"/>
  <c r="AF16" i="11" s="1"/>
  <c r="AM16" i="11" s="1"/>
  <c r="V17" i="11"/>
  <c r="AC17" i="11" s="1"/>
  <c r="AJ17" i="11" s="1"/>
  <c r="AQ17" i="11" s="1"/>
  <c r="R18" i="11"/>
  <c r="Y18" i="11" s="1"/>
  <c r="AF18" i="11" s="1"/>
  <c r="AM18" i="11" s="1"/>
  <c r="V19" i="11"/>
  <c r="AC19" i="11" s="1"/>
  <c r="AJ19" i="11" s="1"/>
  <c r="AQ19" i="11" s="1"/>
  <c r="R20" i="11"/>
  <c r="Y20" i="11" s="1"/>
  <c r="AF20" i="11" s="1"/>
  <c r="AM20" i="11" s="1"/>
  <c r="V21" i="11"/>
  <c r="AC21" i="11" s="1"/>
  <c r="AJ21" i="11" s="1"/>
  <c r="AQ21" i="11" s="1"/>
  <c r="R22" i="11"/>
  <c r="Y22" i="11" s="1"/>
  <c r="AF22" i="11" s="1"/>
  <c r="AM22" i="11" s="1"/>
  <c r="W23" i="11"/>
  <c r="AD23" i="11" s="1"/>
  <c r="AK23" i="11" s="1"/>
  <c r="AR23" i="11" s="1"/>
  <c r="S24" i="11"/>
  <c r="Z24" i="11" s="1"/>
  <c r="AG24" i="11" s="1"/>
  <c r="AN24" i="11" s="1"/>
  <c r="U25" i="11"/>
  <c r="AB25" i="11" s="1"/>
  <c r="AI25" i="11" s="1"/>
  <c r="AP25" i="11" s="1"/>
  <c r="AX26" i="11"/>
  <c r="U28" i="11"/>
  <c r="AB28" i="11" s="1"/>
  <c r="AI28" i="11" s="1"/>
  <c r="AP28" i="11" s="1"/>
  <c r="AW28" i="11"/>
  <c r="U30" i="11"/>
  <c r="AB30" i="11" s="1"/>
  <c r="AI30" i="11" s="1"/>
  <c r="AP30" i="11" s="1"/>
  <c r="AW30" i="11"/>
  <c r="R36" i="11"/>
  <c r="Y36" i="11" s="1"/>
  <c r="AF36" i="11" s="1"/>
  <c r="AM36" i="11" s="1"/>
  <c r="AT36" i="11"/>
  <c r="V39" i="11"/>
  <c r="AC39" i="11" s="1"/>
  <c r="AJ39" i="11" s="1"/>
  <c r="AQ39" i="11" s="1"/>
  <c r="AX39" i="11"/>
  <c r="S16" i="11"/>
  <c r="Z16" i="11" s="1"/>
  <c r="AG16" i="11" s="1"/>
  <c r="AN16" i="11" s="1"/>
  <c r="W17" i="11"/>
  <c r="AD17" i="11" s="1"/>
  <c r="AK17" i="11" s="1"/>
  <c r="AR17" i="11" s="1"/>
  <c r="S18" i="11"/>
  <c r="Z18" i="11" s="1"/>
  <c r="AG18" i="11" s="1"/>
  <c r="AN18" i="11" s="1"/>
  <c r="W19" i="11"/>
  <c r="AD19" i="11" s="1"/>
  <c r="AK19" i="11" s="1"/>
  <c r="AR19" i="11" s="1"/>
  <c r="S20" i="11"/>
  <c r="Z20" i="11" s="1"/>
  <c r="AG20" i="11" s="1"/>
  <c r="AN20" i="11" s="1"/>
  <c r="W21" i="11"/>
  <c r="AD21" i="11" s="1"/>
  <c r="AK21" i="11" s="1"/>
  <c r="AR21" i="11" s="1"/>
  <c r="Q27" i="11"/>
  <c r="X27" i="11" s="1"/>
  <c r="AE27" i="11" s="1"/>
  <c r="AL27" i="11" s="1"/>
  <c r="AS27" i="11"/>
  <c r="AS33" i="11"/>
  <c r="Q33" i="11"/>
  <c r="X33" i="11" s="1"/>
  <c r="AE33" i="11" s="1"/>
  <c r="AL33" i="11" s="1"/>
  <c r="U35" i="11"/>
  <c r="AB35" i="11" s="1"/>
  <c r="AI35" i="11" s="1"/>
  <c r="AP35" i="11" s="1"/>
  <c r="AW35" i="11"/>
  <c r="BA20" i="11"/>
  <c r="BB20" i="11" s="1"/>
  <c r="Q5" i="11"/>
  <c r="X5" i="11" s="1"/>
  <c r="AE5" i="11" s="1"/>
  <c r="AL5" i="11" s="1"/>
  <c r="Q7" i="11"/>
  <c r="X7" i="11" s="1"/>
  <c r="AE7" i="11" s="1"/>
  <c r="AL7" i="11" s="1"/>
  <c r="Q9" i="11"/>
  <c r="X9" i="11" s="1"/>
  <c r="AE9" i="11" s="1"/>
  <c r="AL9" i="11" s="1"/>
  <c r="Q11" i="11"/>
  <c r="X11" i="11" s="1"/>
  <c r="AE11" i="11" s="1"/>
  <c r="AL11" i="11" s="1"/>
  <c r="Q13" i="11"/>
  <c r="X13" i="11" s="1"/>
  <c r="AE13" i="11" s="1"/>
  <c r="AL13" i="11" s="1"/>
  <c r="Q15" i="11"/>
  <c r="X15" i="11" s="1"/>
  <c r="AE15" i="11" s="1"/>
  <c r="AL15" i="11" s="1"/>
  <c r="W24" i="11"/>
  <c r="AD24" i="11" s="1"/>
  <c r="AK24" i="11" s="1"/>
  <c r="AR24" i="11" s="1"/>
  <c r="U27" i="11"/>
  <c r="AB27" i="11" s="1"/>
  <c r="AI27" i="11" s="1"/>
  <c r="AP27" i="11" s="1"/>
  <c r="AX28" i="11"/>
  <c r="AX30" i="11"/>
  <c r="V37" i="11"/>
  <c r="AC37" i="11" s="1"/>
  <c r="AJ37" i="11" s="1"/>
  <c r="AQ37" i="11" s="1"/>
  <c r="AX37" i="11"/>
  <c r="R40" i="11"/>
  <c r="Y40" i="11" s="1"/>
  <c r="AF40" i="11" s="1"/>
  <c r="AM40" i="11" s="1"/>
  <c r="AT40" i="11"/>
  <c r="S23" i="11"/>
  <c r="Z23" i="11" s="1"/>
  <c r="AG23" i="11" s="1"/>
  <c r="AN23" i="11" s="1"/>
  <c r="Q29" i="11"/>
  <c r="X29" i="11" s="1"/>
  <c r="AE29" i="11" s="1"/>
  <c r="AL29" i="11" s="1"/>
  <c r="AS29" i="11"/>
  <c r="Q31" i="11"/>
  <c r="X31" i="11" s="1"/>
  <c r="AE31" i="11" s="1"/>
  <c r="AL31" i="11" s="1"/>
  <c r="AS31" i="11"/>
  <c r="U33" i="11"/>
  <c r="AB33" i="11" s="1"/>
  <c r="AI33" i="11" s="1"/>
  <c r="AP33" i="11" s="1"/>
  <c r="AW33" i="11"/>
  <c r="AS26" i="11"/>
  <c r="AS28" i="11"/>
  <c r="Q28" i="11"/>
  <c r="X28" i="11" s="1"/>
  <c r="AE28" i="11" s="1"/>
  <c r="AL28" i="11" s="1"/>
  <c r="W28" i="11"/>
  <c r="AD28" i="11" s="1"/>
  <c r="AK28" i="11" s="1"/>
  <c r="AR28" i="11" s="1"/>
  <c r="AS30" i="11"/>
  <c r="Q30" i="11"/>
  <c r="X30" i="11" s="1"/>
  <c r="AE30" i="11" s="1"/>
  <c r="AL30" i="11" s="1"/>
  <c r="W30" i="11"/>
  <c r="AD30" i="11" s="1"/>
  <c r="AK30" i="11" s="1"/>
  <c r="AR30" i="11" s="1"/>
  <c r="Q34" i="11"/>
  <c r="X34" i="11" s="1"/>
  <c r="AE34" i="11" s="1"/>
  <c r="AL34" i="11" s="1"/>
  <c r="AS34" i="11"/>
  <c r="S36" i="11"/>
  <c r="Z36" i="11" s="1"/>
  <c r="AG36" i="11" s="1"/>
  <c r="AN36" i="11" s="1"/>
  <c r="V41" i="11"/>
  <c r="AC41" i="11" s="1"/>
  <c r="AJ41" i="11" s="1"/>
  <c r="AQ41" i="11" s="1"/>
  <c r="AX41" i="11"/>
  <c r="Q24" i="11"/>
  <c r="X24" i="11" s="1"/>
  <c r="AE24" i="11" s="1"/>
  <c r="AL24" i="11" s="1"/>
  <c r="S25" i="11"/>
  <c r="Z25" i="11" s="1"/>
  <c r="AG25" i="11" s="1"/>
  <c r="AN25" i="11" s="1"/>
  <c r="W26" i="11"/>
  <c r="AD26" i="11" s="1"/>
  <c r="AK26" i="11" s="1"/>
  <c r="AR26" i="11" s="1"/>
  <c r="V35" i="11"/>
  <c r="AC35" i="11" s="1"/>
  <c r="AJ35" i="11" s="1"/>
  <c r="AQ35" i="11" s="1"/>
  <c r="R38" i="11"/>
  <c r="Y38" i="11" s="1"/>
  <c r="AF38" i="11" s="1"/>
  <c r="AM38" i="11" s="1"/>
  <c r="AT38" i="11"/>
  <c r="U50" i="11"/>
  <c r="AB50" i="11" s="1"/>
  <c r="AI50" i="11" s="1"/>
  <c r="AP50" i="11" s="1"/>
  <c r="AW50" i="11"/>
  <c r="AS66" i="11"/>
  <c r="AS68" i="11"/>
  <c r="AT82" i="11"/>
  <c r="R82" i="11"/>
  <c r="Y82" i="11" s="1"/>
  <c r="AF82" i="11" s="1"/>
  <c r="AM82" i="11" s="1"/>
  <c r="AU83" i="11"/>
  <c r="S83" i="11"/>
  <c r="Z83" i="11" s="1"/>
  <c r="AG83" i="11" s="1"/>
  <c r="AN83" i="11" s="1"/>
  <c r="U85" i="11"/>
  <c r="AB85" i="11" s="1"/>
  <c r="AI85" i="11" s="1"/>
  <c r="AP85" i="11" s="1"/>
  <c r="AW85" i="11"/>
  <c r="AW51" i="11"/>
  <c r="U51" i="11"/>
  <c r="AB51" i="11" s="1"/>
  <c r="AI51" i="11" s="1"/>
  <c r="AP51" i="11" s="1"/>
  <c r="S65" i="11"/>
  <c r="Z65" i="11" s="1"/>
  <c r="AG65" i="11" s="1"/>
  <c r="AN65" i="11" s="1"/>
  <c r="AU65" i="11"/>
  <c r="AS70" i="11"/>
  <c r="V77" i="11"/>
  <c r="AC77" i="11" s="1"/>
  <c r="AJ77" i="11" s="1"/>
  <c r="AQ77" i="11" s="1"/>
  <c r="AX77" i="11"/>
  <c r="AY45" i="11"/>
  <c r="V49" i="11"/>
  <c r="AC49" i="11" s="1"/>
  <c r="AJ49" i="11" s="1"/>
  <c r="AQ49" i="11" s="1"/>
  <c r="AU51" i="11"/>
  <c r="BA56" i="11"/>
  <c r="BB56" i="11" s="1"/>
  <c r="U34" i="11"/>
  <c r="AB34" i="11" s="1"/>
  <c r="AI34" i="11" s="1"/>
  <c r="AP34" i="11" s="1"/>
  <c r="Q35" i="11"/>
  <c r="X35" i="11" s="1"/>
  <c r="AE35" i="11" s="1"/>
  <c r="AL35" i="11" s="1"/>
  <c r="V36" i="11"/>
  <c r="AC36" i="11" s="1"/>
  <c r="AJ36" i="11" s="1"/>
  <c r="AQ36" i="11" s="1"/>
  <c r="R37" i="11"/>
  <c r="Y37" i="11" s="1"/>
  <c r="AF37" i="11" s="1"/>
  <c r="AM37" i="11" s="1"/>
  <c r="V38" i="11"/>
  <c r="AC38" i="11" s="1"/>
  <c r="AJ38" i="11" s="1"/>
  <c r="AQ38" i="11" s="1"/>
  <c r="R39" i="11"/>
  <c r="Y39" i="11" s="1"/>
  <c r="AF39" i="11" s="1"/>
  <c r="AM39" i="11" s="1"/>
  <c r="V40" i="11"/>
  <c r="AC40" i="11" s="1"/>
  <c r="AJ40" i="11" s="1"/>
  <c r="AQ40" i="11" s="1"/>
  <c r="R41" i="11"/>
  <c r="Y41" i="11" s="1"/>
  <c r="AF41" i="11" s="1"/>
  <c r="AM41" i="11" s="1"/>
  <c r="V42" i="11"/>
  <c r="AC42" i="11" s="1"/>
  <c r="AJ42" i="11" s="1"/>
  <c r="AQ42" i="11" s="1"/>
  <c r="AT42" i="11"/>
  <c r="R43" i="11"/>
  <c r="Y43" i="11" s="1"/>
  <c r="AF43" i="11" s="1"/>
  <c r="AM43" i="11" s="1"/>
  <c r="AX43" i="11"/>
  <c r="W44" i="11"/>
  <c r="AD44" i="11" s="1"/>
  <c r="AK44" i="11" s="1"/>
  <c r="AR44" i="11" s="1"/>
  <c r="S45" i="11"/>
  <c r="Z45" i="11" s="1"/>
  <c r="AG45" i="11" s="1"/>
  <c r="AN45" i="11" s="1"/>
  <c r="U47" i="11"/>
  <c r="AB47" i="11" s="1"/>
  <c r="AI47" i="11" s="1"/>
  <c r="AP47" i="11" s="1"/>
  <c r="AS47" i="11"/>
  <c r="Q48" i="11"/>
  <c r="X48" i="11" s="1"/>
  <c r="AE48" i="11" s="1"/>
  <c r="AL48" i="11" s="1"/>
  <c r="AW48" i="11"/>
  <c r="AW49" i="11"/>
  <c r="U49" i="11"/>
  <c r="AB49" i="11" s="1"/>
  <c r="AI49" i="11" s="1"/>
  <c r="AP49" i="11" s="1"/>
  <c r="AX50" i="11"/>
  <c r="W54" i="11"/>
  <c r="AD54" i="11" s="1"/>
  <c r="AK54" i="11" s="1"/>
  <c r="AR54" i="11" s="1"/>
  <c r="V58" i="11"/>
  <c r="AC58" i="11" s="1"/>
  <c r="AJ58" i="11" s="1"/>
  <c r="AQ58" i="11" s="1"/>
  <c r="AX58" i="11"/>
  <c r="V60" i="11"/>
  <c r="AC60" i="11" s="1"/>
  <c r="AJ60" i="11" s="1"/>
  <c r="AQ60" i="11" s="1"/>
  <c r="AX60" i="11"/>
  <c r="V62" i="11"/>
  <c r="AC62" i="11" s="1"/>
  <c r="AJ62" i="11" s="1"/>
  <c r="AQ62" i="11" s="1"/>
  <c r="AX62" i="11"/>
  <c r="AY50" i="11"/>
  <c r="AX51" i="11"/>
  <c r="R53" i="11"/>
  <c r="Y53" i="11" s="1"/>
  <c r="AF53" i="11" s="1"/>
  <c r="AM53" i="11" s="1"/>
  <c r="AT53" i="11"/>
  <c r="R57" i="11"/>
  <c r="Y57" i="11" s="1"/>
  <c r="AF57" i="11" s="1"/>
  <c r="AM57" i="11" s="1"/>
  <c r="AT57" i="11"/>
  <c r="AY57" i="11"/>
  <c r="W64" i="11"/>
  <c r="AD64" i="11" s="1"/>
  <c r="AK64" i="11" s="1"/>
  <c r="AR64" i="11" s="1"/>
  <c r="AY64" i="11"/>
  <c r="Q74" i="11"/>
  <c r="X74" i="11" s="1"/>
  <c r="AE74" i="11" s="1"/>
  <c r="AL74" i="11" s="1"/>
  <c r="AS74" i="11"/>
  <c r="U75" i="11"/>
  <c r="AB75" i="11" s="1"/>
  <c r="AI75" i="11" s="1"/>
  <c r="AP75" i="11" s="1"/>
  <c r="AW75" i="11"/>
  <c r="R46" i="11"/>
  <c r="Y46" i="11" s="1"/>
  <c r="AF46" i="11" s="1"/>
  <c r="AM46" i="11" s="1"/>
  <c r="AS50" i="11"/>
  <c r="Q50" i="11"/>
  <c r="X50" i="11" s="1"/>
  <c r="AE50" i="11" s="1"/>
  <c r="AL50" i="11" s="1"/>
  <c r="S52" i="11"/>
  <c r="Z52" i="11" s="1"/>
  <c r="AG52" i="11" s="1"/>
  <c r="AN52" i="11" s="1"/>
  <c r="R55" i="11"/>
  <c r="Y55" i="11" s="1"/>
  <c r="AF55" i="11" s="1"/>
  <c r="AM55" i="11" s="1"/>
  <c r="AT55" i="11"/>
  <c r="AY55" i="11"/>
  <c r="V56" i="11"/>
  <c r="AC56" i="11" s="1"/>
  <c r="AJ56" i="11" s="1"/>
  <c r="AQ56" i="11" s="1"/>
  <c r="AX56" i="11"/>
  <c r="Q49" i="11"/>
  <c r="X49" i="11" s="1"/>
  <c r="AE49" i="11" s="1"/>
  <c r="AL49" i="11" s="1"/>
  <c r="Q51" i="11"/>
  <c r="X51" i="11" s="1"/>
  <c r="AE51" i="11" s="1"/>
  <c r="AL51" i="11" s="1"/>
  <c r="AS51" i="11"/>
  <c r="AT52" i="11"/>
  <c r="V54" i="11"/>
  <c r="AC54" i="11" s="1"/>
  <c r="AJ54" i="11" s="1"/>
  <c r="AQ54" i="11" s="1"/>
  <c r="AX54" i="11"/>
  <c r="S59" i="11"/>
  <c r="Z59" i="11" s="1"/>
  <c r="AG59" i="11" s="1"/>
  <c r="AN59" i="11" s="1"/>
  <c r="Q66" i="11"/>
  <c r="X66" i="11" s="1"/>
  <c r="AE66" i="11" s="1"/>
  <c r="AL66" i="11" s="1"/>
  <c r="Q68" i="11"/>
  <c r="X68" i="11" s="1"/>
  <c r="AE68" i="11" s="1"/>
  <c r="AL68" i="11" s="1"/>
  <c r="AX71" i="11"/>
  <c r="V71" i="11"/>
  <c r="AC71" i="11" s="1"/>
  <c r="AJ71" i="11" s="1"/>
  <c r="AQ71" i="11" s="1"/>
  <c r="R76" i="11"/>
  <c r="Y76" i="11" s="1"/>
  <c r="AF76" i="11" s="1"/>
  <c r="AM76" i="11" s="1"/>
  <c r="AT76" i="11"/>
  <c r="AS87" i="11"/>
  <c r="Q87" i="11"/>
  <c r="X87" i="11" s="1"/>
  <c r="AE87" i="11" s="1"/>
  <c r="AL87" i="11" s="1"/>
  <c r="R49" i="11"/>
  <c r="Y49" i="11" s="1"/>
  <c r="AF49" i="11" s="1"/>
  <c r="AM49" i="11" s="1"/>
  <c r="V52" i="11"/>
  <c r="AC52" i="11" s="1"/>
  <c r="AJ52" i="11" s="1"/>
  <c r="AQ52" i="11" s="1"/>
  <c r="AY53" i="11"/>
  <c r="AU56" i="11"/>
  <c r="T59" i="11"/>
  <c r="AA59" i="11" s="1"/>
  <c r="AH59" i="11" s="1"/>
  <c r="AO59" i="11" s="1"/>
  <c r="R61" i="11"/>
  <c r="Y61" i="11" s="1"/>
  <c r="AF61" i="11" s="1"/>
  <c r="AM61" i="11" s="1"/>
  <c r="AT61" i="11"/>
  <c r="T61" i="11"/>
  <c r="AA61" i="11" s="1"/>
  <c r="AH61" i="11" s="1"/>
  <c r="AO61" i="11" s="1"/>
  <c r="T63" i="11"/>
  <c r="AA63" i="11" s="1"/>
  <c r="AH63" i="11" s="1"/>
  <c r="AO63" i="11" s="1"/>
  <c r="AS64" i="11"/>
  <c r="R68" i="11"/>
  <c r="Y68" i="11" s="1"/>
  <c r="AF68" i="11" s="1"/>
  <c r="AM68" i="11" s="1"/>
  <c r="Q70" i="11"/>
  <c r="X70" i="11" s="1"/>
  <c r="AE70" i="11" s="1"/>
  <c r="AL70" i="11" s="1"/>
  <c r="AT72" i="11"/>
  <c r="R72" i="11"/>
  <c r="Y72" i="11" s="1"/>
  <c r="AF72" i="11" s="1"/>
  <c r="AM72" i="11" s="1"/>
  <c r="AT78" i="11"/>
  <c r="R78" i="11"/>
  <c r="Y78" i="11" s="1"/>
  <c r="AF78" i="11" s="1"/>
  <c r="AM78" i="11" s="1"/>
  <c r="AV79" i="11"/>
  <c r="T79" i="11"/>
  <c r="AA79" i="11" s="1"/>
  <c r="AH79" i="11" s="1"/>
  <c r="AO79" i="11" s="1"/>
  <c r="V73" i="11"/>
  <c r="AC73" i="11" s="1"/>
  <c r="AJ73" i="11" s="1"/>
  <c r="AQ73" i="11" s="1"/>
  <c r="S74" i="11"/>
  <c r="Z74" i="11" s="1"/>
  <c r="AG74" i="11" s="1"/>
  <c r="AN74" i="11" s="1"/>
  <c r="AW78" i="11"/>
  <c r="Q81" i="11"/>
  <c r="X81" i="11" s="1"/>
  <c r="AE81" i="11" s="1"/>
  <c r="AL81" i="11" s="1"/>
  <c r="AS81" i="11"/>
  <c r="AW83" i="11"/>
  <c r="Q88" i="11"/>
  <c r="X88" i="11" s="1"/>
  <c r="AE88" i="11" s="1"/>
  <c r="AL88" i="11" s="1"/>
  <c r="AS88" i="11"/>
  <c r="Q86" i="11"/>
  <c r="X86" i="11" s="1"/>
  <c r="AE86" i="11" s="1"/>
  <c r="AL86" i="11" s="1"/>
  <c r="AS86" i="11"/>
  <c r="U89" i="11"/>
  <c r="AB89" i="11" s="1"/>
  <c r="AI89" i="11" s="1"/>
  <c r="AP89" i="11" s="1"/>
  <c r="AW89" i="11"/>
  <c r="Q52" i="11"/>
  <c r="X52" i="11" s="1"/>
  <c r="AE52" i="11" s="1"/>
  <c r="AL52" i="11" s="1"/>
  <c r="V53" i="11"/>
  <c r="AC53" i="11" s="1"/>
  <c r="AJ53" i="11" s="1"/>
  <c r="AQ53" i="11" s="1"/>
  <c r="R54" i="11"/>
  <c r="Y54" i="11" s="1"/>
  <c r="AF54" i="11" s="1"/>
  <c r="AM54" i="11" s="1"/>
  <c r="V55" i="11"/>
  <c r="AC55" i="11" s="1"/>
  <c r="AJ55" i="11" s="1"/>
  <c r="AQ55" i="11" s="1"/>
  <c r="R56" i="11"/>
  <c r="Y56" i="11" s="1"/>
  <c r="AF56" i="11" s="1"/>
  <c r="AM56" i="11" s="1"/>
  <c r="V57" i="11"/>
  <c r="AC57" i="11" s="1"/>
  <c r="AJ57" i="11" s="1"/>
  <c r="AQ57" i="11" s="1"/>
  <c r="V59" i="11"/>
  <c r="AC59" i="11" s="1"/>
  <c r="AJ59" i="11" s="1"/>
  <c r="AQ59" i="11" s="1"/>
  <c r="V61" i="11"/>
  <c r="AC61" i="11" s="1"/>
  <c r="AJ61" i="11" s="1"/>
  <c r="AQ61" i="11" s="1"/>
  <c r="R62" i="11"/>
  <c r="Y62" i="11" s="1"/>
  <c r="AF62" i="11" s="1"/>
  <c r="AM62" i="11" s="1"/>
  <c r="W63" i="11"/>
  <c r="AD63" i="11" s="1"/>
  <c r="AK63" i="11" s="1"/>
  <c r="AR63" i="11" s="1"/>
  <c r="S64" i="11"/>
  <c r="Z64" i="11" s="1"/>
  <c r="AG64" i="11" s="1"/>
  <c r="AN64" i="11" s="1"/>
  <c r="W65" i="11"/>
  <c r="AD65" i="11" s="1"/>
  <c r="AK65" i="11" s="1"/>
  <c r="AR65" i="11" s="1"/>
  <c r="S66" i="11"/>
  <c r="Z66" i="11" s="1"/>
  <c r="AG66" i="11" s="1"/>
  <c r="AN66" i="11" s="1"/>
  <c r="U74" i="11"/>
  <c r="AB74" i="11" s="1"/>
  <c r="AI74" i="11" s="1"/>
  <c r="AP74" i="11" s="1"/>
  <c r="Q75" i="11"/>
  <c r="X75" i="11" s="1"/>
  <c r="AE75" i="11" s="1"/>
  <c r="AL75" i="11" s="1"/>
  <c r="V76" i="11"/>
  <c r="AC76" i="11" s="1"/>
  <c r="AJ76" i="11" s="1"/>
  <c r="AQ76" i="11" s="1"/>
  <c r="Q80" i="11"/>
  <c r="X80" i="11" s="1"/>
  <c r="AE80" i="11" s="1"/>
  <c r="AL80" i="11" s="1"/>
  <c r="AU81" i="11"/>
  <c r="W82" i="11"/>
  <c r="AD82" i="11" s="1"/>
  <c r="AK82" i="11" s="1"/>
  <c r="AR82" i="11" s="1"/>
  <c r="Q92" i="11"/>
  <c r="X92" i="11" s="1"/>
  <c r="AE92" i="11" s="1"/>
  <c r="AL92" i="11" s="1"/>
  <c r="AS92" i="11"/>
  <c r="V93" i="11"/>
  <c r="AC93" i="11" s="1"/>
  <c r="AJ93" i="11" s="1"/>
  <c r="AQ93" i="11" s="1"/>
  <c r="AX93" i="11"/>
  <c r="Q67" i="11"/>
  <c r="X67" i="11" s="1"/>
  <c r="AE67" i="11" s="1"/>
  <c r="AL67" i="11" s="1"/>
  <c r="Q69" i="11"/>
  <c r="X69" i="11" s="1"/>
  <c r="AE69" i="11" s="1"/>
  <c r="AL69" i="11" s="1"/>
  <c r="Q71" i="11"/>
  <c r="X71" i="11" s="1"/>
  <c r="AE71" i="11" s="1"/>
  <c r="AL71" i="11" s="1"/>
  <c r="Q73" i="11"/>
  <c r="X73" i="11" s="1"/>
  <c r="AE73" i="11" s="1"/>
  <c r="AL73" i="11" s="1"/>
  <c r="R75" i="11"/>
  <c r="Y75" i="11" s="1"/>
  <c r="AF75" i="11" s="1"/>
  <c r="AM75" i="11" s="1"/>
  <c r="AS79" i="11"/>
  <c r="U87" i="11"/>
  <c r="AB87" i="11" s="1"/>
  <c r="AI87" i="11" s="1"/>
  <c r="AP87" i="11" s="1"/>
  <c r="AW87" i="11"/>
  <c r="U91" i="11"/>
  <c r="AB91" i="11" s="1"/>
  <c r="AI91" i="11" s="1"/>
  <c r="AP91" i="11" s="1"/>
  <c r="AW91" i="11"/>
  <c r="AU94" i="11"/>
  <c r="S94" i="11"/>
  <c r="Z94" i="11" s="1"/>
  <c r="AG94" i="11" s="1"/>
  <c r="AN94" i="11" s="1"/>
  <c r="Q84" i="11"/>
  <c r="X84" i="11" s="1"/>
  <c r="AE84" i="11" s="1"/>
  <c r="AL84" i="11" s="1"/>
  <c r="AS85" i="11"/>
  <c r="AW86" i="11"/>
  <c r="U86" i="11"/>
  <c r="AB86" i="11" s="1"/>
  <c r="AI86" i="11" s="1"/>
  <c r="AP86" i="11" s="1"/>
  <c r="Q90" i="11"/>
  <c r="X90" i="11" s="1"/>
  <c r="AE90" i="11" s="1"/>
  <c r="AL90" i="11" s="1"/>
  <c r="AS90" i="11"/>
  <c r="S78" i="11"/>
  <c r="Z78" i="11" s="1"/>
  <c r="AG78" i="11" s="1"/>
  <c r="AN78" i="11" s="1"/>
  <c r="U79" i="11"/>
  <c r="AB79" i="11" s="1"/>
  <c r="AI79" i="11" s="1"/>
  <c r="AP79" i="11" s="1"/>
  <c r="V80" i="11"/>
  <c r="AC80" i="11" s="1"/>
  <c r="AJ80" i="11" s="1"/>
  <c r="AQ80" i="11" s="1"/>
  <c r="U84" i="11"/>
  <c r="AB84" i="11" s="1"/>
  <c r="AI84" i="11" s="1"/>
  <c r="AP84" i="11" s="1"/>
  <c r="AS84" i="11"/>
  <c r="W93" i="11"/>
  <c r="AD93" i="11" s="1"/>
  <c r="AK93" i="11" s="1"/>
  <c r="AR93" i="11" s="1"/>
  <c r="AS96" i="11"/>
  <c r="R104" i="11"/>
  <c r="Y104" i="11" s="1"/>
  <c r="AF104" i="11" s="1"/>
  <c r="AM104" i="11" s="1"/>
  <c r="AS105" i="11"/>
  <c r="AS109" i="11"/>
  <c r="BA109" i="11"/>
  <c r="BB109" i="11" s="1"/>
  <c r="T88" i="11"/>
  <c r="AA88" i="11" s="1"/>
  <c r="AH88" i="11" s="1"/>
  <c r="AO88" i="11" s="1"/>
  <c r="Q93" i="11"/>
  <c r="X93" i="11" s="1"/>
  <c r="AE93" i="11" s="1"/>
  <c r="AL93" i="11" s="1"/>
  <c r="U94" i="11"/>
  <c r="AB94" i="11" s="1"/>
  <c r="AI94" i="11" s="1"/>
  <c r="AP94" i="11" s="1"/>
  <c r="R95" i="11"/>
  <c r="Y95" i="11" s="1"/>
  <c r="AF95" i="11" s="1"/>
  <c r="AM95" i="11" s="1"/>
  <c r="V97" i="11"/>
  <c r="AC97" i="11" s="1"/>
  <c r="AJ97" i="11" s="1"/>
  <c r="AQ97" i="11" s="1"/>
  <c r="AW97" i="11"/>
  <c r="Q101" i="11"/>
  <c r="X101" i="11" s="1"/>
  <c r="AE101" i="11" s="1"/>
  <c r="AL101" i="11" s="1"/>
  <c r="R103" i="11"/>
  <c r="Y103" i="11" s="1"/>
  <c r="AF103" i="11" s="1"/>
  <c r="AM103" i="11" s="1"/>
  <c r="R106" i="11"/>
  <c r="Y106" i="11" s="1"/>
  <c r="AF106" i="11" s="1"/>
  <c r="AM106" i="11" s="1"/>
  <c r="V106" i="11"/>
  <c r="AC106" i="11" s="1"/>
  <c r="AJ106" i="11" s="1"/>
  <c r="AQ106" i="11" s="1"/>
  <c r="AS107" i="11"/>
  <c r="U110" i="11"/>
  <c r="AB110" i="11" s="1"/>
  <c r="AI110" i="11" s="1"/>
  <c r="AP110" i="11" s="1"/>
  <c r="U88" i="11"/>
  <c r="AB88" i="11" s="1"/>
  <c r="AI88" i="11" s="1"/>
  <c r="AP88" i="11" s="1"/>
  <c r="Q89" i="11"/>
  <c r="X89" i="11" s="1"/>
  <c r="AE89" i="11" s="1"/>
  <c r="AL89" i="11" s="1"/>
  <c r="U90" i="11"/>
  <c r="AB90" i="11" s="1"/>
  <c r="AI90" i="11" s="1"/>
  <c r="AP90" i="11" s="1"/>
  <c r="Q91" i="11"/>
  <c r="X91" i="11" s="1"/>
  <c r="AE91" i="11" s="1"/>
  <c r="AL91" i="11" s="1"/>
  <c r="U92" i="11"/>
  <c r="AB92" i="11" s="1"/>
  <c r="AI92" i="11" s="1"/>
  <c r="AP92" i="11" s="1"/>
  <c r="R93" i="11"/>
  <c r="Y93" i="11" s="1"/>
  <c r="AF93" i="11" s="1"/>
  <c r="AM93" i="11" s="1"/>
  <c r="V94" i="11"/>
  <c r="AC94" i="11" s="1"/>
  <c r="AJ94" i="11" s="1"/>
  <c r="AQ94" i="11" s="1"/>
  <c r="AT94" i="11"/>
  <c r="AU98" i="11"/>
  <c r="AX101" i="11"/>
  <c r="AS103" i="11"/>
  <c r="AY101" i="11"/>
  <c r="AT104" i="11"/>
  <c r="V108" i="11"/>
  <c r="AC108" i="11" s="1"/>
  <c r="AJ108" i="11" s="1"/>
  <c r="AQ108" i="11" s="1"/>
  <c r="S98" i="11"/>
  <c r="Z98" i="11" s="1"/>
  <c r="AG98" i="11" s="1"/>
  <c r="AN98" i="11" s="1"/>
  <c r="T110" i="11"/>
  <c r="AA110" i="11" s="1"/>
  <c r="AH110" i="11" s="1"/>
  <c r="AO110" i="11" s="1"/>
  <c r="AV110" i="11"/>
  <c r="W95" i="11"/>
  <c r="AD95" i="11" s="1"/>
  <c r="AK95" i="11" s="1"/>
  <c r="AR95" i="11" s="1"/>
  <c r="Q97" i="11"/>
  <c r="X97" i="11" s="1"/>
  <c r="AE97" i="11" s="1"/>
  <c r="AL97" i="11" s="1"/>
  <c r="Q99" i="11"/>
  <c r="X99" i="11" s="1"/>
  <c r="AE99" i="11" s="1"/>
  <c r="AL99" i="11" s="1"/>
  <c r="AT100" i="11"/>
  <c r="U102" i="11"/>
  <c r="AB102" i="11" s="1"/>
  <c r="AI102" i="11" s="1"/>
  <c r="AP102" i="11" s="1"/>
  <c r="Q105" i="11"/>
  <c r="X105" i="11" s="1"/>
  <c r="AE105" i="11" s="1"/>
  <c r="AL105" i="11" s="1"/>
  <c r="AT106" i="11"/>
  <c r="Q111" i="11"/>
  <c r="X111" i="11" s="1"/>
  <c r="AE111" i="11" s="1"/>
  <c r="AL111" i="11" s="1"/>
  <c r="AS111" i="11"/>
  <c r="R97" i="11"/>
  <c r="Y97" i="11" s="1"/>
  <c r="AF97" i="11" s="1"/>
  <c r="AM97" i="11" s="1"/>
  <c r="U98" i="11"/>
  <c r="AB98" i="11" s="1"/>
  <c r="AI98" i="11" s="1"/>
  <c r="AP98" i="11" s="1"/>
  <c r="R99" i="11"/>
  <c r="Y99" i="11" s="1"/>
  <c r="AF99" i="11" s="1"/>
  <c r="AM99" i="11" s="1"/>
  <c r="AX99" i="11"/>
  <c r="R102" i="11"/>
  <c r="Y102" i="11" s="1"/>
  <c r="AF102" i="11" s="1"/>
  <c r="AM102" i="11" s="1"/>
  <c r="V102" i="11"/>
  <c r="AC102" i="11" s="1"/>
  <c r="AJ102" i="11" s="1"/>
  <c r="AQ102" i="11" s="1"/>
  <c r="U104" i="11"/>
  <c r="AB104" i="11" s="1"/>
  <c r="AI104" i="11" s="1"/>
  <c r="AP104" i="11" s="1"/>
  <c r="R105" i="11"/>
  <c r="Y105" i="11" s="1"/>
  <c r="AF105" i="11" s="1"/>
  <c r="AM105" i="11" s="1"/>
  <c r="AX105" i="11"/>
  <c r="Q121" i="11"/>
  <c r="X121" i="11" s="1"/>
  <c r="AE121" i="11" s="1"/>
  <c r="AL121" i="11" s="1"/>
  <c r="AW133" i="11"/>
  <c r="U133" i="11"/>
  <c r="AB133" i="11" s="1"/>
  <c r="AI133" i="11" s="1"/>
  <c r="AP133" i="11" s="1"/>
  <c r="AT134" i="11"/>
  <c r="R134" i="11"/>
  <c r="Y134" i="11" s="1"/>
  <c r="AF134" i="11" s="1"/>
  <c r="AM134" i="11" s="1"/>
  <c r="AS132" i="11"/>
  <c r="Q132" i="11"/>
  <c r="X132" i="11" s="1"/>
  <c r="AE132" i="11" s="1"/>
  <c r="AL132" i="11" s="1"/>
  <c r="AT124" i="11"/>
  <c r="AS130" i="11"/>
  <c r="Q130" i="11"/>
  <c r="X130" i="11" s="1"/>
  <c r="AE130" i="11" s="1"/>
  <c r="AL130" i="11" s="1"/>
  <c r="AY114" i="11"/>
  <c r="AU115" i="11"/>
  <c r="AX119" i="11"/>
  <c r="AU120" i="11"/>
  <c r="AS121" i="11"/>
  <c r="Q123" i="11"/>
  <c r="X123" i="11" s="1"/>
  <c r="AE123" i="11" s="1"/>
  <c r="AL123" i="11" s="1"/>
  <c r="AX135" i="11"/>
  <c r="V135" i="11"/>
  <c r="AC135" i="11" s="1"/>
  <c r="AJ135" i="11" s="1"/>
  <c r="AQ135" i="11" s="1"/>
  <c r="V116" i="11"/>
  <c r="AC116" i="11" s="1"/>
  <c r="AJ116" i="11" s="1"/>
  <c r="AQ116" i="11" s="1"/>
  <c r="Q118" i="11"/>
  <c r="X118" i="11" s="1"/>
  <c r="AE118" i="11" s="1"/>
  <c r="AL118" i="11" s="1"/>
  <c r="Q119" i="11"/>
  <c r="X119" i="11" s="1"/>
  <c r="AE119" i="11" s="1"/>
  <c r="AL119" i="11" s="1"/>
  <c r="AY119" i="11"/>
  <c r="Q120" i="11"/>
  <c r="X120" i="11" s="1"/>
  <c r="AE120" i="11" s="1"/>
  <c r="AL120" i="11" s="1"/>
  <c r="AW120" i="11"/>
  <c r="W123" i="11"/>
  <c r="AD123" i="11" s="1"/>
  <c r="AK123" i="11" s="1"/>
  <c r="AR123" i="11" s="1"/>
  <c r="AV123" i="11"/>
  <c r="AW124" i="11"/>
  <c r="AV127" i="11"/>
  <c r="V129" i="11"/>
  <c r="AC129" i="11" s="1"/>
  <c r="AJ129" i="11" s="1"/>
  <c r="AQ129" i="11" s="1"/>
  <c r="W131" i="11"/>
  <c r="AD131" i="11" s="1"/>
  <c r="AK131" i="11" s="1"/>
  <c r="AR131" i="11" s="1"/>
  <c r="R108" i="11"/>
  <c r="Y108" i="11" s="1"/>
  <c r="AF108" i="11" s="1"/>
  <c r="AM108" i="11" s="1"/>
  <c r="R118" i="11"/>
  <c r="Y118" i="11" s="1"/>
  <c r="AF118" i="11" s="1"/>
  <c r="AM118" i="11" s="1"/>
  <c r="U119" i="11"/>
  <c r="AB119" i="11" s="1"/>
  <c r="AI119" i="11" s="1"/>
  <c r="AP119" i="11" s="1"/>
  <c r="U127" i="11"/>
  <c r="AB127" i="11" s="1"/>
  <c r="AI127" i="11" s="1"/>
  <c r="AP127" i="11" s="1"/>
  <c r="Q128" i="11"/>
  <c r="X128" i="11" s="1"/>
  <c r="AE128" i="11" s="1"/>
  <c r="AL128" i="11" s="1"/>
  <c r="W129" i="11"/>
  <c r="AD129" i="11" s="1"/>
  <c r="AK129" i="11" s="1"/>
  <c r="AR129" i="11" s="1"/>
  <c r="V133" i="11"/>
  <c r="AC133" i="11" s="1"/>
  <c r="AJ133" i="11" s="1"/>
  <c r="AQ133" i="11" s="1"/>
  <c r="R117" i="11"/>
  <c r="Y117" i="11" s="1"/>
  <c r="AF117" i="11" s="1"/>
  <c r="AM117" i="11" s="1"/>
  <c r="S118" i="11"/>
  <c r="Z118" i="11" s="1"/>
  <c r="AG118" i="11" s="1"/>
  <c r="AN118" i="11" s="1"/>
  <c r="AV125" i="11"/>
  <c r="V127" i="11"/>
  <c r="AC127" i="11" s="1"/>
  <c r="AJ127" i="11" s="1"/>
  <c r="AQ127" i="11" s="1"/>
  <c r="AW131" i="11"/>
  <c r="U131" i="11"/>
  <c r="AB131" i="11" s="1"/>
  <c r="AI131" i="11" s="1"/>
  <c r="AP131" i="11" s="1"/>
  <c r="AW122" i="11"/>
  <c r="U125" i="11"/>
  <c r="AB125" i="11" s="1"/>
  <c r="AI125" i="11" s="1"/>
  <c r="AP125" i="11" s="1"/>
  <c r="Q126" i="11"/>
  <c r="X126" i="11" s="1"/>
  <c r="AE126" i="11" s="1"/>
  <c r="AL126" i="11" s="1"/>
  <c r="W127" i="11"/>
  <c r="AD127" i="11" s="1"/>
  <c r="AK127" i="11" s="1"/>
  <c r="AR127" i="11" s="1"/>
  <c r="AW129" i="11"/>
  <c r="U129" i="11"/>
  <c r="AB129" i="11" s="1"/>
  <c r="AI129" i="11" s="1"/>
  <c r="AP129" i="11" s="1"/>
  <c r="R132" i="11"/>
  <c r="Y132" i="11" s="1"/>
  <c r="AF132" i="11" s="1"/>
  <c r="AM132" i="11" s="1"/>
  <c r="Q134" i="11"/>
  <c r="X134" i="11" s="1"/>
  <c r="AE134" i="11" s="1"/>
  <c r="AL134" i="11" s="1"/>
  <c r="U135" i="11"/>
  <c r="AB135" i="11" s="1"/>
  <c r="AI135" i="11" s="1"/>
  <c r="AP135" i="11" s="1"/>
  <c r="Q136" i="11"/>
  <c r="X136" i="11" s="1"/>
  <c r="AE136" i="11" s="1"/>
  <c r="AL136" i="11" s="1"/>
  <c r="U137" i="11"/>
  <c r="AB137" i="11" s="1"/>
  <c r="AI137" i="11" s="1"/>
  <c r="AP137" i="11" s="1"/>
  <c r="Q138" i="11"/>
  <c r="X138" i="11" s="1"/>
  <c r="AE138" i="11" s="1"/>
  <c r="AL138" i="11" s="1"/>
  <c r="U139" i="11"/>
  <c r="AB139" i="11" s="1"/>
  <c r="AI139" i="11" s="1"/>
  <c r="AP139" i="11" s="1"/>
  <c r="Q140" i="11"/>
  <c r="X140" i="11" s="1"/>
  <c r="AE140" i="11" s="1"/>
  <c r="AL140" i="11" s="1"/>
  <c r="AT141" i="11"/>
  <c r="V143" i="11"/>
  <c r="AC143" i="11" s="1"/>
  <c r="AJ143" i="11" s="1"/>
  <c r="AQ143" i="11" s="1"/>
  <c r="W144" i="11"/>
  <c r="AD144" i="11" s="1"/>
  <c r="AK144" i="11" s="1"/>
  <c r="AR144" i="11" s="1"/>
  <c r="AU149" i="11"/>
  <c r="AS156" i="11"/>
  <c r="Q156" i="11"/>
  <c r="X156" i="11" s="1"/>
  <c r="AE156" i="11" s="1"/>
  <c r="AL156" i="11" s="1"/>
  <c r="R136" i="11"/>
  <c r="Y136" i="11" s="1"/>
  <c r="AF136" i="11" s="1"/>
  <c r="AM136" i="11" s="1"/>
  <c r="V137" i="11"/>
  <c r="AC137" i="11" s="1"/>
  <c r="AJ137" i="11" s="1"/>
  <c r="AQ137" i="11" s="1"/>
  <c r="R138" i="11"/>
  <c r="Y138" i="11" s="1"/>
  <c r="AF138" i="11" s="1"/>
  <c r="AM138" i="11" s="1"/>
  <c r="V139" i="11"/>
  <c r="AC139" i="11" s="1"/>
  <c r="AJ139" i="11" s="1"/>
  <c r="AQ139" i="11" s="1"/>
  <c r="R140" i="11"/>
  <c r="Y140" i="11" s="1"/>
  <c r="AF140" i="11" s="1"/>
  <c r="AM140" i="11" s="1"/>
  <c r="AW142" i="11"/>
  <c r="Q146" i="11"/>
  <c r="X146" i="11" s="1"/>
  <c r="AE146" i="11" s="1"/>
  <c r="AL146" i="11" s="1"/>
  <c r="AY150" i="11"/>
  <c r="AW148" i="11"/>
  <c r="AY154" i="11"/>
  <c r="AV137" i="11"/>
  <c r="AV139" i="11"/>
  <c r="AY146" i="11"/>
  <c r="AU153" i="11"/>
  <c r="Q125" i="11"/>
  <c r="X125" i="11" s="1"/>
  <c r="AE125" i="11" s="1"/>
  <c r="AL125" i="11" s="1"/>
  <c r="Q127" i="11"/>
  <c r="X127" i="11" s="1"/>
  <c r="AE127" i="11" s="1"/>
  <c r="AL127" i="11" s="1"/>
  <c r="Q129" i="11"/>
  <c r="X129" i="11" s="1"/>
  <c r="AE129" i="11" s="1"/>
  <c r="AL129" i="11" s="1"/>
  <c r="Q131" i="11"/>
  <c r="X131" i="11" s="1"/>
  <c r="AE131" i="11" s="1"/>
  <c r="AL131" i="11" s="1"/>
  <c r="Q133" i="11"/>
  <c r="X133" i="11" s="1"/>
  <c r="AE133" i="11" s="1"/>
  <c r="AL133" i="11" s="1"/>
  <c r="Q135" i="11"/>
  <c r="X135" i="11" s="1"/>
  <c r="AE135" i="11" s="1"/>
  <c r="AL135" i="11" s="1"/>
  <c r="Q139" i="11"/>
  <c r="X139" i="11" s="1"/>
  <c r="AE139" i="11" s="1"/>
  <c r="AL139" i="11" s="1"/>
  <c r="AW140" i="11"/>
  <c r="AS143" i="11"/>
  <c r="R144" i="11"/>
  <c r="Y144" i="11" s="1"/>
  <c r="AF144" i="11" s="1"/>
  <c r="AM144" i="11" s="1"/>
  <c r="AX147" i="11"/>
  <c r="AY148" i="11"/>
  <c r="S150" i="11"/>
  <c r="Z150" i="11" s="1"/>
  <c r="AG150" i="11" s="1"/>
  <c r="AN150" i="11" s="1"/>
  <c r="AW153" i="11"/>
  <c r="U153" i="11"/>
  <c r="AB153" i="11" s="1"/>
  <c r="AI153" i="11" s="1"/>
  <c r="AP153" i="11" s="1"/>
  <c r="V151" i="11"/>
  <c r="AC151" i="11" s="1"/>
  <c r="AJ151" i="11" s="1"/>
  <c r="AQ151" i="11" s="1"/>
  <c r="AS154" i="11"/>
  <c r="Q154" i="11"/>
  <c r="X154" i="11" s="1"/>
  <c r="AE154" i="11" s="1"/>
  <c r="AL154" i="11" s="1"/>
  <c r="AY156" i="11"/>
  <c r="R142" i="11"/>
  <c r="Y142" i="11" s="1"/>
  <c r="AF142" i="11" s="1"/>
  <c r="AM142" i="11" s="1"/>
  <c r="V145" i="11"/>
  <c r="AC145" i="11" s="1"/>
  <c r="AJ145" i="11" s="1"/>
  <c r="AQ145" i="11" s="1"/>
  <c r="U147" i="11"/>
  <c r="AB147" i="11" s="1"/>
  <c r="AI147" i="11" s="1"/>
  <c r="AP147" i="11" s="1"/>
  <c r="R148" i="11"/>
  <c r="Y148" i="11" s="1"/>
  <c r="AF148" i="11" s="1"/>
  <c r="AM148" i="11" s="1"/>
  <c r="W151" i="11"/>
  <c r="AD151" i="11" s="1"/>
  <c r="AK151" i="11" s="1"/>
  <c r="AR151" i="11" s="1"/>
  <c r="AS152" i="11"/>
  <c r="AW155" i="11"/>
  <c r="U155" i="11"/>
  <c r="AB155" i="11" s="1"/>
  <c r="AI155" i="11" s="1"/>
  <c r="AP155" i="11" s="1"/>
  <c r="AU155" i="11"/>
  <c r="R156" i="11"/>
  <c r="Y156" i="11" s="1"/>
  <c r="AF156" i="11" s="1"/>
  <c r="AM156" i="11" s="1"/>
  <c r="AS141" i="11"/>
  <c r="S142" i="11"/>
  <c r="Z142" i="11" s="1"/>
  <c r="AG142" i="11" s="1"/>
  <c r="AN142" i="11" s="1"/>
  <c r="U143" i="11"/>
  <c r="AB143" i="11" s="1"/>
  <c r="AI143" i="11" s="1"/>
  <c r="AP143" i="11" s="1"/>
  <c r="AW144" i="11"/>
  <c r="W145" i="11"/>
  <c r="AD145" i="11" s="1"/>
  <c r="AK145" i="11" s="1"/>
  <c r="AR145" i="11" s="1"/>
  <c r="S148" i="11"/>
  <c r="Z148" i="11" s="1"/>
  <c r="AG148" i="11" s="1"/>
  <c r="AN148" i="11" s="1"/>
  <c r="U149" i="11"/>
  <c r="AB149" i="11" s="1"/>
  <c r="AI149" i="11" s="1"/>
  <c r="AP149" i="11" s="1"/>
  <c r="AY152" i="11"/>
  <c r="T163" i="11"/>
  <c r="AA163" i="11" s="1"/>
  <c r="AH163" i="11" s="1"/>
  <c r="AO163" i="11" s="1"/>
  <c r="T165" i="11"/>
  <c r="AA165" i="11" s="1"/>
  <c r="AH165" i="11" s="1"/>
  <c r="AO165" i="11" s="1"/>
  <c r="AU166" i="11"/>
  <c r="AW167" i="11"/>
  <c r="AW168" i="11"/>
  <c r="U168" i="11"/>
  <c r="AB168" i="11" s="1"/>
  <c r="AI168" i="11" s="1"/>
  <c r="AP168" i="11" s="1"/>
  <c r="U169" i="11"/>
  <c r="AB169" i="11" s="1"/>
  <c r="AI169" i="11" s="1"/>
  <c r="AP169" i="11" s="1"/>
  <c r="AW169" i="11"/>
  <c r="R172" i="11"/>
  <c r="Y172" i="11" s="1"/>
  <c r="AF172" i="11" s="1"/>
  <c r="AM172" i="11" s="1"/>
  <c r="U157" i="11"/>
  <c r="AB157" i="11" s="1"/>
  <c r="AI157" i="11" s="1"/>
  <c r="AP157" i="11" s="1"/>
  <c r="Q158" i="11"/>
  <c r="X158" i="11" s="1"/>
  <c r="AE158" i="11" s="1"/>
  <c r="AL158" i="11" s="1"/>
  <c r="U159" i="11"/>
  <c r="AB159" i="11" s="1"/>
  <c r="AI159" i="11" s="1"/>
  <c r="AP159" i="11" s="1"/>
  <c r="Q160" i="11"/>
  <c r="X160" i="11" s="1"/>
  <c r="AE160" i="11" s="1"/>
  <c r="AL160" i="11" s="1"/>
  <c r="U161" i="11"/>
  <c r="AB161" i="11" s="1"/>
  <c r="AI161" i="11" s="1"/>
  <c r="AP161" i="11" s="1"/>
  <c r="Q162" i="11"/>
  <c r="X162" i="11" s="1"/>
  <c r="AE162" i="11" s="1"/>
  <c r="AL162" i="11" s="1"/>
  <c r="U163" i="11"/>
  <c r="AB163" i="11" s="1"/>
  <c r="AI163" i="11" s="1"/>
  <c r="AP163" i="11" s="1"/>
  <c r="AU165" i="11"/>
  <c r="U166" i="11"/>
  <c r="AB166" i="11" s="1"/>
  <c r="AI166" i="11" s="1"/>
  <c r="AP166" i="11" s="1"/>
  <c r="W167" i="11"/>
  <c r="AD167" i="11" s="1"/>
  <c r="AK167" i="11" s="1"/>
  <c r="AR167" i="11" s="1"/>
  <c r="AW170" i="11"/>
  <c r="U170" i="11"/>
  <c r="AB170" i="11" s="1"/>
  <c r="AI170" i="11" s="1"/>
  <c r="AP170" i="11" s="1"/>
  <c r="V180" i="11"/>
  <c r="AC180" i="11" s="1"/>
  <c r="AJ180" i="11" s="1"/>
  <c r="AQ180" i="11" s="1"/>
  <c r="AX180" i="11"/>
  <c r="V157" i="11"/>
  <c r="AC157" i="11" s="1"/>
  <c r="AJ157" i="11" s="1"/>
  <c r="AQ157" i="11" s="1"/>
  <c r="R158" i="11"/>
  <c r="Y158" i="11" s="1"/>
  <c r="AF158" i="11" s="1"/>
  <c r="AM158" i="11" s="1"/>
  <c r="V159" i="11"/>
  <c r="AC159" i="11" s="1"/>
  <c r="AJ159" i="11" s="1"/>
  <c r="AQ159" i="11" s="1"/>
  <c r="R160" i="11"/>
  <c r="Y160" i="11" s="1"/>
  <c r="AF160" i="11" s="1"/>
  <c r="AM160" i="11" s="1"/>
  <c r="V161" i="11"/>
  <c r="AC161" i="11" s="1"/>
  <c r="AJ161" i="11" s="1"/>
  <c r="AQ161" i="11" s="1"/>
  <c r="R162" i="11"/>
  <c r="Y162" i="11" s="1"/>
  <c r="AF162" i="11" s="1"/>
  <c r="AM162" i="11" s="1"/>
  <c r="V163" i="11"/>
  <c r="AC163" i="11" s="1"/>
  <c r="AJ163" i="11" s="1"/>
  <c r="AQ163" i="11" s="1"/>
  <c r="V165" i="11"/>
  <c r="AC165" i="11" s="1"/>
  <c r="AJ165" i="11" s="1"/>
  <c r="AQ165" i="11" s="1"/>
  <c r="AX168" i="11"/>
  <c r="U171" i="11"/>
  <c r="AB171" i="11" s="1"/>
  <c r="AI171" i="11" s="1"/>
  <c r="AP171" i="11" s="1"/>
  <c r="AW171" i="11"/>
  <c r="Q172" i="11"/>
  <c r="X172" i="11" s="1"/>
  <c r="AE172" i="11" s="1"/>
  <c r="AL172" i="11" s="1"/>
  <c r="AS172" i="11"/>
  <c r="U173" i="11"/>
  <c r="AB173" i="11" s="1"/>
  <c r="AI173" i="11" s="1"/>
  <c r="AP173" i="11" s="1"/>
  <c r="AW173" i="11"/>
  <c r="W180" i="11"/>
  <c r="AD180" i="11" s="1"/>
  <c r="AK180" i="11" s="1"/>
  <c r="AR180" i="11" s="1"/>
  <c r="AY180" i="11"/>
  <c r="AU157" i="11"/>
  <c r="AY158" i="11"/>
  <c r="AU159" i="11"/>
  <c r="AY160" i="11"/>
  <c r="AU161" i="11"/>
  <c r="AY162" i="11"/>
  <c r="AU163" i="11"/>
  <c r="AY164" i="11"/>
  <c r="Q176" i="11"/>
  <c r="X176" i="11" s="1"/>
  <c r="AE176" i="11" s="1"/>
  <c r="AL176" i="11" s="1"/>
  <c r="AS176" i="11"/>
  <c r="Q178" i="11"/>
  <c r="X178" i="11" s="1"/>
  <c r="AE178" i="11" s="1"/>
  <c r="AL178" i="11" s="1"/>
  <c r="AS178" i="11"/>
  <c r="AW179" i="11"/>
  <c r="U179" i="11"/>
  <c r="AB179" i="11" s="1"/>
  <c r="AI179" i="11" s="1"/>
  <c r="AP179" i="11" s="1"/>
  <c r="S182" i="11"/>
  <c r="Z182" i="11" s="1"/>
  <c r="AG182" i="11" s="1"/>
  <c r="AN182" i="11" s="1"/>
  <c r="AU182" i="11"/>
  <c r="Q168" i="11"/>
  <c r="X168" i="11" s="1"/>
  <c r="AE168" i="11" s="1"/>
  <c r="AL168" i="11" s="1"/>
  <c r="AS168" i="11"/>
  <c r="AX169" i="11"/>
  <c r="U175" i="11"/>
  <c r="AB175" i="11" s="1"/>
  <c r="AI175" i="11" s="1"/>
  <c r="AP175" i="11" s="1"/>
  <c r="AW175" i="11"/>
  <c r="Q165" i="11"/>
  <c r="X165" i="11" s="1"/>
  <c r="AE165" i="11" s="1"/>
  <c r="AL165" i="11" s="1"/>
  <c r="AS169" i="11"/>
  <c r="Q169" i="11"/>
  <c r="X169" i="11" s="1"/>
  <c r="AE169" i="11" s="1"/>
  <c r="AL169" i="11" s="1"/>
  <c r="V177" i="11"/>
  <c r="AC177" i="11" s="1"/>
  <c r="AJ177" i="11" s="1"/>
  <c r="AQ177" i="11" s="1"/>
  <c r="R183" i="11"/>
  <c r="Y183" i="11" s="1"/>
  <c r="AF183" i="11" s="1"/>
  <c r="AM183" i="11" s="1"/>
  <c r="AT183" i="11"/>
  <c r="R166" i="11"/>
  <c r="Y166" i="11" s="1"/>
  <c r="AF166" i="11" s="1"/>
  <c r="AM166" i="11" s="1"/>
  <c r="S167" i="11"/>
  <c r="Z167" i="11" s="1"/>
  <c r="AG167" i="11" s="1"/>
  <c r="AN167" i="11" s="1"/>
  <c r="W169" i="11"/>
  <c r="AD169" i="11" s="1"/>
  <c r="AK169" i="11" s="1"/>
  <c r="AR169" i="11" s="1"/>
  <c r="V171" i="11"/>
  <c r="AC171" i="11" s="1"/>
  <c r="AJ171" i="11" s="1"/>
  <c r="AQ171" i="11" s="1"/>
  <c r="V173" i="11"/>
  <c r="AC173" i="11" s="1"/>
  <c r="AJ173" i="11" s="1"/>
  <c r="AQ173" i="11" s="1"/>
  <c r="Q174" i="11"/>
  <c r="X174" i="11" s="1"/>
  <c r="AE174" i="11" s="1"/>
  <c r="AL174" i="11" s="1"/>
  <c r="AS174" i="11"/>
  <c r="U181" i="11"/>
  <c r="AB181" i="11" s="1"/>
  <c r="AI181" i="11" s="1"/>
  <c r="AP181" i="11" s="1"/>
  <c r="AW181" i="11"/>
  <c r="Q184" i="11"/>
  <c r="X184" i="11" s="1"/>
  <c r="AE184" i="11" s="1"/>
  <c r="AL184" i="11" s="1"/>
  <c r="AS184" i="11"/>
  <c r="W171" i="11"/>
  <c r="AD171" i="11" s="1"/>
  <c r="AK171" i="11" s="1"/>
  <c r="AR171" i="11" s="1"/>
  <c r="U177" i="11"/>
  <c r="AB177" i="11" s="1"/>
  <c r="AI177" i="11" s="1"/>
  <c r="AP177" i="11" s="1"/>
  <c r="AW177" i="11"/>
  <c r="V181" i="11"/>
  <c r="AC181" i="11" s="1"/>
  <c r="AJ181" i="11" s="1"/>
  <c r="AQ181" i="11" s="1"/>
  <c r="AX181" i="11"/>
  <c r="R188" i="11"/>
  <c r="Y188" i="11" s="1"/>
  <c r="AF188" i="11" s="1"/>
  <c r="AM188" i="11" s="1"/>
  <c r="AT188" i="11"/>
  <c r="AW182" i="11"/>
  <c r="U182" i="11"/>
  <c r="AB182" i="11" s="1"/>
  <c r="AI182" i="11" s="1"/>
  <c r="AP182" i="11" s="1"/>
  <c r="AS185" i="11"/>
  <c r="Q185" i="11"/>
  <c r="X185" i="11" s="1"/>
  <c r="AE185" i="11" s="1"/>
  <c r="AL185" i="11" s="1"/>
  <c r="AW186" i="11"/>
  <c r="U186" i="11"/>
  <c r="AB186" i="11" s="1"/>
  <c r="AI186" i="11" s="1"/>
  <c r="AP186" i="11" s="1"/>
  <c r="AY193" i="11"/>
  <c r="U183" i="11"/>
  <c r="AB183" i="11" s="1"/>
  <c r="AI183" i="11" s="1"/>
  <c r="AP183" i="11" s="1"/>
  <c r="AW183" i="11"/>
  <c r="AS187" i="11"/>
  <c r="Q187" i="11"/>
  <c r="X187" i="11" s="1"/>
  <c r="AE187" i="11" s="1"/>
  <c r="AL187" i="11" s="1"/>
  <c r="AW188" i="11"/>
  <c r="U188" i="11"/>
  <c r="AB188" i="11" s="1"/>
  <c r="AI188" i="11" s="1"/>
  <c r="AP188" i="11" s="1"/>
  <c r="W191" i="11"/>
  <c r="AD191" i="11" s="1"/>
  <c r="AK191" i="11" s="1"/>
  <c r="AR191" i="11" s="1"/>
  <c r="AW195" i="11"/>
  <c r="U195" i="11"/>
  <c r="AB195" i="11" s="1"/>
  <c r="AI195" i="11" s="1"/>
  <c r="AP195" i="11" s="1"/>
  <c r="Q171" i="11"/>
  <c r="X171" i="11" s="1"/>
  <c r="AE171" i="11" s="1"/>
  <c r="AL171" i="11" s="1"/>
  <c r="U172" i="11"/>
  <c r="AB172" i="11" s="1"/>
  <c r="AI172" i="11" s="1"/>
  <c r="AP172" i="11" s="1"/>
  <c r="Q173" i="11"/>
  <c r="X173" i="11" s="1"/>
  <c r="AE173" i="11" s="1"/>
  <c r="AL173" i="11" s="1"/>
  <c r="U174" i="11"/>
  <c r="AB174" i="11" s="1"/>
  <c r="AI174" i="11" s="1"/>
  <c r="AP174" i="11" s="1"/>
  <c r="Q175" i="11"/>
  <c r="X175" i="11" s="1"/>
  <c r="AE175" i="11" s="1"/>
  <c r="AL175" i="11" s="1"/>
  <c r="AU183" i="11"/>
  <c r="AW184" i="11"/>
  <c r="U184" i="11"/>
  <c r="AB184" i="11" s="1"/>
  <c r="AI184" i="11" s="1"/>
  <c r="AP184" i="11" s="1"/>
  <c r="AT184" i="11"/>
  <c r="Q180" i="11"/>
  <c r="X180" i="11" s="1"/>
  <c r="AE180" i="11" s="1"/>
  <c r="AL180" i="11" s="1"/>
  <c r="AS180" i="11"/>
  <c r="AY181" i="11"/>
  <c r="AX182" i="11"/>
  <c r="AU184" i="11"/>
  <c r="S186" i="11"/>
  <c r="Z186" i="11" s="1"/>
  <c r="AG186" i="11" s="1"/>
  <c r="AN186" i="11" s="1"/>
  <c r="R192" i="11"/>
  <c r="Y192" i="11" s="1"/>
  <c r="AF192" i="11" s="1"/>
  <c r="AM192" i="11" s="1"/>
  <c r="AT192" i="11"/>
  <c r="AS181" i="11"/>
  <c r="Q181" i="11"/>
  <c r="X181" i="11" s="1"/>
  <c r="AE181" i="11" s="1"/>
  <c r="AL181" i="11" s="1"/>
  <c r="AT186" i="11"/>
  <c r="S188" i="11"/>
  <c r="Z188" i="11" s="1"/>
  <c r="AG188" i="11" s="1"/>
  <c r="AN188" i="11" s="1"/>
  <c r="V189" i="11"/>
  <c r="AC189" i="11" s="1"/>
  <c r="AJ189" i="11" s="1"/>
  <c r="AQ189" i="11" s="1"/>
  <c r="AX189" i="11"/>
  <c r="Q182" i="11"/>
  <c r="X182" i="11" s="1"/>
  <c r="AE182" i="11" s="1"/>
  <c r="AL182" i="11" s="1"/>
  <c r="AS182" i="11"/>
  <c r="V186" i="11"/>
  <c r="AC186" i="11" s="1"/>
  <c r="AJ186" i="11" s="1"/>
  <c r="AQ186" i="11" s="1"/>
  <c r="V194" i="11"/>
  <c r="AC194" i="11" s="1"/>
  <c r="AJ194" i="11" s="1"/>
  <c r="AQ194" i="11" s="1"/>
  <c r="AX194" i="11"/>
  <c r="AW180" i="11"/>
  <c r="U180" i="11"/>
  <c r="AB180" i="11" s="1"/>
  <c r="AI180" i="11" s="1"/>
  <c r="AP180" i="11" s="1"/>
  <c r="AS183" i="11"/>
  <c r="Q183" i="11"/>
  <c r="X183" i="11" s="1"/>
  <c r="AE183" i="11" s="1"/>
  <c r="AL183" i="11" s="1"/>
  <c r="R185" i="11"/>
  <c r="Y185" i="11" s="1"/>
  <c r="AF185" i="11" s="1"/>
  <c r="AM185" i="11" s="1"/>
  <c r="V188" i="11"/>
  <c r="AC188" i="11" s="1"/>
  <c r="AJ188" i="11" s="1"/>
  <c r="AQ188" i="11" s="1"/>
  <c r="V191" i="11"/>
  <c r="AC191" i="11" s="1"/>
  <c r="AJ191" i="11" s="1"/>
  <c r="AQ191" i="11" s="1"/>
  <c r="AX191" i="11"/>
  <c r="W194" i="11"/>
  <c r="AD194" i="11" s="1"/>
  <c r="AK194" i="11" s="1"/>
  <c r="AR194" i="11" s="1"/>
  <c r="AY194" i="11"/>
  <c r="Q197" i="11"/>
  <c r="X197" i="11" s="1"/>
  <c r="AE197" i="11" s="1"/>
  <c r="AL197" i="11" s="1"/>
  <c r="AS197" i="11"/>
  <c r="AW185" i="11"/>
  <c r="AS186" i="11"/>
  <c r="AW187" i="11"/>
  <c r="AS188" i="11"/>
  <c r="Q189" i="11"/>
  <c r="X189" i="11" s="1"/>
  <c r="AE189" i="11" s="1"/>
  <c r="AL189" i="11" s="1"/>
  <c r="AW189" i="11"/>
  <c r="U190" i="11"/>
  <c r="AB190" i="11" s="1"/>
  <c r="AI190" i="11" s="1"/>
  <c r="AP190" i="11" s="1"/>
  <c r="AS190" i="11"/>
  <c r="Q191" i="11"/>
  <c r="X191" i="11" s="1"/>
  <c r="AE191" i="11" s="1"/>
  <c r="AL191" i="11" s="1"/>
  <c r="AW191" i="11"/>
  <c r="U192" i="11"/>
  <c r="AB192" i="11" s="1"/>
  <c r="AI192" i="11" s="1"/>
  <c r="AP192" i="11" s="1"/>
  <c r="AS192" i="11"/>
  <c r="Q193" i="11"/>
  <c r="X193" i="11" s="1"/>
  <c r="AE193" i="11" s="1"/>
  <c r="AL193" i="11" s="1"/>
  <c r="R194" i="11"/>
  <c r="Y194" i="11" s="1"/>
  <c r="AF194" i="11" s="1"/>
  <c r="AM194" i="11" s="1"/>
  <c r="V190" i="11"/>
  <c r="AC190" i="11" s="1"/>
  <c r="AJ190" i="11" s="1"/>
  <c r="AQ190" i="11" s="1"/>
  <c r="R191" i="11"/>
  <c r="Y191" i="11" s="1"/>
  <c r="AF191" i="11" s="1"/>
  <c r="AM191" i="11" s="1"/>
  <c r="V192" i="11"/>
  <c r="AC192" i="11" s="1"/>
  <c r="AJ192" i="11" s="1"/>
  <c r="AQ192" i="11" s="1"/>
  <c r="R193" i="11"/>
  <c r="Y193" i="11" s="1"/>
  <c r="AF193" i="11" s="1"/>
  <c r="AM193" i="11" s="1"/>
  <c r="AS196" i="11"/>
  <c r="Q196" i="11"/>
  <c r="X196" i="11" s="1"/>
  <c r="AE196" i="11" s="1"/>
  <c r="AL196" i="11" s="1"/>
  <c r="U198" i="11"/>
  <c r="AB198" i="11" s="1"/>
  <c r="AI198" i="11" s="1"/>
  <c r="AP198" i="11" s="1"/>
  <c r="AW198" i="11"/>
  <c r="U193" i="11"/>
  <c r="AB193" i="11" s="1"/>
  <c r="AI193" i="11" s="1"/>
  <c r="AP193" i="11" s="1"/>
  <c r="W197" i="11"/>
  <c r="AD197" i="11" s="1"/>
  <c r="AK197" i="11" s="1"/>
  <c r="AR197" i="11" s="1"/>
  <c r="AY197" i="11"/>
  <c r="U194" i="11"/>
  <c r="AB194" i="11" s="1"/>
  <c r="AI194" i="11" s="1"/>
  <c r="AP194" i="11" s="1"/>
  <c r="AW194" i="11"/>
  <c r="U196" i="11"/>
  <c r="AB196" i="11" s="1"/>
  <c r="AI196" i="11" s="1"/>
  <c r="AP196" i="11" s="1"/>
  <c r="AW196" i="11"/>
  <c r="W196" i="11"/>
  <c r="AD196" i="11" s="1"/>
  <c r="AK196" i="11" s="1"/>
  <c r="AR196" i="11" s="1"/>
  <c r="W198" i="11"/>
  <c r="AD198" i="11" s="1"/>
  <c r="AK198" i="11" s="1"/>
  <c r="AR198" i="11" s="1"/>
  <c r="AY199" i="11"/>
  <c r="W200" i="11"/>
  <c r="AD200" i="11" s="1"/>
  <c r="AK200" i="11" s="1"/>
  <c r="AR200" i="11" s="1"/>
  <c r="S201" i="11"/>
  <c r="Z201" i="11" s="1"/>
  <c r="AG201" i="11" s="1"/>
  <c r="AN201" i="11" s="1"/>
  <c r="T203" i="11"/>
  <c r="AA203" i="11" s="1"/>
  <c r="AH203" i="11" s="1"/>
  <c r="AO203" i="11" s="1"/>
  <c r="U207" i="11"/>
  <c r="AB207" i="11" s="1"/>
  <c r="AI207" i="11" s="1"/>
  <c r="AP207" i="11" s="1"/>
  <c r="AS207" i="11"/>
  <c r="Q208" i="11"/>
  <c r="X208" i="11" s="1"/>
  <c r="AE208" i="11" s="1"/>
  <c r="AL208" i="11" s="1"/>
  <c r="AW208" i="11"/>
  <c r="U209" i="11"/>
  <c r="AB209" i="11" s="1"/>
  <c r="AI209" i="11" s="1"/>
  <c r="AP209" i="11" s="1"/>
  <c r="AS209" i="11"/>
  <c r="Q210" i="11"/>
  <c r="X210" i="11" s="1"/>
  <c r="AE210" i="11" s="1"/>
  <c r="AL210" i="11" s="1"/>
  <c r="AW210" i="11"/>
  <c r="U211" i="11"/>
  <c r="AB211" i="11" s="1"/>
  <c r="AI211" i="11" s="1"/>
  <c r="AP211" i="11" s="1"/>
  <c r="AS211" i="11"/>
  <c r="Q202" i="11"/>
  <c r="X202" i="11" s="1"/>
  <c r="AE202" i="11" s="1"/>
  <c r="AL202" i="11" s="1"/>
  <c r="U203" i="11"/>
  <c r="AB203" i="11" s="1"/>
  <c r="AI203" i="11" s="1"/>
  <c r="AP203" i="11" s="1"/>
  <c r="Q204" i="11"/>
  <c r="X204" i="11" s="1"/>
  <c r="AE204" i="11" s="1"/>
  <c r="AL204" i="11" s="1"/>
  <c r="Q206" i="11"/>
  <c r="X206" i="11" s="1"/>
  <c r="AE206" i="11" s="1"/>
  <c r="AL206" i="11" s="1"/>
  <c r="R210" i="11"/>
  <c r="Y210" i="11" s="1"/>
  <c r="AF210" i="11" s="1"/>
  <c r="AM210" i="11" s="1"/>
  <c r="AX210" i="11"/>
  <c r="V211" i="11"/>
  <c r="AC211" i="11" s="1"/>
  <c r="AJ211" i="11" s="1"/>
  <c r="AQ211" i="11" s="1"/>
  <c r="U197" i="11"/>
  <c r="AB197" i="11" s="1"/>
  <c r="AI197" i="11" s="1"/>
  <c r="AP197" i="11" s="1"/>
  <c r="Q198" i="11"/>
  <c r="X198" i="11" s="1"/>
  <c r="AE198" i="11" s="1"/>
  <c r="AL198" i="11" s="1"/>
  <c r="U199" i="11"/>
  <c r="AB199" i="11" s="1"/>
  <c r="AI199" i="11" s="1"/>
  <c r="AP199" i="11" s="1"/>
  <c r="AS199" i="11"/>
  <c r="Q200" i="11"/>
  <c r="X200" i="11" s="1"/>
  <c r="AE200" i="11" s="1"/>
  <c r="AL200" i="11" s="1"/>
  <c r="AW200" i="11"/>
  <c r="AS201" i="11"/>
  <c r="R202" i="11"/>
  <c r="Y202" i="11" s="1"/>
  <c r="AF202" i="11" s="1"/>
  <c r="AM202" i="11" s="1"/>
  <c r="AX202" i="11"/>
  <c r="V203" i="11"/>
  <c r="AC203" i="11" s="1"/>
  <c r="AJ203" i="11" s="1"/>
  <c r="AQ203" i="11" s="1"/>
  <c r="AT203" i="11"/>
  <c r="AX204" i="11"/>
  <c r="V205" i="11"/>
  <c r="AC205" i="11" s="1"/>
  <c r="AJ205" i="11" s="1"/>
  <c r="AQ205" i="11" s="1"/>
  <c r="AT205" i="11"/>
  <c r="R206" i="11"/>
  <c r="Y206" i="11" s="1"/>
  <c r="AF206" i="11" s="1"/>
  <c r="AM206" i="11" s="1"/>
  <c r="AX206" i="11"/>
  <c r="AU207" i="11"/>
  <c r="AY208" i="11"/>
  <c r="AU209" i="11"/>
  <c r="AY210" i="11"/>
  <c r="AU211" i="11"/>
  <c r="AT122" i="11" l="1"/>
  <c r="R122" i="11"/>
  <c r="Y122" i="11" s="1"/>
  <c r="AF122" i="11" s="1"/>
  <c r="AM122" i="11" s="1"/>
  <c r="R169" i="10"/>
  <c r="Y169" i="10" s="1"/>
  <c r="AF169" i="10" s="1"/>
  <c r="AM169" i="10" s="1"/>
  <c r="R59" i="11"/>
  <c r="Y59" i="11" s="1"/>
  <c r="AF59" i="11" s="1"/>
  <c r="AM59" i="11" s="1"/>
  <c r="AT59" i="11"/>
  <c r="AU203" i="11"/>
  <c r="S203" i="11"/>
  <c r="Z203" i="11" s="1"/>
  <c r="AG203" i="11" s="1"/>
  <c r="AN203" i="11" s="1"/>
  <c r="T3" i="11"/>
  <c r="AA3" i="11" s="1"/>
  <c r="AH3" i="11" s="1"/>
  <c r="AO3" i="11" s="1"/>
  <c r="AV3" i="11"/>
  <c r="T173" i="11"/>
  <c r="AV173" i="11"/>
  <c r="BA153" i="11"/>
  <c r="BB153" i="11" s="1"/>
  <c r="AS159" i="10"/>
  <c r="AT159" i="10" s="1"/>
  <c r="AS128" i="10"/>
  <c r="AT128" i="10" s="1"/>
  <c r="AS95" i="10"/>
  <c r="AT95" i="10" s="1"/>
  <c r="T36" i="10"/>
  <c r="AA36" i="10" s="1"/>
  <c r="AH36" i="10" s="1"/>
  <c r="AO36" i="10" s="1"/>
  <c r="AV42" i="11"/>
  <c r="T42" i="11"/>
  <c r="AV74" i="11"/>
  <c r="T74" i="11"/>
  <c r="T135" i="11"/>
  <c r="AA135" i="11" s="1"/>
  <c r="AH135" i="11" s="1"/>
  <c r="AO135" i="11" s="1"/>
  <c r="AV135" i="11"/>
  <c r="T206" i="11"/>
  <c r="AA206" i="11" s="1"/>
  <c r="AH206" i="11" s="1"/>
  <c r="AO206" i="11" s="1"/>
  <c r="AV206" i="11"/>
  <c r="AV70" i="11"/>
  <c r="T70" i="11"/>
  <c r="S175" i="11"/>
  <c r="AU175" i="11"/>
  <c r="T166" i="10"/>
  <c r="AA166" i="10" s="1"/>
  <c r="AH166" i="10" s="1"/>
  <c r="AO166" i="10" s="1"/>
  <c r="AS166" i="10"/>
  <c r="AT166" i="10" s="1"/>
  <c r="T26" i="11"/>
  <c r="AV26" i="11"/>
  <c r="T181" i="11"/>
  <c r="AA181" i="11" s="1"/>
  <c r="AH181" i="11" s="1"/>
  <c r="AO181" i="11" s="1"/>
  <c r="AV181" i="11"/>
  <c r="AT77" i="11"/>
  <c r="BA77" i="11"/>
  <c r="BB77" i="11" s="1"/>
  <c r="R77" i="11"/>
  <c r="Y77" i="11" s="1"/>
  <c r="AF77" i="11" s="1"/>
  <c r="AM77" i="11" s="1"/>
  <c r="T71" i="11"/>
  <c r="AA71" i="11" s="1"/>
  <c r="AH71" i="11" s="1"/>
  <c r="AO71" i="11" s="1"/>
  <c r="AV71" i="11"/>
  <c r="AU210" i="11"/>
  <c r="S210" i="11"/>
  <c r="T182" i="11"/>
  <c r="AA182" i="11" s="1"/>
  <c r="AH182" i="11" s="1"/>
  <c r="AO182" i="11" s="1"/>
  <c r="AV182" i="11"/>
  <c r="AV16" i="11"/>
  <c r="T16" i="11"/>
  <c r="T160" i="11"/>
  <c r="AA160" i="11" s="1"/>
  <c r="AH160" i="11" s="1"/>
  <c r="AO160" i="11" s="1"/>
  <c r="AV160" i="11"/>
  <c r="T133" i="10"/>
  <c r="AA133" i="10" s="1"/>
  <c r="AH133" i="10" s="1"/>
  <c r="AO133" i="10" s="1"/>
  <c r="AU128" i="11"/>
  <c r="S128" i="11"/>
  <c r="Z128" i="11" s="1"/>
  <c r="AG128" i="11" s="1"/>
  <c r="AN128" i="11" s="1"/>
  <c r="AS46" i="10"/>
  <c r="AT46" i="10" s="1"/>
  <c r="AT60" i="11"/>
  <c r="R60" i="11"/>
  <c r="Y60" i="11" s="1"/>
  <c r="AF60" i="11" s="1"/>
  <c r="AM60" i="11" s="1"/>
  <c r="AS13" i="10"/>
  <c r="AT13" i="10" s="1"/>
  <c r="AU12" i="11"/>
  <c r="S12" i="11"/>
  <c r="Z12" i="11" s="1"/>
  <c r="AG12" i="11" s="1"/>
  <c r="AN12" i="11" s="1"/>
  <c r="S63" i="11"/>
  <c r="Z63" i="11" s="1"/>
  <c r="AG63" i="11" s="1"/>
  <c r="AN63" i="11" s="1"/>
  <c r="AU63" i="11"/>
  <c r="AV99" i="11"/>
  <c r="T99" i="11"/>
  <c r="AA99" i="11" s="1"/>
  <c r="AH99" i="11" s="1"/>
  <c r="AO99" i="11" s="1"/>
  <c r="Q194" i="10"/>
  <c r="X194" i="10" s="1"/>
  <c r="AE194" i="10" s="1"/>
  <c r="AL194" i="10" s="1"/>
  <c r="AS194" i="10"/>
  <c r="AT194" i="10" s="1"/>
  <c r="T29" i="10"/>
  <c r="AA29" i="10" s="1"/>
  <c r="AH29" i="10" s="1"/>
  <c r="AO29" i="10" s="1"/>
  <c r="AV184" i="11"/>
  <c r="T184" i="11"/>
  <c r="AA184" i="11" s="1"/>
  <c r="AH184" i="11" s="1"/>
  <c r="AO184" i="11" s="1"/>
  <c r="AV130" i="11"/>
  <c r="T130" i="11"/>
  <c r="T102" i="11"/>
  <c r="AA102" i="11" s="1"/>
  <c r="AH102" i="11" s="1"/>
  <c r="AO102" i="11" s="1"/>
  <c r="BA102" i="11" s="1"/>
  <c r="BB102" i="11" s="1"/>
  <c r="AV102" i="11"/>
  <c r="T101" i="11"/>
  <c r="AA101" i="11" s="1"/>
  <c r="AH101" i="11" s="1"/>
  <c r="AO101" i="11" s="1"/>
  <c r="AV101" i="11"/>
  <c r="AS149" i="10"/>
  <c r="AT149" i="10" s="1"/>
  <c r="T149" i="10"/>
  <c r="AA149" i="10" s="1"/>
  <c r="AH149" i="10" s="1"/>
  <c r="AO149" i="10" s="1"/>
  <c r="S124" i="10"/>
  <c r="Z124" i="10" s="1"/>
  <c r="AG124" i="10" s="1"/>
  <c r="AN124" i="10" s="1"/>
  <c r="AS124" i="10"/>
  <c r="AT124" i="10" s="1"/>
  <c r="AS12" i="10"/>
  <c r="AT12" i="10" s="1"/>
  <c r="AV120" i="11"/>
  <c r="T120" i="11"/>
  <c r="AA120" i="11" s="1"/>
  <c r="AH120" i="11" s="1"/>
  <c r="AO120" i="11" s="1"/>
  <c r="Q195" i="11"/>
  <c r="X195" i="11" s="1"/>
  <c r="AE195" i="11" s="1"/>
  <c r="AL195" i="11" s="1"/>
  <c r="AS195" i="11"/>
  <c r="S11" i="11"/>
  <c r="AU11" i="11"/>
  <c r="T55" i="11"/>
  <c r="AV55" i="11"/>
  <c r="AV18" i="11"/>
  <c r="T18" i="11"/>
  <c r="AA18" i="11" s="1"/>
  <c r="AH18" i="11" s="1"/>
  <c r="AO18" i="11" s="1"/>
  <c r="BA203" i="11"/>
  <c r="BB203" i="11" s="1"/>
  <c r="BA128" i="11"/>
  <c r="BB128" i="11" s="1"/>
  <c r="BA99" i="11"/>
  <c r="BB99" i="11" s="1"/>
  <c r="BA88" i="11"/>
  <c r="BB88" i="11" s="1"/>
  <c r="BA18" i="11"/>
  <c r="BB18" i="11" s="1"/>
  <c r="BA12" i="11"/>
  <c r="BB12" i="11" s="1"/>
  <c r="AS151" i="10"/>
  <c r="AT151" i="10" s="1"/>
  <c r="AS76" i="10"/>
  <c r="AT76" i="10" s="1"/>
  <c r="T40" i="10"/>
  <c r="AA40" i="10" s="1"/>
  <c r="AH40" i="10" s="1"/>
  <c r="AO40" i="10" s="1"/>
  <c r="AS40" i="10"/>
  <c r="AT40" i="10" s="1"/>
  <c r="AS37" i="10"/>
  <c r="AT37" i="10" s="1"/>
  <c r="T37" i="10"/>
  <c r="AA37" i="10" s="1"/>
  <c r="AH37" i="10" s="1"/>
  <c r="AO37" i="10" s="1"/>
  <c r="T206" i="10"/>
  <c r="AA206" i="10" s="1"/>
  <c r="AH206" i="10" s="1"/>
  <c r="AO206" i="10" s="1"/>
  <c r="T45" i="11"/>
  <c r="AV45" i="11"/>
  <c r="AV72" i="11"/>
  <c r="T72" i="11"/>
  <c r="AA72" i="11" s="1"/>
  <c r="AH72" i="11" s="1"/>
  <c r="AO72" i="11" s="1"/>
  <c r="AV134" i="11"/>
  <c r="T134" i="11"/>
  <c r="AA134" i="11" s="1"/>
  <c r="AH134" i="11" s="1"/>
  <c r="AO134" i="11" s="1"/>
  <c r="AV81" i="11"/>
  <c r="T81" i="11"/>
  <c r="AV118" i="11"/>
  <c r="T118" i="11"/>
  <c r="AA118" i="11" s="1"/>
  <c r="AH118" i="11" s="1"/>
  <c r="AO118" i="11" s="1"/>
  <c r="S196" i="11"/>
  <c r="Z196" i="11" s="1"/>
  <c r="AG196" i="11" s="1"/>
  <c r="AN196" i="11" s="1"/>
  <c r="AU196" i="11"/>
  <c r="BA196" i="11"/>
  <c r="BB196" i="11" s="1"/>
  <c r="AV82" i="11"/>
  <c r="T82" i="11"/>
  <c r="AA82" i="11" s="1"/>
  <c r="AH82" i="11" s="1"/>
  <c r="AO82" i="11" s="1"/>
  <c r="AV207" i="11"/>
  <c r="T207" i="11"/>
  <c r="R27" i="10"/>
  <c r="Y27" i="10" s="1"/>
  <c r="AF27" i="10" s="1"/>
  <c r="AM27" i="10" s="1"/>
  <c r="AS27" i="10"/>
  <c r="AT27" i="10" s="1"/>
  <c r="AT80" i="11"/>
  <c r="R80" i="11"/>
  <c r="Y80" i="11" s="1"/>
  <c r="AF80" i="11" s="1"/>
  <c r="AM80" i="11" s="1"/>
  <c r="T98" i="11"/>
  <c r="AV98" i="11"/>
  <c r="T23" i="11"/>
  <c r="AA23" i="11" s="1"/>
  <c r="AH23" i="11" s="1"/>
  <c r="AO23" i="11" s="1"/>
  <c r="AV23" i="11"/>
  <c r="T183" i="11"/>
  <c r="AV183" i="11"/>
  <c r="T162" i="10"/>
  <c r="AA162" i="10" s="1"/>
  <c r="AH162" i="10" s="1"/>
  <c r="AO162" i="10" s="1"/>
  <c r="T104" i="11"/>
  <c r="AV104" i="11"/>
  <c r="T162" i="11"/>
  <c r="AA162" i="11" s="1"/>
  <c r="AH162" i="11" s="1"/>
  <c r="AO162" i="11" s="1"/>
  <c r="AV162" i="11"/>
  <c r="T69" i="11"/>
  <c r="AA69" i="11" s="1"/>
  <c r="AH69" i="11" s="1"/>
  <c r="AO69" i="11" s="1"/>
  <c r="AV69" i="11"/>
  <c r="AS139" i="10"/>
  <c r="AT139" i="10" s="1"/>
  <c r="S139" i="10"/>
  <c r="Z139" i="10" s="1"/>
  <c r="AG139" i="10" s="1"/>
  <c r="AN139" i="10" s="1"/>
  <c r="AU126" i="11"/>
  <c r="S126" i="11"/>
  <c r="R190" i="11"/>
  <c r="Y190" i="11" s="1"/>
  <c r="AF190" i="11" s="1"/>
  <c r="AM190" i="11" s="1"/>
  <c r="AT190" i="11"/>
  <c r="T114" i="11"/>
  <c r="AV114" i="11"/>
  <c r="AS33" i="10"/>
  <c r="AT33" i="10" s="1"/>
  <c r="R33" i="10"/>
  <c r="Y33" i="10" s="1"/>
  <c r="AF33" i="10" s="1"/>
  <c r="AM33" i="10" s="1"/>
  <c r="S113" i="11"/>
  <c r="Z113" i="11" s="1"/>
  <c r="AG113" i="11" s="1"/>
  <c r="AN113" i="11" s="1"/>
  <c r="AU113" i="11"/>
  <c r="T57" i="10"/>
  <c r="AA57" i="10" s="1"/>
  <c r="AH57" i="10" s="1"/>
  <c r="AO57" i="10" s="1"/>
  <c r="AV4" i="11"/>
  <c r="T4" i="11"/>
  <c r="AA4" i="11" s="1"/>
  <c r="AH4" i="11" s="1"/>
  <c r="AO4" i="11" s="1"/>
  <c r="Q137" i="11"/>
  <c r="X137" i="11" s="1"/>
  <c r="AE137" i="11" s="1"/>
  <c r="AL137" i="11" s="1"/>
  <c r="AS137" i="11"/>
  <c r="AV209" i="11"/>
  <c r="T209" i="11"/>
  <c r="T50" i="11"/>
  <c r="AV50" i="11"/>
  <c r="AS53" i="10"/>
  <c r="AT53" i="10" s="1"/>
  <c r="T53" i="10"/>
  <c r="AA53" i="10" s="1"/>
  <c r="AH53" i="10" s="1"/>
  <c r="AO53" i="10" s="1"/>
  <c r="AV29" i="11"/>
  <c r="T29" i="11"/>
  <c r="AA29" i="11" s="1"/>
  <c r="AH29" i="11" s="1"/>
  <c r="AO29" i="11" s="1"/>
  <c r="AV188" i="11"/>
  <c r="T188" i="11"/>
  <c r="T131" i="10"/>
  <c r="AA131" i="10" s="1"/>
  <c r="AH131" i="10" s="1"/>
  <c r="AO131" i="10" s="1"/>
  <c r="AS131" i="10"/>
  <c r="AT131" i="10" s="1"/>
  <c r="AV157" i="11"/>
  <c r="T157" i="11"/>
  <c r="T94" i="10"/>
  <c r="AA94" i="10" s="1"/>
  <c r="AH94" i="10" s="1"/>
  <c r="AO94" i="10" s="1"/>
  <c r="AS94" i="10"/>
  <c r="AT94" i="10" s="1"/>
  <c r="AV94" i="11"/>
  <c r="T94" i="11"/>
  <c r="AA94" i="11" s="1"/>
  <c r="AH94" i="11" s="1"/>
  <c r="AO94" i="11" s="1"/>
  <c r="AV143" i="11"/>
  <c r="T143" i="11"/>
  <c r="AA143" i="11" s="1"/>
  <c r="AH143" i="11" s="1"/>
  <c r="AO143" i="11" s="1"/>
  <c r="T149" i="11"/>
  <c r="AA149" i="11" s="1"/>
  <c r="AH149" i="11" s="1"/>
  <c r="AO149" i="11" s="1"/>
  <c r="BA149" i="11"/>
  <c r="BB149" i="11" s="1"/>
  <c r="AV149" i="11"/>
  <c r="S198" i="10"/>
  <c r="Z198" i="10" s="1"/>
  <c r="AG198" i="10" s="1"/>
  <c r="AN198" i="10" s="1"/>
  <c r="AS198" i="10"/>
  <c r="AT198" i="10" s="1"/>
  <c r="AS11" i="10"/>
  <c r="AT11" i="10" s="1"/>
  <c r="BA19" i="11"/>
  <c r="BB19" i="11" s="1"/>
  <c r="T73" i="11"/>
  <c r="AV73" i="11"/>
  <c r="S139" i="11"/>
  <c r="AU139" i="11"/>
  <c r="BA87" i="11"/>
  <c r="BB87" i="11" s="1"/>
  <c r="AS207" i="10"/>
  <c r="AT207" i="10" s="1"/>
  <c r="AS105" i="10"/>
  <c r="AT105" i="10" s="1"/>
  <c r="T52" i="10"/>
  <c r="AA52" i="10" s="1"/>
  <c r="AH52" i="10" s="1"/>
  <c r="AO52" i="10" s="1"/>
  <c r="AS52" i="10"/>
  <c r="AT52" i="10" s="1"/>
  <c r="AS45" i="10"/>
  <c r="AT45" i="10" s="1"/>
  <c r="T45" i="10"/>
  <c r="AA45" i="10" s="1"/>
  <c r="AH45" i="10" s="1"/>
  <c r="AO45" i="10" s="1"/>
  <c r="T119" i="10"/>
  <c r="AA119" i="10" s="1"/>
  <c r="AH119" i="10" s="1"/>
  <c r="AO119" i="10" s="1"/>
  <c r="AS119" i="10"/>
  <c r="AT119" i="10" s="1"/>
  <c r="T37" i="11"/>
  <c r="AV37" i="11"/>
  <c r="T52" i="11"/>
  <c r="AA52" i="11" s="1"/>
  <c r="AH52" i="11" s="1"/>
  <c r="AO52" i="11" s="1"/>
  <c r="AV52" i="11"/>
  <c r="AV136" i="11"/>
  <c r="T136" i="11"/>
  <c r="AT174" i="11"/>
  <c r="R174" i="11"/>
  <c r="Y174" i="11" s="1"/>
  <c r="AF174" i="11" s="1"/>
  <c r="AM174" i="11" s="1"/>
  <c r="T78" i="11"/>
  <c r="AA78" i="11" s="1"/>
  <c r="AH78" i="11" s="1"/>
  <c r="AO78" i="11" s="1"/>
  <c r="AV78" i="11"/>
  <c r="T177" i="11"/>
  <c r="AV177" i="11"/>
  <c r="AU197" i="11"/>
  <c r="S197" i="11"/>
  <c r="T108" i="11"/>
  <c r="AV108" i="11"/>
  <c r="R77" i="10"/>
  <c r="Y77" i="10" s="1"/>
  <c r="AF77" i="10" s="1"/>
  <c r="AM77" i="10" s="1"/>
  <c r="R169" i="11"/>
  <c r="AT169" i="11"/>
  <c r="T156" i="11"/>
  <c r="AA156" i="11" s="1"/>
  <c r="AH156" i="11" s="1"/>
  <c r="AO156" i="11" s="1"/>
  <c r="AV156" i="11"/>
  <c r="T129" i="10"/>
  <c r="AA129" i="10" s="1"/>
  <c r="AH129" i="10" s="1"/>
  <c r="AO129" i="10" s="1"/>
  <c r="T64" i="11"/>
  <c r="AV64" i="11"/>
  <c r="AS62" i="10"/>
  <c r="AT62" i="10" s="1"/>
  <c r="T90" i="10"/>
  <c r="AA90" i="10" s="1"/>
  <c r="AH90" i="10" s="1"/>
  <c r="AO90" i="10" s="1"/>
  <c r="AS90" i="10"/>
  <c r="AT90" i="10" s="1"/>
  <c r="AV90" i="11"/>
  <c r="T90" i="11"/>
  <c r="AV68" i="11"/>
  <c r="T68" i="11"/>
  <c r="AU141" i="11"/>
  <c r="S141" i="11"/>
  <c r="R59" i="10"/>
  <c r="Y59" i="10" s="1"/>
  <c r="AF59" i="10" s="1"/>
  <c r="AM59" i="10" s="1"/>
  <c r="AS59" i="10"/>
  <c r="AT59" i="10" s="1"/>
  <c r="S21" i="10"/>
  <c r="Z21" i="10" s="1"/>
  <c r="AG21" i="10" s="1"/>
  <c r="AN21" i="10" s="1"/>
  <c r="AS21" i="10"/>
  <c r="AT21" i="10" s="1"/>
  <c r="AU22" i="11"/>
  <c r="S22" i="11"/>
  <c r="AU111" i="11"/>
  <c r="S111" i="11"/>
  <c r="Z111" i="11" s="1"/>
  <c r="AG111" i="11" s="1"/>
  <c r="AN111" i="11" s="1"/>
  <c r="T57" i="11"/>
  <c r="AV57" i="11"/>
  <c r="AV172" i="11"/>
  <c r="T172" i="11"/>
  <c r="Q170" i="11"/>
  <c r="X170" i="11" s="1"/>
  <c r="AE170" i="11" s="1"/>
  <c r="AL170" i="11" s="1"/>
  <c r="AS170" i="11"/>
  <c r="T150" i="10"/>
  <c r="AA150" i="10" s="1"/>
  <c r="AH150" i="10" s="1"/>
  <c r="AO150" i="10" s="1"/>
  <c r="T67" i="11"/>
  <c r="AA67" i="11" s="1"/>
  <c r="AH67" i="11" s="1"/>
  <c r="AO67" i="11" s="1"/>
  <c r="AV67" i="11"/>
  <c r="T204" i="11"/>
  <c r="AA204" i="11" s="1"/>
  <c r="AH204" i="11" s="1"/>
  <c r="AO204" i="11" s="1"/>
  <c r="AV204" i="11"/>
  <c r="AV211" i="11"/>
  <c r="T211" i="11"/>
  <c r="T102" i="10"/>
  <c r="AA102" i="10" s="1"/>
  <c r="AH102" i="10" s="1"/>
  <c r="AO102" i="10" s="1"/>
  <c r="AV92" i="11"/>
  <c r="T92" i="11"/>
  <c r="T202" i="10"/>
  <c r="AA202" i="10" s="1"/>
  <c r="AH202" i="10" s="1"/>
  <c r="AO202" i="10" s="1"/>
  <c r="AS8" i="10"/>
  <c r="AT8" i="10" s="1"/>
  <c r="AV107" i="11"/>
  <c r="T107" i="11"/>
  <c r="AA107" i="11" s="1"/>
  <c r="AH107" i="11" s="1"/>
  <c r="AO107" i="11" s="1"/>
  <c r="AV97" i="11"/>
  <c r="T97" i="11"/>
  <c r="AV54" i="11"/>
  <c r="T54" i="11"/>
  <c r="AA54" i="11" s="1"/>
  <c r="AH54" i="11" s="1"/>
  <c r="AO54" i="11" s="1"/>
  <c r="BA105" i="11"/>
  <c r="BB105" i="11" s="1"/>
  <c r="BA135" i="11"/>
  <c r="BB135" i="11" s="1"/>
  <c r="BA79" i="11"/>
  <c r="BB79" i="11" s="1"/>
  <c r="BA94" i="11"/>
  <c r="BB94" i="11" s="1"/>
  <c r="BA29" i="11"/>
  <c r="BB29" i="11" s="1"/>
  <c r="AS205" i="10"/>
  <c r="AT205" i="10" s="1"/>
  <c r="AS172" i="10"/>
  <c r="AT172" i="10" s="1"/>
  <c r="AS118" i="10"/>
  <c r="AT118" i="10" s="1"/>
  <c r="T74" i="10"/>
  <c r="AA74" i="10" s="1"/>
  <c r="AH74" i="10" s="1"/>
  <c r="AO74" i="10" s="1"/>
  <c r="T112" i="10"/>
  <c r="AA112" i="10" s="1"/>
  <c r="AH112" i="10" s="1"/>
  <c r="AO112" i="10" s="1"/>
  <c r="AS112" i="10"/>
  <c r="AT112" i="10" s="1"/>
  <c r="T39" i="11"/>
  <c r="AV39" i="11"/>
  <c r="T75" i="11"/>
  <c r="AA75" i="11" s="1"/>
  <c r="AH75" i="11" s="1"/>
  <c r="AO75" i="11" s="1"/>
  <c r="AV75" i="11"/>
  <c r="AV151" i="11"/>
  <c r="T151" i="11"/>
  <c r="T48" i="10"/>
  <c r="AA48" i="10" s="1"/>
  <c r="AH48" i="10" s="1"/>
  <c r="AO48" i="10" s="1"/>
  <c r="AS48" i="10"/>
  <c r="AT48" i="10" s="1"/>
  <c r="S123" i="10"/>
  <c r="Z123" i="10" s="1"/>
  <c r="AG123" i="10" s="1"/>
  <c r="AN123" i="10" s="1"/>
  <c r="AV138" i="11"/>
  <c r="T138" i="11"/>
  <c r="AA138" i="11" s="1"/>
  <c r="AH138" i="11" s="1"/>
  <c r="AO138" i="11" s="1"/>
  <c r="AS30" i="10"/>
  <c r="AT30" i="10" s="1"/>
  <c r="R25" i="10"/>
  <c r="Y25" i="10" s="1"/>
  <c r="AF25" i="10" s="1"/>
  <c r="AM25" i="10" s="1"/>
  <c r="R121" i="10"/>
  <c r="Y121" i="10" s="1"/>
  <c r="AF121" i="10" s="1"/>
  <c r="AM121" i="10" s="1"/>
  <c r="AS121" i="10"/>
  <c r="AT121" i="10" s="1"/>
  <c r="T154" i="10"/>
  <c r="AA154" i="10" s="1"/>
  <c r="AH154" i="10" s="1"/>
  <c r="AO154" i="10" s="1"/>
  <c r="AS154" i="10"/>
  <c r="AT154" i="10" s="1"/>
  <c r="T129" i="11"/>
  <c r="AA129" i="11" s="1"/>
  <c r="AH129" i="11" s="1"/>
  <c r="AO129" i="11" s="1"/>
  <c r="AV129" i="11"/>
  <c r="AS58" i="10"/>
  <c r="AT58" i="10" s="1"/>
  <c r="T7" i="11"/>
  <c r="AV7" i="11"/>
  <c r="AV96" i="11"/>
  <c r="T96" i="11"/>
  <c r="T171" i="11"/>
  <c r="AA171" i="11" s="1"/>
  <c r="AH171" i="11" s="1"/>
  <c r="AO171" i="11" s="1"/>
  <c r="AV171" i="11"/>
  <c r="T133" i="11"/>
  <c r="AV133" i="11"/>
  <c r="S125" i="10"/>
  <c r="Z125" i="10" s="1"/>
  <c r="AG125" i="10" s="1"/>
  <c r="AN125" i="10" s="1"/>
  <c r="AS125" i="10"/>
  <c r="AT125" i="10" s="1"/>
  <c r="S125" i="11"/>
  <c r="Z125" i="11" s="1"/>
  <c r="AG125" i="11" s="1"/>
  <c r="AN125" i="11" s="1"/>
  <c r="AU125" i="11"/>
  <c r="R168" i="11"/>
  <c r="Y168" i="11" s="1"/>
  <c r="AF168" i="11" s="1"/>
  <c r="AM168" i="11" s="1"/>
  <c r="AT168" i="11"/>
  <c r="AV34" i="11"/>
  <c r="T34" i="11"/>
  <c r="AA34" i="11" s="1"/>
  <c r="AH34" i="11" s="1"/>
  <c r="AO34" i="11" s="1"/>
  <c r="R145" i="10"/>
  <c r="Y145" i="10" s="1"/>
  <c r="AF145" i="10" s="1"/>
  <c r="AM145" i="10" s="1"/>
  <c r="AS145" i="10"/>
  <c r="AT145" i="10" s="1"/>
  <c r="S44" i="10"/>
  <c r="Z44" i="10" s="1"/>
  <c r="AG44" i="10" s="1"/>
  <c r="AN44" i="10" s="1"/>
  <c r="AU5" i="11"/>
  <c r="S5" i="11"/>
  <c r="Z5" i="11" s="1"/>
  <c r="AG5" i="11" s="1"/>
  <c r="AN5" i="11" s="1"/>
  <c r="AU116" i="11"/>
  <c r="S116" i="11"/>
  <c r="T32" i="10"/>
  <c r="AA32" i="10" s="1"/>
  <c r="AH32" i="10" s="1"/>
  <c r="AO32" i="10" s="1"/>
  <c r="AS32" i="10"/>
  <c r="AT32" i="10" s="1"/>
  <c r="AV186" i="11"/>
  <c r="T186" i="11"/>
  <c r="AA186" i="11" s="1"/>
  <c r="AH186" i="11" s="1"/>
  <c r="AO186" i="11" s="1"/>
  <c r="AS194" i="11"/>
  <c r="Q194" i="11"/>
  <c r="X194" i="11" s="1"/>
  <c r="AE194" i="11" s="1"/>
  <c r="AL194" i="11" s="1"/>
  <c r="BA194" i="11"/>
  <c r="BB194" i="11" s="1"/>
  <c r="AV150" i="11"/>
  <c r="T150" i="11"/>
  <c r="AA150" i="11" s="1"/>
  <c r="AH150" i="11" s="1"/>
  <c r="AO150" i="11" s="1"/>
  <c r="BA150" i="11"/>
  <c r="BB150" i="11" s="1"/>
  <c r="AV53" i="11"/>
  <c r="T53" i="11"/>
  <c r="AA53" i="11" s="1"/>
  <c r="AH53" i="11" s="1"/>
  <c r="AO53" i="11" s="1"/>
  <c r="BA53" i="11"/>
  <c r="BB53" i="11" s="1"/>
  <c r="T173" i="10"/>
  <c r="AA173" i="10" s="1"/>
  <c r="AH173" i="10" s="1"/>
  <c r="AO173" i="10" s="1"/>
  <c r="AS22" i="10"/>
  <c r="AT22" i="10" s="1"/>
  <c r="T100" i="11"/>
  <c r="AV100" i="11"/>
  <c r="AT83" i="11"/>
  <c r="R83" i="11"/>
  <c r="Y83" i="11" s="1"/>
  <c r="AF83" i="11" s="1"/>
  <c r="AM83" i="11" s="1"/>
  <c r="AS99" i="10"/>
  <c r="AT99" i="10" s="1"/>
  <c r="AV36" i="11"/>
  <c r="T36" i="11"/>
  <c r="AA36" i="11" s="1"/>
  <c r="AH36" i="11" s="1"/>
  <c r="AO36" i="11" s="1"/>
  <c r="AV178" i="11"/>
  <c r="T178" i="11"/>
  <c r="AA178" i="11" s="1"/>
  <c r="AH178" i="11" s="1"/>
  <c r="AO178" i="11" s="1"/>
  <c r="T82" i="10"/>
  <c r="AA82" i="10" s="1"/>
  <c r="AH82" i="10" s="1"/>
  <c r="AO82" i="10" s="1"/>
  <c r="AV155" i="11"/>
  <c r="T155" i="11"/>
  <c r="AA155" i="11" s="1"/>
  <c r="AH155" i="11" s="1"/>
  <c r="AO155" i="11" s="1"/>
  <c r="T15" i="11"/>
  <c r="AA15" i="11" s="1"/>
  <c r="AH15" i="11" s="1"/>
  <c r="AO15" i="11" s="1"/>
  <c r="AV15" i="11"/>
  <c r="R115" i="11"/>
  <c r="Y115" i="11" s="1"/>
  <c r="AF115" i="11" s="1"/>
  <c r="AM115" i="11" s="1"/>
  <c r="AT115" i="11"/>
  <c r="BA115" i="11"/>
  <c r="BB115" i="11" s="1"/>
  <c r="AT58" i="11"/>
  <c r="BA58" i="11"/>
  <c r="BB58" i="11" s="1"/>
  <c r="R58" i="11"/>
  <c r="Y58" i="11" s="1"/>
  <c r="AF58" i="11" s="1"/>
  <c r="AM58" i="11" s="1"/>
  <c r="T158" i="10"/>
  <c r="AA158" i="10" s="1"/>
  <c r="AH158" i="10" s="1"/>
  <c r="AO158" i="10" s="1"/>
  <c r="AV187" i="11"/>
  <c r="T187" i="11"/>
  <c r="AA187" i="11" s="1"/>
  <c r="AH187" i="11" s="1"/>
  <c r="AO187" i="11" s="1"/>
  <c r="T17" i="10"/>
  <c r="AA17" i="10" s="1"/>
  <c r="AH17" i="10" s="1"/>
  <c r="AO17" i="10" s="1"/>
  <c r="BA186" i="11"/>
  <c r="BB186" i="11" s="1"/>
  <c r="BA184" i="11"/>
  <c r="BB184" i="11" s="1"/>
  <c r="BA111" i="11"/>
  <c r="BB111" i="11" s="1"/>
  <c r="BA101" i="11"/>
  <c r="BB101" i="11" s="1"/>
  <c r="BA200" i="11"/>
  <c r="BB200" i="11" s="1"/>
  <c r="BA181" i="11"/>
  <c r="BB181" i="11" s="1"/>
  <c r="BA140" i="11"/>
  <c r="BB140" i="11" s="1"/>
  <c r="BA144" i="11"/>
  <c r="BB144" i="11" s="1"/>
  <c r="BA120" i="11"/>
  <c r="BB120" i="11" s="1"/>
  <c r="BA43" i="11"/>
  <c r="BB43" i="11" s="1"/>
  <c r="BA54" i="11"/>
  <c r="BB54" i="11" s="1"/>
  <c r="BA75" i="11"/>
  <c r="BB75" i="11" s="1"/>
  <c r="BA52" i="11"/>
  <c r="BB52" i="11" s="1"/>
  <c r="BA82" i="11"/>
  <c r="BB82" i="11" s="1"/>
  <c r="AS210" i="10"/>
  <c r="AT210" i="10" s="1"/>
  <c r="AS180" i="10"/>
  <c r="AT180" i="10" s="1"/>
  <c r="AS201" i="10"/>
  <c r="AT201" i="10" s="1"/>
  <c r="AS184" i="10"/>
  <c r="AT184" i="10" s="1"/>
  <c r="AS167" i="10"/>
  <c r="AT167" i="10" s="1"/>
  <c r="AS143" i="10"/>
  <c r="AT143" i="10" s="1"/>
  <c r="AS122" i="10"/>
  <c r="AT122" i="10" s="1"/>
  <c r="AS108" i="10"/>
  <c r="AT108" i="10" s="1"/>
  <c r="AS101" i="10"/>
  <c r="AT101" i="10" s="1"/>
  <c r="AS138" i="10"/>
  <c r="AT138" i="10" s="1"/>
  <c r="AS72" i="10"/>
  <c r="AT72" i="10" s="1"/>
  <c r="AS107" i="10"/>
  <c r="AT107" i="10" s="1"/>
  <c r="AS87" i="10"/>
  <c r="AT87" i="10" s="1"/>
  <c r="AS73" i="10"/>
  <c r="AT73" i="10" s="1"/>
  <c r="T135" i="10"/>
  <c r="AA135" i="10" s="1"/>
  <c r="AH135" i="10" s="1"/>
  <c r="AO135" i="10" s="1"/>
  <c r="T46" i="11"/>
  <c r="AA46" i="11" s="1"/>
  <c r="AH46" i="11" s="1"/>
  <c r="AO46" i="11" s="1"/>
  <c r="AV46" i="11"/>
  <c r="T43" i="11"/>
  <c r="AA43" i="11" s="1"/>
  <c r="AH43" i="11" s="1"/>
  <c r="AO43" i="11" s="1"/>
  <c r="AV43" i="11"/>
  <c r="AV117" i="11"/>
  <c r="T117" i="11"/>
  <c r="AA117" i="11" s="1"/>
  <c r="AH117" i="11" s="1"/>
  <c r="AO117" i="11" s="1"/>
  <c r="AV142" i="11"/>
  <c r="T142" i="11"/>
  <c r="AA142" i="11" s="1"/>
  <c r="AH142" i="11" s="1"/>
  <c r="AO142" i="11" s="1"/>
  <c r="R189" i="10"/>
  <c r="Y189" i="10" s="1"/>
  <c r="AF189" i="10" s="1"/>
  <c r="AM189" i="10" s="1"/>
  <c r="AS189" i="10"/>
  <c r="AT189" i="10" s="1"/>
  <c r="T70" i="10"/>
  <c r="AA70" i="10" s="1"/>
  <c r="AH70" i="10" s="1"/>
  <c r="AO70" i="10" s="1"/>
  <c r="AS70" i="10"/>
  <c r="AT70" i="10" s="1"/>
  <c r="T41" i="10"/>
  <c r="AA41" i="10" s="1"/>
  <c r="AH41" i="10" s="1"/>
  <c r="AO41" i="10" s="1"/>
  <c r="AV166" i="11"/>
  <c r="T166" i="11"/>
  <c r="AA166" i="11" s="1"/>
  <c r="AH166" i="11" s="1"/>
  <c r="AO166" i="11" s="1"/>
  <c r="T24" i="10"/>
  <c r="AA24" i="10" s="1"/>
  <c r="AH24" i="10" s="1"/>
  <c r="AO24" i="10" s="1"/>
  <c r="AS24" i="10"/>
  <c r="AT24" i="10" s="1"/>
  <c r="R121" i="11"/>
  <c r="Y121" i="11" s="1"/>
  <c r="AF121" i="11" s="1"/>
  <c r="AM121" i="11" s="1"/>
  <c r="AT121" i="11"/>
  <c r="AV47" i="11"/>
  <c r="T47" i="11"/>
  <c r="T147" i="11"/>
  <c r="AV147" i="11"/>
  <c r="AS42" i="10"/>
  <c r="AT42" i="10" s="1"/>
  <c r="T13" i="11"/>
  <c r="AA13" i="11" s="1"/>
  <c r="AH13" i="11" s="1"/>
  <c r="AO13" i="11" s="1"/>
  <c r="AV13" i="11"/>
  <c r="T106" i="11"/>
  <c r="AV106" i="11"/>
  <c r="S127" i="11"/>
  <c r="Z127" i="11" s="1"/>
  <c r="AG127" i="11" s="1"/>
  <c r="AN127" i="11" s="1"/>
  <c r="AU127" i="11"/>
  <c r="R115" i="10"/>
  <c r="Y115" i="10" s="1"/>
  <c r="AF115" i="10" s="1"/>
  <c r="AM115" i="10" s="1"/>
  <c r="AS195" i="10"/>
  <c r="AT195" i="10" s="1"/>
  <c r="Q195" i="10"/>
  <c r="X195" i="10" s="1"/>
  <c r="AE195" i="10" s="1"/>
  <c r="AL195" i="10" s="1"/>
  <c r="R165" i="10"/>
  <c r="Y165" i="10" s="1"/>
  <c r="AF165" i="10" s="1"/>
  <c r="AM165" i="10" s="1"/>
  <c r="AS165" i="10"/>
  <c r="AT165" i="10" s="1"/>
  <c r="AT33" i="11"/>
  <c r="R33" i="11"/>
  <c r="Y33" i="11" s="1"/>
  <c r="AF33" i="11" s="1"/>
  <c r="AM33" i="11" s="1"/>
  <c r="S111" i="10"/>
  <c r="Z111" i="10" s="1"/>
  <c r="AG111" i="10" s="1"/>
  <c r="AN111" i="10" s="1"/>
  <c r="S9" i="11"/>
  <c r="Z9" i="11" s="1"/>
  <c r="AG9" i="11" s="1"/>
  <c r="AN9" i="11" s="1"/>
  <c r="AU9" i="11"/>
  <c r="AU146" i="11"/>
  <c r="S146" i="11"/>
  <c r="AV32" i="11"/>
  <c r="T32" i="11"/>
  <c r="AV185" i="11"/>
  <c r="T185" i="11"/>
  <c r="AA185" i="11" s="1"/>
  <c r="AH185" i="11" s="1"/>
  <c r="AO185" i="11" s="1"/>
  <c r="AS26" i="10"/>
  <c r="AT26" i="10" s="1"/>
  <c r="T86" i="10"/>
  <c r="AA86" i="10" s="1"/>
  <c r="AH86" i="10" s="1"/>
  <c r="AO86" i="10" s="1"/>
  <c r="AS86" i="10"/>
  <c r="AT86" i="10" s="1"/>
  <c r="T30" i="11"/>
  <c r="AA30" i="11" s="1"/>
  <c r="AH30" i="11" s="1"/>
  <c r="AO30" i="11" s="1"/>
  <c r="AV30" i="11"/>
  <c r="T51" i="11"/>
  <c r="AA51" i="11" s="1"/>
  <c r="AH51" i="11" s="1"/>
  <c r="AO51" i="11" s="1"/>
  <c r="AV51" i="11"/>
  <c r="T211" i="10"/>
  <c r="AA211" i="10" s="1"/>
  <c r="AH211" i="10" s="1"/>
  <c r="AO211" i="10" s="1"/>
  <c r="AS211" i="10"/>
  <c r="AT211" i="10" s="1"/>
  <c r="AV8" i="11"/>
  <c r="T8" i="11"/>
  <c r="T93" i="11"/>
  <c r="AA93" i="11" s="1"/>
  <c r="AH93" i="11" s="1"/>
  <c r="AO93" i="11" s="1"/>
  <c r="AV93" i="11"/>
  <c r="T49" i="10"/>
  <c r="AA49" i="10" s="1"/>
  <c r="AH49" i="10" s="1"/>
  <c r="AO49" i="10" s="1"/>
  <c r="AU124" i="11"/>
  <c r="S124" i="11"/>
  <c r="AS7" i="10"/>
  <c r="AT7" i="10" s="1"/>
  <c r="AU199" i="11"/>
  <c r="S199" i="11"/>
  <c r="Z199" i="11" s="1"/>
  <c r="AG199" i="11" s="1"/>
  <c r="AN199" i="11" s="1"/>
  <c r="AS4" i="10"/>
  <c r="AT4" i="10" s="1"/>
  <c r="T85" i="11"/>
  <c r="AA85" i="11" s="1"/>
  <c r="AH85" i="11" s="1"/>
  <c r="AO85" i="11" s="1"/>
  <c r="AV85" i="11"/>
  <c r="AV192" i="11"/>
  <c r="T192" i="11"/>
  <c r="BA171" i="11"/>
  <c r="BB171" i="11" s="1"/>
  <c r="BA166" i="11"/>
  <c r="BB166" i="11" s="1"/>
  <c r="BA163" i="11"/>
  <c r="BB163" i="11" s="1"/>
  <c r="BA138" i="11"/>
  <c r="BB138" i="11" s="1"/>
  <c r="BA156" i="11"/>
  <c r="BB156" i="11" s="1"/>
  <c r="BA122" i="11"/>
  <c r="BB122" i="11" s="1"/>
  <c r="BA84" i="11"/>
  <c r="BB84" i="11" s="1"/>
  <c r="BA72" i="11"/>
  <c r="BB72" i="11" s="1"/>
  <c r="BA71" i="11"/>
  <c r="BB71" i="11" s="1"/>
  <c r="BA38" i="11"/>
  <c r="BB38" i="11" s="1"/>
  <c r="BA24" i="11"/>
  <c r="BB24" i="11" s="1"/>
  <c r="BA33" i="11"/>
  <c r="BB33" i="11" s="1"/>
  <c r="BA6" i="11"/>
  <c r="BB6" i="11" s="1"/>
  <c r="AS193" i="10"/>
  <c r="AT193" i="10" s="1"/>
  <c r="AS196" i="10"/>
  <c r="AT196" i="10" s="1"/>
  <c r="AS155" i="10"/>
  <c r="AT155" i="10" s="1"/>
  <c r="AS91" i="10"/>
  <c r="AT91" i="10" s="1"/>
  <c r="AS43" i="10"/>
  <c r="AT43" i="10" s="1"/>
  <c r="AS3" i="10"/>
  <c r="AT3" i="10" s="1"/>
  <c r="T3" i="10"/>
  <c r="AA3" i="10" s="1"/>
  <c r="AH3" i="10" s="1"/>
  <c r="AO3" i="10" s="1"/>
  <c r="AV38" i="11"/>
  <c r="T38" i="11"/>
  <c r="AA38" i="11" s="1"/>
  <c r="AH38" i="11" s="1"/>
  <c r="AO38" i="11" s="1"/>
  <c r="T28" i="11"/>
  <c r="AV28" i="11"/>
  <c r="T112" i="11"/>
  <c r="AV112" i="11"/>
  <c r="AV205" i="11"/>
  <c r="T205" i="11"/>
  <c r="AT189" i="11"/>
  <c r="R189" i="11"/>
  <c r="AV10" i="11"/>
  <c r="T10" i="11"/>
  <c r="AA10" i="11" s="1"/>
  <c r="AH10" i="11" s="1"/>
  <c r="AO10" i="11" s="1"/>
  <c r="BA10" i="11"/>
  <c r="BB10" i="11" s="1"/>
  <c r="T179" i="11"/>
  <c r="AA179" i="11" s="1"/>
  <c r="AH179" i="11" s="1"/>
  <c r="AO179" i="11" s="1"/>
  <c r="BA179" i="11"/>
  <c r="BB179" i="11" s="1"/>
  <c r="AV179" i="11"/>
  <c r="R25" i="11"/>
  <c r="Y25" i="11" s="1"/>
  <c r="AF25" i="11" s="1"/>
  <c r="AM25" i="11" s="1"/>
  <c r="AT25" i="11"/>
  <c r="T182" i="10"/>
  <c r="AA182" i="10" s="1"/>
  <c r="AH182" i="10" s="1"/>
  <c r="AO182" i="10" s="1"/>
  <c r="T154" i="11"/>
  <c r="AV154" i="11"/>
  <c r="T17" i="11"/>
  <c r="AV17" i="11"/>
  <c r="AV105" i="11"/>
  <c r="T105" i="11"/>
  <c r="AA105" i="11" s="1"/>
  <c r="AH105" i="11" s="1"/>
  <c r="AO105" i="11" s="1"/>
  <c r="S61" i="10"/>
  <c r="Z61" i="10" s="1"/>
  <c r="AG61" i="10" s="1"/>
  <c r="AN61" i="10" s="1"/>
  <c r="AS61" i="10"/>
  <c r="AT61" i="10" s="1"/>
  <c r="AU61" i="11"/>
  <c r="S61" i="11"/>
  <c r="AS54" i="10"/>
  <c r="AT54" i="10" s="1"/>
  <c r="R60" i="10"/>
  <c r="Y60" i="10" s="1"/>
  <c r="AF60" i="10" s="1"/>
  <c r="AM60" i="10" s="1"/>
  <c r="AT145" i="11"/>
  <c r="R145" i="11"/>
  <c r="Y145" i="11" s="1"/>
  <c r="AF145" i="11" s="1"/>
  <c r="AM145" i="11" s="1"/>
  <c r="BA145" i="11"/>
  <c r="BB145" i="11" s="1"/>
  <c r="R110" i="11"/>
  <c r="Y110" i="11" s="1"/>
  <c r="AF110" i="11" s="1"/>
  <c r="AM110" i="11" s="1"/>
  <c r="AT110" i="11"/>
  <c r="S21" i="11"/>
  <c r="AU21" i="11"/>
  <c r="AS16" i="10"/>
  <c r="AT16" i="10" s="1"/>
  <c r="T158" i="11"/>
  <c r="AV158" i="11"/>
  <c r="T185" i="10"/>
  <c r="AA185" i="10" s="1"/>
  <c r="AH185" i="10" s="1"/>
  <c r="AO185" i="10" s="1"/>
  <c r="AS185" i="10"/>
  <c r="AT185" i="10" s="1"/>
  <c r="Q137" i="10"/>
  <c r="X137" i="10" s="1"/>
  <c r="AE137" i="10" s="1"/>
  <c r="AL137" i="10" s="1"/>
  <c r="AV86" i="11"/>
  <c r="T86" i="11"/>
  <c r="AA86" i="11" s="1"/>
  <c r="AH86" i="11" s="1"/>
  <c r="AO86" i="11" s="1"/>
  <c r="AV132" i="11"/>
  <c r="T132" i="11"/>
  <c r="AA132" i="11" s="1"/>
  <c r="AH132" i="11" s="1"/>
  <c r="AO132" i="11" s="1"/>
  <c r="AV193" i="11"/>
  <c r="T193" i="11"/>
  <c r="T66" i="11"/>
  <c r="AA66" i="11" s="1"/>
  <c r="AH66" i="11" s="1"/>
  <c r="AO66" i="11" s="1"/>
  <c r="AV66" i="11"/>
  <c r="AV84" i="11"/>
  <c r="T84" i="11"/>
  <c r="AA84" i="11" s="1"/>
  <c r="AH84" i="11" s="1"/>
  <c r="AO84" i="11" s="1"/>
  <c r="T91" i="11"/>
  <c r="AV91" i="11"/>
  <c r="AV201" i="11"/>
  <c r="T201" i="11"/>
  <c r="AV49" i="11"/>
  <c r="T49" i="11"/>
  <c r="S198" i="11"/>
  <c r="AU198" i="11"/>
  <c r="T117" i="10"/>
  <c r="AA117" i="10" s="1"/>
  <c r="AH117" i="10" s="1"/>
  <c r="AO117" i="10" s="1"/>
  <c r="AS117" i="10"/>
  <c r="AT117" i="10" s="1"/>
  <c r="T152" i="11"/>
  <c r="AA152" i="11" s="1"/>
  <c r="AH152" i="11" s="1"/>
  <c r="AO152" i="11" s="1"/>
  <c r="AV152" i="11"/>
  <c r="T98" i="10"/>
  <c r="AA98" i="10" s="1"/>
  <c r="AH98" i="10" s="1"/>
  <c r="AO98" i="10" s="1"/>
  <c r="AS98" i="10"/>
  <c r="AT98" i="10" s="1"/>
  <c r="T35" i="11"/>
  <c r="AA35" i="11" s="1"/>
  <c r="AH35" i="11" s="1"/>
  <c r="AO35" i="11" s="1"/>
  <c r="AV35" i="11"/>
  <c r="S113" i="10"/>
  <c r="Z113" i="10" s="1"/>
  <c r="AG113" i="10" s="1"/>
  <c r="AN113" i="10" s="1"/>
  <c r="AS113" i="10"/>
  <c r="AT113" i="10" s="1"/>
  <c r="AV65" i="11"/>
  <c r="T65" i="11"/>
  <c r="AA65" i="11" s="1"/>
  <c r="AH65" i="11" s="1"/>
  <c r="AO65" i="11" s="1"/>
  <c r="BA118" i="11"/>
  <c r="BB118" i="11" s="1"/>
  <c r="BA89" i="11"/>
  <c r="BB89" i="11" s="1"/>
  <c r="BA15" i="11"/>
  <c r="BB15" i="11" s="1"/>
  <c r="AS134" i="10"/>
  <c r="AT134" i="10" s="1"/>
  <c r="AS130" i="10"/>
  <c r="AT130" i="10" s="1"/>
  <c r="AS103" i="10"/>
  <c r="AT103" i="10" s="1"/>
  <c r="T28" i="10"/>
  <c r="AA28" i="10" s="1"/>
  <c r="AH28" i="10" s="1"/>
  <c r="AO28" i="10" s="1"/>
  <c r="AS28" i="10"/>
  <c r="AT28" i="10" s="1"/>
  <c r="T178" i="10"/>
  <c r="AA178" i="10" s="1"/>
  <c r="AH178" i="10" s="1"/>
  <c r="AO178" i="10" s="1"/>
  <c r="AV40" i="11"/>
  <c r="T40" i="11"/>
  <c r="AA40" i="11" s="1"/>
  <c r="AH40" i="11" s="1"/>
  <c r="AO40" i="11" s="1"/>
  <c r="AV76" i="11"/>
  <c r="T76" i="11"/>
  <c r="AA76" i="11" s="1"/>
  <c r="AH76" i="11" s="1"/>
  <c r="AO76" i="11" s="1"/>
  <c r="T119" i="11"/>
  <c r="AV119" i="11"/>
  <c r="T208" i="11"/>
  <c r="AA208" i="11" s="1"/>
  <c r="AH208" i="11" s="1"/>
  <c r="AO208" i="11" s="1"/>
  <c r="AV208" i="11"/>
  <c r="T78" i="10"/>
  <c r="AA78" i="10" s="1"/>
  <c r="AH78" i="10" s="1"/>
  <c r="AO78" i="10" s="1"/>
  <c r="AS78" i="10"/>
  <c r="AT78" i="10" s="1"/>
  <c r="T48" i="11"/>
  <c r="AV48" i="11"/>
  <c r="S123" i="11"/>
  <c r="Z123" i="11" s="1"/>
  <c r="AG123" i="11" s="1"/>
  <c r="AN123" i="11" s="1"/>
  <c r="AU123" i="11"/>
  <c r="T41" i="11"/>
  <c r="AV41" i="11"/>
  <c r="T180" i="11"/>
  <c r="AV180" i="11"/>
  <c r="AS14" i="10"/>
  <c r="AT14" i="10" s="1"/>
  <c r="AT27" i="11"/>
  <c r="R27" i="11"/>
  <c r="Y27" i="11" s="1"/>
  <c r="AF27" i="11" s="1"/>
  <c r="AM27" i="11" s="1"/>
  <c r="S191" i="11"/>
  <c r="AU191" i="11"/>
  <c r="AV176" i="11"/>
  <c r="T176" i="11"/>
  <c r="AV14" i="11"/>
  <c r="T14" i="11"/>
  <c r="AA14" i="11" s="1"/>
  <c r="AH14" i="11" s="1"/>
  <c r="AO14" i="11" s="1"/>
  <c r="AV161" i="11"/>
  <c r="T161" i="11"/>
  <c r="S62" i="11"/>
  <c r="Z62" i="11" s="1"/>
  <c r="AG62" i="11" s="1"/>
  <c r="AN62" i="11" s="1"/>
  <c r="AU62" i="11"/>
  <c r="AS50" i="10"/>
  <c r="AT50" i="10" s="1"/>
  <c r="R190" i="10"/>
  <c r="Y190" i="10" s="1"/>
  <c r="AF190" i="10" s="1"/>
  <c r="AM190" i="10" s="1"/>
  <c r="AS190" i="10"/>
  <c r="AT190" i="10" s="1"/>
  <c r="AS34" i="10"/>
  <c r="AT34" i="10" s="1"/>
  <c r="AV159" i="11"/>
  <c r="T159" i="11"/>
  <c r="R165" i="11"/>
  <c r="Y165" i="11" s="1"/>
  <c r="AF165" i="11" s="1"/>
  <c r="AM165" i="11" s="1"/>
  <c r="AT165" i="11"/>
  <c r="AT164" i="11"/>
  <c r="R164" i="11"/>
  <c r="S146" i="10"/>
  <c r="Z146" i="10" s="1"/>
  <c r="AG146" i="10" s="1"/>
  <c r="AN146" i="10" s="1"/>
  <c r="S44" i="11"/>
  <c r="Z44" i="11" s="1"/>
  <c r="AG44" i="11" s="1"/>
  <c r="AN44" i="11" s="1"/>
  <c r="AU44" i="11"/>
  <c r="BA44" i="11"/>
  <c r="BB44" i="11" s="1"/>
  <c r="T186" i="10"/>
  <c r="AA186" i="10" s="1"/>
  <c r="AH186" i="10" s="1"/>
  <c r="AO186" i="10" s="1"/>
  <c r="AS186" i="10"/>
  <c r="AT186" i="10" s="1"/>
  <c r="Q170" i="10"/>
  <c r="X170" i="10" s="1"/>
  <c r="AE170" i="10" s="1"/>
  <c r="AL170" i="10" s="1"/>
  <c r="AS170" i="10"/>
  <c r="AT170" i="10" s="1"/>
  <c r="AV103" i="11"/>
  <c r="T103" i="11"/>
  <c r="AA103" i="11" s="1"/>
  <c r="AH103" i="11" s="1"/>
  <c r="AO103" i="11" s="1"/>
  <c r="AV148" i="11"/>
  <c r="T148" i="11"/>
  <c r="T66" i="10"/>
  <c r="AA66" i="10" s="1"/>
  <c r="AH66" i="10" s="1"/>
  <c r="AO66" i="10" s="1"/>
  <c r="AS66" i="10"/>
  <c r="AT66" i="10" s="1"/>
  <c r="T131" i="11"/>
  <c r="AA131" i="11" s="1"/>
  <c r="AH131" i="11" s="1"/>
  <c r="AO131" i="11" s="1"/>
  <c r="AV131" i="11"/>
  <c r="AV31" i="11"/>
  <c r="T31" i="11"/>
  <c r="AA31" i="11" s="1"/>
  <c r="AH31" i="11" s="1"/>
  <c r="AO31" i="11" s="1"/>
  <c r="AV95" i="11"/>
  <c r="T95" i="11"/>
  <c r="AA95" i="11" s="1"/>
  <c r="AH95" i="11" s="1"/>
  <c r="AO95" i="11" s="1"/>
  <c r="T202" i="11"/>
  <c r="AV202" i="11"/>
  <c r="AV167" i="11"/>
  <c r="T167" i="11"/>
  <c r="S200" i="11"/>
  <c r="Z200" i="11" s="1"/>
  <c r="AG200" i="11" s="1"/>
  <c r="AN200" i="11" s="1"/>
  <c r="AU200" i="11"/>
  <c r="AS23" i="10"/>
  <c r="AT23" i="10" s="1"/>
  <c r="AA148" i="11" l="1"/>
  <c r="AH148" i="11" s="1"/>
  <c r="AO148" i="11" s="1"/>
  <c r="AA28" i="11"/>
  <c r="AH28" i="11" s="1"/>
  <c r="AO28" i="11" s="1"/>
  <c r="BA125" i="11"/>
  <c r="BB125" i="11" s="1"/>
  <c r="AA192" i="11"/>
  <c r="AH192" i="11" s="1"/>
  <c r="AO192" i="11" s="1"/>
  <c r="Z124" i="11"/>
  <c r="AG124" i="11" s="1"/>
  <c r="AN124" i="11" s="1"/>
  <c r="AA133" i="11"/>
  <c r="AH133" i="11" s="1"/>
  <c r="AO133" i="11" s="1"/>
  <c r="BA133" i="11"/>
  <c r="BB133" i="11" s="1"/>
  <c r="BA117" i="11"/>
  <c r="BB117" i="11" s="1"/>
  <c r="AA97" i="11"/>
  <c r="AH97" i="11" s="1"/>
  <c r="AO97" i="11" s="1"/>
  <c r="AA207" i="11"/>
  <c r="AH207" i="11" s="1"/>
  <c r="AO207" i="11" s="1"/>
  <c r="BA207" i="11"/>
  <c r="BB207" i="11" s="1"/>
  <c r="AA45" i="11"/>
  <c r="AH45" i="11" s="1"/>
  <c r="AO45" i="11" s="1"/>
  <c r="BA45" i="11"/>
  <c r="BB45" i="11" s="1"/>
  <c r="BA67" i="11"/>
  <c r="BB67" i="11" s="1"/>
  <c r="AA74" i="11"/>
  <c r="AH74" i="11" s="1"/>
  <c r="AO74" i="11" s="1"/>
  <c r="BA74" i="11"/>
  <c r="BB74" i="11" s="1"/>
  <c r="BA129" i="11"/>
  <c r="BB129" i="11" s="1"/>
  <c r="BA204" i="11"/>
  <c r="BB204" i="11" s="1"/>
  <c r="BA107" i="11"/>
  <c r="BB107" i="11" s="1"/>
  <c r="AA39" i="11"/>
  <c r="AH39" i="11" s="1"/>
  <c r="AO39" i="11" s="1"/>
  <c r="BA39" i="11"/>
  <c r="BB39" i="11" s="1"/>
  <c r="BA110" i="11"/>
  <c r="BB110" i="11" s="1"/>
  <c r="Y164" i="11"/>
  <c r="AF164" i="11" s="1"/>
  <c r="AM164" i="11" s="1"/>
  <c r="BA164" i="11"/>
  <c r="BB164" i="11" s="1"/>
  <c r="AA176" i="11"/>
  <c r="AH176" i="11" s="1"/>
  <c r="AO176" i="11" s="1"/>
  <c r="AA180" i="11"/>
  <c r="AH180" i="11" s="1"/>
  <c r="AO180" i="11" s="1"/>
  <c r="Z198" i="11"/>
  <c r="AG198" i="11" s="1"/>
  <c r="AN198" i="11" s="1"/>
  <c r="BA198" i="11"/>
  <c r="BB198" i="11" s="1"/>
  <c r="AS60" i="10"/>
  <c r="AT60" i="10" s="1"/>
  <c r="BA25" i="11"/>
  <c r="BB25" i="11" s="1"/>
  <c r="Y189" i="11"/>
  <c r="AF189" i="11" s="1"/>
  <c r="AM189" i="11" s="1"/>
  <c r="AS111" i="10"/>
  <c r="AT111" i="10" s="1"/>
  <c r="AS115" i="10"/>
  <c r="AT115" i="10" s="1"/>
  <c r="AS173" i="10"/>
  <c r="AT173" i="10" s="1"/>
  <c r="AS102" i="10"/>
  <c r="AT102" i="10" s="1"/>
  <c r="AS150" i="10"/>
  <c r="AT150" i="10" s="1"/>
  <c r="AA57" i="11"/>
  <c r="AH57" i="11" s="1"/>
  <c r="AO57" i="11" s="1"/>
  <c r="BA57" i="11"/>
  <c r="BB57" i="11" s="1"/>
  <c r="Z139" i="11"/>
  <c r="AG139" i="11" s="1"/>
  <c r="AN139" i="11" s="1"/>
  <c r="BA139" i="11"/>
  <c r="BB139" i="11" s="1"/>
  <c r="Z126" i="11"/>
  <c r="AG126" i="11" s="1"/>
  <c r="AN126" i="11" s="1"/>
  <c r="BA126" i="11"/>
  <c r="BB126" i="11" s="1"/>
  <c r="AA81" i="11"/>
  <c r="AH81" i="11" s="1"/>
  <c r="AO81" i="11" s="1"/>
  <c r="BA9" i="11"/>
  <c r="BB9" i="11" s="1"/>
  <c r="BA69" i="11"/>
  <c r="BB69" i="11" s="1"/>
  <c r="Z175" i="11"/>
  <c r="AG175" i="11" s="1"/>
  <c r="AN175" i="11" s="1"/>
  <c r="BA175" i="11"/>
  <c r="BB175" i="11" s="1"/>
  <c r="BA4" i="11"/>
  <c r="BB4" i="11" s="1"/>
  <c r="BA127" i="11"/>
  <c r="BB127" i="11" s="1"/>
  <c r="BA208" i="11"/>
  <c r="BB208" i="11" s="1"/>
  <c r="BA59" i="11"/>
  <c r="BB59" i="11" s="1"/>
  <c r="BA65" i="11"/>
  <c r="BB65" i="11" s="1"/>
  <c r="AA68" i="11"/>
  <c r="AH68" i="11" s="1"/>
  <c r="AO68" i="11" s="1"/>
  <c r="AA37" i="11"/>
  <c r="AH37" i="11" s="1"/>
  <c r="AO37" i="11" s="1"/>
  <c r="AA161" i="11"/>
  <c r="AH161" i="11" s="1"/>
  <c r="AO161" i="11" s="1"/>
  <c r="BA161" i="11"/>
  <c r="BB161" i="11" s="1"/>
  <c r="AA119" i="11"/>
  <c r="AH119" i="11" s="1"/>
  <c r="AO119" i="11" s="1"/>
  <c r="BA119" i="11"/>
  <c r="BB119" i="11" s="1"/>
  <c r="AA202" i="11"/>
  <c r="AH202" i="11" s="1"/>
  <c r="AO202" i="11" s="1"/>
  <c r="AA49" i="11"/>
  <c r="AH49" i="11" s="1"/>
  <c r="AO49" i="11" s="1"/>
  <c r="Z21" i="11"/>
  <c r="AG21" i="11" s="1"/>
  <c r="AN21" i="11" s="1"/>
  <c r="BA21" i="11"/>
  <c r="BB21" i="11" s="1"/>
  <c r="BA78" i="11"/>
  <c r="BB78" i="11" s="1"/>
  <c r="BA178" i="11"/>
  <c r="BB178" i="11" s="1"/>
  <c r="BA83" i="11"/>
  <c r="BB83" i="11" s="1"/>
  <c r="BA168" i="11"/>
  <c r="BB168" i="11" s="1"/>
  <c r="Z141" i="11"/>
  <c r="AG141" i="11" s="1"/>
  <c r="AN141" i="11" s="1"/>
  <c r="Y169" i="11"/>
  <c r="AF169" i="11" s="1"/>
  <c r="AM169" i="11" s="1"/>
  <c r="BA169" i="11"/>
  <c r="BB169" i="11" s="1"/>
  <c r="AA177" i="11"/>
  <c r="AH177" i="11" s="1"/>
  <c r="AO177" i="11" s="1"/>
  <c r="BA177" i="11"/>
  <c r="BB177" i="11" s="1"/>
  <c r="AA157" i="11"/>
  <c r="AH157" i="11" s="1"/>
  <c r="AO157" i="11" s="1"/>
  <c r="BA137" i="11"/>
  <c r="BB137" i="11" s="1"/>
  <c r="AA104" i="11"/>
  <c r="AH104" i="11" s="1"/>
  <c r="AO104" i="11" s="1"/>
  <c r="BA104" i="11"/>
  <c r="BB104" i="11" s="1"/>
  <c r="AA98" i="11"/>
  <c r="AH98" i="11" s="1"/>
  <c r="AO98" i="11" s="1"/>
  <c r="AS206" i="10"/>
  <c r="AT206" i="10" s="1"/>
  <c r="BA23" i="11"/>
  <c r="BB23" i="11" s="1"/>
  <c r="BA51" i="11"/>
  <c r="BB51" i="11" s="1"/>
  <c r="AS29" i="10"/>
  <c r="AT29" i="10" s="1"/>
  <c r="AA70" i="11"/>
  <c r="AH70" i="11" s="1"/>
  <c r="AO70" i="11" s="1"/>
  <c r="BA70" i="11"/>
  <c r="BB70" i="11" s="1"/>
  <c r="AA42" i="11"/>
  <c r="AH42" i="11" s="1"/>
  <c r="AO42" i="11" s="1"/>
  <c r="BA5" i="11"/>
  <c r="BB5" i="11" s="1"/>
  <c r="BA199" i="11"/>
  <c r="BB199" i="11" s="1"/>
  <c r="Z191" i="11"/>
  <c r="AG191" i="11" s="1"/>
  <c r="AN191" i="11" s="1"/>
  <c r="BA191" i="11"/>
  <c r="BB191" i="11" s="1"/>
  <c r="AA201" i="11"/>
  <c r="AH201" i="11" s="1"/>
  <c r="AO201" i="11" s="1"/>
  <c r="BA201" i="11"/>
  <c r="BB201" i="11" s="1"/>
  <c r="BA95" i="11"/>
  <c r="BB95" i="11" s="1"/>
  <c r="AA41" i="11"/>
  <c r="AH41" i="11" s="1"/>
  <c r="AO41" i="11" s="1"/>
  <c r="BA41" i="11"/>
  <c r="BB41" i="11" s="1"/>
  <c r="AS178" i="10"/>
  <c r="AT178" i="10" s="1"/>
  <c r="AS137" i="10"/>
  <c r="AT137" i="10" s="1"/>
  <c r="AA17" i="11"/>
  <c r="AH17" i="11" s="1"/>
  <c r="AO17" i="11" s="1"/>
  <c r="AA205" i="11"/>
  <c r="AH205" i="11" s="1"/>
  <c r="AO205" i="11" s="1"/>
  <c r="BA205" i="11"/>
  <c r="BB205" i="11" s="1"/>
  <c r="BA13" i="11"/>
  <c r="BB13" i="11" s="1"/>
  <c r="BA86" i="11"/>
  <c r="BB86" i="11" s="1"/>
  <c r="AS49" i="10"/>
  <c r="AT49" i="10" s="1"/>
  <c r="AA32" i="11"/>
  <c r="AH32" i="11" s="1"/>
  <c r="AO32" i="11" s="1"/>
  <c r="BA32" i="11"/>
  <c r="BB32" i="11" s="1"/>
  <c r="AA147" i="11"/>
  <c r="AH147" i="11" s="1"/>
  <c r="AO147" i="11" s="1"/>
  <c r="BA147" i="11"/>
  <c r="BB147" i="11" s="1"/>
  <c r="AS135" i="10"/>
  <c r="AT135" i="10" s="1"/>
  <c r="AS17" i="10"/>
  <c r="AT17" i="10" s="1"/>
  <c r="AS82" i="10"/>
  <c r="AT82" i="10" s="1"/>
  <c r="AS44" i="10"/>
  <c r="AT44" i="10" s="1"/>
  <c r="AA96" i="11"/>
  <c r="AH96" i="11" s="1"/>
  <c r="AO96" i="11" s="1"/>
  <c r="BA96" i="11"/>
  <c r="BB96" i="11" s="1"/>
  <c r="AS123" i="10"/>
  <c r="AT123" i="10" s="1"/>
  <c r="BA185" i="11"/>
  <c r="BB185" i="11" s="1"/>
  <c r="AA211" i="11"/>
  <c r="AH211" i="11" s="1"/>
  <c r="AO211" i="11" s="1"/>
  <c r="BA170" i="11"/>
  <c r="BB170" i="11" s="1"/>
  <c r="AS77" i="10"/>
  <c r="AT77" i="10" s="1"/>
  <c r="AA73" i="11"/>
  <c r="AH73" i="11" s="1"/>
  <c r="AO73" i="11" s="1"/>
  <c r="BA73" i="11"/>
  <c r="BB73" i="11" s="1"/>
  <c r="BA143" i="11"/>
  <c r="BB143" i="11" s="1"/>
  <c r="AS162" i="10"/>
  <c r="AT162" i="10" s="1"/>
  <c r="BA80" i="11"/>
  <c r="BB80" i="11" s="1"/>
  <c r="BA14" i="11"/>
  <c r="BB14" i="11" s="1"/>
  <c r="Z210" i="11"/>
  <c r="AG210" i="11" s="1"/>
  <c r="AN210" i="11" s="1"/>
  <c r="BA210" i="11"/>
  <c r="BB210" i="11" s="1"/>
  <c r="BA46" i="11"/>
  <c r="BB46" i="11" s="1"/>
  <c r="BA162" i="11"/>
  <c r="BB162" i="11" s="1"/>
  <c r="AA173" i="11"/>
  <c r="AH173" i="11" s="1"/>
  <c r="AO173" i="11" s="1"/>
  <c r="BA173" i="11"/>
  <c r="BB173" i="11" s="1"/>
  <c r="BA85" i="11"/>
  <c r="BB85" i="11" s="1"/>
  <c r="AS133" i="10"/>
  <c r="AT133" i="10" s="1"/>
  <c r="AS36" i="10"/>
  <c r="AT36" i="10" s="1"/>
  <c r="BA62" i="11"/>
  <c r="BB62" i="11" s="1"/>
  <c r="BA165" i="11"/>
  <c r="BB165" i="11" s="1"/>
  <c r="AS169" i="10"/>
  <c r="AT169" i="10" s="1"/>
  <c r="BA35" i="11"/>
  <c r="BB35" i="11" s="1"/>
  <c r="AA193" i="11"/>
  <c r="AH193" i="11" s="1"/>
  <c r="AO193" i="11" s="1"/>
  <c r="BA193" i="11"/>
  <c r="BB193" i="11" s="1"/>
  <c r="AA64" i="11"/>
  <c r="AH64" i="11" s="1"/>
  <c r="AO64" i="11" s="1"/>
  <c r="BA64" i="11"/>
  <c r="BB64" i="11" s="1"/>
  <c r="AA159" i="11"/>
  <c r="AH159" i="11" s="1"/>
  <c r="AO159" i="11" s="1"/>
  <c r="BA27" i="11"/>
  <c r="BB27" i="11" s="1"/>
  <c r="Z146" i="11"/>
  <c r="AG146" i="11" s="1"/>
  <c r="AN146" i="11" s="1"/>
  <c r="BA146" i="11"/>
  <c r="BB146" i="11" s="1"/>
  <c r="AS41" i="10"/>
  <c r="AT41" i="10" s="1"/>
  <c r="BA142" i="11"/>
  <c r="BB142" i="11" s="1"/>
  <c r="BA31" i="11"/>
  <c r="BB31" i="11" s="1"/>
  <c r="AA50" i="11"/>
  <c r="AH50" i="11" s="1"/>
  <c r="AO50" i="11" s="1"/>
  <c r="AA114" i="11"/>
  <c r="AH114" i="11" s="1"/>
  <c r="AO114" i="11" s="1"/>
  <c r="AA130" i="11"/>
  <c r="AH130" i="11" s="1"/>
  <c r="AO130" i="11" s="1"/>
  <c r="BA130" i="11"/>
  <c r="BB130" i="11" s="1"/>
  <c r="AA26" i="11"/>
  <c r="AH26" i="11" s="1"/>
  <c r="AO26" i="11" s="1"/>
  <c r="BA26" i="11"/>
  <c r="BB26" i="11" s="1"/>
  <c r="BA121" i="11"/>
  <c r="BB121" i="11" s="1"/>
  <c r="BA174" i="11"/>
  <c r="BB174" i="11" s="1"/>
  <c r="BA76" i="11"/>
  <c r="BB76" i="11" s="1"/>
  <c r="AA154" i="11"/>
  <c r="AH154" i="11" s="1"/>
  <c r="AO154" i="11" s="1"/>
  <c r="BA154" i="11"/>
  <c r="BB154" i="11" s="1"/>
  <c r="AA112" i="11"/>
  <c r="AH112" i="11" s="1"/>
  <c r="AO112" i="11" s="1"/>
  <c r="BA93" i="11"/>
  <c r="BB93" i="11" s="1"/>
  <c r="AA8" i="11"/>
  <c r="AH8" i="11" s="1"/>
  <c r="AO8" i="11" s="1"/>
  <c r="AA106" i="11"/>
  <c r="AH106" i="11" s="1"/>
  <c r="AO106" i="11" s="1"/>
  <c r="AA100" i="11"/>
  <c r="AH100" i="11" s="1"/>
  <c r="AO100" i="11" s="1"/>
  <c r="BA100" i="11"/>
  <c r="BB100" i="11" s="1"/>
  <c r="AA7" i="11"/>
  <c r="AH7" i="11" s="1"/>
  <c r="AO7" i="11" s="1"/>
  <c r="BA7" i="11"/>
  <c r="BB7" i="11" s="1"/>
  <c r="AS202" i="10"/>
  <c r="AT202" i="10" s="1"/>
  <c r="AA172" i="11"/>
  <c r="AH172" i="11" s="1"/>
  <c r="AO172" i="11" s="1"/>
  <c r="BA172" i="11"/>
  <c r="BB172" i="11" s="1"/>
  <c r="AA90" i="11"/>
  <c r="AH90" i="11" s="1"/>
  <c r="AO90" i="11" s="1"/>
  <c r="BA90" i="11"/>
  <c r="BB90" i="11" s="1"/>
  <c r="AS129" i="10"/>
  <c r="AT129" i="10" s="1"/>
  <c r="AA108" i="11"/>
  <c r="AH108" i="11" s="1"/>
  <c r="AO108" i="11" s="1"/>
  <c r="BA108" i="11"/>
  <c r="BB108" i="11" s="1"/>
  <c r="BA66" i="11"/>
  <c r="BB66" i="11" s="1"/>
  <c r="AA188" i="11"/>
  <c r="AH188" i="11" s="1"/>
  <c r="AO188" i="11" s="1"/>
  <c r="BA188" i="11"/>
  <c r="BB188" i="11" s="1"/>
  <c r="AA209" i="11"/>
  <c r="AH209" i="11" s="1"/>
  <c r="AO209" i="11" s="1"/>
  <c r="BA209" i="11"/>
  <c r="BB209" i="11" s="1"/>
  <c r="AS57" i="10"/>
  <c r="AT57" i="10" s="1"/>
  <c r="BA190" i="11"/>
  <c r="BB190" i="11" s="1"/>
  <c r="AA183" i="11"/>
  <c r="AH183" i="11" s="1"/>
  <c r="AO183" i="11" s="1"/>
  <c r="BA183" i="11"/>
  <c r="BB183" i="11" s="1"/>
  <c r="BA40" i="11"/>
  <c r="BB40" i="11" s="1"/>
  <c r="BA134" i="11"/>
  <c r="BB134" i="11" s="1"/>
  <c r="Z11" i="11"/>
  <c r="AG11" i="11" s="1"/>
  <c r="AN11" i="11" s="1"/>
  <c r="BA11" i="11"/>
  <c r="BB11" i="11" s="1"/>
  <c r="BA60" i="11"/>
  <c r="BB60" i="11" s="1"/>
  <c r="BA132" i="11"/>
  <c r="BB132" i="11" s="1"/>
  <c r="BA182" i="11"/>
  <c r="BB182" i="11" s="1"/>
  <c r="BA3" i="11"/>
  <c r="BB3" i="11" s="1"/>
  <c r="BA36" i="11"/>
  <c r="BB36" i="11" s="1"/>
  <c r="Z61" i="11"/>
  <c r="AG61" i="11" s="1"/>
  <c r="AN61" i="11" s="1"/>
  <c r="AA47" i="11"/>
  <c r="AH47" i="11" s="1"/>
  <c r="AO47" i="11" s="1"/>
  <c r="BA47" i="11"/>
  <c r="BB47" i="11" s="1"/>
  <c r="Z22" i="11"/>
  <c r="AG22" i="11" s="1"/>
  <c r="AN22" i="11" s="1"/>
  <c r="BA22" i="11"/>
  <c r="BB22" i="11" s="1"/>
  <c r="AA55" i="11"/>
  <c r="AH55" i="11" s="1"/>
  <c r="AO55" i="11" s="1"/>
  <c r="AA167" i="11"/>
  <c r="AH167" i="11" s="1"/>
  <c r="AO167" i="11" s="1"/>
  <c r="AS146" i="10"/>
  <c r="AT146" i="10" s="1"/>
  <c r="AA48" i="11"/>
  <c r="AH48" i="11" s="1"/>
  <c r="AO48" i="11" s="1"/>
  <c r="AA91" i="11"/>
  <c r="AH91" i="11" s="1"/>
  <c r="AO91" i="11" s="1"/>
  <c r="BA91" i="11"/>
  <c r="BB91" i="11" s="1"/>
  <c r="AA158" i="11"/>
  <c r="AH158" i="11" s="1"/>
  <c r="AO158" i="11" s="1"/>
  <c r="BA158" i="11"/>
  <c r="BB158" i="11" s="1"/>
  <c r="AS182" i="10"/>
  <c r="AT182" i="10" s="1"/>
  <c r="BA30" i="11"/>
  <c r="BB30" i="11" s="1"/>
  <c r="BA187" i="11"/>
  <c r="BB187" i="11" s="1"/>
  <c r="BA103" i="11"/>
  <c r="BB103" i="11" s="1"/>
  <c r="BA155" i="11"/>
  <c r="BB155" i="11" s="1"/>
  <c r="AS158" i="10"/>
  <c r="AT158" i="10" s="1"/>
  <c r="Z116" i="11"/>
  <c r="AG116" i="11" s="1"/>
  <c r="AN116" i="11" s="1"/>
  <c r="BA116" i="11"/>
  <c r="BB116" i="11" s="1"/>
  <c r="AS25" i="10"/>
  <c r="AT25" i="10" s="1"/>
  <c r="AA151" i="11"/>
  <c r="AH151" i="11" s="1"/>
  <c r="AO151" i="11" s="1"/>
  <c r="BA151" i="11"/>
  <c r="BB151" i="11" s="1"/>
  <c r="AS74" i="10"/>
  <c r="AT74" i="10" s="1"/>
  <c r="BA123" i="11"/>
  <c r="BB123" i="11" s="1"/>
  <c r="AA92" i="11"/>
  <c r="AH92" i="11" s="1"/>
  <c r="AO92" i="11" s="1"/>
  <c r="Z197" i="11"/>
  <c r="AG197" i="11" s="1"/>
  <c r="AN197" i="11" s="1"/>
  <c r="AA136" i="11"/>
  <c r="AH136" i="11" s="1"/>
  <c r="AO136" i="11" s="1"/>
  <c r="BA136" i="11"/>
  <c r="BB136" i="11" s="1"/>
  <c r="BA113" i="11"/>
  <c r="BB113" i="11" s="1"/>
  <c r="BA34" i="11"/>
  <c r="BB34" i="11" s="1"/>
  <c r="BA160" i="11"/>
  <c r="BB160" i="11" s="1"/>
  <c r="BA195" i="11"/>
  <c r="BB195" i="11" s="1"/>
  <c r="BA63" i="11"/>
  <c r="BB63" i="11" s="1"/>
  <c r="AA16" i="11"/>
  <c r="AH16" i="11" s="1"/>
  <c r="AO16" i="11" s="1"/>
  <c r="BA16" i="11"/>
  <c r="BB16" i="11" s="1"/>
  <c r="BA131" i="11"/>
  <c r="BB131" i="11" s="1"/>
  <c r="BA206" i="11"/>
  <c r="BB206" i="11" s="1"/>
  <c r="BA152" i="11"/>
  <c r="BB152" i="11" s="1"/>
  <c r="BA92" i="11" l="1"/>
  <c r="BB92" i="11" s="1"/>
  <c r="BA55" i="11"/>
  <c r="BB55" i="11" s="1"/>
  <c r="BA8" i="11"/>
  <c r="BB8" i="11" s="1"/>
  <c r="BA50" i="11"/>
  <c r="BB50" i="11" s="1"/>
  <c r="BA159" i="11"/>
  <c r="BB159" i="11" s="1"/>
  <c r="BA157" i="11"/>
  <c r="BB157" i="11" s="1"/>
  <c r="BA202" i="11"/>
  <c r="BB202" i="11" s="1"/>
  <c r="BA68" i="11"/>
  <c r="BB68" i="11" s="1"/>
  <c r="BA189" i="11"/>
  <c r="BB189" i="11" s="1"/>
  <c r="BA176" i="11"/>
  <c r="BB176" i="11" s="1"/>
  <c r="BA192" i="11"/>
  <c r="BB192" i="11" s="1"/>
  <c r="BA97" i="11"/>
  <c r="BB97" i="11" s="1"/>
  <c r="BA48" i="11"/>
  <c r="BB48" i="11" s="1"/>
  <c r="BA112" i="11"/>
  <c r="BB112" i="11" s="1"/>
  <c r="BA211" i="11"/>
  <c r="BB211" i="11" s="1"/>
  <c r="BA42" i="11"/>
  <c r="BB42" i="11" s="1"/>
  <c r="BA98" i="11"/>
  <c r="BB98" i="11" s="1"/>
  <c r="BA81" i="11"/>
  <c r="BB81" i="11" s="1"/>
  <c r="BA28" i="11"/>
  <c r="BB28" i="11" s="1"/>
  <c r="BA148" i="11"/>
  <c r="BB148" i="11" s="1"/>
  <c r="BA197" i="11"/>
  <c r="BB197" i="11" s="1"/>
  <c r="BA167" i="11"/>
  <c r="BB167" i="11" s="1"/>
  <c r="BA61" i="11"/>
  <c r="BB61" i="11" s="1"/>
  <c r="BA106" i="11"/>
  <c r="BB106" i="11" s="1"/>
  <c r="BA114" i="11"/>
  <c r="BB114" i="11" s="1"/>
  <c r="BA17" i="11"/>
  <c r="BB17" i="11" s="1"/>
  <c r="BA141" i="11"/>
  <c r="BB141" i="11" s="1"/>
  <c r="BA49" i="11"/>
  <c r="BB49" i="11" s="1"/>
  <c r="BA37" i="11"/>
  <c r="BB37" i="11" s="1"/>
  <c r="BA180" i="11"/>
  <c r="BB180" i="11" s="1"/>
  <c r="BA124" i="11"/>
  <c r="BB124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+carsonstones@yahoo.com . Are you getting in the spreadsheet business?
	-James Lee
Hah! I didn’t build it, Mikey did. I just provided the dataset and the idea.
	-Carson Stones</t>
        </r>
      </text>
    </comment>
  </commentList>
</comments>
</file>

<file path=xl/sharedStrings.xml><?xml version="1.0" encoding="utf-8"?>
<sst xmlns="http://schemas.openxmlformats.org/spreadsheetml/2006/main" count="8773" uniqueCount="518">
  <si>
    <t>Cocktails</t>
  </si>
  <si>
    <t>Base</t>
  </si>
  <si>
    <t>Liqueur</t>
  </si>
  <si>
    <t>Juice</t>
  </si>
  <si>
    <t>Mixer</t>
  </si>
  <si>
    <t>Additional Juice</t>
  </si>
  <si>
    <t>Additional base</t>
  </si>
  <si>
    <t>Garnish</t>
  </si>
  <si>
    <t>Other</t>
  </si>
  <si>
    <t>Other 2</t>
  </si>
  <si>
    <t>Item</t>
  </si>
  <si>
    <t>Cocktail name</t>
  </si>
  <si>
    <t>Primary Mixer</t>
  </si>
  <si>
    <t>Juice Mixer</t>
  </si>
  <si>
    <t>Ingredient 1</t>
  </si>
  <si>
    <t>Ingredient 2</t>
  </si>
  <si>
    <t>Ingredient 3</t>
  </si>
  <si>
    <t>Lookup filter</t>
  </si>
  <si>
    <t>Family</t>
  </si>
  <si>
    <t>BaseLookup</t>
  </si>
  <si>
    <t>Primary lookup</t>
  </si>
  <si>
    <t>Juice lookup</t>
  </si>
  <si>
    <t>Ingredient 1 lookup</t>
  </si>
  <si>
    <t>Ingredient 2 lookup</t>
  </si>
  <si>
    <t>Ingredient 3 lookup</t>
  </si>
  <si>
    <t>Main Juice</t>
  </si>
  <si>
    <t>Juice 1</t>
  </si>
  <si>
    <t>Juice 2</t>
  </si>
  <si>
    <t>Juice consolidate</t>
  </si>
  <si>
    <t>Amaretto Alexander</t>
  </si>
  <si>
    <t>amaretto</t>
  </si>
  <si>
    <t>white crème de cacao</t>
  </si>
  <si>
    <t>cream</t>
  </si>
  <si>
    <t/>
  </si>
  <si>
    <t>Duos and Trios</t>
  </si>
  <si>
    <t>Toasted Almond</t>
  </si>
  <si>
    <t>Kahlua</t>
  </si>
  <si>
    <t>Amaretto Sour</t>
  </si>
  <si>
    <t>lemon juice</t>
  </si>
  <si>
    <t>Sours</t>
  </si>
  <si>
    <t>Chaya Candy Apple Cosmo</t>
  </si>
  <si>
    <t>apple vodka</t>
  </si>
  <si>
    <t>Cuarenta y Tres</t>
  </si>
  <si>
    <t>lime juice, cranberry juice</t>
  </si>
  <si>
    <t>International Sours</t>
  </si>
  <si>
    <t>cranberry juice</t>
  </si>
  <si>
    <t>Corpse Reviver No. 1</t>
  </si>
  <si>
    <t>applejack</t>
  </si>
  <si>
    <t>sweet vermouth</t>
  </si>
  <si>
    <t>brandy</t>
  </si>
  <si>
    <t>French and Italian Whiskey &amp; Brandy</t>
  </si>
  <si>
    <t>Princess Mary's Pride</t>
  </si>
  <si>
    <t>dry vermouth</t>
  </si>
  <si>
    <t>Dubonnet</t>
  </si>
  <si>
    <t>Jack Rose</t>
  </si>
  <si>
    <t>grenadine</t>
  </si>
  <si>
    <t>New Jersey Squirrel</t>
  </si>
  <si>
    <t>crème de noyau</t>
  </si>
  <si>
    <t>Squirrel Sours</t>
  </si>
  <si>
    <t>Apricot Sour</t>
  </si>
  <si>
    <t>apricot brandy</t>
  </si>
  <si>
    <t>Apricot Fizz</t>
  </si>
  <si>
    <t>club soda</t>
  </si>
  <si>
    <t>Sparkling Sours</t>
  </si>
  <si>
    <t>Manhattan</t>
  </si>
  <si>
    <t>bourbon</t>
  </si>
  <si>
    <t>Angostura</t>
  </si>
  <si>
    <t>Preakness Cocktail</t>
  </si>
  <si>
    <t>Benedictine</t>
  </si>
  <si>
    <t>Remember the Maine</t>
  </si>
  <si>
    <t>cherry brandy</t>
  </si>
  <si>
    <t>Angostura and absinthe</t>
  </si>
  <si>
    <t>Deadly Sin</t>
  </si>
  <si>
    <t>maraschino</t>
  </si>
  <si>
    <t>orange bitters</t>
  </si>
  <si>
    <t>Millennium Manhattan</t>
  </si>
  <si>
    <t>peach schnapps</t>
  </si>
  <si>
    <t>Arawak Cocktail</t>
  </si>
  <si>
    <t>pineapple juice</t>
  </si>
  <si>
    <t>tamarind juice</t>
  </si>
  <si>
    <t>Bourbon and Branch</t>
  </si>
  <si>
    <t>bottled water</t>
  </si>
  <si>
    <t>Highballs</t>
  </si>
  <si>
    <t>Bourbon and Coke</t>
  </si>
  <si>
    <t>Coca-Cola</t>
  </si>
  <si>
    <t>Whiskey Sour</t>
  </si>
  <si>
    <t>simple syrup</t>
  </si>
  <si>
    <t>Scofflaw Cocktail</t>
  </si>
  <si>
    <t>grenadine, orange bitters</t>
  </si>
  <si>
    <t>Stiletto</t>
  </si>
  <si>
    <t>lime juice</t>
  </si>
  <si>
    <t>A Quick Little Pick-Me-Up</t>
  </si>
  <si>
    <t>Branca Menta</t>
  </si>
  <si>
    <t>John Collins</t>
  </si>
  <si>
    <t>Kentucky Squirrel</t>
  </si>
  <si>
    <t>Mint Julep</t>
  </si>
  <si>
    <t>Mint</t>
  </si>
  <si>
    <t>Julep</t>
  </si>
  <si>
    <t>Deauville Cocktail</t>
  </si>
  <si>
    <t>brand and applejack</t>
  </si>
  <si>
    <t>triple sec</t>
  </si>
  <si>
    <t>New Orleans Sours</t>
  </si>
  <si>
    <t>Stinger</t>
  </si>
  <si>
    <t>Phoebe Snow Cocktail</t>
  </si>
  <si>
    <t>absinthe</t>
  </si>
  <si>
    <t>Bleack Feather Cocktail</t>
  </si>
  <si>
    <t>CEO Cocktail</t>
  </si>
  <si>
    <t>Lillet Blonde</t>
  </si>
  <si>
    <t>crème de cassis</t>
  </si>
  <si>
    <t>Brandy and Soda</t>
  </si>
  <si>
    <t>Gotham Cocktail</t>
  </si>
  <si>
    <t>Bistro Sidecar</t>
  </si>
  <si>
    <t>Tuaca</t>
  </si>
  <si>
    <t>lemon juice, tangerine juice</t>
  </si>
  <si>
    <t>Frangelico</t>
  </si>
  <si>
    <t>tangerine juice</t>
  </si>
  <si>
    <t>Sidecar</t>
  </si>
  <si>
    <t>Crux Cocktail</t>
  </si>
  <si>
    <t>Dubonnet Rouge</t>
  </si>
  <si>
    <t>Classic Cocktail</t>
  </si>
  <si>
    <t>maraschino liqueur</t>
  </si>
  <si>
    <t>Cherry Blossom</t>
  </si>
  <si>
    <t>East India Cocktail</t>
  </si>
  <si>
    <t>French Squirrel</t>
  </si>
  <si>
    <t>Calvados Cocktail</t>
  </si>
  <si>
    <t>calvados</t>
  </si>
  <si>
    <t>orange juice</t>
  </si>
  <si>
    <t>Caribbean Cosmopolitan</t>
  </si>
  <si>
    <t>citrus rum</t>
  </si>
  <si>
    <t>cranberry juice, pineapple juice</t>
  </si>
  <si>
    <t>Lemon Drop</t>
  </si>
  <si>
    <t>citrus vodka</t>
  </si>
  <si>
    <t>Cosmopolitan</t>
  </si>
  <si>
    <t>Rosebud Cocktail</t>
  </si>
  <si>
    <t>grapefruit juice</t>
  </si>
  <si>
    <t>Brandy Alexander</t>
  </si>
  <si>
    <t>cognac</t>
  </si>
  <si>
    <t>dark crème de cacao</t>
  </si>
  <si>
    <t>French Connection</t>
  </si>
  <si>
    <t>Grand Marnier</t>
  </si>
  <si>
    <t>Tremblement de Terre</t>
  </si>
  <si>
    <t>Burnished Gold</t>
  </si>
  <si>
    <t>Pink Squirrel</t>
  </si>
  <si>
    <t>Metropolitan</t>
  </si>
  <si>
    <t>currant vodka</t>
  </si>
  <si>
    <t>Golden Cadillac</t>
  </si>
  <si>
    <t>galliano</t>
  </si>
  <si>
    <t>Alexander</t>
  </si>
  <si>
    <t>gin</t>
  </si>
  <si>
    <t>Dubonnet Cocktail</t>
  </si>
  <si>
    <t>Starry Night</t>
  </si>
  <si>
    <t>Goldschlager cinnamon schnapps</t>
  </si>
  <si>
    <t>Alaska</t>
  </si>
  <si>
    <t>yellow Chartreuse</t>
  </si>
  <si>
    <t>Gin Rickey</t>
  </si>
  <si>
    <t>Gin Buck</t>
  </si>
  <si>
    <t>ginger ale</t>
  </si>
  <si>
    <t>Gin and Tonic</t>
  </si>
  <si>
    <t>tonic water</t>
  </si>
  <si>
    <t>Delicious Cocktail</t>
  </si>
  <si>
    <t>Bennett Cocktail</t>
  </si>
  <si>
    <t>Clover Club</t>
  </si>
  <si>
    <t>raspberry syrup</t>
  </si>
  <si>
    <t>egg white</t>
  </si>
  <si>
    <t>Jockey Club Cocktail</t>
  </si>
  <si>
    <t>English Rose</t>
  </si>
  <si>
    <t>Paradise Cocktail</t>
  </si>
  <si>
    <t>Twentieth-Century Cocktail</t>
  </si>
  <si>
    <t>Aviation Cocktail</t>
  </si>
  <si>
    <t>An Apple a Day</t>
  </si>
  <si>
    <t>apple liqueur</t>
  </si>
  <si>
    <t>Leap-Year Cocktail</t>
  </si>
  <si>
    <t>Chatham Cocktail</t>
  </si>
  <si>
    <t>ginger liqueur</t>
  </si>
  <si>
    <t>Big Pine Key Cocktail</t>
  </si>
  <si>
    <t>Pegu Club Cocktail</t>
  </si>
  <si>
    <t>Maiden's Blush Cocktail</t>
  </si>
  <si>
    <t>Corpse Reviver No. 2</t>
  </si>
  <si>
    <t>Lillet</t>
  </si>
  <si>
    <t>Maiden's Prayer</t>
  </si>
  <si>
    <t>Tom Collins</t>
  </si>
  <si>
    <t>Singapore Sling No. 1</t>
  </si>
  <si>
    <t>Angostura and orange bitters</t>
  </si>
  <si>
    <t>kirsch</t>
  </si>
  <si>
    <t>Singapore Sling No. 2</t>
  </si>
  <si>
    <t>Benedictine and triple sec</t>
  </si>
  <si>
    <t>lime juice, pineapple juice</t>
  </si>
  <si>
    <t xml:space="preserve">Angostura  </t>
  </si>
  <si>
    <t>Ramos Gin Fizz</t>
  </si>
  <si>
    <t>cream, egg white, orange-flower water</t>
  </si>
  <si>
    <t>Maravel Sling</t>
  </si>
  <si>
    <t>Angostura, tamarind juice</t>
  </si>
  <si>
    <t>mango nectar</t>
  </si>
  <si>
    <t>British Squirrel</t>
  </si>
  <si>
    <t>French 75</t>
  </si>
  <si>
    <t>champagne</t>
  </si>
  <si>
    <t>Champagne Cocktails</t>
  </si>
  <si>
    <t>Third Degree</t>
  </si>
  <si>
    <t xml:space="preserve">gin  </t>
  </si>
  <si>
    <t>French and Italian Gin &amp; Vodka</t>
  </si>
  <si>
    <t>Riveredge Cocktail</t>
  </si>
  <si>
    <t>orange zest</t>
  </si>
  <si>
    <t>Abbey Cocktail</t>
  </si>
  <si>
    <t>Bronx Cocktail</t>
  </si>
  <si>
    <t>dry and sweet vermouth</t>
  </si>
  <si>
    <t>Income Tax Cocktail</t>
  </si>
  <si>
    <t>Maurice Cocktail</t>
  </si>
  <si>
    <t>Caricature Cocktail</t>
  </si>
  <si>
    <t>Campari</t>
  </si>
  <si>
    <t>Chanticleer</t>
  </si>
  <si>
    <t>Claridge Cocktail</t>
  </si>
  <si>
    <t>Pompier Cocktail</t>
  </si>
  <si>
    <t>Goldfish Cocktail</t>
  </si>
  <si>
    <t>Danziger goldwasser</t>
  </si>
  <si>
    <t>Allies Cocktail</t>
  </si>
  <si>
    <t>kummel</t>
  </si>
  <si>
    <t>Martinez</t>
  </si>
  <si>
    <t>Bermuda Rose</t>
  </si>
  <si>
    <t>Pacific Rim</t>
  </si>
  <si>
    <t>gin or vodka</t>
  </si>
  <si>
    <t>Apple Martini</t>
  </si>
  <si>
    <t>green-apple schnapps</t>
  </si>
  <si>
    <t>Dry Martini</t>
  </si>
  <si>
    <t>Gibson</t>
  </si>
  <si>
    <t>(onion garnish)</t>
  </si>
  <si>
    <t>Dirty Martini</t>
  </si>
  <si>
    <t>olive brine</t>
  </si>
  <si>
    <t>Vesper Martini</t>
  </si>
  <si>
    <t>Paddy Cocktail</t>
  </si>
  <si>
    <t>Irish Whiskey</t>
  </si>
  <si>
    <t>Blackthorne</t>
  </si>
  <si>
    <t>Dubliner</t>
  </si>
  <si>
    <t>James Joyce Cocktail</t>
  </si>
  <si>
    <t>Irish whiskey</t>
  </si>
  <si>
    <t>Irish Squirrel</t>
  </si>
  <si>
    <t>Jack and Coke</t>
  </si>
  <si>
    <t>Jack Daniel's</t>
  </si>
  <si>
    <t>Mojito</t>
  </si>
  <si>
    <t>light rum</t>
  </si>
  <si>
    <t>lime wedges</t>
  </si>
  <si>
    <t>sugar cube</t>
  </si>
  <si>
    <t>mint leaves</t>
  </si>
  <si>
    <t>Muddled Drinks</t>
  </si>
  <si>
    <t>OP Lemonade</t>
  </si>
  <si>
    <t>OP vodka</t>
  </si>
  <si>
    <t>peach puree</t>
  </si>
  <si>
    <t>Lola Martini</t>
  </si>
  <si>
    <t>elderflower syrup</t>
  </si>
  <si>
    <t>Tea Tini</t>
  </si>
  <si>
    <t>orange vodka</t>
  </si>
  <si>
    <t>sweet iced tea</t>
  </si>
  <si>
    <t>Irish Peach Cream</t>
  </si>
  <si>
    <t>peach vodka</t>
  </si>
  <si>
    <t>Baileys</t>
  </si>
  <si>
    <t>Pimm's Cup</t>
  </si>
  <si>
    <t>Pimm's No. 1</t>
  </si>
  <si>
    <t>ginger ale, lemon-lime soda, or club soda</t>
  </si>
  <si>
    <t>Pisco Sour</t>
  </si>
  <si>
    <t>pisco brandy</t>
  </si>
  <si>
    <t>Cacharita</t>
  </si>
  <si>
    <t>Raspberry Martini</t>
  </si>
  <si>
    <t>raspberry vodka</t>
  </si>
  <si>
    <t>Footloose Cocktail</t>
  </si>
  <si>
    <t>Peychaud's</t>
  </si>
  <si>
    <t>Planter's Cocktail</t>
  </si>
  <si>
    <t>rum</t>
  </si>
  <si>
    <t>Godiva Chocolate Liqueur</t>
  </si>
  <si>
    <t>Cuba Libre</t>
  </si>
  <si>
    <t>cola</t>
  </si>
  <si>
    <t>Dark and Stormy</t>
  </si>
  <si>
    <t>ginger beer</t>
  </si>
  <si>
    <t>Muddy Waters</t>
  </si>
  <si>
    <t>Florida Highballs</t>
  </si>
  <si>
    <t>Bay Breeze</t>
  </si>
  <si>
    <t>New England Highballs</t>
  </si>
  <si>
    <t>Daiquiri</t>
  </si>
  <si>
    <t>El Presidente</t>
  </si>
  <si>
    <t>Tropical Cocktail</t>
  </si>
  <si>
    <t>Old San Juan Sour</t>
  </si>
  <si>
    <t>Canteen Marini</t>
  </si>
  <si>
    <t>Southern Comfort</t>
  </si>
  <si>
    <t>Millionaire Cocktail No. 4</t>
  </si>
  <si>
    <t>sloe gin</t>
  </si>
  <si>
    <t>Hop Toad</t>
  </si>
  <si>
    <t>El Floridita No. 2</t>
  </si>
  <si>
    <t>El Floridita No. 1</t>
  </si>
  <si>
    <t>Mount Gay Rumrita</t>
  </si>
  <si>
    <t>Missing Link</t>
  </si>
  <si>
    <t>Beachcomber Cocktail</t>
  </si>
  <si>
    <t>Carbonated Piston Slinger</t>
  </si>
  <si>
    <t>Carribean Squirrel</t>
  </si>
  <si>
    <t>Bacardi Cocktail</t>
  </si>
  <si>
    <t>rum (Bacardi)</t>
  </si>
  <si>
    <t>Fish House Cocktail</t>
  </si>
  <si>
    <t>rum and brandy</t>
  </si>
  <si>
    <t>lime juice, lemon juice</t>
  </si>
  <si>
    <t>peach brandy</t>
  </si>
  <si>
    <t>Bolero Cocktail</t>
  </si>
  <si>
    <t>Between the Sheets</t>
  </si>
  <si>
    <t>Algonquin Cocktail</t>
  </si>
  <si>
    <t>rye whiskey</t>
  </si>
  <si>
    <t>Presbyterian</t>
  </si>
  <si>
    <t>ginger ale, club soda</t>
  </si>
  <si>
    <t>Rye and Ginger</t>
  </si>
  <si>
    <t>Ward Eight</t>
  </si>
  <si>
    <t>Delmarva No. 3</t>
  </si>
  <si>
    <t>Delmarva No. 2</t>
  </si>
  <si>
    <t>Delmarva Cocktail</t>
  </si>
  <si>
    <t>white crème de menthe</t>
  </si>
  <si>
    <t>RBS Special</t>
  </si>
  <si>
    <t>Oriental Cocktail</t>
  </si>
  <si>
    <t>Maryland Squirrel</t>
  </si>
  <si>
    <t>Whiskey Old-Fashioned</t>
  </si>
  <si>
    <t>rye whiskey, bourbon</t>
  </si>
  <si>
    <t>Angstora bitters</t>
  </si>
  <si>
    <t>lemon twist</t>
  </si>
  <si>
    <t>Godfather</t>
  </si>
  <si>
    <t>scotch</t>
  </si>
  <si>
    <t>Godson</t>
  </si>
  <si>
    <t>Debonaire</t>
  </si>
  <si>
    <t>Copper Swan Cocktail</t>
  </si>
  <si>
    <t>Burnet</t>
  </si>
  <si>
    <t>Rusty Nail</t>
  </si>
  <si>
    <t>Drambuie</t>
  </si>
  <si>
    <t>Rob Roy</t>
  </si>
  <si>
    <t>Bobby Burns</t>
  </si>
  <si>
    <t>Blood and Sand</t>
  </si>
  <si>
    <t>Scotch and Water</t>
  </si>
  <si>
    <t>Scotch and Soda</t>
  </si>
  <si>
    <t>Mamie Taylor</t>
  </si>
  <si>
    <t>Scottish Squirrel</t>
  </si>
  <si>
    <t>Modernista</t>
  </si>
  <si>
    <t>scotch and rum</t>
  </si>
  <si>
    <t>Seven and Seven</t>
  </si>
  <si>
    <t>Seagram's Seven-Crown whiskey</t>
  </si>
  <si>
    <t>7UP</t>
  </si>
  <si>
    <t xml:space="preserve">Sloe Gin Fizz </t>
  </si>
  <si>
    <t>Alabama Slammer</t>
  </si>
  <si>
    <t>Fernandito</t>
  </si>
  <si>
    <t>spiced rum</t>
  </si>
  <si>
    <t>Chambord</t>
  </si>
  <si>
    <t>lime juice, orange juice</t>
  </si>
  <si>
    <t>Brave Bull</t>
  </si>
  <si>
    <t>tequila</t>
  </si>
  <si>
    <t>Freddie Fudpacker</t>
  </si>
  <si>
    <t>Galliano</t>
  </si>
  <si>
    <t>Tequila Sunrise</t>
  </si>
  <si>
    <t>Salty Chihuahua</t>
  </si>
  <si>
    <t>salt-rimmed glass</t>
  </si>
  <si>
    <t>Disaronno Margarita</t>
  </si>
  <si>
    <t>Millionaire's Margarita</t>
  </si>
  <si>
    <t>Margarita</t>
  </si>
  <si>
    <t>Mexican Squirrel</t>
  </si>
  <si>
    <t>Pretty in Pink</t>
  </si>
  <si>
    <t>Van Gogh Wild Appel Vodka</t>
  </si>
  <si>
    <t>Dutch Squirrel</t>
  </si>
  <si>
    <t>Godmother</t>
  </si>
  <si>
    <t>vodka</t>
  </si>
  <si>
    <t>Goddaughter</t>
  </si>
  <si>
    <t>Chocolate Martini</t>
  </si>
  <si>
    <t>Black Russian</t>
  </si>
  <si>
    <t>White Russian</t>
  </si>
  <si>
    <t>Mudslide</t>
  </si>
  <si>
    <t>White Spider</t>
  </si>
  <si>
    <t>Moscow Mule</t>
  </si>
  <si>
    <t>Vodka and Tonic</t>
  </si>
  <si>
    <t>Screwdriver</t>
  </si>
  <si>
    <t>Fuzzy Navel</t>
  </si>
  <si>
    <t>Harvey Wallbanger</t>
  </si>
  <si>
    <t>Sloe Comfortable Screw</t>
  </si>
  <si>
    <t>Black-Eyed Susan</t>
  </si>
  <si>
    <t>Greyhound</t>
  </si>
  <si>
    <t>Salty Dog</t>
  </si>
  <si>
    <t>Cape Codder</t>
  </si>
  <si>
    <t>Sea Breeze</t>
  </si>
  <si>
    <t>Madras</t>
  </si>
  <si>
    <t>Sex on the Beach</t>
  </si>
  <si>
    <t>Woo Woo</t>
  </si>
  <si>
    <t>Apple Sidecar</t>
  </si>
  <si>
    <t>apple brandy</t>
  </si>
  <si>
    <t>Kretchma Cocktail</t>
  </si>
  <si>
    <t>Kamikaze</t>
  </si>
  <si>
    <t>Marin-i-tini</t>
  </si>
  <si>
    <t>blue curacao</t>
  </si>
  <si>
    <t>Russian Squirrel</t>
  </si>
  <si>
    <t>Long Island Iced Tea</t>
  </si>
  <si>
    <t>vodka, gin, rum, and tequila</t>
  </si>
  <si>
    <t>Grasshopper</t>
  </si>
  <si>
    <t>green crème de cacao</t>
  </si>
  <si>
    <t>Bocce Ball</t>
  </si>
  <si>
    <t>Charlie Chaplin</t>
  </si>
  <si>
    <t>Lookup</t>
  </si>
  <si>
    <t>Coca-cola</t>
  </si>
  <si>
    <t>Absinthe</t>
  </si>
  <si>
    <t>Onion garnish</t>
  </si>
  <si>
    <t>Angostura and Cherry Brandy</t>
  </si>
  <si>
    <t>Goldschlager</t>
  </si>
  <si>
    <t>Simple Syrup</t>
  </si>
  <si>
    <t>Cream</t>
  </si>
  <si>
    <t>Club Soda</t>
  </si>
  <si>
    <t>Tonic</t>
  </si>
  <si>
    <t>Dry Vermouth</t>
  </si>
  <si>
    <t>Sweet Vermouth</t>
  </si>
  <si>
    <t>Water</t>
  </si>
  <si>
    <t>Triple Sec</t>
  </si>
  <si>
    <t>Base Liquor</t>
  </si>
  <si>
    <t>Brands</t>
  </si>
  <si>
    <t>Drinks</t>
  </si>
  <si>
    <t>Gin</t>
  </si>
  <si>
    <t>Vodka</t>
  </si>
  <si>
    <t>Bourbon</t>
  </si>
  <si>
    <t>Bulleit</t>
  </si>
  <si>
    <t>Old-Fashioned</t>
  </si>
  <si>
    <t>Cape Cod</t>
  </si>
  <si>
    <t>Gimlet</t>
  </si>
  <si>
    <t>Pina Colada</t>
  </si>
  <si>
    <t>Brandy - Cognac</t>
  </si>
  <si>
    <t>Courvoisier</t>
  </si>
  <si>
    <t>Gin Fizz</t>
  </si>
  <si>
    <t>Vodka Tonic</t>
  </si>
  <si>
    <t>Brandy - Armagnac</t>
  </si>
  <si>
    <t>Chateau de Laubade</t>
  </si>
  <si>
    <t>Gin Smash</t>
  </si>
  <si>
    <t>Hendrick's</t>
  </si>
  <si>
    <t>Gin Martini</t>
  </si>
  <si>
    <t>Negroni</t>
  </si>
  <si>
    <t>Singapore Sling</t>
  </si>
  <si>
    <t>Rum - Light</t>
  </si>
  <si>
    <t>Don Q</t>
  </si>
  <si>
    <t>Hurricane</t>
  </si>
  <si>
    <t>Rum - Dark</t>
  </si>
  <si>
    <t>Sailor Jerry's</t>
  </si>
  <si>
    <t>Cuba Libra</t>
  </si>
  <si>
    <t>Scotch - Blended</t>
  </si>
  <si>
    <t>Johnnie Walker</t>
  </si>
  <si>
    <t>Scotch - Single Malt Highland</t>
  </si>
  <si>
    <t>Macallan</t>
  </si>
  <si>
    <t>Scotch - Single Malt Lowland</t>
  </si>
  <si>
    <t>Auchentoshan</t>
  </si>
  <si>
    <t>Scotch - Single Malt Islay</t>
  </si>
  <si>
    <t>La Phroaig</t>
  </si>
  <si>
    <t>Tequila - Blanco/Silver</t>
  </si>
  <si>
    <t>Milagro</t>
  </si>
  <si>
    <t>Tequila - Reposado</t>
  </si>
  <si>
    <t>Espolon</t>
  </si>
  <si>
    <t>Tequila - Anejo</t>
  </si>
  <si>
    <t>El Amo</t>
  </si>
  <si>
    <t>Tequila - Gold</t>
  </si>
  <si>
    <t>Jose Cuervo</t>
  </si>
  <si>
    <t>Tito's</t>
  </si>
  <si>
    <t>Vodka  - Russian</t>
  </si>
  <si>
    <t>Stolichnaya</t>
  </si>
  <si>
    <t>Vodka - Citrus</t>
  </si>
  <si>
    <t>Absolut Citron</t>
  </si>
  <si>
    <t>Whiskey - Rye</t>
  </si>
  <si>
    <t>Whiskey - Kentucky</t>
  </si>
  <si>
    <t>Woodford Reserve</t>
  </si>
  <si>
    <t>Whiskey - Tennessee</t>
  </si>
  <si>
    <t>Jack &amp; Coke</t>
  </si>
  <si>
    <t>Whiskey - Irish</t>
  </si>
  <si>
    <t>Green Spot</t>
  </si>
  <si>
    <t>Apertifs - Sweet Vermouth</t>
  </si>
  <si>
    <t>Martini &amp; Rossi</t>
  </si>
  <si>
    <t>Apertifs - Dry Vermouth</t>
  </si>
  <si>
    <t>Dolin</t>
  </si>
  <si>
    <t>Apertifs - Campari</t>
  </si>
  <si>
    <t>Cordials - Amaretto</t>
  </si>
  <si>
    <t>Disarono</t>
  </si>
  <si>
    <t>Cordials - Anisette</t>
  </si>
  <si>
    <t>Cordials - Applejack</t>
  </si>
  <si>
    <t>Cordials - Bailey's</t>
  </si>
  <si>
    <t>Bailey's</t>
  </si>
  <si>
    <t>Cordials - B&amp;B</t>
  </si>
  <si>
    <t>B&amp;B</t>
  </si>
  <si>
    <t>Cordials - Chambord</t>
  </si>
  <si>
    <t>Cordials - Chartreuse</t>
  </si>
  <si>
    <t>Chartreuse</t>
  </si>
  <si>
    <t>Cordials - Cointreau</t>
  </si>
  <si>
    <t>Cointreau</t>
  </si>
  <si>
    <t>Cordials - Creme de Cacao</t>
  </si>
  <si>
    <t>Cordials - Creme de Cassis</t>
  </si>
  <si>
    <t>Cordials - Creme de Menthe</t>
  </si>
  <si>
    <t>Cordials - Creme de Bananes</t>
  </si>
  <si>
    <t>Cordials - Creme de Noyaux</t>
  </si>
  <si>
    <t>Cordials - Curacao</t>
  </si>
  <si>
    <t>Cordials - Drambuie</t>
  </si>
  <si>
    <t>Cordials - Frangelico</t>
  </si>
  <si>
    <t>Cordials - Galliano</t>
  </si>
  <si>
    <t>Cordials - Grand Marnier</t>
  </si>
  <si>
    <t>Cordials - Irish Mist</t>
  </si>
  <si>
    <t>Cordials - Kirsch</t>
  </si>
  <si>
    <t>Cordials - Kummel</t>
  </si>
  <si>
    <t>Cordials - Maraschino liqueur</t>
  </si>
  <si>
    <t>Luxardo</t>
  </si>
  <si>
    <t>Cordials - Melon liqueur</t>
  </si>
  <si>
    <t>Cordials - Pimm's Cup</t>
  </si>
  <si>
    <t>Pimm's</t>
  </si>
  <si>
    <t>Cordials - Rock and Rye</t>
  </si>
  <si>
    <t>Cordials - Sambuca</t>
  </si>
  <si>
    <t>Cordials - Pear Schnapps</t>
  </si>
  <si>
    <t>Pear Williams</t>
  </si>
  <si>
    <t>Cordials - Sloe Gin</t>
  </si>
  <si>
    <t>Cordials - Southern Comfort</t>
  </si>
  <si>
    <t>Cordials - Strega</t>
  </si>
  <si>
    <t>Cordials - Tia Maria</t>
  </si>
  <si>
    <t>Cordials - Tuaca</t>
  </si>
  <si>
    <t>Cordials - Vandermint</t>
  </si>
  <si>
    <t>Liqueur/Mixer</t>
  </si>
  <si>
    <t>Modifier1/Juice 2</t>
  </si>
  <si>
    <t>Modifier 2</t>
  </si>
  <si>
    <t>simple syrup, Angostura</t>
  </si>
  <si>
    <t>lime juice, grapefruit juice</t>
  </si>
  <si>
    <t>lemon juice, mango nectar</t>
  </si>
  <si>
    <t>orange zest and orange bitters</t>
  </si>
  <si>
    <t>grenadine, Angostura</t>
  </si>
  <si>
    <t>orange juice, pineapple juice</t>
  </si>
  <si>
    <t>Rye Whiskey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</si>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</sst>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sz val="11"/>
      <color rgb="FF980000"/>
      <name val="Calibri"/>
    </font>
    <font>
      <b/>
      <sz val="11"/>
      <color rgb="FFFF0000"/>
      <name val="Calibri"/>
    </font>
    <font>
      <b/>
      <sz val="11"/>
      <color rgb="FFFF9900"/>
      <name val="Calibri"/>
    </font>
    <font>
      <b/>
      <sz val="11"/>
      <color rgb="FFFFFF00"/>
      <name val="Calibri"/>
    </font>
    <font>
      <b/>
      <sz val="11"/>
      <color rgb="FF00FF00"/>
      <name val="Calibri"/>
    </font>
    <font>
      <b/>
      <sz val="11"/>
      <color rgb="FF00FFFF"/>
      <name val="Calibri"/>
    </font>
    <font>
      <b/>
      <sz val="11"/>
      <color rgb="FF4A86E8"/>
      <name val="Calibri"/>
    </font>
    <font>
      <b/>
      <sz val="11"/>
      <color rgb="FF0000FF"/>
      <name val="Calibri"/>
    </font>
    <font>
      <b/>
      <sz val="11"/>
      <color rgb="FF9900FF"/>
      <name val="Calibri"/>
    </font>
    <font>
      <b/>
      <sz val="11"/>
      <color rgb="FFFF00FF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Inconsolata"/>
    </font>
    <font>
      <b/>
      <sz val="8"/>
      <color rgb="FF000000"/>
      <name val="Calibri"/>
    </font>
    <font>
      <sz val="8"/>
      <color rgb="FF000000"/>
      <name val="Calibri"/>
    </font>
    <font>
      <sz val="8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/>
    <xf numFmtId="0" fontId="12" fillId="0" borderId="0" xfId="0" applyFont="1"/>
    <xf numFmtId="0" fontId="13" fillId="3" borderId="0" xfId="0" applyFont="1" applyFill="1"/>
    <xf numFmtId="0" fontId="11" fillId="3" borderId="0" xfId="0" applyFont="1" applyFill="1" applyAlignment="1"/>
    <xf numFmtId="0" fontId="11" fillId="0" borderId="0" xfId="0" applyFont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3" fillId="3" borderId="0" xfId="0" applyFont="1" applyFill="1" applyAlignment="1"/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3" fillId="3" borderId="1" xfId="0" applyFont="1" applyFill="1" applyBorder="1"/>
    <xf numFmtId="0" fontId="15" fillId="4" borderId="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/>
    <xf numFmtId="0" fontId="11" fillId="4" borderId="0" xfId="0" applyFont="1" applyFill="1" applyAlignment="1"/>
    <xf numFmtId="0" fontId="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510"/>
  <sheetViews>
    <sheetView tabSelected="1" workbookViewId="0"/>
  </sheetViews>
  <sheetFormatPr baseColWidth="10" defaultColWidth="14.5" defaultRowHeight="15" customHeight="1" x14ac:dyDescent="0.2"/>
  <cols>
    <col min="1" max="3" width="14.5" customWidth="1"/>
    <col min="4" max="4" width="17.83203125" customWidth="1"/>
    <col min="8" max="8" width="14.5" customWidth="1"/>
    <col min="10" max="10" width="14.5" customWidth="1"/>
  </cols>
  <sheetData>
    <row r="1" spans="1:13" x14ac:dyDescent="0.2"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</row>
    <row r="2" spans="1:13" x14ac:dyDescent="0.2">
      <c r="A2" s="2" t="s">
        <v>1</v>
      </c>
      <c r="B2" s="11"/>
      <c r="D2" s="12" t="str">
        <f ca="1">IFERROR(__xludf.DUMMYFUNCTION("filter('Data NEW'!M2:M210,'Data NEW'!L2:L210 = 1)"),"A Quick Little Pick-Me-Up")</f>
        <v>A Quick Little Pick-Me-Up</v>
      </c>
      <c r="E2" s="13" t="str">
        <f ca="1">IFERROR(VLOOKUP($D2,'Data NEW'!$B$2:$K$210,2,FALSE),"")</f>
        <v>bourbon</v>
      </c>
      <c r="F2" s="11" t="str">
        <f ca="1">IFERROR(VLOOKUP($D2,'Data NEW'!$B$2:$K$210,6,FALSE),"")</f>
        <v>Branca Menta</v>
      </c>
      <c r="G2" s="11" t="str">
        <f ca="1">IFERROR(VLOOKUP($D2,'Data NEW'!$B$2:$K$210,5,FALSE),"")</f>
        <v>lemon juice</v>
      </c>
      <c r="H2" s="11" t="str">
        <f ca="1">IFERROR(VLOOKUP($D2,'Data NEW'!$B$2:$K$210,4,FALSE),"")</f>
        <v>simple syrup</v>
      </c>
      <c r="I2" s="11">
        <f ca="1">IFERROR(VLOOKUP($D2,'Data NEW'!$B$2:$K$210,7,FALSE),"")</f>
        <v>0</v>
      </c>
      <c r="J2" s="11">
        <f ca="1">IFERROR(VLOOKUP($D2,'Data NEW'!$B$2:$K$210,3,FALSE),"")</f>
        <v>0</v>
      </c>
      <c r="K2" s="11">
        <f ca="1">IFERROR(VLOOKUP($D2,'Data NEW'!$B$2:$K$210,8,FALSE),"")</f>
        <v>0</v>
      </c>
      <c r="L2" s="11">
        <f ca="1">IFERROR(VLOOKUP($D2,'Data NEW'!$B$2:$K$210,9,FALSE),"")</f>
        <v>0</v>
      </c>
      <c r="M2" s="11">
        <f ca="1">IFERROR(VLOOKUP($D2,'Data NEW'!$B$2:$K$210,10,FALSE),"")</f>
        <v>0</v>
      </c>
    </row>
    <row r="3" spans="1:13" x14ac:dyDescent="0.2">
      <c r="A3" s="3" t="s">
        <v>2</v>
      </c>
      <c r="B3" s="14"/>
      <c r="D3" s="12" t="str">
        <f ca="1">IFERROR(__xludf.DUMMYFUNCTION("""COMPUTED_VALUE"""),"Abbey Cocktail")</f>
        <v>Abbey Cocktail</v>
      </c>
      <c r="E3" s="13" t="str">
        <f ca="1">IFERROR(VLOOKUP($D3,'Data NEW'!$B$2:$K$210,2,FALSE),"")</f>
        <v>gin</v>
      </c>
      <c r="F3" s="11" t="str">
        <f ca="1">IFERROR(VLOOKUP($D3,'Data NEW'!$B$2:$K$210,6,FALSE),"")</f>
        <v>Lillet</v>
      </c>
      <c r="G3" s="11" t="str">
        <f ca="1">IFERROR(VLOOKUP($D3,'Data NEW'!$B$2:$K$210,5,FALSE),"")</f>
        <v>orange juice</v>
      </c>
      <c r="H3" s="11" t="str">
        <f ca="1">IFERROR(VLOOKUP($D3,'Data NEW'!$B$2:$K$210,4,FALSE),"")</f>
        <v>Angostura</v>
      </c>
      <c r="I3" s="11">
        <f ca="1">IFERROR(VLOOKUP($D3,'Data NEW'!$B$2:$K$210,7,FALSE),"")</f>
        <v>0</v>
      </c>
      <c r="J3" s="11">
        <f ca="1">IFERROR(VLOOKUP($D3,'Data NEW'!$B$2:$K$210,3,FALSE),"")</f>
        <v>0</v>
      </c>
      <c r="K3" s="11">
        <f ca="1">IFERROR(VLOOKUP($D3,'Data NEW'!$B$2:$K$210,8,FALSE),"")</f>
        <v>0</v>
      </c>
      <c r="L3" s="11">
        <f ca="1">IFERROR(VLOOKUP($D3,'Data NEW'!$B$2:$K$210,9,FALSE),"")</f>
        <v>0</v>
      </c>
      <c r="M3" s="11">
        <f ca="1">IFERROR(VLOOKUP($D3,'Data NEW'!$B$2:$K$210,10,FALSE),"")</f>
        <v>0</v>
      </c>
    </row>
    <row r="4" spans="1:13" x14ac:dyDescent="0.2">
      <c r="A4" s="4" t="s">
        <v>3</v>
      </c>
      <c r="B4" s="14"/>
      <c r="D4" s="12" t="str">
        <f ca="1">IFERROR(__xludf.DUMMYFUNCTION("""COMPUTED_VALUE"""),"Alabama Slammer")</f>
        <v>Alabama Slammer</v>
      </c>
      <c r="E4" s="13" t="str">
        <f ca="1">IFERROR(VLOOKUP($D4,'Data NEW'!$B$2:$K$210,2,FALSE),"")</f>
        <v>Southern Comfort</v>
      </c>
      <c r="F4" s="11" t="str">
        <f ca="1">IFERROR(VLOOKUP($D4,'Data NEW'!$B$2:$K$210,6,FALSE),"")</f>
        <v>amaretto</v>
      </c>
      <c r="G4" s="11" t="str">
        <f ca="1">IFERROR(VLOOKUP($D4,'Data NEW'!$B$2:$K$210,5,FALSE),"")</f>
        <v>orange juice</v>
      </c>
      <c r="H4" s="11">
        <f ca="1">IFERROR(VLOOKUP($D4,'Data NEW'!$B$2:$K$210,4,FALSE),"")</f>
        <v>0</v>
      </c>
      <c r="I4" s="11">
        <f ca="1">IFERROR(VLOOKUP($D4,'Data NEW'!$B$2:$K$210,7,FALSE),"")</f>
        <v>0</v>
      </c>
      <c r="J4" s="11" t="str">
        <f ca="1">IFERROR(VLOOKUP($D4,'Data NEW'!$B$2:$K$210,3,FALSE),"")</f>
        <v>sloe gin</v>
      </c>
      <c r="K4" s="11">
        <f ca="1">IFERROR(VLOOKUP($D4,'Data NEW'!$B$2:$K$210,8,FALSE),"")</f>
        <v>0</v>
      </c>
      <c r="L4" s="11">
        <f ca="1">IFERROR(VLOOKUP($D4,'Data NEW'!$B$2:$K$210,9,FALSE),"")</f>
        <v>0</v>
      </c>
      <c r="M4" s="11">
        <f ca="1">IFERROR(VLOOKUP($D4,'Data NEW'!$B$2:$K$210,10,FALSE),"")</f>
        <v>0</v>
      </c>
    </row>
    <row r="5" spans="1:13" x14ac:dyDescent="0.2">
      <c r="A5" s="5" t="s">
        <v>4</v>
      </c>
      <c r="B5" s="14"/>
      <c r="D5" s="12" t="str">
        <f ca="1">IFERROR(__xludf.DUMMYFUNCTION("""COMPUTED_VALUE"""),"Alaska")</f>
        <v>Alaska</v>
      </c>
      <c r="E5" s="13" t="str">
        <f ca="1">IFERROR(VLOOKUP($D5,'Data NEW'!$B$2:$K$210,2,FALSE),"")</f>
        <v>gin</v>
      </c>
      <c r="F5" s="11" t="str">
        <f ca="1">IFERROR(VLOOKUP($D5,'Data NEW'!$B$2:$K$210,6,FALSE),"")</f>
        <v>yellow Chartreuse</v>
      </c>
      <c r="G5" s="11">
        <f ca="1">IFERROR(VLOOKUP($D5,'Data NEW'!$B$2:$K$210,5,FALSE),"")</f>
        <v>0</v>
      </c>
      <c r="H5" s="11">
        <f ca="1">IFERROR(VLOOKUP($D5,'Data NEW'!$B$2:$K$210,4,FALSE),"")</f>
        <v>0</v>
      </c>
      <c r="I5" s="11">
        <f ca="1">IFERROR(VLOOKUP($D5,'Data NEW'!$B$2:$K$210,7,FALSE),"")</f>
        <v>0</v>
      </c>
      <c r="J5" s="11">
        <f ca="1">IFERROR(VLOOKUP($D5,'Data NEW'!$B$2:$K$210,3,FALSE),"")</f>
        <v>0</v>
      </c>
      <c r="K5" s="11">
        <f ca="1">IFERROR(VLOOKUP($D5,'Data NEW'!$B$2:$K$210,8,FALSE),"")</f>
        <v>0</v>
      </c>
      <c r="L5" s="11">
        <f ca="1">IFERROR(VLOOKUP($D5,'Data NEW'!$B$2:$K$210,9,FALSE),"")</f>
        <v>0</v>
      </c>
      <c r="M5" s="11">
        <f ca="1">IFERROR(VLOOKUP($D5,'Data NEW'!$B$2:$K$210,10,FALSE),"")</f>
        <v>0</v>
      </c>
    </row>
    <row r="6" spans="1:13" x14ac:dyDescent="0.2">
      <c r="A6" s="6" t="s">
        <v>5</v>
      </c>
      <c r="B6" s="14"/>
      <c r="D6" s="12" t="str">
        <f ca="1">IFERROR(__xludf.DUMMYFUNCTION("""COMPUTED_VALUE"""),"Alexander")</f>
        <v>Alexander</v>
      </c>
      <c r="E6" s="13" t="str">
        <f ca="1">IFERROR(VLOOKUP($D6,'Data NEW'!$B$2:$K$210,2,FALSE),"")</f>
        <v>gin</v>
      </c>
      <c r="F6" s="11" t="str">
        <f ca="1">IFERROR(VLOOKUP($D6,'Data NEW'!$B$2:$K$210,6,FALSE),"")</f>
        <v>white crème de cacao</v>
      </c>
      <c r="G6" s="11">
        <f ca="1">IFERROR(VLOOKUP($D6,'Data NEW'!$B$2:$K$210,5,FALSE),"")</f>
        <v>0</v>
      </c>
      <c r="H6" s="11" t="str">
        <f ca="1">IFERROR(VLOOKUP($D6,'Data NEW'!$B$2:$K$210,4,FALSE),"")</f>
        <v>cream</v>
      </c>
      <c r="I6" s="11">
        <f ca="1">IFERROR(VLOOKUP($D6,'Data NEW'!$B$2:$K$210,7,FALSE),"")</f>
        <v>0</v>
      </c>
      <c r="J6" s="11">
        <f ca="1">IFERROR(VLOOKUP($D6,'Data NEW'!$B$2:$K$210,3,FALSE),"")</f>
        <v>0</v>
      </c>
      <c r="K6" s="11">
        <f ca="1">IFERROR(VLOOKUP($D6,'Data NEW'!$B$2:$K$210,8,FALSE),"")</f>
        <v>0</v>
      </c>
      <c r="L6" s="11">
        <f ca="1">IFERROR(VLOOKUP($D6,'Data NEW'!$B$2:$K$210,9,FALSE),"")</f>
        <v>0</v>
      </c>
      <c r="M6" s="11">
        <f ca="1">IFERROR(VLOOKUP($D6,'Data NEW'!$B$2:$K$210,10,FALSE),"")</f>
        <v>0</v>
      </c>
    </row>
    <row r="7" spans="1:13" x14ac:dyDescent="0.2">
      <c r="A7" s="7" t="s">
        <v>6</v>
      </c>
      <c r="B7" s="15"/>
      <c r="D7" s="12" t="str">
        <f ca="1">IFERROR(__xludf.DUMMYFUNCTION("""COMPUTED_VALUE"""),"Algonquin Cocktail")</f>
        <v>Algonquin Cocktail</v>
      </c>
      <c r="E7" s="13" t="str">
        <f ca="1">IFERROR(VLOOKUP($D7,'Data NEW'!$B$2:$K$210,2,FALSE),"")</f>
        <v>rye whiskey</v>
      </c>
      <c r="F7" s="11" t="str">
        <f ca="1">IFERROR(VLOOKUP($D7,'Data NEW'!$B$2:$K$210,6,FALSE),"")</f>
        <v>dry vermouth</v>
      </c>
      <c r="G7" s="11" t="str">
        <f ca="1">IFERROR(VLOOKUP($D7,'Data NEW'!$B$2:$K$210,5,FALSE),"")</f>
        <v>pineapple juice</v>
      </c>
      <c r="H7" s="11">
        <f ca="1">IFERROR(VLOOKUP($D7,'Data NEW'!$B$2:$K$210,4,FALSE),"")</f>
        <v>0</v>
      </c>
      <c r="I7" s="11">
        <f ca="1">IFERROR(VLOOKUP($D7,'Data NEW'!$B$2:$K$210,7,FALSE),"")</f>
        <v>0</v>
      </c>
      <c r="J7" s="11">
        <f ca="1">IFERROR(VLOOKUP($D7,'Data NEW'!$B$2:$K$210,3,FALSE),"")</f>
        <v>0</v>
      </c>
      <c r="K7" s="11">
        <f ca="1">IFERROR(VLOOKUP($D7,'Data NEW'!$B$2:$K$210,8,FALSE),"")</f>
        <v>0</v>
      </c>
      <c r="L7" s="11">
        <f ca="1">IFERROR(VLOOKUP($D7,'Data NEW'!$B$2:$K$210,9,FALSE),"")</f>
        <v>0</v>
      </c>
      <c r="M7" s="11">
        <f ca="1">IFERROR(VLOOKUP($D7,'Data NEW'!$B$2:$K$210,10,FALSE),"")</f>
        <v>0</v>
      </c>
    </row>
    <row r="8" spans="1:13" x14ac:dyDescent="0.2">
      <c r="A8" s="8" t="s">
        <v>7</v>
      </c>
      <c r="B8" s="14"/>
      <c r="D8" s="12" t="str">
        <f ca="1">IFERROR(__xludf.DUMMYFUNCTION("""COMPUTED_VALUE"""),"Allies Cocktail")</f>
        <v>Allies Cocktail</v>
      </c>
      <c r="E8" s="13" t="str">
        <f ca="1">IFERROR(VLOOKUP($D8,'Data NEW'!$B$2:$K$210,2,FALSE),"")</f>
        <v>gin</v>
      </c>
      <c r="F8" s="11" t="str">
        <f ca="1">IFERROR(VLOOKUP($D8,'Data NEW'!$B$2:$K$210,6,FALSE),"")</f>
        <v>dry vermouth</v>
      </c>
      <c r="G8" s="11">
        <f ca="1">IFERROR(VLOOKUP($D8,'Data NEW'!$B$2:$K$210,5,FALSE),"")</f>
        <v>0</v>
      </c>
      <c r="H8" s="11">
        <f ca="1">IFERROR(VLOOKUP($D8,'Data NEW'!$B$2:$K$210,4,FALSE),"")</f>
        <v>0</v>
      </c>
      <c r="I8" s="11">
        <f ca="1">IFERROR(VLOOKUP($D8,'Data NEW'!$B$2:$K$210,7,FALSE),"")</f>
        <v>0</v>
      </c>
      <c r="J8" s="11">
        <f ca="1">IFERROR(VLOOKUP($D8,'Data NEW'!$B$2:$K$210,3,FALSE),"")</f>
        <v>0</v>
      </c>
      <c r="K8" s="11">
        <f ca="1">IFERROR(VLOOKUP($D8,'Data NEW'!$B$2:$K$210,8,FALSE),"")</f>
        <v>0</v>
      </c>
      <c r="L8" s="11">
        <f ca="1">IFERROR(VLOOKUP($D8,'Data NEW'!$B$2:$K$210,9,FALSE),"")</f>
        <v>0</v>
      </c>
      <c r="M8" s="11">
        <f ca="1">IFERROR(VLOOKUP($D8,'Data NEW'!$B$2:$K$210,10,FALSE),"")</f>
        <v>0</v>
      </c>
    </row>
    <row r="9" spans="1:13" x14ac:dyDescent="0.2">
      <c r="A9" s="9" t="s">
        <v>8</v>
      </c>
      <c r="B9" s="14"/>
      <c r="D9" s="12" t="str">
        <f ca="1">IFERROR(__xludf.DUMMYFUNCTION("""COMPUTED_VALUE"""),"Amaretto Alexander")</f>
        <v>Amaretto Alexander</v>
      </c>
      <c r="E9" s="13" t="str">
        <f ca="1">IFERROR(VLOOKUP($D9,'Data NEW'!$B$2:$K$210,2,FALSE),"")</f>
        <v>amaretto</v>
      </c>
      <c r="F9" s="11" t="str">
        <f ca="1">IFERROR(VLOOKUP($D9,'Data NEW'!$B$2:$K$210,6,FALSE),"")</f>
        <v>white crème de cacao</v>
      </c>
      <c r="G9" s="11">
        <f ca="1">IFERROR(VLOOKUP($D9,'Data NEW'!$B$2:$K$210,5,FALSE),"")</f>
        <v>0</v>
      </c>
      <c r="H9" s="11" t="str">
        <f ca="1">IFERROR(VLOOKUP($D9,'Data NEW'!$B$2:$K$210,4,FALSE),"")</f>
        <v>cream</v>
      </c>
      <c r="I9" s="11">
        <f ca="1">IFERROR(VLOOKUP($D9,'Data NEW'!$B$2:$K$210,7,FALSE),"")</f>
        <v>0</v>
      </c>
      <c r="J9" s="11">
        <f ca="1">IFERROR(VLOOKUP($D9,'Data NEW'!$B$2:$K$210,3,FALSE),"")</f>
        <v>0</v>
      </c>
      <c r="K9" s="11">
        <f ca="1">IFERROR(VLOOKUP($D9,'Data NEW'!$B$2:$K$210,8,FALSE),"")</f>
        <v>0</v>
      </c>
      <c r="L9" s="11">
        <f ca="1">IFERROR(VLOOKUP($D9,'Data NEW'!$B$2:$K$210,9,FALSE),"")</f>
        <v>0</v>
      </c>
      <c r="M9" s="11">
        <f ca="1">IFERROR(VLOOKUP($D9,'Data NEW'!$B$2:$K$210,10,FALSE),"")</f>
        <v>0</v>
      </c>
    </row>
    <row r="10" spans="1:13" x14ac:dyDescent="0.2">
      <c r="A10" s="10" t="s">
        <v>9</v>
      </c>
      <c r="B10" s="14"/>
      <c r="D10" s="12" t="str">
        <f ca="1">IFERROR(__xludf.DUMMYFUNCTION("""COMPUTED_VALUE"""),"Amaretto Sour")</f>
        <v>Amaretto Sour</v>
      </c>
      <c r="E10" s="13" t="str">
        <f ca="1">IFERROR(VLOOKUP($D10,'Data NEW'!$B$2:$K$210,2,FALSE),"")</f>
        <v>amaretto</v>
      </c>
      <c r="F10" s="11">
        <f ca="1">IFERROR(VLOOKUP($D10,'Data NEW'!$B$2:$K$210,6,FALSE),"")</f>
        <v>0</v>
      </c>
      <c r="G10" s="11" t="str">
        <f ca="1">IFERROR(VLOOKUP($D10,'Data NEW'!$B$2:$K$210,5,FALSE),"")</f>
        <v>lemon juice</v>
      </c>
      <c r="H10" s="11">
        <f ca="1">IFERROR(VLOOKUP($D10,'Data NEW'!$B$2:$K$210,4,FALSE),"")</f>
        <v>0</v>
      </c>
      <c r="I10" s="11">
        <f ca="1">IFERROR(VLOOKUP($D10,'Data NEW'!$B$2:$K$210,7,FALSE),"")</f>
        <v>0</v>
      </c>
      <c r="J10" s="11">
        <f ca="1">IFERROR(VLOOKUP($D10,'Data NEW'!$B$2:$K$210,3,FALSE),"")</f>
        <v>0</v>
      </c>
      <c r="K10" s="11">
        <f ca="1">IFERROR(VLOOKUP($D10,'Data NEW'!$B$2:$K$210,8,FALSE),"")</f>
        <v>0</v>
      </c>
      <c r="L10" s="11">
        <f ca="1">IFERROR(VLOOKUP($D10,'Data NEW'!$B$2:$K$210,9,FALSE),"")</f>
        <v>0</v>
      </c>
      <c r="M10" s="11">
        <f ca="1">IFERROR(VLOOKUP($D10,'Data NEW'!$B$2:$K$210,10,FALSE),"")</f>
        <v>0</v>
      </c>
    </row>
    <row r="11" spans="1:13" x14ac:dyDescent="0.2">
      <c r="D11" s="12" t="str">
        <f ca="1">IFERROR(__xludf.DUMMYFUNCTION("""COMPUTED_VALUE"""),"An Apple a Day")</f>
        <v>An Apple a Day</v>
      </c>
      <c r="E11" s="13" t="str">
        <f ca="1">IFERROR(VLOOKUP($D11,'Data NEW'!$B$2:$K$210,2,FALSE),"")</f>
        <v>gin</v>
      </c>
      <c r="F11" s="11" t="str">
        <f ca="1">IFERROR(VLOOKUP($D11,'Data NEW'!$B$2:$K$210,6,FALSE),"")</f>
        <v>maraschino liqueur</v>
      </c>
      <c r="G11" s="11" t="str">
        <f ca="1">IFERROR(VLOOKUP($D11,'Data NEW'!$B$2:$K$210,5,FALSE),"")</f>
        <v>lime juice</v>
      </c>
      <c r="H11" s="11" t="str">
        <f ca="1">IFERROR(VLOOKUP($D11,'Data NEW'!$B$2:$K$210,4,FALSE),"")</f>
        <v>simple syrup</v>
      </c>
      <c r="I11" s="11">
        <f ca="1">IFERROR(VLOOKUP($D11,'Data NEW'!$B$2:$K$210,7,FALSE),"")</f>
        <v>0</v>
      </c>
      <c r="J11" s="11">
        <f ca="1">IFERROR(VLOOKUP($D11,'Data NEW'!$B$2:$K$210,3,FALSE),"")</f>
        <v>0</v>
      </c>
      <c r="K11" s="11">
        <f ca="1">IFERROR(VLOOKUP($D11,'Data NEW'!$B$2:$K$210,8,FALSE),"")</f>
        <v>0</v>
      </c>
      <c r="L11" s="11">
        <f ca="1">IFERROR(VLOOKUP($D11,'Data NEW'!$B$2:$K$210,9,FALSE),"")</f>
        <v>0</v>
      </c>
      <c r="M11" s="11">
        <f ca="1">IFERROR(VLOOKUP($D11,'Data NEW'!$B$2:$K$210,10,FALSE),"")</f>
        <v>0</v>
      </c>
    </row>
    <row r="12" spans="1:13" x14ac:dyDescent="0.2">
      <c r="D12" s="12" t="str">
        <f ca="1">IFERROR(__xludf.DUMMYFUNCTION("""COMPUTED_VALUE"""),"Apple Martini")</f>
        <v>Apple Martini</v>
      </c>
      <c r="E12" s="13" t="str">
        <f ca="1">IFERROR(VLOOKUP($D12,'Data NEW'!$B$2:$K$210,2,FALSE),"")</f>
        <v>gin or vodka</v>
      </c>
      <c r="F12" s="11" t="str">
        <f ca="1">IFERROR(VLOOKUP($D12,'Data NEW'!$B$2:$K$210,6,FALSE),"")</f>
        <v>green-apple schnapps</v>
      </c>
      <c r="G12" s="11">
        <f ca="1">IFERROR(VLOOKUP($D12,'Data NEW'!$B$2:$K$210,5,FALSE),"")</f>
        <v>0</v>
      </c>
      <c r="H12" s="11">
        <f ca="1">IFERROR(VLOOKUP($D12,'Data NEW'!$B$2:$K$210,4,FALSE),"")</f>
        <v>0</v>
      </c>
      <c r="I12" s="11">
        <f ca="1">IFERROR(VLOOKUP($D12,'Data NEW'!$B$2:$K$210,7,FALSE),"")</f>
        <v>0</v>
      </c>
      <c r="J12" s="11">
        <f ca="1">IFERROR(VLOOKUP($D12,'Data NEW'!$B$2:$K$210,3,FALSE),"")</f>
        <v>0</v>
      </c>
      <c r="K12" s="11">
        <f ca="1">IFERROR(VLOOKUP($D12,'Data NEW'!$B$2:$K$210,8,FALSE),"")</f>
        <v>0</v>
      </c>
      <c r="L12" s="11">
        <f ca="1">IFERROR(VLOOKUP($D12,'Data NEW'!$B$2:$K$210,9,FALSE),"")</f>
        <v>0</v>
      </c>
      <c r="M12" s="11">
        <f ca="1">IFERROR(VLOOKUP($D12,'Data NEW'!$B$2:$K$210,10,FALSE),"")</f>
        <v>0</v>
      </c>
    </row>
    <row r="13" spans="1:13" x14ac:dyDescent="0.2">
      <c r="D13" s="12" t="str">
        <f ca="1">IFERROR(__xludf.DUMMYFUNCTION("""COMPUTED_VALUE"""),"Apple Sidecar")</f>
        <v>Apple Sidecar</v>
      </c>
      <c r="E13" s="13" t="str">
        <f ca="1">IFERROR(VLOOKUP($D13,'Data NEW'!$B$2:$K$210,2,FALSE),"")</f>
        <v>vodka</v>
      </c>
      <c r="F13" s="11" t="str">
        <f ca="1">IFERROR(VLOOKUP($D13,'Data NEW'!$B$2:$K$210,6,FALSE),"")</f>
        <v>apple brandy</v>
      </c>
      <c r="G13" s="11" t="str">
        <f ca="1">IFERROR(VLOOKUP($D13,'Data NEW'!$B$2:$K$210,5,FALSE),"")</f>
        <v>lemon juice</v>
      </c>
      <c r="H13" s="11">
        <f ca="1">IFERROR(VLOOKUP($D13,'Data NEW'!$B$2:$K$210,4,FALSE),"")</f>
        <v>0</v>
      </c>
      <c r="I13" s="11">
        <f ca="1">IFERROR(VLOOKUP($D13,'Data NEW'!$B$2:$K$210,7,FALSE),"")</f>
        <v>0</v>
      </c>
      <c r="J13" s="11">
        <f ca="1">IFERROR(VLOOKUP($D13,'Data NEW'!$B$2:$K$210,3,FALSE),"")</f>
        <v>0</v>
      </c>
      <c r="K13" s="11">
        <f ca="1">IFERROR(VLOOKUP($D13,'Data NEW'!$B$2:$K$210,8,FALSE),"")</f>
        <v>0</v>
      </c>
      <c r="L13" s="11">
        <f ca="1">IFERROR(VLOOKUP($D13,'Data NEW'!$B$2:$K$210,9,FALSE),"")</f>
        <v>0</v>
      </c>
      <c r="M13" s="11">
        <f ca="1">IFERROR(VLOOKUP($D13,'Data NEW'!$B$2:$K$210,10,FALSE),"")</f>
        <v>0</v>
      </c>
    </row>
    <row r="14" spans="1:13" x14ac:dyDescent="0.2">
      <c r="D14" s="12" t="str">
        <f ca="1">IFERROR(__xludf.DUMMYFUNCTION("""COMPUTED_VALUE"""),"Apricot Fizz")</f>
        <v>Apricot Fizz</v>
      </c>
      <c r="E14" s="13" t="str">
        <f ca="1">IFERROR(VLOOKUP($D14,'Data NEW'!$B$2:$K$210,2,FALSE),"")</f>
        <v>apricot brandy</v>
      </c>
      <c r="F14" s="11">
        <f ca="1">IFERROR(VLOOKUP($D14,'Data NEW'!$B$2:$K$210,6,FALSE),"")</f>
        <v>0</v>
      </c>
      <c r="G14" s="11" t="str">
        <f ca="1">IFERROR(VLOOKUP($D14,'Data NEW'!$B$2:$K$210,5,FALSE),"")</f>
        <v>lemon juice</v>
      </c>
      <c r="H14" s="11" t="str">
        <f ca="1">IFERROR(VLOOKUP($D14,'Data NEW'!$B$2:$K$210,4,FALSE),"")</f>
        <v>club soda</v>
      </c>
      <c r="I14" s="11">
        <f ca="1">IFERROR(VLOOKUP($D14,'Data NEW'!$B$2:$K$210,7,FALSE),"")</f>
        <v>0</v>
      </c>
      <c r="J14" s="11">
        <f ca="1">IFERROR(VLOOKUP($D14,'Data NEW'!$B$2:$K$210,3,FALSE),"")</f>
        <v>0</v>
      </c>
      <c r="K14" s="11">
        <f ca="1">IFERROR(VLOOKUP($D14,'Data NEW'!$B$2:$K$210,8,FALSE),"")</f>
        <v>0</v>
      </c>
      <c r="L14" s="11">
        <f ca="1">IFERROR(VLOOKUP($D14,'Data NEW'!$B$2:$K$210,9,FALSE),"")</f>
        <v>0</v>
      </c>
      <c r="M14" s="11">
        <f ca="1">IFERROR(VLOOKUP($D14,'Data NEW'!$B$2:$K$210,10,FALSE),"")</f>
        <v>0</v>
      </c>
    </row>
    <row r="15" spans="1:13" x14ac:dyDescent="0.2">
      <c r="D15" s="12" t="str">
        <f ca="1">IFERROR(__xludf.DUMMYFUNCTION("""COMPUTED_VALUE"""),"Apricot Sour")</f>
        <v>Apricot Sour</v>
      </c>
      <c r="E15" s="13" t="str">
        <f ca="1">IFERROR(VLOOKUP($D15,'Data NEW'!$B$2:$K$210,2,FALSE),"")</f>
        <v>apricot brandy</v>
      </c>
      <c r="F15" s="11">
        <f ca="1">IFERROR(VLOOKUP($D15,'Data NEW'!$B$2:$K$210,6,FALSE),"")</f>
        <v>0</v>
      </c>
      <c r="G15" s="11" t="str">
        <f ca="1">IFERROR(VLOOKUP($D15,'Data NEW'!$B$2:$K$210,5,FALSE),"")</f>
        <v>lemon juice</v>
      </c>
      <c r="H15" s="11">
        <f ca="1">IFERROR(VLOOKUP($D15,'Data NEW'!$B$2:$K$210,4,FALSE),"")</f>
        <v>0</v>
      </c>
      <c r="I15" s="11">
        <f ca="1">IFERROR(VLOOKUP($D15,'Data NEW'!$B$2:$K$210,7,FALSE),"")</f>
        <v>0</v>
      </c>
      <c r="J15" s="11">
        <f ca="1">IFERROR(VLOOKUP($D15,'Data NEW'!$B$2:$K$210,3,FALSE),"")</f>
        <v>0</v>
      </c>
      <c r="K15" s="11">
        <f ca="1">IFERROR(VLOOKUP($D15,'Data NEW'!$B$2:$K$210,8,FALSE),"")</f>
        <v>0</v>
      </c>
      <c r="L15" s="11">
        <f ca="1">IFERROR(VLOOKUP($D15,'Data NEW'!$B$2:$K$210,9,FALSE),"")</f>
        <v>0</v>
      </c>
      <c r="M15" s="11">
        <f ca="1">IFERROR(VLOOKUP($D15,'Data NEW'!$B$2:$K$210,10,FALSE),"")</f>
        <v>0</v>
      </c>
    </row>
    <row r="16" spans="1:13" x14ac:dyDescent="0.2">
      <c r="D16" s="12" t="str">
        <f ca="1">IFERROR(__xludf.DUMMYFUNCTION("""COMPUTED_VALUE"""),"Arawak Cocktail")</f>
        <v>Arawak Cocktail</v>
      </c>
      <c r="E16" s="13" t="str">
        <f ca="1">IFERROR(VLOOKUP($D16,'Data NEW'!$B$2:$K$210,2,FALSE),"")</f>
        <v>bourbon</v>
      </c>
      <c r="F16" s="11" t="str">
        <f ca="1">IFERROR(VLOOKUP($D16,'Data NEW'!$B$2:$K$210,6,FALSE),"")</f>
        <v>dry vermouth</v>
      </c>
      <c r="G16" s="11" t="str">
        <f ca="1">IFERROR(VLOOKUP($D16,'Data NEW'!$B$2:$K$210,5,FALSE),"")</f>
        <v>pineapple juice</v>
      </c>
      <c r="H16" s="11" t="str">
        <f ca="1">IFERROR(VLOOKUP($D16,'Data NEW'!$B$2:$K$210,4,FALSE),"")</f>
        <v>Angostura</v>
      </c>
      <c r="I16" s="11" t="str">
        <f ca="1">IFERROR(VLOOKUP($D16,'Data NEW'!$B$2:$K$210,7,FALSE),"")</f>
        <v>tamarind juice</v>
      </c>
      <c r="J16" s="11">
        <f ca="1">IFERROR(VLOOKUP($D16,'Data NEW'!$B$2:$K$210,3,FALSE),"")</f>
        <v>0</v>
      </c>
      <c r="K16" s="11">
        <f ca="1">IFERROR(VLOOKUP($D16,'Data NEW'!$B$2:$K$210,8,FALSE),"")</f>
        <v>0</v>
      </c>
      <c r="L16" s="11">
        <f ca="1">IFERROR(VLOOKUP($D16,'Data NEW'!$B$2:$K$210,9,FALSE),"")</f>
        <v>0</v>
      </c>
      <c r="M16" s="11">
        <f ca="1">IFERROR(VLOOKUP($D16,'Data NEW'!$B$2:$K$210,10,FALSE),"")</f>
        <v>0</v>
      </c>
    </row>
    <row r="17" spans="4:13" x14ac:dyDescent="0.2">
      <c r="D17" s="12" t="str">
        <f ca="1">IFERROR(__xludf.DUMMYFUNCTION("""COMPUTED_VALUE"""),"Aviation Cocktail")</f>
        <v>Aviation Cocktail</v>
      </c>
      <c r="E17" s="13" t="str">
        <f ca="1">IFERROR(VLOOKUP($D17,'Data NEW'!$B$2:$K$210,2,FALSE),"")</f>
        <v>gin</v>
      </c>
      <c r="F17" s="11" t="str">
        <f ca="1">IFERROR(VLOOKUP($D17,'Data NEW'!$B$2:$K$210,6,FALSE),"")</f>
        <v>maraschino liqueur</v>
      </c>
      <c r="G17" s="11" t="str">
        <f ca="1">IFERROR(VLOOKUP($D17,'Data NEW'!$B$2:$K$210,5,FALSE),"")</f>
        <v>lemon juice</v>
      </c>
      <c r="H17" s="11">
        <f ca="1">IFERROR(VLOOKUP($D17,'Data NEW'!$B$2:$K$210,4,FALSE),"")</f>
        <v>0</v>
      </c>
      <c r="I17" s="11">
        <f ca="1">IFERROR(VLOOKUP($D17,'Data NEW'!$B$2:$K$210,7,FALSE),"")</f>
        <v>0</v>
      </c>
      <c r="J17" s="11">
        <f ca="1">IFERROR(VLOOKUP($D17,'Data NEW'!$B$2:$K$210,3,FALSE),"")</f>
        <v>0</v>
      </c>
      <c r="K17" s="11">
        <f ca="1">IFERROR(VLOOKUP($D17,'Data NEW'!$B$2:$K$210,8,FALSE),"")</f>
        <v>0</v>
      </c>
      <c r="L17" s="11">
        <f ca="1">IFERROR(VLOOKUP($D17,'Data NEW'!$B$2:$K$210,9,FALSE),"")</f>
        <v>0</v>
      </c>
      <c r="M17" s="11">
        <f ca="1">IFERROR(VLOOKUP($D17,'Data NEW'!$B$2:$K$210,10,FALSE),"")</f>
        <v>0</v>
      </c>
    </row>
    <row r="18" spans="4:13" x14ac:dyDescent="0.2">
      <c r="D18" s="12" t="str">
        <f ca="1">IFERROR(__xludf.DUMMYFUNCTION("""COMPUTED_VALUE"""),"Bacardi Cocktail")</f>
        <v>Bacardi Cocktail</v>
      </c>
      <c r="E18" s="13" t="str">
        <f ca="1">IFERROR(VLOOKUP($D18,'Data NEW'!$B$2:$K$210,2,FALSE),"")</f>
        <v>rum</v>
      </c>
      <c r="F18" s="11">
        <f ca="1">IFERROR(VLOOKUP($D18,'Data NEW'!$B$2:$K$210,6,FALSE),"")</f>
        <v>0</v>
      </c>
      <c r="G18" s="11" t="str">
        <f ca="1">IFERROR(VLOOKUP($D18,'Data NEW'!$B$2:$K$210,5,FALSE),"")</f>
        <v>lime juice</v>
      </c>
      <c r="H18" s="11" t="str">
        <f ca="1">IFERROR(VLOOKUP($D18,'Data NEW'!$B$2:$K$210,4,FALSE),"")</f>
        <v>grenadine</v>
      </c>
      <c r="I18" s="11">
        <f ca="1">IFERROR(VLOOKUP($D18,'Data NEW'!$B$2:$K$210,7,FALSE),"")</f>
        <v>0</v>
      </c>
      <c r="J18" s="11">
        <f ca="1">IFERROR(VLOOKUP($D18,'Data NEW'!$B$2:$K$210,3,FALSE),"")</f>
        <v>0</v>
      </c>
      <c r="K18" s="11">
        <f ca="1">IFERROR(VLOOKUP($D18,'Data NEW'!$B$2:$K$210,8,FALSE),"")</f>
        <v>0</v>
      </c>
      <c r="L18" s="11">
        <f ca="1">IFERROR(VLOOKUP($D18,'Data NEW'!$B$2:$K$210,9,FALSE),"")</f>
        <v>0</v>
      </c>
      <c r="M18" s="11">
        <f ca="1">IFERROR(VLOOKUP($D18,'Data NEW'!$B$2:$K$210,10,FALSE),"")</f>
        <v>0</v>
      </c>
    </row>
    <row r="19" spans="4:13" x14ac:dyDescent="0.2">
      <c r="D19" s="12" t="str">
        <f ca="1">IFERROR(__xludf.DUMMYFUNCTION("""COMPUTED_VALUE"""),"Bay Breeze")</f>
        <v>Bay Breeze</v>
      </c>
      <c r="E19" s="13" t="str">
        <f ca="1">IFERROR(VLOOKUP($D19,'Data NEW'!$B$2:$K$210,2,FALSE),"")</f>
        <v>rum</v>
      </c>
      <c r="F19" s="11">
        <f ca="1">IFERROR(VLOOKUP($D19,'Data NEW'!$B$2:$K$210,6,FALSE),"")</f>
        <v>0</v>
      </c>
      <c r="G19" s="11" t="str">
        <f ca="1">IFERROR(VLOOKUP($D19,'Data NEW'!$B$2:$K$210,5,FALSE),"")</f>
        <v>cranberry juice</v>
      </c>
      <c r="H19" s="11">
        <f ca="1">IFERROR(VLOOKUP($D19,'Data NEW'!$B$2:$K$210,4,FALSE),"")</f>
        <v>0</v>
      </c>
      <c r="I19" s="11">
        <f ca="1">IFERROR(VLOOKUP($D19,'Data NEW'!$B$2:$K$210,7,FALSE),"")</f>
        <v>0</v>
      </c>
      <c r="J19" s="11">
        <f ca="1">IFERROR(VLOOKUP($D19,'Data NEW'!$B$2:$K$210,3,FALSE),"")</f>
        <v>0</v>
      </c>
      <c r="K19" s="11">
        <f ca="1">IFERROR(VLOOKUP($D19,'Data NEW'!$B$2:$K$210,8,FALSE),"")</f>
        <v>0</v>
      </c>
      <c r="L19" s="11">
        <f ca="1">IFERROR(VLOOKUP($D19,'Data NEW'!$B$2:$K$210,9,FALSE),"")</f>
        <v>0</v>
      </c>
      <c r="M19" s="11">
        <f ca="1">IFERROR(VLOOKUP($D19,'Data NEW'!$B$2:$K$210,10,FALSE),"")</f>
        <v>0</v>
      </c>
    </row>
    <row r="20" spans="4:13" x14ac:dyDescent="0.2">
      <c r="D20" s="12" t="str">
        <f ca="1">IFERROR(__xludf.DUMMYFUNCTION("""COMPUTED_VALUE"""),"Beachcomber Cocktail")</f>
        <v>Beachcomber Cocktail</v>
      </c>
      <c r="E20" s="13" t="str">
        <f ca="1">IFERROR(VLOOKUP($D20,'Data NEW'!$B$2:$K$210,2,FALSE),"")</f>
        <v>rum</v>
      </c>
      <c r="F20" s="11" t="str">
        <f ca="1">IFERROR(VLOOKUP($D20,'Data NEW'!$B$2:$K$210,6,FALSE),"")</f>
        <v>triple sec</v>
      </c>
      <c r="G20" s="11" t="str">
        <f ca="1">IFERROR(VLOOKUP($D20,'Data NEW'!$B$2:$K$210,5,FALSE),"")</f>
        <v>lime juice</v>
      </c>
      <c r="H20" s="11">
        <f ca="1">IFERROR(VLOOKUP($D20,'Data NEW'!$B$2:$K$210,4,FALSE),"")</f>
        <v>0</v>
      </c>
      <c r="I20" s="11">
        <f ca="1">IFERROR(VLOOKUP($D20,'Data NEW'!$B$2:$K$210,7,FALSE),"")</f>
        <v>0</v>
      </c>
      <c r="J20" s="11">
        <f ca="1">IFERROR(VLOOKUP($D20,'Data NEW'!$B$2:$K$210,3,FALSE),"")</f>
        <v>0</v>
      </c>
      <c r="K20" s="11">
        <f ca="1">IFERROR(VLOOKUP($D20,'Data NEW'!$B$2:$K$210,8,FALSE),"")</f>
        <v>0</v>
      </c>
      <c r="L20" s="11">
        <f ca="1">IFERROR(VLOOKUP($D20,'Data NEW'!$B$2:$K$210,9,FALSE),"")</f>
        <v>0</v>
      </c>
      <c r="M20" s="11">
        <f ca="1">IFERROR(VLOOKUP($D20,'Data NEW'!$B$2:$K$210,10,FALSE),"")</f>
        <v>0</v>
      </c>
    </row>
    <row r="21" spans="4:13" ht="15.75" customHeight="1" x14ac:dyDescent="0.2">
      <c r="D21" s="12" t="str">
        <f ca="1">IFERROR(__xludf.DUMMYFUNCTION("""COMPUTED_VALUE"""),"Bennett Cocktail")</f>
        <v>Bennett Cocktail</v>
      </c>
      <c r="E21" s="13" t="str">
        <f ca="1">IFERROR(VLOOKUP($D21,'Data NEW'!$B$2:$K$210,2,FALSE),"")</f>
        <v>gin</v>
      </c>
      <c r="F21" s="11">
        <f ca="1">IFERROR(VLOOKUP($D21,'Data NEW'!$B$2:$K$210,6,FALSE),"")</f>
        <v>0</v>
      </c>
      <c r="G21" s="11" t="str">
        <f ca="1">IFERROR(VLOOKUP($D21,'Data NEW'!$B$2:$K$210,5,FALSE),"")</f>
        <v>lime juice</v>
      </c>
      <c r="H21" s="11" t="str">
        <f ca="1">IFERROR(VLOOKUP($D21,'Data NEW'!$B$2:$K$210,4,FALSE),"")</f>
        <v>simple syrup</v>
      </c>
      <c r="I21" s="11">
        <f ca="1">IFERROR(VLOOKUP($D21,'Data NEW'!$B$2:$K$210,7,FALSE),"")</f>
        <v>0</v>
      </c>
      <c r="J21" s="11">
        <f ca="1">IFERROR(VLOOKUP($D21,'Data NEW'!$B$2:$K$210,3,FALSE),"")</f>
        <v>0</v>
      </c>
      <c r="K21" s="11">
        <f ca="1">IFERROR(VLOOKUP($D21,'Data NEW'!$B$2:$K$210,8,FALSE),"")</f>
        <v>0</v>
      </c>
      <c r="L21" s="11" t="str">
        <f ca="1">IFERROR(VLOOKUP($D21,'Data NEW'!$B$2:$K$210,9,FALSE),"")</f>
        <v>Angostura</v>
      </c>
      <c r="M21" s="11">
        <f ca="1">IFERROR(VLOOKUP($D21,'Data NEW'!$B$2:$K$210,10,FALSE),"")</f>
        <v>0</v>
      </c>
    </row>
    <row r="22" spans="4:13" ht="15.75" customHeight="1" x14ac:dyDescent="0.2">
      <c r="D22" s="12" t="str">
        <f ca="1">IFERROR(__xludf.DUMMYFUNCTION("""COMPUTED_VALUE"""),"Bermuda Rose")</f>
        <v>Bermuda Rose</v>
      </c>
      <c r="E22" s="13" t="str">
        <f ca="1">IFERROR(VLOOKUP($D22,'Data NEW'!$B$2:$K$210,2,FALSE),"")</f>
        <v>gin</v>
      </c>
      <c r="F22" s="11" t="str">
        <f ca="1">IFERROR(VLOOKUP($D22,'Data NEW'!$B$2:$K$210,6,FALSE),"")</f>
        <v>sweet vermouth</v>
      </c>
      <c r="G22" s="11">
        <f ca="1">IFERROR(VLOOKUP($D22,'Data NEW'!$B$2:$K$210,5,FALSE),"")</f>
        <v>0</v>
      </c>
      <c r="H22" s="11" t="str">
        <f ca="1">IFERROR(VLOOKUP($D22,'Data NEW'!$B$2:$K$210,4,FALSE),"")</f>
        <v>grenadine</v>
      </c>
      <c r="I22" s="11">
        <f ca="1">IFERROR(VLOOKUP($D22,'Data NEW'!$B$2:$K$210,7,FALSE),"")</f>
        <v>0</v>
      </c>
      <c r="J22" s="11">
        <f ca="1">IFERROR(VLOOKUP($D22,'Data NEW'!$B$2:$K$210,3,FALSE),"")</f>
        <v>0</v>
      </c>
      <c r="K22" s="11">
        <f ca="1">IFERROR(VLOOKUP($D22,'Data NEW'!$B$2:$K$210,8,FALSE),"")</f>
        <v>0</v>
      </c>
      <c r="L22" s="11">
        <f ca="1">IFERROR(VLOOKUP($D22,'Data NEW'!$B$2:$K$210,9,FALSE),"")</f>
        <v>0</v>
      </c>
      <c r="M22" s="11">
        <f ca="1">IFERROR(VLOOKUP($D22,'Data NEW'!$B$2:$K$210,10,FALSE),"")</f>
        <v>0</v>
      </c>
    </row>
    <row r="23" spans="4:13" ht="15.75" customHeight="1" x14ac:dyDescent="0.2">
      <c r="D23" s="12" t="str">
        <f ca="1">IFERROR(__xludf.DUMMYFUNCTION("""COMPUTED_VALUE"""),"Between the Sheets")</f>
        <v>Between the Sheets</v>
      </c>
      <c r="E23" s="13" t="str">
        <f ca="1">IFERROR(VLOOKUP($D23,'Data NEW'!$B$2:$K$210,2,FALSE),"")</f>
        <v>rum and brandy</v>
      </c>
      <c r="F23" s="11" t="str">
        <f ca="1">IFERROR(VLOOKUP($D23,'Data NEW'!$B$2:$K$210,6,FALSE),"")</f>
        <v>triple sec</v>
      </c>
      <c r="G23" s="11" t="str">
        <f ca="1">IFERROR(VLOOKUP($D23,'Data NEW'!$B$2:$K$210,5,FALSE),"")</f>
        <v>lemon juice</v>
      </c>
      <c r="H23" s="11">
        <f ca="1">IFERROR(VLOOKUP($D23,'Data NEW'!$B$2:$K$210,4,FALSE),"")</f>
        <v>0</v>
      </c>
      <c r="I23" s="11">
        <f ca="1">IFERROR(VLOOKUP($D23,'Data NEW'!$B$2:$K$210,7,FALSE),"")</f>
        <v>0</v>
      </c>
      <c r="J23" s="11">
        <f ca="1">IFERROR(VLOOKUP($D23,'Data NEW'!$B$2:$K$210,3,FALSE),"")</f>
        <v>0</v>
      </c>
      <c r="K23" s="11">
        <f ca="1">IFERROR(VLOOKUP($D23,'Data NEW'!$B$2:$K$210,8,FALSE),"")</f>
        <v>0</v>
      </c>
      <c r="L23" s="11">
        <f ca="1">IFERROR(VLOOKUP($D23,'Data NEW'!$B$2:$K$210,9,FALSE),"")</f>
        <v>0</v>
      </c>
      <c r="M23" s="11">
        <f ca="1">IFERROR(VLOOKUP($D23,'Data NEW'!$B$2:$K$210,10,FALSE),"")</f>
        <v>0</v>
      </c>
    </row>
    <row r="24" spans="4:13" ht="15.75" customHeight="1" x14ac:dyDescent="0.2">
      <c r="D24" s="12" t="str">
        <f ca="1">IFERROR(__xludf.DUMMYFUNCTION("""COMPUTED_VALUE"""),"Big Pine Key Cocktail")</f>
        <v>Big Pine Key Cocktail</v>
      </c>
      <c r="E24" s="13" t="str">
        <f ca="1">IFERROR(VLOOKUP($D24,'Data NEW'!$B$2:$K$210,2,FALSE),"")</f>
        <v>gin</v>
      </c>
      <c r="F24" s="11" t="str">
        <f ca="1">IFERROR(VLOOKUP($D24,'Data NEW'!$B$2:$K$210,6,FALSE),"")</f>
        <v>triple sec</v>
      </c>
      <c r="G24" s="11" t="str">
        <f ca="1">IFERROR(VLOOKUP($D24,'Data NEW'!$B$2:$K$210,5,FALSE),"")</f>
        <v>lime juice</v>
      </c>
      <c r="H24" s="11">
        <f ca="1">IFERROR(VLOOKUP($D24,'Data NEW'!$B$2:$K$210,4,FALSE),"")</f>
        <v>0</v>
      </c>
      <c r="I24" s="11">
        <f ca="1">IFERROR(VLOOKUP($D24,'Data NEW'!$B$2:$K$210,7,FALSE),"")</f>
        <v>0</v>
      </c>
      <c r="J24" s="11">
        <f ca="1">IFERROR(VLOOKUP($D24,'Data NEW'!$B$2:$K$210,3,FALSE),"")</f>
        <v>0</v>
      </c>
      <c r="K24" s="11">
        <f ca="1">IFERROR(VLOOKUP($D24,'Data NEW'!$B$2:$K$210,8,FALSE),"")</f>
        <v>0</v>
      </c>
      <c r="L24" s="11">
        <f ca="1">IFERROR(VLOOKUP($D24,'Data NEW'!$B$2:$K$210,9,FALSE),"")</f>
        <v>0</v>
      </c>
      <c r="M24" s="11">
        <f ca="1">IFERROR(VLOOKUP($D24,'Data NEW'!$B$2:$K$210,10,FALSE),"")</f>
        <v>0</v>
      </c>
    </row>
    <row r="25" spans="4:13" ht="15.75" customHeight="1" x14ac:dyDescent="0.2">
      <c r="D25" s="12" t="str">
        <f ca="1">IFERROR(__xludf.DUMMYFUNCTION("""COMPUTED_VALUE"""),"Bistro Sidecar")</f>
        <v>Bistro Sidecar</v>
      </c>
      <c r="E25" s="13" t="str">
        <f ca="1">IFERROR(VLOOKUP($D25,'Data NEW'!$B$2:$K$210,2,FALSE),"")</f>
        <v>brandy</v>
      </c>
      <c r="F25" s="11" t="str">
        <f ca="1">IFERROR(VLOOKUP($D25,'Data NEW'!$B$2:$K$210,6,FALSE),"")</f>
        <v>Tuaca</v>
      </c>
      <c r="G25" s="11" t="str">
        <f ca="1">IFERROR(VLOOKUP($D25,'Data NEW'!$B$2:$K$210,5,FALSE),"")</f>
        <v>lemon juice</v>
      </c>
      <c r="H25" s="11">
        <f ca="1">IFERROR(VLOOKUP($D25,'Data NEW'!$B$2:$K$210,4,FALSE),"")</f>
        <v>0</v>
      </c>
      <c r="I25" s="11" t="str">
        <f ca="1">IFERROR(VLOOKUP($D25,'Data NEW'!$B$2:$K$210,7,FALSE),"")</f>
        <v>tangerine juice</v>
      </c>
      <c r="J25" s="11">
        <f ca="1">IFERROR(VLOOKUP($D25,'Data NEW'!$B$2:$K$210,3,FALSE),"")</f>
        <v>0</v>
      </c>
      <c r="K25" s="11">
        <f ca="1">IFERROR(VLOOKUP($D25,'Data NEW'!$B$2:$K$210,8,FALSE),"")</f>
        <v>0</v>
      </c>
      <c r="L25" s="11" t="str">
        <f ca="1">IFERROR(VLOOKUP($D25,'Data NEW'!$B$2:$K$210,9,FALSE),"")</f>
        <v>Frangelico</v>
      </c>
      <c r="M25" s="11">
        <f ca="1">IFERROR(VLOOKUP($D25,'Data NEW'!$B$2:$K$210,10,FALSE),"")</f>
        <v>0</v>
      </c>
    </row>
    <row r="26" spans="4:13" ht="15.75" customHeight="1" x14ac:dyDescent="0.2">
      <c r="D26" s="12" t="str">
        <f ca="1">IFERROR(__xludf.DUMMYFUNCTION("""COMPUTED_VALUE"""),"Black Russian")</f>
        <v>Black Russian</v>
      </c>
      <c r="E26" s="13" t="str">
        <f ca="1">IFERROR(VLOOKUP($D26,'Data NEW'!$B$2:$K$210,2,FALSE),"")</f>
        <v>vodka</v>
      </c>
      <c r="F26" s="11" t="str">
        <f ca="1">IFERROR(VLOOKUP($D26,'Data NEW'!$B$2:$K$210,6,FALSE),"")</f>
        <v>Kahlua</v>
      </c>
      <c r="G26" s="11">
        <f ca="1">IFERROR(VLOOKUP($D26,'Data NEW'!$B$2:$K$210,5,FALSE),"")</f>
        <v>0</v>
      </c>
      <c r="H26" s="11">
        <f ca="1">IFERROR(VLOOKUP($D26,'Data NEW'!$B$2:$K$210,4,FALSE),"")</f>
        <v>0</v>
      </c>
      <c r="I26" s="11">
        <f ca="1">IFERROR(VLOOKUP($D26,'Data NEW'!$B$2:$K$210,7,FALSE),"")</f>
        <v>0</v>
      </c>
      <c r="J26" s="11">
        <f ca="1">IFERROR(VLOOKUP($D26,'Data NEW'!$B$2:$K$210,3,FALSE),"")</f>
        <v>0</v>
      </c>
      <c r="K26" s="11">
        <f ca="1">IFERROR(VLOOKUP($D26,'Data NEW'!$B$2:$K$210,8,FALSE),"")</f>
        <v>0</v>
      </c>
      <c r="L26" s="11">
        <f ca="1">IFERROR(VLOOKUP($D26,'Data NEW'!$B$2:$K$210,9,FALSE),"")</f>
        <v>0</v>
      </c>
      <c r="M26" s="11">
        <f ca="1">IFERROR(VLOOKUP($D26,'Data NEW'!$B$2:$K$210,10,FALSE),"")</f>
        <v>0</v>
      </c>
    </row>
    <row r="27" spans="4:13" ht="15.75" customHeight="1" x14ac:dyDescent="0.2">
      <c r="D27" s="12" t="str">
        <f ca="1">IFERROR(__xludf.DUMMYFUNCTION("""COMPUTED_VALUE"""),"Black-Eyed Susan")</f>
        <v>Black-Eyed Susan</v>
      </c>
      <c r="E27" s="13" t="str">
        <f ca="1">IFERROR(VLOOKUP($D27,'Data NEW'!$B$2:$K$210,2,FALSE),"")</f>
        <v>vodka</v>
      </c>
      <c r="F27" s="11" t="str">
        <f ca="1">IFERROR(VLOOKUP($D27,'Data NEW'!$B$2:$K$210,6,FALSE),"")</f>
        <v>triple sec</v>
      </c>
      <c r="G27" s="11" t="str">
        <f ca="1">IFERROR(VLOOKUP($D27,'Data NEW'!$B$2:$K$210,5,FALSE),"")</f>
        <v>orange juice</v>
      </c>
      <c r="H27" s="11">
        <f ca="1">IFERROR(VLOOKUP($D27,'Data NEW'!$B$2:$K$210,4,FALSE),"")</f>
        <v>0</v>
      </c>
      <c r="I27" s="11">
        <f ca="1">IFERROR(VLOOKUP($D27,'Data NEW'!$B$2:$K$210,7,FALSE),"")</f>
        <v>0</v>
      </c>
      <c r="J27" s="11" t="str">
        <f ca="1">IFERROR(VLOOKUP($D27,'Data NEW'!$B$2:$K$210,3,FALSE),"")</f>
        <v>rum</v>
      </c>
      <c r="K27" s="11">
        <f ca="1">IFERROR(VLOOKUP($D27,'Data NEW'!$B$2:$K$210,8,FALSE),"")</f>
        <v>0</v>
      </c>
      <c r="L27" s="11">
        <f ca="1">IFERROR(VLOOKUP($D27,'Data NEW'!$B$2:$K$210,9,FALSE),"")</f>
        <v>0</v>
      </c>
      <c r="M27" s="11">
        <f ca="1">IFERROR(VLOOKUP($D27,'Data NEW'!$B$2:$K$210,10,FALSE),"")</f>
        <v>0</v>
      </c>
    </row>
    <row r="28" spans="4:13" ht="15.75" customHeight="1" x14ac:dyDescent="0.2">
      <c r="D28" s="12" t="str">
        <f ca="1">IFERROR(__xludf.DUMMYFUNCTION("""COMPUTED_VALUE"""),"Blackthorne")</f>
        <v>Blackthorne</v>
      </c>
      <c r="E28" s="13" t="str">
        <f ca="1">IFERROR(VLOOKUP($D28,'Data NEW'!$B$2:$K$210,2,FALSE),"")</f>
        <v>Irish Whiskey</v>
      </c>
      <c r="F28" s="11" t="str">
        <f ca="1">IFERROR(VLOOKUP($D28,'Data NEW'!$B$2:$K$210,6,FALSE),"")</f>
        <v>sweet vermouth</v>
      </c>
      <c r="G28" s="11">
        <f ca="1">IFERROR(VLOOKUP($D28,'Data NEW'!$B$2:$K$210,5,FALSE),"")</f>
        <v>0</v>
      </c>
      <c r="H28" s="11" t="str">
        <f ca="1">IFERROR(VLOOKUP($D28,'Data NEW'!$B$2:$K$210,4,FALSE),"")</f>
        <v>Angostura</v>
      </c>
      <c r="I28" s="11">
        <f ca="1">IFERROR(VLOOKUP($D28,'Data NEW'!$B$2:$K$210,7,FALSE),"")</f>
        <v>0</v>
      </c>
      <c r="J28" s="11">
        <f ca="1">IFERROR(VLOOKUP($D28,'Data NEW'!$B$2:$K$210,3,FALSE),"")</f>
        <v>0</v>
      </c>
      <c r="K28" s="11">
        <f ca="1">IFERROR(VLOOKUP($D28,'Data NEW'!$B$2:$K$210,8,FALSE),"")</f>
        <v>0</v>
      </c>
      <c r="L28" s="11">
        <f ca="1">IFERROR(VLOOKUP($D28,'Data NEW'!$B$2:$K$210,9,FALSE),"")</f>
        <v>0</v>
      </c>
      <c r="M28" s="11">
        <f ca="1">IFERROR(VLOOKUP($D28,'Data NEW'!$B$2:$K$210,10,FALSE),"")</f>
        <v>0</v>
      </c>
    </row>
    <row r="29" spans="4:13" ht="15.75" customHeight="1" x14ac:dyDescent="0.2">
      <c r="D29" s="12" t="str">
        <f ca="1">IFERROR(__xludf.DUMMYFUNCTION("""COMPUTED_VALUE"""),"Bleack Feather Cocktail")</f>
        <v>Bleack Feather Cocktail</v>
      </c>
      <c r="E29" s="13" t="str">
        <f ca="1">IFERROR(VLOOKUP($D29,'Data NEW'!$B$2:$K$210,2,FALSE),"")</f>
        <v>brandy</v>
      </c>
      <c r="F29" s="11" t="str">
        <f ca="1">IFERROR(VLOOKUP($D29,'Data NEW'!$B$2:$K$210,6,FALSE),"")</f>
        <v>dry vermouth</v>
      </c>
      <c r="G29" s="11" t="str">
        <f ca="1">IFERROR(VLOOKUP($D29,'Data NEW'!$B$2:$K$210,5,FALSE),"")</f>
        <v>Juice</v>
      </c>
      <c r="H29" s="11" t="str">
        <f ca="1">IFERROR(VLOOKUP($D29,'Data NEW'!$B$2:$K$210,4,FALSE),"")</f>
        <v>Angostura</v>
      </c>
      <c r="I29" s="11">
        <f ca="1">IFERROR(VLOOKUP($D29,'Data NEW'!$B$2:$K$210,7,FALSE),"")</f>
        <v>0</v>
      </c>
      <c r="J29" s="11">
        <f ca="1">IFERROR(VLOOKUP($D29,'Data NEW'!$B$2:$K$210,3,FALSE),"")</f>
        <v>0</v>
      </c>
      <c r="K29" s="11">
        <f ca="1">IFERROR(VLOOKUP($D29,'Data NEW'!$B$2:$K$210,8,FALSE),"")</f>
        <v>0</v>
      </c>
      <c r="L29" s="11" t="str">
        <f ca="1">IFERROR(VLOOKUP($D29,'Data NEW'!$B$2:$K$210,9,FALSE),"")</f>
        <v>triple sec</v>
      </c>
      <c r="M29" s="11">
        <f ca="1">IFERROR(VLOOKUP($D29,'Data NEW'!$B$2:$K$210,10,FALSE),"")</f>
        <v>0</v>
      </c>
    </row>
    <row r="30" spans="4:13" ht="15.75" customHeight="1" x14ac:dyDescent="0.2">
      <c r="D30" s="12" t="str">
        <f ca="1">IFERROR(__xludf.DUMMYFUNCTION("""COMPUTED_VALUE"""),"Blood and Sand")</f>
        <v>Blood and Sand</v>
      </c>
      <c r="E30" s="13" t="str">
        <f ca="1">IFERROR(VLOOKUP($D30,'Data NEW'!$B$2:$K$210,2,FALSE),"")</f>
        <v>scotch</v>
      </c>
      <c r="F30" s="11" t="str">
        <f ca="1">IFERROR(VLOOKUP($D30,'Data NEW'!$B$2:$K$210,6,FALSE),"")</f>
        <v>sweet vermouth</v>
      </c>
      <c r="G30" s="11" t="str">
        <f ca="1">IFERROR(VLOOKUP($D30,'Data NEW'!$B$2:$K$210,5,FALSE),"")</f>
        <v>orange juice</v>
      </c>
      <c r="H30" s="11">
        <f ca="1">IFERROR(VLOOKUP($D30,'Data NEW'!$B$2:$K$210,4,FALSE),"")</f>
        <v>0</v>
      </c>
      <c r="I30" s="11">
        <f ca="1">IFERROR(VLOOKUP($D30,'Data NEW'!$B$2:$K$210,7,FALSE),"")</f>
        <v>0</v>
      </c>
      <c r="J30" s="11">
        <f ca="1">IFERROR(VLOOKUP($D30,'Data NEW'!$B$2:$K$210,3,FALSE),"")</f>
        <v>0</v>
      </c>
      <c r="K30" s="11">
        <f ca="1">IFERROR(VLOOKUP($D30,'Data NEW'!$B$2:$K$210,8,FALSE),"")</f>
        <v>0</v>
      </c>
      <c r="L30" s="11">
        <f ca="1">IFERROR(VLOOKUP($D30,'Data NEW'!$B$2:$K$210,9,FALSE),"")</f>
        <v>0</v>
      </c>
      <c r="M30" s="11">
        <f ca="1">IFERROR(VLOOKUP($D30,'Data NEW'!$B$2:$K$210,10,FALSE),"")</f>
        <v>0</v>
      </c>
    </row>
    <row r="31" spans="4:13" ht="15.75" customHeight="1" x14ac:dyDescent="0.2">
      <c r="D31" s="12" t="str">
        <f ca="1">IFERROR(__xludf.DUMMYFUNCTION("""COMPUTED_VALUE"""),"Bobby Burns")</f>
        <v>Bobby Burns</v>
      </c>
      <c r="E31" s="13" t="str">
        <f ca="1">IFERROR(VLOOKUP($D31,'Data NEW'!$B$2:$K$210,2,FALSE),"")</f>
        <v>scotch</v>
      </c>
      <c r="F31" s="11" t="str">
        <f ca="1">IFERROR(VLOOKUP($D31,'Data NEW'!$B$2:$K$210,6,FALSE),"")</f>
        <v>sweet vermouth</v>
      </c>
      <c r="G31" s="11">
        <f ca="1">IFERROR(VLOOKUP($D31,'Data NEW'!$B$2:$K$210,5,FALSE),"")</f>
        <v>0</v>
      </c>
      <c r="H31" s="11">
        <f ca="1">IFERROR(VLOOKUP($D31,'Data NEW'!$B$2:$K$210,4,FALSE),"")</f>
        <v>0</v>
      </c>
      <c r="I31" s="11">
        <f ca="1">IFERROR(VLOOKUP($D31,'Data NEW'!$B$2:$K$210,7,FALSE),"")</f>
        <v>0</v>
      </c>
      <c r="J31" s="11">
        <f ca="1">IFERROR(VLOOKUP($D31,'Data NEW'!$B$2:$K$210,3,FALSE),"")</f>
        <v>0</v>
      </c>
      <c r="K31" s="11">
        <f ca="1">IFERROR(VLOOKUP($D31,'Data NEW'!$B$2:$K$210,8,FALSE),"")</f>
        <v>0</v>
      </c>
      <c r="L31" s="11">
        <f ca="1">IFERROR(VLOOKUP($D31,'Data NEW'!$B$2:$K$210,9,FALSE),"")</f>
        <v>0</v>
      </c>
      <c r="M31" s="11">
        <f ca="1">IFERROR(VLOOKUP($D31,'Data NEW'!$B$2:$K$210,10,FALSE),"")</f>
        <v>0</v>
      </c>
    </row>
    <row r="32" spans="4:13" ht="15.75" customHeight="1" x14ac:dyDescent="0.2">
      <c r="D32" s="12" t="str">
        <f ca="1">IFERROR(__xludf.DUMMYFUNCTION("""COMPUTED_VALUE"""),"Bocce Ball")</f>
        <v>Bocce Ball</v>
      </c>
      <c r="E32" s="13">
        <f ca="1">IFERROR(VLOOKUP($D32,'Data NEW'!$B$2:$K$210,2,FALSE),"")</f>
        <v>0</v>
      </c>
      <c r="F32" s="11" t="str">
        <f ca="1">IFERROR(VLOOKUP($D32,'Data NEW'!$B$2:$K$210,6,FALSE),"")</f>
        <v>amaretto</v>
      </c>
      <c r="G32" s="11" t="str">
        <f ca="1">IFERROR(VLOOKUP($D32,'Data NEW'!$B$2:$K$210,5,FALSE),"")</f>
        <v>orange juice</v>
      </c>
      <c r="H32" s="11">
        <f ca="1">IFERROR(VLOOKUP($D32,'Data NEW'!$B$2:$K$210,4,FALSE),"")</f>
        <v>0</v>
      </c>
      <c r="I32" s="11">
        <f ca="1">IFERROR(VLOOKUP($D32,'Data NEW'!$B$2:$K$210,7,FALSE),"")</f>
        <v>0</v>
      </c>
      <c r="J32" s="11">
        <f ca="1">IFERROR(VLOOKUP($D32,'Data NEW'!$B$2:$K$210,3,FALSE),"")</f>
        <v>0</v>
      </c>
      <c r="K32" s="11">
        <f ca="1">IFERROR(VLOOKUP($D32,'Data NEW'!$B$2:$K$210,8,FALSE),"")</f>
        <v>0</v>
      </c>
      <c r="L32" s="11">
        <f ca="1">IFERROR(VLOOKUP($D32,'Data NEW'!$B$2:$K$210,9,FALSE),"")</f>
        <v>0</v>
      </c>
      <c r="M32" s="11">
        <f ca="1">IFERROR(VLOOKUP($D32,'Data NEW'!$B$2:$K$210,10,FALSE),"")</f>
        <v>0</v>
      </c>
    </row>
    <row r="33" spans="4:13" ht="15.75" customHeight="1" x14ac:dyDescent="0.2">
      <c r="D33" s="12" t="str">
        <f ca="1">IFERROR(__xludf.DUMMYFUNCTION("""COMPUTED_VALUE"""),"Bolero Cocktail")</f>
        <v>Bolero Cocktail</v>
      </c>
      <c r="E33" s="13" t="str">
        <f ca="1">IFERROR(VLOOKUP($D33,'Data NEW'!$B$2:$K$210,2,FALSE),"")</f>
        <v>rum and brandy</v>
      </c>
      <c r="F33" s="11">
        <f ca="1">IFERROR(VLOOKUP($D33,'Data NEW'!$B$2:$K$210,6,FALSE),"")</f>
        <v>0</v>
      </c>
      <c r="G33" s="11" t="str">
        <f ca="1">IFERROR(VLOOKUP($D33,'Data NEW'!$B$2:$K$210,5,FALSE),"")</f>
        <v>lime juice</v>
      </c>
      <c r="H33" s="11" t="str">
        <f ca="1">IFERROR(VLOOKUP($D33,'Data NEW'!$B$2:$K$210,4,FALSE),"")</f>
        <v>simple syrup</v>
      </c>
      <c r="I33" s="11">
        <f ca="1">IFERROR(VLOOKUP($D33,'Data NEW'!$B$2:$K$210,7,FALSE),"")</f>
        <v>0</v>
      </c>
      <c r="J33" s="11">
        <f ca="1">IFERROR(VLOOKUP($D33,'Data NEW'!$B$2:$K$210,3,FALSE),"")</f>
        <v>0</v>
      </c>
      <c r="K33" s="11">
        <f ca="1">IFERROR(VLOOKUP($D33,'Data NEW'!$B$2:$K$210,8,FALSE),"")</f>
        <v>0</v>
      </c>
      <c r="L33" s="11">
        <f ca="1">IFERROR(VLOOKUP($D33,'Data NEW'!$B$2:$K$210,9,FALSE),"")</f>
        <v>0</v>
      </c>
      <c r="M33" s="11">
        <f ca="1">IFERROR(VLOOKUP($D33,'Data NEW'!$B$2:$K$210,10,FALSE),"")</f>
        <v>0</v>
      </c>
    </row>
    <row r="34" spans="4:13" ht="15.75" customHeight="1" x14ac:dyDescent="0.2">
      <c r="D34" s="12" t="str">
        <f ca="1">IFERROR(__xludf.DUMMYFUNCTION("""COMPUTED_VALUE"""),"Bourbon and Branch")</f>
        <v>Bourbon and Branch</v>
      </c>
      <c r="E34" s="13" t="str">
        <f ca="1">IFERROR(VLOOKUP($D34,'Data NEW'!$B$2:$K$210,2,FALSE),"")</f>
        <v>bourbon</v>
      </c>
      <c r="F34" s="11">
        <f ca="1">IFERROR(VLOOKUP($D34,'Data NEW'!$B$2:$K$210,6,FALSE),"")</f>
        <v>0</v>
      </c>
      <c r="G34" s="11">
        <f ca="1">IFERROR(VLOOKUP($D34,'Data NEW'!$B$2:$K$210,5,FALSE),"")</f>
        <v>0</v>
      </c>
      <c r="H34" s="11" t="str">
        <f ca="1">IFERROR(VLOOKUP($D34,'Data NEW'!$B$2:$K$210,4,FALSE),"")</f>
        <v>bottled water</v>
      </c>
      <c r="I34" s="11">
        <f ca="1">IFERROR(VLOOKUP($D34,'Data NEW'!$B$2:$K$210,7,FALSE),"")</f>
        <v>0</v>
      </c>
      <c r="J34" s="11">
        <f ca="1">IFERROR(VLOOKUP($D34,'Data NEW'!$B$2:$K$210,3,FALSE),"")</f>
        <v>0</v>
      </c>
      <c r="K34" s="11">
        <f ca="1">IFERROR(VLOOKUP($D34,'Data NEW'!$B$2:$K$210,8,FALSE),"")</f>
        <v>0</v>
      </c>
      <c r="L34" s="11">
        <f ca="1">IFERROR(VLOOKUP($D34,'Data NEW'!$B$2:$K$210,9,FALSE),"")</f>
        <v>0</v>
      </c>
      <c r="M34" s="11">
        <f ca="1">IFERROR(VLOOKUP($D34,'Data NEW'!$B$2:$K$210,10,FALSE),"")</f>
        <v>0</v>
      </c>
    </row>
    <row r="35" spans="4:13" ht="15.75" customHeight="1" x14ac:dyDescent="0.2">
      <c r="D35" s="12" t="str">
        <f ca="1">IFERROR(__xludf.DUMMYFUNCTION("""COMPUTED_VALUE"""),"Bourbon and Coke")</f>
        <v>Bourbon and Coke</v>
      </c>
      <c r="E35" s="13" t="str">
        <f ca="1">IFERROR(VLOOKUP($D35,'Data NEW'!$B$2:$K$210,2,FALSE),"")</f>
        <v>bourbon</v>
      </c>
      <c r="F35" s="11">
        <f ca="1">IFERROR(VLOOKUP($D35,'Data NEW'!$B$2:$K$210,6,FALSE),"")</f>
        <v>0</v>
      </c>
      <c r="G35" s="11">
        <f ca="1">IFERROR(VLOOKUP($D35,'Data NEW'!$B$2:$K$210,5,FALSE),"")</f>
        <v>0</v>
      </c>
      <c r="H35" s="11" t="str">
        <f ca="1">IFERROR(VLOOKUP($D35,'Data NEW'!$B$2:$K$210,4,FALSE),"")</f>
        <v>Coca-cola</v>
      </c>
      <c r="I35" s="11">
        <f ca="1">IFERROR(VLOOKUP($D35,'Data NEW'!$B$2:$K$210,7,FALSE),"")</f>
        <v>0</v>
      </c>
      <c r="J35" s="11">
        <f ca="1">IFERROR(VLOOKUP($D35,'Data NEW'!$B$2:$K$210,3,FALSE),"")</f>
        <v>0</v>
      </c>
      <c r="K35" s="11">
        <f ca="1">IFERROR(VLOOKUP($D35,'Data NEW'!$B$2:$K$210,8,FALSE),"")</f>
        <v>0</v>
      </c>
      <c r="L35" s="11">
        <f ca="1">IFERROR(VLOOKUP($D35,'Data NEW'!$B$2:$K$210,9,FALSE),"")</f>
        <v>0</v>
      </c>
      <c r="M35" s="11">
        <f ca="1">IFERROR(VLOOKUP($D35,'Data NEW'!$B$2:$K$210,10,FALSE),"")</f>
        <v>0</v>
      </c>
    </row>
    <row r="36" spans="4:13" ht="15.75" customHeight="1" x14ac:dyDescent="0.2">
      <c r="D36" s="12" t="str">
        <f ca="1">IFERROR(__xludf.DUMMYFUNCTION("""COMPUTED_VALUE"""),"Brandy Alexander")</f>
        <v>Brandy Alexander</v>
      </c>
      <c r="E36" s="13" t="str">
        <f ca="1">IFERROR(VLOOKUP($D36,'Data NEW'!$B$2:$K$210,2,FALSE),"")</f>
        <v>cognac</v>
      </c>
      <c r="F36" s="11" t="str">
        <f ca="1">IFERROR(VLOOKUP($D36,'Data NEW'!$B$2:$K$210,6,FALSE),"")</f>
        <v>dark crème de cacao</v>
      </c>
      <c r="G36" s="11">
        <f ca="1">IFERROR(VLOOKUP($D36,'Data NEW'!$B$2:$K$210,5,FALSE),"")</f>
        <v>0</v>
      </c>
      <c r="H36" s="11" t="str">
        <f ca="1">IFERROR(VLOOKUP($D36,'Data NEW'!$B$2:$K$210,4,FALSE),"")</f>
        <v>cream</v>
      </c>
      <c r="I36" s="11">
        <f ca="1">IFERROR(VLOOKUP($D36,'Data NEW'!$B$2:$K$210,7,FALSE),"")</f>
        <v>0</v>
      </c>
      <c r="J36" s="11">
        <f ca="1">IFERROR(VLOOKUP($D36,'Data NEW'!$B$2:$K$210,3,FALSE),"")</f>
        <v>0</v>
      </c>
      <c r="K36" s="11">
        <f ca="1">IFERROR(VLOOKUP($D36,'Data NEW'!$B$2:$K$210,8,FALSE),"")</f>
        <v>0</v>
      </c>
      <c r="L36" s="11">
        <f ca="1">IFERROR(VLOOKUP($D36,'Data NEW'!$B$2:$K$210,9,FALSE),"")</f>
        <v>0</v>
      </c>
      <c r="M36" s="11">
        <f ca="1">IFERROR(VLOOKUP($D36,'Data NEW'!$B$2:$K$210,10,FALSE),"")</f>
        <v>0</v>
      </c>
    </row>
    <row r="37" spans="4:13" ht="15.75" customHeight="1" x14ac:dyDescent="0.2">
      <c r="D37" s="12" t="str">
        <f ca="1">IFERROR(__xludf.DUMMYFUNCTION("""COMPUTED_VALUE"""),"Brandy and Soda")</f>
        <v>Brandy and Soda</v>
      </c>
      <c r="E37" s="13" t="str">
        <f ca="1">IFERROR(VLOOKUP($D37,'Data NEW'!$B$2:$K$210,2,FALSE),"")</f>
        <v>brandy</v>
      </c>
      <c r="F37" s="11">
        <f ca="1">IFERROR(VLOOKUP($D37,'Data NEW'!$B$2:$K$210,6,FALSE),"")</f>
        <v>0</v>
      </c>
      <c r="G37" s="11">
        <f ca="1">IFERROR(VLOOKUP($D37,'Data NEW'!$B$2:$K$210,5,FALSE),"")</f>
        <v>0</v>
      </c>
      <c r="H37" s="11" t="str">
        <f ca="1">IFERROR(VLOOKUP($D37,'Data NEW'!$B$2:$K$210,4,FALSE),"")</f>
        <v>club soda</v>
      </c>
      <c r="I37" s="11">
        <f ca="1">IFERROR(VLOOKUP($D37,'Data NEW'!$B$2:$K$210,7,FALSE),"")</f>
        <v>0</v>
      </c>
      <c r="J37" s="11">
        <f ca="1">IFERROR(VLOOKUP($D37,'Data NEW'!$B$2:$K$210,3,FALSE),"")</f>
        <v>0</v>
      </c>
      <c r="K37" s="11">
        <f ca="1">IFERROR(VLOOKUP($D37,'Data NEW'!$B$2:$K$210,8,FALSE),"")</f>
        <v>0</v>
      </c>
      <c r="L37" s="11">
        <f ca="1">IFERROR(VLOOKUP($D37,'Data NEW'!$B$2:$K$210,9,FALSE),"")</f>
        <v>0</v>
      </c>
      <c r="M37" s="11">
        <f ca="1">IFERROR(VLOOKUP($D37,'Data NEW'!$B$2:$K$210,10,FALSE),"")</f>
        <v>0</v>
      </c>
    </row>
    <row r="38" spans="4:13" ht="15.75" customHeight="1" x14ac:dyDescent="0.2">
      <c r="D38" s="12" t="str">
        <f ca="1">IFERROR(__xludf.DUMMYFUNCTION("""COMPUTED_VALUE"""),"Brave Bull")</f>
        <v>Brave Bull</v>
      </c>
      <c r="E38" s="13" t="str">
        <f ca="1">IFERROR(VLOOKUP($D38,'Data NEW'!$B$2:$K$210,2,FALSE),"")</f>
        <v>tequila</v>
      </c>
      <c r="F38" s="11" t="str">
        <f ca="1">IFERROR(VLOOKUP($D38,'Data NEW'!$B$2:$K$210,6,FALSE),"")</f>
        <v>Kahlua</v>
      </c>
      <c r="G38" s="11">
        <f ca="1">IFERROR(VLOOKUP($D38,'Data NEW'!$B$2:$K$210,5,FALSE),"")</f>
        <v>0</v>
      </c>
      <c r="H38" s="11">
        <f ca="1">IFERROR(VLOOKUP($D38,'Data NEW'!$B$2:$K$210,4,FALSE),"")</f>
        <v>0</v>
      </c>
      <c r="I38" s="11">
        <f ca="1">IFERROR(VLOOKUP($D38,'Data NEW'!$B$2:$K$210,7,FALSE),"")</f>
        <v>0</v>
      </c>
      <c r="J38" s="11">
        <f ca="1">IFERROR(VLOOKUP($D38,'Data NEW'!$B$2:$K$210,3,FALSE),"")</f>
        <v>0</v>
      </c>
      <c r="K38" s="11">
        <f ca="1">IFERROR(VLOOKUP($D38,'Data NEW'!$B$2:$K$210,8,FALSE),"")</f>
        <v>0</v>
      </c>
      <c r="L38" s="11">
        <f ca="1">IFERROR(VLOOKUP($D38,'Data NEW'!$B$2:$K$210,9,FALSE),"")</f>
        <v>0</v>
      </c>
      <c r="M38" s="11">
        <f ca="1">IFERROR(VLOOKUP($D38,'Data NEW'!$B$2:$K$210,10,FALSE),"")</f>
        <v>0</v>
      </c>
    </row>
    <row r="39" spans="4:13" ht="15.75" customHeight="1" x14ac:dyDescent="0.2">
      <c r="D39" s="12" t="str">
        <f ca="1">IFERROR(__xludf.DUMMYFUNCTION("""COMPUTED_VALUE"""),"British Squirrel")</f>
        <v>British Squirrel</v>
      </c>
      <c r="E39" s="13" t="str">
        <f ca="1">IFERROR(VLOOKUP($D39,'Data NEW'!$B$2:$K$210,2,FALSE),"")</f>
        <v>gin</v>
      </c>
      <c r="F39" s="11" t="str">
        <f ca="1">IFERROR(VLOOKUP($D39,'Data NEW'!$B$2:$K$210,6,FALSE),"")</f>
        <v>crème de noyau</v>
      </c>
      <c r="G39" s="11" t="str">
        <f ca="1">IFERROR(VLOOKUP($D39,'Data NEW'!$B$2:$K$210,5,FALSE),"")</f>
        <v>lime juice</v>
      </c>
      <c r="H39" s="11">
        <f ca="1">IFERROR(VLOOKUP($D39,'Data NEW'!$B$2:$K$210,4,FALSE),"")</f>
        <v>0</v>
      </c>
      <c r="I39" s="11">
        <f ca="1">IFERROR(VLOOKUP($D39,'Data NEW'!$B$2:$K$210,7,FALSE),"")</f>
        <v>0</v>
      </c>
      <c r="J39" s="11">
        <f ca="1">IFERROR(VLOOKUP($D39,'Data NEW'!$B$2:$K$210,3,FALSE),"")</f>
        <v>0</v>
      </c>
      <c r="K39" s="11">
        <f ca="1">IFERROR(VLOOKUP($D39,'Data NEW'!$B$2:$K$210,8,FALSE),"")</f>
        <v>0</v>
      </c>
      <c r="L39" s="11">
        <f ca="1">IFERROR(VLOOKUP($D39,'Data NEW'!$B$2:$K$210,9,FALSE),"")</f>
        <v>0</v>
      </c>
      <c r="M39" s="11">
        <f ca="1">IFERROR(VLOOKUP($D39,'Data NEW'!$B$2:$K$210,10,FALSE),"")</f>
        <v>0</v>
      </c>
    </row>
    <row r="40" spans="4:13" ht="15.75" customHeight="1" x14ac:dyDescent="0.2">
      <c r="D40" s="12" t="str">
        <f ca="1">IFERROR(__xludf.DUMMYFUNCTION("""COMPUTED_VALUE"""),"Bronx Cocktail")</f>
        <v>Bronx Cocktail</v>
      </c>
      <c r="E40" s="13" t="str">
        <f ca="1">IFERROR(VLOOKUP($D40,'Data NEW'!$B$2:$K$210,2,FALSE),"")</f>
        <v>gin</v>
      </c>
      <c r="F40" s="11" t="str">
        <f ca="1">IFERROR(VLOOKUP($D40,'Data NEW'!$B$2:$K$210,6,FALSE),"")</f>
        <v>dry vermouth</v>
      </c>
      <c r="G40" s="11" t="str">
        <f ca="1">IFERROR(VLOOKUP($D40,'Data NEW'!$B$2:$K$210,5,FALSE),"")</f>
        <v>orange juice</v>
      </c>
      <c r="H40" s="11" t="str">
        <f ca="1">IFERROR(VLOOKUP($D40,'Data NEW'!$B$2:$K$210,4,FALSE),"")</f>
        <v>orange bitters</v>
      </c>
      <c r="I40" s="11">
        <f ca="1">IFERROR(VLOOKUP($D40,'Data NEW'!$B$2:$K$210,7,FALSE),"")</f>
        <v>0</v>
      </c>
      <c r="J40" s="11">
        <f ca="1">IFERROR(VLOOKUP($D40,'Data NEW'!$B$2:$K$210,3,FALSE),"")</f>
        <v>0</v>
      </c>
      <c r="K40" s="11">
        <f ca="1">IFERROR(VLOOKUP($D40,'Data NEW'!$B$2:$K$210,8,FALSE),"")</f>
        <v>0</v>
      </c>
      <c r="L40" s="11" t="str">
        <f ca="1">IFERROR(VLOOKUP($D40,'Data NEW'!$B$2:$K$210,9,FALSE),"")</f>
        <v>sweet vermouth</v>
      </c>
      <c r="M40" s="11">
        <f ca="1">IFERROR(VLOOKUP($D40,'Data NEW'!$B$2:$K$210,10,FALSE),"")</f>
        <v>0</v>
      </c>
    </row>
    <row r="41" spans="4:13" ht="15.75" customHeight="1" x14ac:dyDescent="0.2">
      <c r="D41" s="12" t="str">
        <f ca="1">IFERROR(__xludf.DUMMYFUNCTION("""COMPUTED_VALUE"""),"Burnet")</f>
        <v>Burnet</v>
      </c>
      <c r="E41" s="13" t="str">
        <f ca="1">IFERROR(VLOOKUP($D41,'Data NEW'!$B$2:$K$210,2,FALSE),"")</f>
        <v>scotch</v>
      </c>
      <c r="F41" s="11" t="str">
        <f ca="1">IFERROR(VLOOKUP($D41,'Data NEW'!$B$2:$K$210,6,FALSE),"")</f>
        <v>cherry brandy</v>
      </c>
      <c r="G41" s="11">
        <f ca="1">IFERROR(VLOOKUP($D41,'Data NEW'!$B$2:$K$210,5,FALSE),"")</f>
        <v>0</v>
      </c>
      <c r="H41" s="11">
        <f ca="1">IFERROR(VLOOKUP($D41,'Data NEW'!$B$2:$K$210,4,FALSE),"")</f>
        <v>0</v>
      </c>
      <c r="I41" s="11">
        <f ca="1">IFERROR(VLOOKUP($D41,'Data NEW'!$B$2:$K$210,7,FALSE),"")</f>
        <v>0</v>
      </c>
      <c r="J41" s="11">
        <f ca="1">IFERROR(VLOOKUP($D41,'Data NEW'!$B$2:$K$210,3,FALSE),"")</f>
        <v>0</v>
      </c>
      <c r="K41" s="11">
        <f ca="1">IFERROR(VLOOKUP($D41,'Data NEW'!$B$2:$K$210,8,FALSE),"")</f>
        <v>0</v>
      </c>
      <c r="L41" s="11">
        <f ca="1">IFERROR(VLOOKUP($D41,'Data NEW'!$B$2:$K$210,9,FALSE),"")</f>
        <v>0</v>
      </c>
      <c r="M41" s="11">
        <f ca="1">IFERROR(VLOOKUP($D41,'Data NEW'!$B$2:$K$210,10,FALSE),"")</f>
        <v>0</v>
      </c>
    </row>
    <row r="42" spans="4:13" ht="15.75" customHeight="1" x14ac:dyDescent="0.2">
      <c r="D42" s="12" t="str">
        <f ca="1">IFERROR(__xludf.DUMMYFUNCTION("""COMPUTED_VALUE"""),"Burnished Gold")</f>
        <v>Burnished Gold</v>
      </c>
      <c r="E42" s="13" t="str">
        <f ca="1">IFERROR(VLOOKUP($D42,'Data NEW'!$B$2:$K$210,2,FALSE),"")</f>
        <v>cognac</v>
      </c>
      <c r="F42" s="11" t="str">
        <f ca="1">IFERROR(VLOOKUP($D42,'Data NEW'!$B$2:$K$210,6,FALSE),"")</f>
        <v>Frangelico</v>
      </c>
      <c r="G42" s="11">
        <f ca="1">IFERROR(VLOOKUP($D42,'Data NEW'!$B$2:$K$210,5,FALSE),"")</f>
        <v>0</v>
      </c>
      <c r="H42" s="11">
        <f ca="1">IFERROR(VLOOKUP($D42,'Data NEW'!$B$2:$K$210,4,FALSE),"")</f>
        <v>0</v>
      </c>
      <c r="I42" s="11">
        <f ca="1">IFERROR(VLOOKUP($D42,'Data NEW'!$B$2:$K$210,7,FALSE),"")</f>
        <v>0</v>
      </c>
      <c r="J42" s="11">
        <f ca="1">IFERROR(VLOOKUP($D42,'Data NEW'!$B$2:$K$210,3,FALSE),"")</f>
        <v>0</v>
      </c>
      <c r="K42" s="11">
        <f ca="1">IFERROR(VLOOKUP($D42,'Data NEW'!$B$2:$K$210,8,FALSE),"")</f>
        <v>0</v>
      </c>
      <c r="L42" s="11">
        <f ca="1">IFERROR(VLOOKUP($D42,'Data NEW'!$B$2:$K$210,9,FALSE),"")</f>
        <v>0</v>
      </c>
      <c r="M42" s="11">
        <f ca="1">IFERROR(VLOOKUP($D42,'Data NEW'!$B$2:$K$210,10,FALSE),"")</f>
        <v>0</v>
      </c>
    </row>
    <row r="43" spans="4:13" ht="15.75" customHeight="1" x14ac:dyDescent="0.2">
      <c r="D43" s="12" t="str">
        <f ca="1">IFERROR(__xludf.DUMMYFUNCTION("""COMPUTED_VALUE"""),"Cacharita")</f>
        <v>Cacharita</v>
      </c>
      <c r="E43" s="13" t="str">
        <f ca="1">IFERROR(VLOOKUP($D43,'Data NEW'!$B$2:$K$210,2,FALSE),"")</f>
        <v>pisco brandy</v>
      </c>
      <c r="F43" s="11" t="str">
        <f ca="1">IFERROR(VLOOKUP($D43,'Data NEW'!$B$2:$K$210,6,FALSE),"")</f>
        <v>triple sec</v>
      </c>
      <c r="G43" s="11" t="str">
        <f ca="1">IFERROR(VLOOKUP($D43,'Data NEW'!$B$2:$K$210,5,FALSE),"")</f>
        <v>lime juice</v>
      </c>
      <c r="H43" s="11">
        <f ca="1">IFERROR(VLOOKUP($D43,'Data NEW'!$B$2:$K$210,4,FALSE),"")</f>
        <v>0</v>
      </c>
      <c r="I43" s="11">
        <f ca="1">IFERROR(VLOOKUP($D43,'Data NEW'!$B$2:$K$210,7,FALSE),"")</f>
        <v>0</v>
      </c>
      <c r="J43" s="11">
        <f ca="1">IFERROR(VLOOKUP($D43,'Data NEW'!$B$2:$K$210,3,FALSE),"")</f>
        <v>0</v>
      </c>
      <c r="K43" s="11">
        <f ca="1">IFERROR(VLOOKUP($D43,'Data NEW'!$B$2:$K$210,8,FALSE),"")</f>
        <v>0</v>
      </c>
      <c r="L43" s="11">
        <f ca="1">IFERROR(VLOOKUP($D43,'Data NEW'!$B$2:$K$210,9,FALSE),"")</f>
        <v>0</v>
      </c>
      <c r="M43" s="11">
        <f ca="1">IFERROR(VLOOKUP($D43,'Data NEW'!$B$2:$K$210,10,FALSE),"")</f>
        <v>0</v>
      </c>
    </row>
    <row r="44" spans="4:13" ht="15.75" customHeight="1" x14ac:dyDescent="0.2">
      <c r="D44" s="12" t="str">
        <f ca="1">IFERROR(__xludf.DUMMYFUNCTION("""COMPUTED_VALUE"""),"Calvados Cocktail")</f>
        <v>Calvados Cocktail</v>
      </c>
      <c r="E44" s="13" t="str">
        <f ca="1">IFERROR(VLOOKUP($D44,'Data NEW'!$B$2:$K$210,2,FALSE),"")</f>
        <v>calvados</v>
      </c>
      <c r="F44" s="11" t="str">
        <f ca="1">IFERROR(VLOOKUP($D44,'Data NEW'!$B$2:$K$210,6,FALSE),"")</f>
        <v>triple sec</v>
      </c>
      <c r="G44" s="11" t="str">
        <f ca="1">IFERROR(VLOOKUP($D44,'Data NEW'!$B$2:$K$210,5,FALSE),"")</f>
        <v>lemon juice</v>
      </c>
      <c r="H44" s="11" t="str">
        <f ca="1">IFERROR(VLOOKUP($D44,'Data NEW'!$B$2:$K$210,4,FALSE),"")</f>
        <v>orange bitters</v>
      </c>
      <c r="I44" s="11">
        <f ca="1">IFERROR(VLOOKUP($D44,'Data NEW'!$B$2:$K$210,7,FALSE),"")</f>
        <v>0</v>
      </c>
      <c r="J44" s="11">
        <f ca="1">IFERROR(VLOOKUP($D44,'Data NEW'!$B$2:$K$210,3,FALSE),"")</f>
        <v>0</v>
      </c>
      <c r="K44" s="11">
        <f ca="1">IFERROR(VLOOKUP($D44,'Data NEW'!$B$2:$K$210,8,FALSE),"")</f>
        <v>0</v>
      </c>
      <c r="L44" s="11">
        <f ca="1">IFERROR(VLOOKUP($D44,'Data NEW'!$B$2:$K$210,9,FALSE),"")</f>
        <v>0</v>
      </c>
      <c r="M44" s="11">
        <f ca="1">IFERROR(VLOOKUP($D44,'Data NEW'!$B$2:$K$210,10,FALSE),"")</f>
        <v>0</v>
      </c>
    </row>
    <row r="45" spans="4:13" ht="15.75" customHeight="1" x14ac:dyDescent="0.2">
      <c r="D45" s="12" t="str">
        <f ca="1">IFERROR(__xludf.DUMMYFUNCTION("""COMPUTED_VALUE"""),"Canteen Marini")</f>
        <v>Canteen Marini</v>
      </c>
      <c r="E45" s="13" t="str">
        <f ca="1">IFERROR(VLOOKUP($D45,'Data NEW'!$B$2:$K$210,2,FALSE),"")</f>
        <v>rum</v>
      </c>
      <c r="F45" s="11" t="str">
        <f ca="1">IFERROR(VLOOKUP($D45,'Data NEW'!$B$2:$K$210,6,FALSE),"")</f>
        <v>amaretto</v>
      </c>
      <c r="G45" s="11" t="str">
        <f ca="1">IFERROR(VLOOKUP($D45,'Data NEW'!$B$2:$K$210,5,FALSE),"")</f>
        <v>lime juice</v>
      </c>
      <c r="H45" s="11">
        <f ca="1">IFERROR(VLOOKUP($D45,'Data NEW'!$B$2:$K$210,4,FALSE),"")</f>
        <v>0</v>
      </c>
      <c r="I45" s="11">
        <f ca="1">IFERROR(VLOOKUP($D45,'Data NEW'!$B$2:$K$210,7,FALSE),"")</f>
        <v>0</v>
      </c>
      <c r="J45" s="11" t="str">
        <f ca="1">IFERROR(VLOOKUP($D45,'Data NEW'!$B$2:$K$210,3,FALSE),"")</f>
        <v>Southern Comfort</v>
      </c>
      <c r="K45" s="11">
        <f ca="1">IFERROR(VLOOKUP($D45,'Data NEW'!$B$2:$K$210,8,FALSE),"")</f>
        <v>0</v>
      </c>
      <c r="L45" s="11">
        <f ca="1">IFERROR(VLOOKUP($D45,'Data NEW'!$B$2:$K$210,9,FALSE),"")</f>
        <v>0</v>
      </c>
      <c r="M45" s="11">
        <f ca="1">IFERROR(VLOOKUP($D45,'Data NEW'!$B$2:$K$210,10,FALSE),"")</f>
        <v>0</v>
      </c>
    </row>
    <row r="46" spans="4:13" ht="15.75" customHeight="1" x14ac:dyDescent="0.2">
      <c r="D46" s="12" t="str">
        <f ca="1">IFERROR(__xludf.DUMMYFUNCTION("""COMPUTED_VALUE"""),"Cape Codder")</f>
        <v>Cape Codder</v>
      </c>
      <c r="E46" s="13" t="str">
        <f ca="1">IFERROR(VLOOKUP($D46,'Data NEW'!$B$2:$K$210,2,FALSE),"")</f>
        <v>vodka</v>
      </c>
      <c r="F46" s="11">
        <f ca="1">IFERROR(VLOOKUP($D46,'Data NEW'!$B$2:$K$210,6,FALSE),"")</f>
        <v>0</v>
      </c>
      <c r="G46" s="11" t="str">
        <f ca="1">IFERROR(VLOOKUP($D46,'Data NEW'!$B$2:$K$210,5,FALSE),"")</f>
        <v>cranberry juice</v>
      </c>
      <c r="H46" s="11">
        <f ca="1">IFERROR(VLOOKUP($D46,'Data NEW'!$B$2:$K$210,4,FALSE),"")</f>
        <v>0</v>
      </c>
      <c r="I46" s="11">
        <f ca="1">IFERROR(VLOOKUP($D46,'Data NEW'!$B$2:$K$210,7,FALSE),"")</f>
        <v>0</v>
      </c>
      <c r="J46" s="11">
        <f ca="1">IFERROR(VLOOKUP($D46,'Data NEW'!$B$2:$K$210,3,FALSE),"")</f>
        <v>0</v>
      </c>
      <c r="K46" s="11">
        <f ca="1">IFERROR(VLOOKUP($D46,'Data NEW'!$B$2:$K$210,8,FALSE),"")</f>
        <v>0</v>
      </c>
      <c r="L46" s="11">
        <f ca="1">IFERROR(VLOOKUP($D46,'Data NEW'!$B$2:$K$210,9,FALSE),"")</f>
        <v>0</v>
      </c>
      <c r="M46" s="11">
        <f ca="1">IFERROR(VLOOKUP($D46,'Data NEW'!$B$2:$K$210,10,FALSE),"")</f>
        <v>0</v>
      </c>
    </row>
    <row r="47" spans="4:13" ht="15.75" customHeight="1" x14ac:dyDescent="0.2">
      <c r="D47" s="12" t="str">
        <f ca="1">IFERROR(__xludf.DUMMYFUNCTION("""COMPUTED_VALUE"""),"Carbonated Piston Slinger")</f>
        <v>Carbonated Piston Slinger</v>
      </c>
      <c r="E47" s="13" t="str">
        <f ca="1">IFERROR(VLOOKUP($D47,'Data NEW'!$B$2:$K$210,2,FALSE),"")</f>
        <v>rum</v>
      </c>
      <c r="F47" s="11">
        <f ca="1">IFERROR(VLOOKUP($D47,'Data NEW'!$B$2:$K$210,6,FALSE),"")</f>
        <v>0</v>
      </c>
      <c r="G47" s="11" t="str">
        <f ca="1">IFERROR(VLOOKUP($D47,'Data NEW'!$B$2:$K$210,5,FALSE),"")</f>
        <v>lime juice</v>
      </c>
      <c r="H47" s="11" t="str">
        <f ca="1">IFERROR(VLOOKUP($D47,'Data NEW'!$B$2:$K$210,4,FALSE),"")</f>
        <v>club soda</v>
      </c>
      <c r="I47" s="11">
        <f ca="1">IFERROR(VLOOKUP($D47,'Data NEW'!$B$2:$K$210,7,FALSE),"")</f>
        <v>0</v>
      </c>
      <c r="J47" s="11" t="str">
        <f ca="1">IFERROR(VLOOKUP($D47,'Data NEW'!$B$2:$K$210,3,FALSE),"")</f>
        <v>sloe gin</v>
      </c>
      <c r="K47" s="11">
        <f ca="1">IFERROR(VLOOKUP($D47,'Data NEW'!$B$2:$K$210,8,FALSE),"")</f>
        <v>0</v>
      </c>
      <c r="L47" s="11">
        <f ca="1">IFERROR(VLOOKUP($D47,'Data NEW'!$B$2:$K$210,9,FALSE),"")</f>
        <v>0</v>
      </c>
      <c r="M47" s="11">
        <f ca="1">IFERROR(VLOOKUP($D47,'Data NEW'!$B$2:$K$210,10,FALSE),"")</f>
        <v>0</v>
      </c>
    </row>
    <row r="48" spans="4:13" ht="15.75" customHeight="1" x14ac:dyDescent="0.2">
      <c r="D48" s="12" t="str">
        <f ca="1">IFERROR(__xludf.DUMMYFUNCTION("""COMPUTED_VALUE"""),"Caribbean Cosmopolitan")</f>
        <v>Caribbean Cosmopolitan</v>
      </c>
      <c r="E48" s="13" t="str">
        <f ca="1">IFERROR(VLOOKUP($D48,'Data NEW'!$B$2:$K$210,2,FALSE),"")</f>
        <v>citrus rum</v>
      </c>
      <c r="F48" s="11" t="str">
        <f ca="1">IFERROR(VLOOKUP($D48,'Data NEW'!$B$2:$K$210,6,FALSE),"")</f>
        <v>triple sec</v>
      </c>
      <c r="G48" s="11" t="str">
        <f ca="1">IFERROR(VLOOKUP($D48,'Data NEW'!$B$2:$K$210,5,FALSE),"")</f>
        <v>lime juice</v>
      </c>
      <c r="H48" s="11" t="str">
        <f ca="1">IFERROR(VLOOKUP($D48,'Data NEW'!$B$2:$K$210,4,FALSE),"")</f>
        <v>Angostura</v>
      </c>
      <c r="I48" s="11" t="str">
        <f ca="1">IFERROR(VLOOKUP($D48,'Data NEW'!$B$2:$K$210,7,FALSE),"")</f>
        <v>pineapple juice</v>
      </c>
      <c r="J48" s="11">
        <f ca="1">IFERROR(VLOOKUP($D48,'Data NEW'!$B$2:$K$210,3,FALSE),"")</f>
        <v>0</v>
      </c>
      <c r="K48" s="11">
        <f ca="1">IFERROR(VLOOKUP($D48,'Data NEW'!$B$2:$K$210,8,FALSE),"")</f>
        <v>0</v>
      </c>
      <c r="L48" s="11" t="str">
        <f ca="1">IFERROR(VLOOKUP($D48,'Data NEW'!$B$2:$K$210,9,FALSE),"")</f>
        <v>cranberry juice</v>
      </c>
      <c r="M48" s="11">
        <f ca="1">IFERROR(VLOOKUP($D48,'Data NEW'!$B$2:$K$210,10,FALSE),"")</f>
        <v>0</v>
      </c>
    </row>
    <row r="49" spans="4:13" ht="15.75" customHeight="1" x14ac:dyDescent="0.2">
      <c r="D49" s="12" t="str">
        <f ca="1">IFERROR(__xludf.DUMMYFUNCTION("""COMPUTED_VALUE"""),"Caricature Cocktail")</f>
        <v>Caricature Cocktail</v>
      </c>
      <c r="E49" s="13" t="str">
        <f ca="1">IFERROR(VLOOKUP($D49,'Data NEW'!$B$2:$K$210,2,FALSE),"")</f>
        <v>gin</v>
      </c>
      <c r="F49" s="11" t="str">
        <f ca="1">IFERROR(VLOOKUP($D49,'Data NEW'!$B$2:$K$210,6,FALSE),"")</f>
        <v>sweet vermouth</v>
      </c>
      <c r="G49" s="11" t="str">
        <f ca="1">IFERROR(VLOOKUP($D49,'Data NEW'!$B$2:$K$210,5,FALSE),"")</f>
        <v>grapefruit juice</v>
      </c>
      <c r="H49" s="11">
        <f ca="1">IFERROR(VLOOKUP($D49,'Data NEW'!$B$2:$K$210,4,FALSE),"")</f>
        <v>0</v>
      </c>
      <c r="I49" s="11">
        <f ca="1">IFERROR(VLOOKUP($D49,'Data NEW'!$B$2:$K$210,7,FALSE),"")</f>
        <v>0</v>
      </c>
      <c r="J49" s="11" t="str">
        <f ca="1">IFERROR(VLOOKUP($D49,'Data NEW'!$B$2:$K$210,3,FALSE),"")</f>
        <v>Campari</v>
      </c>
      <c r="K49" s="11">
        <f ca="1">IFERROR(VLOOKUP($D49,'Data NEW'!$B$2:$K$210,8,FALSE),"")</f>
        <v>0</v>
      </c>
      <c r="L49" s="11">
        <f ca="1">IFERROR(VLOOKUP($D49,'Data NEW'!$B$2:$K$210,9,FALSE),"")</f>
        <v>0</v>
      </c>
      <c r="M49" s="11">
        <f ca="1">IFERROR(VLOOKUP($D49,'Data NEW'!$B$2:$K$210,10,FALSE),"")</f>
        <v>0</v>
      </c>
    </row>
    <row r="50" spans="4:13" ht="15.75" customHeight="1" x14ac:dyDescent="0.2">
      <c r="D50" s="12" t="str">
        <f ca="1">IFERROR(__xludf.DUMMYFUNCTION("""COMPUTED_VALUE"""),"Carribean Squirrel")</f>
        <v>Carribean Squirrel</v>
      </c>
      <c r="E50" s="13" t="str">
        <f ca="1">IFERROR(VLOOKUP($D50,'Data NEW'!$B$2:$K$210,2,FALSE),"")</f>
        <v>rum</v>
      </c>
      <c r="F50" s="11" t="str">
        <f ca="1">IFERROR(VLOOKUP($D50,'Data NEW'!$B$2:$K$210,6,FALSE),"")</f>
        <v>crème de noyau</v>
      </c>
      <c r="G50" s="11" t="str">
        <f ca="1">IFERROR(VLOOKUP($D50,'Data NEW'!$B$2:$K$210,5,FALSE),"")</f>
        <v>lemon juice</v>
      </c>
      <c r="H50" s="11">
        <f ca="1">IFERROR(VLOOKUP($D50,'Data NEW'!$B$2:$K$210,4,FALSE),"")</f>
        <v>0</v>
      </c>
      <c r="I50" s="11">
        <f ca="1">IFERROR(VLOOKUP($D50,'Data NEW'!$B$2:$K$210,7,FALSE),"")</f>
        <v>0</v>
      </c>
      <c r="J50" s="11">
        <f ca="1">IFERROR(VLOOKUP($D50,'Data NEW'!$B$2:$K$210,3,FALSE),"")</f>
        <v>0</v>
      </c>
      <c r="K50" s="11">
        <f ca="1">IFERROR(VLOOKUP($D50,'Data NEW'!$B$2:$K$210,8,FALSE),"")</f>
        <v>0</v>
      </c>
      <c r="L50" s="11">
        <f ca="1">IFERROR(VLOOKUP($D50,'Data NEW'!$B$2:$K$210,9,FALSE),"")</f>
        <v>0</v>
      </c>
      <c r="M50" s="11">
        <f ca="1">IFERROR(VLOOKUP($D50,'Data NEW'!$B$2:$K$210,10,FALSE),"")</f>
        <v>0</v>
      </c>
    </row>
    <row r="51" spans="4:13" ht="15.75" customHeight="1" x14ac:dyDescent="0.2">
      <c r="D51" s="12" t="str">
        <f ca="1">IFERROR(__xludf.DUMMYFUNCTION("""COMPUTED_VALUE"""),"CEO Cocktail")</f>
        <v>CEO Cocktail</v>
      </c>
      <c r="E51" s="13" t="str">
        <f ca="1">IFERROR(VLOOKUP($D51,'Data NEW'!$B$2:$K$210,2,FALSE),"")</f>
        <v>brandy</v>
      </c>
      <c r="F51" s="11" t="str">
        <f ca="1">IFERROR(VLOOKUP($D51,'Data NEW'!$B$2:$K$210,6,FALSE),"")</f>
        <v>Lillet Blonde</v>
      </c>
      <c r="G51" s="11" t="str">
        <f ca="1">IFERROR(VLOOKUP($D51,'Data NEW'!$B$2:$K$210,5,FALSE),"")</f>
        <v>Juice</v>
      </c>
      <c r="H51" s="11" t="str">
        <f ca="1">IFERROR(VLOOKUP($D51,'Data NEW'!$B$2:$K$210,4,FALSE),"")</f>
        <v>orange bitters</v>
      </c>
      <c r="I51" s="11">
        <f ca="1">IFERROR(VLOOKUP($D51,'Data NEW'!$B$2:$K$210,7,FALSE),"")</f>
        <v>0</v>
      </c>
      <c r="J51" s="11">
        <f ca="1">IFERROR(VLOOKUP($D51,'Data NEW'!$B$2:$K$210,3,FALSE),"")</f>
        <v>0</v>
      </c>
      <c r="K51" s="11">
        <f ca="1">IFERROR(VLOOKUP($D51,'Data NEW'!$B$2:$K$210,8,FALSE),"")</f>
        <v>0</v>
      </c>
      <c r="L51" s="11" t="str">
        <f ca="1">IFERROR(VLOOKUP($D51,'Data NEW'!$B$2:$K$210,9,FALSE),"")</f>
        <v>crème de cassis</v>
      </c>
      <c r="M51" s="11">
        <f ca="1">IFERROR(VLOOKUP($D51,'Data NEW'!$B$2:$K$210,10,FALSE),"")</f>
        <v>0</v>
      </c>
    </row>
    <row r="52" spans="4:13" ht="15.75" customHeight="1" x14ac:dyDescent="0.2">
      <c r="D52" s="12" t="str">
        <f ca="1">IFERROR(__xludf.DUMMYFUNCTION("""COMPUTED_VALUE"""),"Chanticleer")</f>
        <v>Chanticleer</v>
      </c>
      <c r="E52" s="13" t="str">
        <f ca="1">IFERROR(VLOOKUP($D52,'Data NEW'!$B$2:$K$210,2,FALSE),"")</f>
        <v>gin</v>
      </c>
      <c r="F52" s="11" t="str">
        <f ca="1">IFERROR(VLOOKUP($D52,'Data NEW'!$B$2:$K$210,6,FALSE),"")</f>
        <v>dry vermouth</v>
      </c>
      <c r="G52" s="11">
        <f ca="1">IFERROR(VLOOKUP($D52,'Data NEW'!$B$2:$K$210,5,FALSE),"")</f>
        <v>0</v>
      </c>
      <c r="H52" s="11">
        <f ca="1">IFERROR(VLOOKUP($D52,'Data NEW'!$B$2:$K$210,4,FALSE),"")</f>
        <v>0</v>
      </c>
      <c r="I52" s="11">
        <f ca="1">IFERROR(VLOOKUP($D52,'Data NEW'!$B$2:$K$210,7,FALSE),"")</f>
        <v>0</v>
      </c>
      <c r="J52" s="11">
        <f ca="1">IFERROR(VLOOKUP($D52,'Data NEW'!$B$2:$K$210,3,FALSE),"")</f>
        <v>0</v>
      </c>
      <c r="K52" s="11">
        <f ca="1">IFERROR(VLOOKUP($D52,'Data NEW'!$B$2:$K$210,8,FALSE),"")</f>
        <v>0</v>
      </c>
      <c r="L52" s="11">
        <f ca="1">IFERROR(VLOOKUP($D52,'Data NEW'!$B$2:$K$210,9,FALSE),"")</f>
        <v>0</v>
      </c>
      <c r="M52" s="11">
        <f ca="1">IFERROR(VLOOKUP($D52,'Data NEW'!$B$2:$K$210,10,FALSE),"")</f>
        <v>0</v>
      </c>
    </row>
    <row r="53" spans="4:13" ht="15.75" customHeight="1" x14ac:dyDescent="0.2">
      <c r="D53" s="12" t="str">
        <f ca="1">IFERROR(__xludf.DUMMYFUNCTION("""COMPUTED_VALUE"""),"Charlie Chaplin")</f>
        <v>Charlie Chaplin</v>
      </c>
      <c r="E53" s="13">
        <f ca="1">IFERROR(VLOOKUP($D53,'Data NEW'!$B$2:$K$210,2,FALSE),"")</f>
        <v>0</v>
      </c>
      <c r="F53" s="11" t="str">
        <f ca="1">IFERROR(VLOOKUP($D53,'Data NEW'!$B$2:$K$210,6,FALSE),"")</f>
        <v>apricot brandy</v>
      </c>
      <c r="G53" s="11" t="str">
        <f ca="1">IFERROR(VLOOKUP($D53,'Data NEW'!$B$2:$K$210,5,FALSE),"")</f>
        <v>lime juice</v>
      </c>
      <c r="H53" s="11">
        <f ca="1">IFERROR(VLOOKUP($D53,'Data NEW'!$B$2:$K$210,4,FALSE),"")</f>
        <v>0</v>
      </c>
      <c r="I53" s="11">
        <f ca="1">IFERROR(VLOOKUP($D53,'Data NEW'!$B$2:$K$210,7,FALSE),"")</f>
        <v>0</v>
      </c>
      <c r="J53" s="11" t="str">
        <f ca="1">IFERROR(VLOOKUP($D53,'Data NEW'!$B$2:$K$210,3,FALSE),"")</f>
        <v>sloe gin</v>
      </c>
      <c r="K53" s="11">
        <f ca="1">IFERROR(VLOOKUP($D53,'Data NEW'!$B$2:$K$210,8,FALSE),"")</f>
        <v>0</v>
      </c>
      <c r="L53" s="11">
        <f ca="1">IFERROR(VLOOKUP($D53,'Data NEW'!$B$2:$K$210,9,FALSE),"")</f>
        <v>0</v>
      </c>
      <c r="M53" s="11">
        <f ca="1">IFERROR(VLOOKUP($D53,'Data NEW'!$B$2:$K$210,10,FALSE),"")</f>
        <v>0</v>
      </c>
    </row>
    <row r="54" spans="4:13" ht="15.75" customHeight="1" x14ac:dyDescent="0.2">
      <c r="D54" s="12" t="str">
        <f ca="1">IFERROR(__xludf.DUMMYFUNCTION("""COMPUTED_VALUE"""),"Chatham Cocktail")</f>
        <v>Chatham Cocktail</v>
      </c>
      <c r="E54" s="13" t="str">
        <f ca="1">IFERROR(VLOOKUP($D54,'Data NEW'!$B$2:$K$210,2,FALSE),"")</f>
        <v>gin</v>
      </c>
      <c r="F54" s="11" t="str">
        <f ca="1">IFERROR(VLOOKUP($D54,'Data NEW'!$B$2:$K$210,6,FALSE),"")</f>
        <v>ginger liqueur</v>
      </c>
      <c r="G54" s="11" t="str">
        <f ca="1">IFERROR(VLOOKUP($D54,'Data NEW'!$B$2:$K$210,5,FALSE),"")</f>
        <v>lemon juice</v>
      </c>
      <c r="H54" s="11">
        <f ca="1">IFERROR(VLOOKUP($D54,'Data NEW'!$B$2:$K$210,4,FALSE),"")</f>
        <v>0</v>
      </c>
      <c r="I54" s="11">
        <f ca="1">IFERROR(VLOOKUP($D54,'Data NEW'!$B$2:$K$210,7,FALSE),"")</f>
        <v>0</v>
      </c>
      <c r="J54" s="11">
        <f ca="1">IFERROR(VLOOKUP($D54,'Data NEW'!$B$2:$K$210,3,FALSE),"")</f>
        <v>0</v>
      </c>
      <c r="K54" s="11">
        <f ca="1">IFERROR(VLOOKUP($D54,'Data NEW'!$B$2:$K$210,8,FALSE),"")</f>
        <v>0</v>
      </c>
      <c r="L54" s="11">
        <f ca="1">IFERROR(VLOOKUP($D54,'Data NEW'!$B$2:$K$210,9,FALSE),"")</f>
        <v>0</v>
      </c>
      <c r="M54" s="11">
        <f ca="1">IFERROR(VLOOKUP($D54,'Data NEW'!$B$2:$K$210,10,FALSE),"")</f>
        <v>0</v>
      </c>
    </row>
    <row r="55" spans="4:13" ht="15.75" customHeight="1" x14ac:dyDescent="0.2">
      <c r="D55" s="12" t="str">
        <f ca="1">IFERROR(__xludf.DUMMYFUNCTION("""COMPUTED_VALUE"""),"Chaya Candy Apple Cosmo")</f>
        <v>Chaya Candy Apple Cosmo</v>
      </c>
      <c r="E55" s="13" t="str">
        <f ca="1">IFERROR(VLOOKUP($D55,'Data NEW'!$B$2:$K$210,2,FALSE),"")</f>
        <v>apple vodka</v>
      </c>
      <c r="F55" s="11">
        <f ca="1">IFERROR(VLOOKUP($D55,'Data NEW'!$B$2:$K$210,6,FALSE),"")</f>
        <v>0</v>
      </c>
      <c r="G55" s="11" t="str">
        <f ca="1">IFERROR(VLOOKUP($D55,'Data NEW'!$B$2:$K$210,5,FALSE),"")</f>
        <v>lime juice</v>
      </c>
      <c r="H55" s="11">
        <f ca="1">IFERROR(VLOOKUP($D55,'Data NEW'!$B$2:$K$210,4,FALSE),"")</f>
        <v>0</v>
      </c>
      <c r="I55" s="11" t="str">
        <f ca="1">IFERROR(VLOOKUP($D55,'Data NEW'!$B$2:$K$210,7,FALSE),"")</f>
        <v>cranberry juice</v>
      </c>
      <c r="J55" s="11">
        <f ca="1">IFERROR(VLOOKUP($D55,'Data NEW'!$B$2:$K$210,3,FALSE),"")</f>
        <v>0</v>
      </c>
      <c r="K55" s="11">
        <f ca="1">IFERROR(VLOOKUP($D55,'Data NEW'!$B$2:$K$210,8,FALSE),"")</f>
        <v>0</v>
      </c>
      <c r="L55" s="11">
        <f ca="1">IFERROR(VLOOKUP($D55,'Data NEW'!$B$2:$K$210,9,FALSE),"")</f>
        <v>0</v>
      </c>
      <c r="M55" s="11">
        <f ca="1">IFERROR(VLOOKUP($D55,'Data NEW'!$B$2:$K$210,10,FALSE),"")</f>
        <v>0</v>
      </c>
    </row>
    <row r="56" spans="4:13" ht="15.75" customHeight="1" x14ac:dyDescent="0.2">
      <c r="D56" s="12" t="str">
        <f ca="1">IFERROR(__xludf.DUMMYFUNCTION("""COMPUTED_VALUE"""),"Cherry Blossom")</f>
        <v>Cherry Blossom</v>
      </c>
      <c r="E56" s="13" t="str">
        <f ca="1">IFERROR(VLOOKUP($D56,'Data NEW'!$B$2:$K$210,2,FALSE),"")</f>
        <v>brandy</v>
      </c>
      <c r="F56" s="11" t="str">
        <f ca="1">IFERROR(VLOOKUP($D56,'Data NEW'!$B$2:$K$210,6,FALSE),"")</f>
        <v>triple sec</v>
      </c>
      <c r="G56" s="11" t="str">
        <f ca="1">IFERROR(VLOOKUP($D56,'Data NEW'!$B$2:$K$210,5,FALSE),"")</f>
        <v>lemon juice</v>
      </c>
      <c r="H56" s="11">
        <f ca="1">IFERROR(VLOOKUP($D56,'Data NEW'!$B$2:$K$210,4,FALSE),"")</f>
        <v>0</v>
      </c>
      <c r="I56" s="11">
        <f ca="1">IFERROR(VLOOKUP($D56,'Data NEW'!$B$2:$K$210,7,FALSE),"")</f>
        <v>0</v>
      </c>
      <c r="J56" s="11">
        <f ca="1">IFERROR(VLOOKUP($D56,'Data NEW'!$B$2:$K$210,3,FALSE),"")</f>
        <v>0</v>
      </c>
      <c r="K56" s="11">
        <f ca="1">IFERROR(VLOOKUP($D56,'Data NEW'!$B$2:$K$210,8,FALSE),"")</f>
        <v>0</v>
      </c>
      <c r="L56" s="11">
        <f ca="1">IFERROR(VLOOKUP($D56,'Data NEW'!$B$2:$K$210,9,FALSE),"")</f>
        <v>0</v>
      </c>
      <c r="M56" s="11">
        <f ca="1">IFERROR(VLOOKUP($D56,'Data NEW'!$B$2:$K$210,10,FALSE),"")</f>
        <v>0</v>
      </c>
    </row>
    <row r="57" spans="4:13" ht="15.75" customHeight="1" x14ac:dyDescent="0.2">
      <c r="D57" s="12" t="str">
        <f ca="1">IFERROR(__xludf.DUMMYFUNCTION("""COMPUTED_VALUE"""),"Chocolate Martini")</f>
        <v>Chocolate Martini</v>
      </c>
      <c r="E57" s="13" t="str">
        <f ca="1">IFERROR(VLOOKUP($D57,'Data NEW'!$B$2:$K$210,2,FALSE),"")</f>
        <v>vodka</v>
      </c>
      <c r="F57" s="11" t="str">
        <f ca="1">IFERROR(VLOOKUP($D57,'Data NEW'!$B$2:$K$210,6,FALSE),"")</f>
        <v>white crème de cacao</v>
      </c>
      <c r="G57" s="11">
        <f ca="1">IFERROR(VLOOKUP($D57,'Data NEW'!$B$2:$K$210,5,FALSE),"")</f>
        <v>0</v>
      </c>
      <c r="H57" s="11">
        <f ca="1">IFERROR(VLOOKUP($D57,'Data NEW'!$B$2:$K$210,4,FALSE),"")</f>
        <v>0</v>
      </c>
      <c r="I57" s="11">
        <f ca="1">IFERROR(VLOOKUP($D57,'Data NEW'!$B$2:$K$210,7,FALSE),"")</f>
        <v>0</v>
      </c>
      <c r="J57" s="11">
        <f ca="1">IFERROR(VLOOKUP($D57,'Data NEW'!$B$2:$K$210,3,FALSE),"")</f>
        <v>0</v>
      </c>
      <c r="K57" s="11">
        <f ca="1">IFERROR(VLOOKUP($D57,'Data NEW'!$B$2:$K$210,8,FALSE),"")</f>
        <v>0</v>
      </c>
      <c r="L57" s="11">
        <f ca="1">IFERROR(VLOOKUP($D57,'Data NEW'!$B$2:$K$210,9,FALSE),"")</f>
        <v>0</v>
      </c>
      <c r="M57" s="11">
        <f ca="1">IFERROR(VLOOKUP($D57,'Data NEW'!$B$2:$K$210,10,FALSE),"")</f>
        <v>0</v>
      </c>
    </row>
    <row r="58" spans="4:13" ht="15.75" customHeight="1" x14ac:dyDescent="0.2">
      <c r="D58" s="12" t="str">
        <f ca="1">IFERROR(__xludf.DUMMYFUNCTION("""COMPUTED_VALUE"""),"Claridge Cocktail")</f>
        <v>Claridge Cocktail</v>
      </c>
      <c r="E58" s="13" t="str">
        <f ca="1">IFERROR(VLOOKUP($D58,'Data NEW'!$B$2:$K$210,2,FALSE),"")</f>
        <v>gin</v>
      </c>
      <c r="F58" s="11" t="str">
        <f ca="1">IFERROR(VLOOKUP($D58,'Data NEW'!$B$2:$K$210,6,FALSE),"")</f>
        <v>dry vermouth</v>
      </c>
      <c r="G58" s="11">
        <f ca="1">IFERROR(VLOOKUP($D58,'Data NEW'!$B$2:$K$210,5,FALSE),"")</f>
        <v>0</v>
      </c>
      <c r="H58" s="11">
        <f ca="1">IFERROR(VLOOKUP($D58,'Data NEW'!$B$2:$K$210,4,FALSE),"")</f>
        <v>0</v>
      </c>
      <c r="I58" s="11">
        <f ca="1">IFERROR(VLOOKUP($D58,'Data NEW'!$B$2:$K$210,7,FALSE),"")</f>
        <v>0</v>
      </c>
      <c r="J58" s="11">
        <f ca="1">IFERROR(VLOOKUP($D58,'Data NEW'!$B$2:$K$210,3,FALSE),"")</f>
        <v>0</v>
      </c>
      <c r="K58" s="11">
        <f ca="1">IFERROR(VLOOKUP($D58,'Data NEW'!$B$2:$K$210,8,FALSE),"")</f>
        <v>0</v>
      </c>
      <c r="L58" s="11" t="str">
        <f ca="1">IFERROR(VLOOKUP($D58,'Data NEW'!$B$2:$K$210,9,FALSE),"")</f>
        <v>triple sec</v>
      </c>
      <c r="M58" s="11" t="str">
        <f ca="1">IFERROR(VLOOKUP($D58,'Data NEW'!$B$2:$K$210,10,FALSE),"")</f>
        <v>apricot brandy</v>
      </c>
    </row>
    <row r="59" spans="4:13" ht="15.75" customHeight="1" x14ac:dyDescent="0.2">
      <c r="D59" s="12" t="str">
        <f ca="1">IFERROR(__xludf.DUMMYFUNCTION("""COMPUTED_VALUE"""),"Classic Cocktail")</f>
        <v>Classic Cocktail</v>
      </c>
      <c r="E59" s="13" t="str">
        <f ca="1">IFERROR(VLOOKUP($D59,'Data NEW'!$B$2:$K$210,2,FALSE),"")</f>
        <v>brandy</v>
      </c>
      <c r="F59" s="11" t="str">
        <f ca="1">IFERROR(VLOOKUP($D59,'Data NEW'!$B$2:$K$210,6,FALSE),"")</f>
        <v>triple sec</v>
      </c>
      <c r="G59" s="11" t="str">
        <f ca="1">IFERROR(VLOOKUP($D59,'Data NEW'!$B$2:$K$210,5,FALSE),"")</f>
        <v>lemon juice</v>
      </c>
      <c r="H59" s="11">
        <f ca="1">IFERROR(VLOOKUP($D59,'Data NEW'!$B$2:$K$210,4,FALSE),"")</f>
        <v>0</v>
      </c>
      <c r="I59" s="11">
        <f ca="1">IFERROR(VLOOKUP($D59,'Data NEW'!$B$2:$K$210,7,FALSE),"")</f>
        <v>0</v>
      </c>
      <c r="J59" s="11">
        <f ca="1">IFERROR(VLOOKUP($D59,'Data NEW'!$B$2:$K$210,3,FALSE),"")</f>
        <v>0</v>
      </c>
      <c r="K59" s="11">
        <f ca="1">IFERROR(VLOOKUP($D59,'Data NEW'!$B$2:$K$210,8,FALSE),"")</f>
        <v>0</v>
      </c>
      <c r="L59" s="11">
        <f ca="1">IFERROR(VLOOKUP($D59,'Data NEW'!$B$2:$K$210,9,FALSE),"")</f>
        <v>0</v>
      </c>
      <c r="M59" s="11">
        <f ca="1">IFERROR(VLOOKUP($D59,'Data NEW'!$B$2:$K$210,10,FALSE),"")</f>
        <v>0</v>
      </c>
    </row>
    <row r="60" spans="4:13" ht="15.75" customHeight="1" x14ac:dyDescent="0.2">
      <c r="D60" s="12" t="str">
        <f ca="1">IFERROR(__xludf.DUMMYFUNCTION("""COMPUTED_VALUE"""),"Clover Club")</f>
        <v>Clover Club</v>
      </c>
      <c r="E60" s="13" t="str">
        <f ca="1">IFERROR(VLOOKUP($D60,'Data NEW'!$B$2:$K$210,2,FALSE),"")</f>
        <v>gin</v>
      </c>
      <c r="F60" s="11">
        <f ca="1">IFERROR(VLOOKUP($D60,'Data NEW'!$B$2:$K$210,6,FALSE),"")</f>
        <v>0</v>
      </c>
      <c r="G60" s="11" t="str">
        <f ca="1">IFERROR(VLOOKUP($D60,'Data NEW'!$B$2:$K$210,5,FALSE),"")</f>
        <v>lemon juice</v>
      </c>
      <c r="H60" s="11" t="str">
        <f ca="1">IFERROR(VLOOKUP($D60,'Data NEW'!$B$2:$K$210,4,FALSE),"")</f>
        <v>egg white</v>
      </c>
      <c r="I60" s="11">
        <f ca="1">IFERROR(VLOOKUP($D60,'Data NEW'!$B$2:$K$210,7,FALSE),"")</f>
        <v>0</v>
      </c>
      <c r="J60" s="11">
        <f ca="1">IFERROR(VLOOKUP($D60,'Data NEW'!$B$2:$K$210,3,FALSE),"")</f>
        <v>0</v>
      </c>
      <c r="K60" s="11">
        <f ca="1">IFERROR(VLOOKUP($D60,'Data NEW'!$B$2:$K$210,8,FALSE),"")</f>
        <v>0</v>
      </c>
      <c r="L60" s="11">
        <f ca="1">IFERROR(VLOOKUP($D60,'Data NEW'!$B$2:$K$210,9,FALSE),"")</f>
        <v>0</v>
      </c>
      <c r="M60" s="11">
        <f ca="1">IFERROR(VLOOKUP($D60,'Data NEW'!$B$2:$K$210,10,FALSE),"")</f>
        <v>0</v>
      </c>
    </row>
    <row r="61" spans="4:13" ht="15.75" customHeight="1" x14ac:dyDescent="0.2">
      <c r="D61" s="12" t="str">
        <f ca="1">IFERROR(__xludf.DUMMYFUNCTION("""COMPUTED_VALUE"""),"Copper Swan Cocktail")</f>
        <v>Copper Swan Cocktail</v>
      </c>
      <c r="E61" s="13" t="str">
        <f ca="1">IFERROR(VLOOKUP($D61,'Data NEW'!$B$2:$K$210,2,FALSE),"")</f>
        <v>scotch</v>
      </c>
      <c r="F61" s="11" t="str">
        <f ca="1">IFERROR(VLOOKUP($D61,'Data NEW'!$B$2:$K$210,6,FALSE),"")</f>
        <v>apricot brandy</v>
      </c>
      <c r="G61" s="11">
        <f ca="1">IFERROR(VLOOKUP($D61,'Data NEW'!$B$2:$K$210,5,FALSE),"")</f>
        <v>0</v>
      </c>
      <c r="H61" s="11">
        <f ca="1">IFERROR(VLOOKUP($D61,'Data NEW'!$B$2:$K$210,4,FALSE),"")</f>
        <v>0</v>
      </c>
      <c r="I61" s="11">
        <f ca="1">IFERROR(VLOOKUP($D61,'Data NEW'!$B$2:$K$210,7,FALSE),"")</f>
        <v>0</v>
      </c>
      <c r="J61" s="11">
        <f ca="1">IFERROR(VLOOKUP($D61,'Data NEW'!$B$2:$K$210,3,FALSE),"")</f>
        <v>0</v>
      </c>
      <c r="K61" s="11">
        <f ca="1">IFERROR(VLOOKUP($D61,'Data NEW'!$B$2:$K$210,8,FALSE),"")</f>
        <v>0</v>
      </c>
      <c r="L61" s="11">
        <f ca="1">IFERROR(VLOOKUP($D61,'Data NEW'!$B$2:$K$210,9,FALSE),"")</f>
        <v>0</v>
      </c>
      <c r="M61" s="11">
        <f ca="1">IFERROR(VLOOKUP($D61,'Data NEW'!$B$2:$K$210,10,FALSE),"")</f>
        <v>0</v>
      </c>
    </row>
    <row r="62" spans="4:13" ht="15.75" customHeight="1" x14ac:dyDescent="0.2">
      <c r="D62" s="12" t="str">
        <f ca="1">IFERROR(__xludf.DUMMYFUNCTION("""COMPUTED_VALUE"""),"Corpse Reviver No. 1")</f>
        <v>Corpse Reviver No. 1</v>
      </c>
      <c r="E62" s="13" t="str">
        <f ca="1">IFERROR(VLOOKUP($D62,'Data NEW'!$B$2:$K$210,2,FALSE),"")</f>
        <v>applejack</v>
      </c>
      <c r="F62" s="11" t="str">
        <f ca="1">IFERROR(VLOOKUP($D62,'Data NEW'!$B$2:$K$210,6,FALSE),"")</f>
        <v>sweet vermouth</v>
      </c>
      <c r="G62" s="11">
        <f ca="1">IFERROR(VLOOKUP($D62,'Data NEW'!$B$2:$K$210,5,FALSE),"")</f>
        <v>0</v>
      </c>
      <c r="H62" s="11">
        <f ca="1">IFERROR(VLOOKUP($D62,'Data NEW'!$B$2:$K$210,4,FALSE),"")</f>
        <v>0</v>
      </c>
      <c r="I62" s="11">
        <f ca="1">IFERROR(VLOOKUP($D62,'Data NEW'!$B$2:$K$210,7,FALSE),"")</f>
        <v>0</v>
      </c>
      <c r="J62" s="11">
        <f ca="1">IFERROR(VLOOKUP($D62,'Data NEW'!$B$2:$K$210,3,FALSE),"")</f>
        <v>0</v>
      </c>
      <c r="K62" s="11">
        <f ca="1">IFERROR(VLOOKUP($D62,'Data NEW'!$B$2:$K$210,8,FALSE),"")</f>
        <v>0</v>
      </c>
      <c r="L62" s="11">
        <f ca="1">IFERROR(VLOOKUP($D62,'Data NEW'!$B$2:$K$210,9,FALSE),"")</f>
        <v>0</v>
      </c>
      <c r="M62" s="11">
        <f ca="1">IFERROR(VLOOKUP($D62,'Data NEW'!$B$2:$K$210,10,FALSE),"")</f>
        <v>0</v>
      </c>
    </row>
    <row r="63" spans="4:13" ht="15.75" customHeight="1" x14ac:dyDescent="0.2">
      <c r="D63" s="12" t="str">
        <f ca="1">IFERROR(__xludf.DUMMYFUNCTION("""COMPUTED_VALUE"""),"Corpse Reviver No. 2")</f>
        <v>Corpse Reviver No. 2</v>
      </c>
      <c r="E63" s="13" t="str">
        <f ca="1">IFERROR(VLOOKUP($D63,'Data NEW'!$B$2:$K$210,2,FALSE),"")</f>
        <v>gin</v>
      </c>
      <c r="F63" s="11" t="str">
        <f ca="1">IFERROR(VLOOKUP($D63,'Data NEW'!$B$2:$K$210,6,FALSE),"")</f>
        <v>triple sec</v>
      </c>
      <c r="G63" s="11" t="str">
        <f ca="1">IFERROR(VLOOKUP($D63,'Data NEW'!$B$2:$K$210,5,FALSE),"")</f>
        <v>lemon juice</v>
      </c>
      <c r="H63" s="11">
        <f ca="1">IFERROR(VLOOKUP($D63,'Data NEW'!$B$2:$K$210,4,FALSE),"")</f>
        <v>0</v>
      </c>
      <c r="I63" s="11">
        <f ca="1">IFERROR(VLOOKUP($D63,'Data NEW'!$B$2:$K$210,7,FALSE),"")</f>
        <v>0</v>
      </c>
      <c r="J63" s="11">
        <f ca="1">IFERROR(VLOOKUP($D63,'Data NEW'!$B$2:$K$210,3,FALSE),"")</f>
        <v>0</v>
      </c>
      <c r="K63" s="11">
        <f ca="1">IFERROR(VLOOKUP($D63,'Data NEW'!$B$2:$K$210,8,FALSE),"")</f>
        <v>0</v>
      </c>
      <c r="L63" s="11" t="str">
        <f ca="1">IFERROR(VLOOKUP($D63,'Data NEW'!$B$2:$K$210,9,FALSE),"")</f>
        <v>Absinthe</v>
      </c>
      <c r="M63" s="11" t="str">
        <f ca="1">IFERROR(VLOOKUP($D63,'Data NEW'!$B$2:$K$210,10,FALSE),"")</f>
        <v>Lillet</v>
      </c>
    </row>
    <row r="64" spans="4:13" ht="15.75" customHeight="1" x14ac:dyDescent="0.2">
      <c r="D64" s="12" t="str">
        <f ca="1">IFERROR(__xludf.DUMMYFUNCTION("""COMPUTED_VALUE"""),"Cosmopolitan")</f>
        <v>Cosmopolitan</v>
      </c>
      <c r="E64" s="13" t="str">
        <f ca="1">IFERROR(VLOOKUP($D64,'Data NEW'!$B$2:$K$210,2,FALSE),"")</f>
        <v>citrus vodka</v>
      </c>
      <c r="F64" s="11" t="str">
        <f ca="1">IFERROR(VLOOKUP($D64,'Data NEW'!$B$2:$K$210,6,FALSE),"")</f>
        <v>triple sec</v>
      </c>
      <c r="G64" s="11" t="str">
        <f ca="1">IFERROR(VLOOKUP($D64,'Data NEW'!$B$2:$K$210,5,FALSE),"")</f>
        <v>lime juice</v>
      </c>
      <c r="H64" s="11">
        <f ca="1">IFERROR(VLOOKUP($D64,'Data NEW'!$B$2:$K$210,4,FALSE),"")</f>
        <v>0</v>
      </c>
      <c r="I64" s="11" t="str">
        <f ca="1">IFERROR(VLOOKUP($D64,'Data NEW'!$B$2:$K$210,7,FALSE),"")</f>
        <v>cranberry juice</v>
      </c>
      <c r="J64" s="11">
        <f ca="1">IFERROR(VLOOKUP($D64,'Data NEW'!$B$2:$K$210,3,FALSE),"")</f>
        <v>0</v>
      </c>
      <c r="K64" s="11">
        <f ca="1">IFERROR(VLOOKUP($D64,'Data NEW'!$B$2:$K$210,8,FALSE),"")</f>
        <v>0</v>
      </c>
      <c r="L64" s="11">
        <f ca="1">IFERROR(VLOOKUP($D64,'Data NEW'!$B$2:$K$210,9,FALSE),"")</f>
        <v>0</v>
      </c>
      <c r="M64" s="11">
        <f ca="1">IFERROR(VLOOKUP($D64,'Data NEW'!$B$2:$K$210,10,FALSE),"")</f>
        <v>0</v>
      </c>
    </row>
    <row r="65" spans="4:13" ht="15.75" customHeight="1" x14ac:dyDescent="0.2">
      <c r="D65" s="12" t="str">
        <f ca="1">IFERROR(__xludf.DUMMYFUNCTION("""COMPUTED_VALUE"""),"Crux Cocktail")</f>
        <v>Crux Cocktail</v>
      </c>
      <c r="E65" s="13" t="str">
        <f ca="1">IFERROR(VLOOKUP($D65,'Data NEW'!$B$2:$K$210,2,FALSE),"")</f>
        <v>brandy</v>
      </c>
      <c r="F65" s="11" t="str">
        <f ca="1">IFERROR(VLOOKUP($D65,'Data NEW'!$B$2:$K$210,6,FALSE),"")</f>
        <v>triple sec</v>
      </c>
      <c r="G65" s="11" t="str">
        <f ca="1">IFERROR(VLOOKUP($D65,'Data NEW'!$B$2:$K$210,5,FALSE),"")</f>
        <v>lemon juice</v>
      </c>
      <c r="H65" s="11">
        <f ca="1">IFERROR(VLOOKUP($D65,'Data NEW'!$B$2:$K$210,4,FALSE),"")</f>
        <v>0</v>
      </c>
      <c r="I65" s="11">
        <f ca="1">IFERROR(VLOOKUP($D65,'Data NEW'!$B$2:$K$210,7,FALSE),"")</f>
        <v>0</v>
      </c>
      <c r="J65" s="11">
        <f ca="1">IFERROR(VLOOKUP($D65,'Data NEW'!$B$2:$K$210,3,FALSE),"")</f>
        <v>0</v>
      </c>
      <c r="K65" s="11">
        <f ca="1">IFERROR(VLOOKUP($D65,'Data NEW'!$B$2:$K$210,8,FALSE),"")</f>
        <v>0</v>
      </c>
      <c r="L65" s="11">
        <f ca="1">IFERROR(VLOOKUP($D65,'Data NEW'!$B$2:$K$210,9,FALSE),"")</f>
        <v>0</v>
      </c>
      <c r="M65" s="11">
        <f ca="1">IFERROR(VLOOKUP($D65,'Data NEW'!$B$2:$K$210,10,FALSE),"")</f>
        <v>0</v>
      </c>
    </row>
    <row r="66" spans="4:13" ht="15.75" customHeight="1" x14ac:dyDescent="0.2">
      <c r="D66" s="12" t="str">
        <f ca="1">IFERROR(__xludf.DUMMYFUNCTION("""COMPUTED_VALUE"""),"Cuba Libre")</f>
        <v>Cuba Libre</v>
      </c>
      <c r="E66" s="13" t="str">
        <f ca="1">IFERROR(VLOOKUP($D66,'Data NEW'!$B$2:$K$210,2,FALSE),"")</f>
        <v>rum</v>
      </c>
      <c r="F66" s="11">
        <f ca="1">IFERROR(VLOOKUP($D66,'Data NEW'!$B$2:$K$210,6,FALSE),"")</f>
        <v>0</v>
      </c>
      <c r="G66" s="11" t="str">
        <f ca="1">IFERROR(VLOOKUP($D66,'Data NEW'!$B$2:$K$210,5,FALSE),"")</f>
        <v>lime juice</v>
      </c>
      <c r="H66" s="11" t="str">
        <f ca="1">IFERROR(VLOOKUP($D66,'Data NEW'!$B$2:$K$210,4,FALSE),"")</f>
        <v>cola</v>
      </c>
      <c r="I66" s="11">
        <f ca="1">IFERROR(VLOOKUP($D66,'Data NEW'!$B$2:$K$210,7,FALSE),"")</f>
        <v>0</v>
      </c>
      <c r="J66" s="11">
        <f ca="1">IFERROR(VLOOKUP($D66,'Data NEW'!$B$2:$K$210,3,FALSE),"")</f>
        <v>0</v>
      </c>
      <c r="K66" s="11">
        <f ca="1">IFERROR(VLOOKUP($D66,'Data NEW'!$B$2:$K$210,8,FALSE),"")</f>
        <v>0</v>
      </c>
      <c r="L66" s="11">
        <f ca="1">IFERROR(VLOOKUP($D66,'Data NEW'!$B$2:$K$210,9,FALSE),"")</f>
        <v>0</v>
      </c>
      <c r="M66" s="11">
        <f ca="1">IFERROR(VLOOKUP($D66,'Data NEW'!$B$2:$K$210,10,FALSE),"")</f>
        <v>0</v>
      </c>
    </row>
    <row r="67" spans="4:13" ht="15.75" customHeight="1" x14ac:dyDescent="0.2">
      <c r="D67" s="12" t="str">
        <f ca="1">IFERROR(__xludf.DUMMYFUNCTION("""COMPUTED_VALUE"""),"Daiquiri")</f>
        <v>Daiquiri</v>
      </c>
      <c r="E67" s="13" t="str">
        <f ca="1">IFERROR(VLOOKUP($D67,'Data NEW'!$B$2:$K$210,2,FALSE),"")</f>
        <v>rum</v>
      </c>
      <c r="F67" s="11">
        <f ca="1">IFERROR(VLOOKUP($D67,'Data NEW'!$B$2:$K$210,6,FALSE),"")</f>
        <v>0</v>
      </c>
      <c r="G67" s="11" t="str">
        <f ca="1">IFERROR(VLOOKUP($D67,'Data NEW'!$B$2:$K$210,5,FALSE),"")</f>
        <v>lime juice</v>
      </c>
      <c r="H67" s="11" t="str">
        <f ca="1">IFERROR(VLOOKUP($D67,'Data NEW'!$B$2:$K$210,4,FALSE),"")</f>
        <v>simple syrup</v>
      </c>
      <c r="I67" s="11">
        <f ca="1">IFERROR(VLOOKUP($D67,'Data NEW'!$B$2:$K$210,7,FALSE),"")</f>
        <v>0</v>
      </c>
      <c r="J67" s="11">
        <f ca="1">IFERROR(VLOOKUP($D67,'Data NEW'!$B$2:$K$210,3,FALSE),"")</f>
        <v>0</v>
      </c>
      <c r="K67" s="11">
        <f ca="1">IFERROR(VLOOKUP($D67,'Data NEW'!$B$2:$K$210,8,FALSE),"")</f>
        <v>0</v>
      </c>
      <c r="L67" s="11">
        <f ca="1">IFERROR(VLOOKUP($D67,'Data NEW'!$B$2:$K$210,9,FALSE),"")</f>
        <v>0</v>
      </c>
      <c r="M67" s="11">
        <f ca="1">IFERROR(VLOOKUP($D67,'Data NEW'!$B$2:$K$210,10,FALSE),"")</f>
        <v>0</v>
      </c>
    </row>
    <row r="68" spans="4:13" ht="15.75" customHeight="1" x14ac:dyDescent="0.2">
      <c r="D68" s="12" t="str">
        <f ca="1">IFERROR(__xludf.DUMMYFUNCTION("""COMPUTED_VALUE"""),"Dark and Stormy")</f>
        <v>Dark and Stormy</v>
      </c>
      <c r="E68" s="13" t="str">
        <f ca="1">IFERROR(VLOOKUP($D68,'Data NEW'!$B$2:$K$210,2,FALSE),"")</f>
        <v>rum</v>
      </c>
      <c r="F68" s="11">
        <f ca="1">IFERROR(VLOOKUP($D68,'Data NEW'!$B$2:$K$210,6,FALSE),"")</f>
        <v>0</v>
      </c>
      <c r="G68" s="11">
        <f ca="1">IFERROR(VLOOKUP($D68,'Data NEW'!$B$2:$K$210,5,FALSE),"")</f>
        <v>0</v>
      </c>
      <c r="H68" s="11" t="str">
        <f ca="1">IFERROR(VLOOKUP($D68,'Data NEW'!$B$2:$K$210,4,FALSE),"")</f>
        <v>ginger beer</v>
      </c>
      <c r="I68" s="11">
        <f ca="1">IFERROR(VLOOKUP($D68,'Data NEW'!$B$2:$K$210,7,FALSE),"")</f>
        <v>0</v>
      </c>
      <c r="J68" s="11">
        <f ca="1">IFERROR(VLOOKUP($D68,'Data NEW'!$B$2:$K$210,3,FALSE),"")</f>
        <v>0</v>
      </c>
      <c r="K68" s="11">
        <f ca="1">IFERROR(VLOOKUP($D68,'Data NEW'!$B$2:$K$210,8,FALSE),"")</f>
        <v>0</v>
      </c>
      <c r="L68" s="11">
        <f ca="1">IFERROR(VLOOKUP($D68,'Data NEW'!$B$2:$K$210,9,FALSE),"")</f>
        <v>0</v>
      </c>
      <c r="M68" s="11">
        <f ca="1">IFERROR(VLOOKUP($D68,'Data NEW'!$B$2:$K$210,10,FALSE),"")</f>
        <v>0</v>
      </c>
    </row>
    <row r="69" spans="4:13" ht="15.75" customHeight="1" x14ac:dyDescent="0.2">
      <c r="D69" s="12" t="str">
        <f ca="1">IFERROR(__xludf.DUMMYFUNCTION("""COMPUTED_VALUE"""),"Deadly Sin")</f>
        <v>Deadly Sin</v>
      </c>
      <c r="E69" s="13" t="str">
        <f ca="1">IFERROR(VLOOKUP($D69,'Data NEW'!$B$2:$K$210,2,FALSE),"")</f>
        <v>bourbon</v>
      </c>
      <c r="F69" s="11" t="str">
        <f ca="1">IFERROR(VLOOKUP($D69,'Data NEW'!$B$2:$K$210,6,FALSE),"")</f>
        <v>sweet vermouth</v>
      </c>
      <c r="G69" s="11">
        <f ca="1">IFERROR(VLOOKUP($D69,'Data NEW'!$B$2:$K$210,5,FALSE),"")</f>
        <v>0</v>
      </c>
      <c r="H69" s="11" t="str">
        <f ca="1">IFERROR(VLOOKUP($D69,'Data NEW'!$B$2:$K$210,4,FALSE),"")</f>
        <v>maraschino</v>
      </c>
      <c r="I69" s="11">
        <f ca="1">IFERROR(VLOOKUP($D69,'Data NEW'!$B$2:$K$210,7,FALSE),"")</f>
        <v>0</v>
      </c>
      <c r="J69" s="11">
        <f ca="1">IFERROR(VLOOKUP($D69,'Data NEW'!$B$2:$K$210,3,FALSE),"")</f>
        <v>0</v>
      </c>
      <c r="K69" s="11">
        <f ca="1">IFERROR(VLOOKUP($D69,'Data NEW'!$B$2:$K$210,8,FALSE),"")</f>
        <v>0</v>
      </c>
      <c r="L69" s="11">
        <f ca="1">IFERROR(VLOOKUP($D69,'Data NEW'!$B$2:$K$210,9,FALSE),"")</f>
        <v>0</v>
      </c>
      <c r="M69" s="11">
        <f ca="1">IFERROR(VLOOKUP($D69,'Data NEW'!$B$2:$K$210,10,FALSE),"")</f>
        <v>0</v>
      </c>
    </row>
    <row r="70" spans="4:13" ht="15.75" customHeight="1" x14ac:dyDescent="0.2">
      <c r="D70" s="12" t="str">
        <f ca="1">IFERROR(__xludf.DUMMYFUNCTION("""COMPUTED_VALUE"""),"Deauville Cocktail")</f>
        <v>Deauville Cocktail</v>
      </c>
      <c r="E70" s="13" t="str">
        <f ca="1">IFERROR(VLOOKUP($D70,'Data NEW'!$B$2:$K$210,2,FALSE),"")</f>
        <v>brand and applejack</v>
      </c>
      <c r="F70" s="11" t="str">
        <f ca="1">IFERROR(VLOOKUP($D70,'Data NEW'!$B$2:$K$210,6,FALSE),"")</f>
        <v>triple sec</v>
      </c>
      <c r="G70" s="11" t="str">
        <f ca="1">IFERROR(VLOOKUP($D70,'Data NEW'!$B$2:$K$210,5,FALSE),"")</f>
        <v>lemon juice</v>
      </c>
      <c r="H70" s="11">
        <f ca="1">IFERROR(VLOOKUP($D70,'Data NEW'!$B$2:$K$210,4,FALSE),"")</f>
        <v>0</v>
      </c>
      <c r="I70" s="11">
        <f ca="1">IFERROR(VLOOKUP($D70,'Data NEW'!$B$2:$K$210,7,FALSE),"")</f>
        <v>0</v>
      </c>
      <c r="J70" s="11">
        <f ca="1">IFERROR(VLOOKUP($D70,'Data NEW'!$B$2:$K$210,3,FALSE),"")</f>
        <v>0</v>
      </c>
      <c r="K70" s="11">
        <f ca="1">IFERROR(VLOOKUP($D70,'Data NEW'!$B$2:$K$210,8,FALSE),"")</f>
        <v>0</v>
      </c>
      <c r="L70" s="11">
        <f ca="1">IFERROR(VLOOKUP($D70,'Data NEW'!$B$2:$K$210,9,FALSE),"")</f>
        <v>0</v>
      </c>
      <c r="M70" s="11">
        <f ca="1">IFERROR(VLOOKUP($D70,'Data NEW'!$B$2:$K$210,10,FALSE),"")</f>
        <v>0</v>
      </c>
    </row>
    <row r="71" spans="4:13" ht="15.75" customHeight="1" x14ac:dyDescent="0.2">
      <c r="D71" s="12" t="str">
        <f ca="1">IFERROR(__xludf.DUMMYFUNCTION("""COMPUTED_VALUE"""),"Debonaire")</f>
        <v>Debonaire</v>
      </c>
      <c r="E71" s="13" t="str">
        <f ca="1">IFERROR(VLOOKUP($D71,'Data NEW'!$B$2:$K$210,2,FALSE),"")</f>
        <v>scotch</v>
      </c>
      <c r="F71" s="11" t="str">
        <f ca="1">IFERROR(VLOOKUP($D71,'Data NEW'!$B$2:$K$210,6,FALSE),"")</f>
        <v>ginger liqueur</v>
      </c>
      <c r="G71" s="11">
        <f ca="1">IFERROR(VLOOKUP($D71,'Data NEW'!$B$2:$K$210,5,FALSE),"")</f>
        <v>0</v>
      </c>
      <c r="H71" s="11">
        <f ca="1">IFERROR(VLOOKUP($D71,'Data NEW'!$B$2:$K$210,4,FALSE),"")</f>
        <v>0</v>
      </c>
      <c r="I71" s="11">
        <f ca="1">IFERROR(VLOOKUP($D71,'Data NEW'!$B$2:$K$210,7,FALSE),"")</f>
        <v>0</v>
      </c>
      <c r="J71" s="11">
        <f ca="1">IFERROR(VLOOKUP($D71,'Data NEW'!$B$2:$K$210,3,FALSE),"")</f>
        <v>0</v>
      </c>
      <c r="K71" s="11">
        <f ca="1">IFERROR(VLOOKUP($D71,'Data NEW'!$B$2:$K$210,8,FALSE),"")</f>
        <v>0</v>
      </c>
      <c r="L71" s="11">
        <f ca="1">IFERROR(VLOOKUP($D71,'Data NEW'!$B$2:$K$210,9,FALSE),"")</f>
        <v>0</v>
      </c>
      <c r="M71" s="11">
        <f ca="1">IFERROR(VLOOKUP($D71,'Data NEW'!$B$2:$K$210,10,FALSE),"")</f>
        <v>0</v>
      </c>
    </row>
    <row r="72" spans="4:13" ht="15.75" customHeight="1" x14ac:dyDescent="0.2">
      <c r="D72" s="12" t="str">
        <f ca="1">IFERROR(__xludf.DUMMYFUNCTION("""COMPUTED_VALUE"""),"Delicious Cocktail")</f>
        <v>Delicious Cocktail</v>
      </c>
      <c r="E72" s="13" t="str">
        <f ca="1">IFERROR(VLOOKUP($D72,'Data NEW'!$B$2:$K$210,2,FALSE),"")</f>
        <v>gin</v>
      </c>
      <c r="F72" s="11">
        <f ca="1">IFERROR(VLOOKUP($D72,'Data NEW'!$B$2:$K$210,6,FALSE),"")</f>
        <v>0</v>
      </c>
      <c r="G72" s="11" t="str">
        <f ca="1">IFERROR(VLOOKUP($D72,'Data NEW'!$B$2:$K$210,5,FALSE),"")</f>
        <v>lime juice</v>
      </c>
      <c r="H72" s="11" t="str">
        <f ca="1">IFERROR(VLOOKUP($D72,'Data NEW'!$B$2:$K$210,4,FALSE),"")</f>
        <v>simple syrup</v>
      </c>
      <c r="I72" s="11">
        <f ca="1">IFERROR(VLOOKUP($D72,'Data NEW'!$B$2:$K$210,7,FALSE),"")</f>
        <v>0</v>
      </c>
      <c r="J72" s="11">
        <f ca="1">IFERROR(VLOOKUP($D72,'Data NEW'!$B$2:$K$210,3,FALSE),"")</f>
        <v>0</v>
      </c>
      <c r="K72" s="11">
        <f ca="1">IFERROR(VLOOKUP($D72,'Data NEW'!$B$2:$K$210,8,FALSE),"")</f>
        <v>0</v>
      </c>
      <c r="L72" s="11">
        <f ca="1">IFERROR(VLOOKUP($D72,'Data NEW'!$B$2:$K$210,9,FALSE),"")</f>
        <v>0</v>
      </c>
      <c r="M72" s="11">
        <f ca="1">IFERROR(VLOOKUP($D72,'Data NEW'!$B$2:$K$210,10,FALSE),"")</f>
        <v>0</v>
      </c>
    </row>
    <row r="73" spans="4:13" ht="15.75" customHeight="1" x14ac:dyDescent="0.2">
      <c r="D73" s="12" t="str">
        <f ca="1">IFERROR(__xludf.DUMMYFUNCTION("""COMPUTED_VALUE"""),"Delmarva Cocktail")</f>
        <v>Delmarva Cocktail</v>
      </c>
      <c r="E73" s="13" t="str">
        <f ca="1">IFERROR(VLOOKUP($D73,'Data NEW'!$B$2:$K$210,2,FALSE),"")</f>
        <v>rye whiskey</v>
      </c>
      <c r="F73" s="11" t="str">
        <f ca="1">IFERROR(VLOOKUP($D73,'Data NEW'!$B$2:$K$210,6,FALSE),"")</f>
        <v>white crème de menthe</v>
      </c>
      <c r="G73" s="11" t="str">
        <f ca="1">IFERROR(VLOOKUP($D73,'Data NEW'!$B$2:$K$210,5,FALSE),"")</f>
        <v>lemon juice</v>
      </c>
      <c r="H73" s="11">
        <f ca="1">IFERROR(VLOOKUP($D73,'Data NEW'!$B$2:$K$210,4,FALSE),"")</f>
        <v>0</v>
      </c>
      <c r="I73" s="11">
        <f ca="1">IFERROR(VLOOKUP($D73,'Data NEW'!$B$2:$K$210,7,FALSE),"")</f>
        <v>0</v>
      </c>
      <c r="J73" s="11">
        <f ca="1">IFERROR(VLOOKUP($D73,'Data NEW'!$B$2:$K$210,3,FALSE),"")</f>
        <v>0</v>
      </c>
      <c r="K73" s="11">
        <f ca="1">IFERROR(VLOOKUP($D73,'Data NEW'!$B$2:$K$210,8,FALSE),"")</f>
        <v>0</v>
      </c>
      <c r="L73" s="11">
        <f ca="1">IFERROR(VLOOKUP($D73,'Data NEW'!$B$2:$K$210,9,FALSE),"")</f>
        <v>0</v>
      </c>
      <c r="M73" s="11">
        <f ca="1">IFERROR(VLOOKUP($D73,'Data NEW'!$B$2:$K$210,10,FALSE),"")</f>
        <v>0</v>
      </c>
    </row>
    <row r="74" spans="4:13" ht="15.75" customHeight="1" x14ac:dyDescent="0.2">
      <c r="D74" s="12" t="str">
        <f ca="1">IFERROR(__xludf.DUMMYFUNCTION("""COMPUTED_VALUE"""),"Delmarva No. 2")</f>
        <v>Delmarva No. 2</v>
      </c>
      <c r="E74" s="13" t="str">
        <f ca="1">IFERROR(VLOOKUP($D74,'Data NEW'!$B$2:$K$210,2,FALSE),"")</f>
        <v>rye whiskey</v>
      </c>
      <c r="F74" s="11" t="str">
        <f ca="1">IFERROR(VLOOKUP($D74,'Data NEW'!$B$2:$K$210,6,FALSE),"")</f>
        <v>white crème de cacao</v>
      </c>
      <c r="G74" s="11" t="str">
        <f ca="1">IFERROR(VLOOKUP($D74,'Data NEW'!$B$2:$K$210,5,FALSE),"")</f>
        <v>lemon juice</v>
      </c>
      <c r="H74" s="11">
        <f ca="1">IFERROR(VLOOKUP($D74,'Data NEW'!$B$2:$K$210,4,FALSE),"")</f>
        <v>0</v>
      </c>
      <c r="I74" s="11">
        <f ca="1">IFERROR(VLOOKUP($D74,'Data NEW'!$B$2:$K$210,7,FALSE),"")</f>
        <v>0</v>
      </c>
      <c r="J74" s="11">
        <f ca="1">IFERROR(VLOOKUP($D74,'Data NEW'!$B$2:$K$210,3,FALSE),"")</f>
        <v>0</v>
      </c>
      <c r="K74" s="11">
        <f ca="1">IFERROR(VLOOKUP($D74,'Data NEW'!$B$2:$K$210,8,FALSE),"")</f>
        <v>0</v>
      </c>
      <c r="L74" s="11">
        <f ca="1">IFERROR(VLOOKUP($D74,'Data NEW'!$B$2:$K$210,9,FALSE),"")</f>
        <v>0</v>
      </c>
      <c r="M74" s="11">
        <f ca="1">IFERROR(VLOOKUP($D74,'Data NEW'!$B$2:$K$210,10,FALSE),"")</f>
        <v>0</v>
      </c>
    </row>
    <row r="75" spans="4:13" ht="15.75" customHeight="1" x14ac:dyDescent="0.2">
      <c r="D75" s="12" t="str">
        <f ca="1">IFERROR(__xludf.DUMMYFUNCTION("""COMPUTED_VALUE"""),"Delmarva No. 3")</f>
        <v>Delmarva No. 3</v>
      </c>
      <c r="E75" s="13" t="str">
        <f ca="1">IFERROR(VLOOKUP($D75,'Data NEW'!$B$2:$K$210,2,FALSE),"")</f>
        <v>rye whiskey</v>
      </c>
      <c r="F75" s="11" t="str">
        <f ca="1">IFERROR(VLOOKUP($D75,'Data NEW'!$B$2:$K$210,6,FALSE),"")</f>
        <v>amaretto</v>
      </c>
      <c r="G75" s="11" t="str">
        <f ca="1">IFERROR(VLOOKUP($D75,'Data NEW'!$B$2:$K$210,5,FALSE),"")</f>
        <v>lemon juice</v>
      </c>
      <c r="H75" s="11">
        <f ca="1">IFERROR(VLOOKUP($D75,'Data NEW'!$B$2:$K$210,4,FALSE),"")</f>
        <v>0</v>
      </c>
      <c r="I75" s="11">
        <f ca="1">IFERROR(VLOOKUP($D75,'Data NEW'!$B$2:$K$210,7,FALSE),"")</f>
        <v>0</v>
      </c>
      <c r="J75" s="11">
        <f ca="1">IFERROR(VLOOKUP($D75,'Data NEW'!$B$2:$K$210,3,FALSE),"")</f>
        <v>0</v>
      </c>
      <c r="K75" s="11">
        <f ca="1">IFERROR(VLOOKUP($D75,'Data NEW'!$B$2:$K$210,8,FALSE),"")</f>
        <v>0</v>
      </c>
      <c r="L75" s="11">
        <f ca="1">IFERROR(VLOOKUP($D75,'Data NEW'!$B$2:$K$210,9,FALSE),"")</f>
        <v>0</v>
      </c>
      <c r="M75" s="11">
        <f ca="1">IFERROR(VLOOKUP($D75,'Data NEW'!$B$2:$K$210,10,FALSE),"")</f>
        <v>0</v>
      </c>
    </row>
    <row r="76" spans="4:13" ht="15.75" customHeight="1" x14ac:dyDescent="0.2">
      <c r="D76" s="12" t="str">
        <f ca="1">IFERROR(__xludf.DUMMYFUNCTION("""COMPUTED_VALUE"""),"Dirty Martini")</f>
        <v>Dirty Martini</v>
      </c>
      <c r="E76" s="13" t="str">
        <f ca="1">IFERROR(VLOOKUP($D76,'Data NEW'!$B$2:$K$210,2,FALSE),"")</f>
        <v>gin or vodka</v>
      </c>
      <c r="F76" s="11" t="str">
        <f ca="1">IFERROR(VLOOKUP($D76,'Data NEW'!$B$2:$K$210,6,FALSE),"")</f>
        <v>dry vermouth</v>
      </c>
      <c r="G76" s="11">
        <f ca="1">IFERROR(VLOOKUP($D76,'Data NEW'!$B$2:$K$210,5,FALSE),"")</f>
        <v>0</v>
      </c>
      <c r="H76" s="11" t="str">
        <f ca="1">IFERROR(VLOOKUP($D76,'Data NEW'!$B$2:$K$210,4,FALSE),"")</f>
        <v>olive brine</v>
      </c>
      <c r="I76" s="11">
        <f ca="1">IFERROR(VLOOKUP($D76,'Data NEW'!$B$2:$K$210,7,FALSE),"")</f>
        <v>0</v>
      </c>
      <c r="J76" s="11">
        <f ca="1">IFERROR(VLOOKUP($D76,'Data NEW'!$B$2:$K$210,3,FALSE),"")</f>
        <v>0</v>
      </c>
      <c r="K76" s="11">
        <f ca="1">IFERROR(VLOOKUP($D76,'Data NEW'!$B$2:$K$210,8,FALSE),"")</f>
        <v>0</v>
      </c>
      <c r="L76" s="11">
        <f ca="1">IFERROR(VLOOKUP($D76,'Data NEW'!$B$2:$K$210,9,FALSE),"")</f>
        <v>0</v>
      </c>
      <c r="M76" s="11">
        <f ca="1">IFERROR(VLOOKUP($D76,'Data NEW'!$B$2:$K$210,10,FALSE),"")</f>
        <v>0</v>
      </c>
    </row>
    <row r="77" spans="4:13" ht="15.75" customHeight="1" x14ac:dyDescent="0.2">
      <c r="D77" s="12" t="str">
        <f ca="1">IFERROR(__xludf.DUMMYFUNCTION("""COMPUTED_VALUE"""),"Disaronno Margarita")</f>
        <v>Disaronno Margarita</v>
      </c>
      <c r="E77" s="13" t="str">
        <f ca="1">IFERROR(VLOOKUP($D77,'Data NEW'!$B$2:$K$210,2,FALSE),"")</f>
        <v>tequila</v>
      </c>
      <c r="F77" s="11" t="str">
        <f ca="1">IFERROR(VLOOKUP($D77,'Data NEW'!$B$2:$K$210,6,FALSE),"")</f>
        <v>amaretto</v>
      </c>
      <c r="G77" s="11" t="str">
        <f ca="1">IFERROR(VLOOKUP($D77,'Data NEW'!$B$2:$K$210,5,FALSE),"")</f>
        <v>lime juice</v>
      </c>
      <c r="H77" s="11">
        <f ca="1">IFERROR(VLOOKUP($D77,'Data NEW'!$B$2:$K$210,4,FALSE),"")</f>
        <v>0</v>
      </c>
      <c r="I77" s="11">
        <f ca="1">IFERROR(VLOOKUP($D77,'Data NEW'!$B$2:$K$210,7,FALSE),"")</f>
        <v>0</v>
      </c>
      <c r="J77" s="11">
        <f ca="1">IFERROR(VLOOKUP($D77,'Data NEW'!$B$2:$K$210,3,FALSE),"")</f>
        <v>0</v>
      </c>
      <c r="K77" s="11">
        <f ca="1">IFERROR(VLOOKUP($D77,'Data NEW'!$B$2:$K$210,8,FALSE),"")</f>
        <v>0</v>
      </c>
      <c r="L77" s="11">
        <f ca="1">IFERROR(VLOOKUP($D77,'Data NEW'!$B$2:$K$210,9,FALSE),"")</f>
        <v>0</v>
      </c>
      <c r="M77" s="11">
        <f ca="1">IFERROR(VLOOKUP($D77,'Data NEW'!$B$2:$K$210,10,FALSE),"")</f>
        <v>0</v>
      </c>
    </row>
    <row r="78" spans="4:13" ht="15.75" customHeight="1" x14ac:dyDescent="0.2">
      <c r="D78" s="12" t="str">
        <f ca="1">IFERROR(__xludf.DUMMYFUNCTION("""COMPUTED_VALUE"""),"Dry Martini")</f>
        <v>Dry Martini</v>
      </c>
      <c r="E78" s="13" t="str">
        <f ca="1">IFERROR(VLOOKUP($D78,'Data NEW'!$B$2:$K$210,2,FALSE),"")</f>
        <v>gin or vodka</v>
      </c>
      <c r="F78" s="11" t="str">
        <f ca="1">IFERROR(VLOOKUP($D78,'Data NEW'!$B$2:$K$210,6,FALSE),"")</f>
        <v>dry vermouth</v>
      </c>
      <c r="G78" s="11">
        <f ca="1">IFERROR(VLOOKUP($D78,'Data NEW'!$B$2:$K$210,5,FALSE),"")</f>
        <v>0</v>
      </c>
      <c r="H78" s="11">
        <f ca="1">IFERROR(VLOOKUP($D78,'Data NEW'!$B$2:$K$210,4,FALSE),"")</f>
        <v>0</v>
      </c>
      <c r="I78" s="11">
        <f ca="1">IFERROR(VLOOKUP($D78,'Data NEW'!$B$2:$K$210,7,FALSE),"")</f>
        <v>0</v>
      </c>
      <c r="J78" s="11">
        <f ca="1">IFERROR(VLOOKUP($D78,'Data NEW'!$B$2:$K$210,3,FALSE),"")</f>
        <v>0</v>
      </c>
      <c r="K78" s="11">
        <f ca="1">IFERROR(VLOOKUP($D78,'Data NEW'!$B$2:$K$210,8,FALSE),"")</f>
        <v>0</v>
      </c>
      <c r="L78" s="11">
        <f ca="1">IFERROR(VLOOKUP($D78,'Data NEW'!$B$2:$K$210,9,FALSE),"")</f>
        <v>0</v>
      </c>
      <c r="M78" s="11">
        <f ca="1">IFERROR(VLOOKUP($D78,'Data NEW'!$B$2:$K$210,10,FALSE),"")</f>
        <v>0</v>
      </c>
    </row>
    <row r="79" spans="4:13" ht="15.75" customHeight="1" x14ac:dyDescent="0.2">
      <c r="D79" s="12" t="str">
        <f ca="1">IFERROR(__xludf.DUMMYFUNCTION("""COMPUTED_VALUE"""),"Dubliner")</f>
        <v>Dubliner</v>
      </c>
      <c r="E79" s="13" t="str">
        <f ca="1">IFERROR(VLOOKUP($D79,'Data NEW'!$B$2:$K$210,2,FALSE),"")</f>
        <v>Irish Whiskey</v>
      </c>
      <c r="F79" s="11" t="str">
        <f ca="1">IFERROR(VLOOKUP($D79,'Data NEW'!$B$2:$K$210,6,FALSE),"")</f>
        <v>sweet vermouth</v>
      </c>
      <c r="G79" s="11">
        <f ca="1">IFERROR(VLOOKUP($D79,'Data NEW'!$B$2:$K$210,5,FALSE),"")</f>
        <v>0</v>
      </c>
      <c r="H79" s="11" t="str">
        <f ca="1">IFERROR(VLOOKUP($D79,'Data NEW'!$B$2:$K$210,4,FALSE),"")</f>
        <v>orange bitters</v>
      </c>
      <c r="I79" s="11">
        <f ca="1">IFERROR(VLOOKUP($D79,'Data NEW'!$B$2:$K$210,7,FALSE),"")</f>
        <v>0</v>
      </c>
      <c r="J79" s="11">
        <f ca="1">IFERROR(VLOOKUP($D79,'Data NEW'!$B$2:$K$210,3,FALSE),"")</f>
        <v>0</v>
      </c>
      <c r="K79" s="11">
        <f ca="1">IFERROR(VLOOKUP($D79,'Data NEW'!$B$2:$K$210,8,FALSE),"")</f>
        <v>0</v>
      </c>
      <c r="L79" s="11">
        <f ca="1">IFERROR(VLOOKUP($D79,'Data NEW'!$B$2:$K$210,9,FALSE),"")</f>
        <v>0</v>
      </c>
      <c r="M79" s="11">
        <f ca="1">IFERROR(VLOOKUP($D79,'Data NEW'!$B$2:$K$210,10,FALSE),"")</f>
        <v>0</v>
      </c>
    </row>
    <row r="80" spans="4:13" ht="15.75" customHeight="1" x14ac:dyDescent="0.2">
      <c r="D80" s="12" t="str">
        <f ca="1">IFERROR(__xludf.DUMMYFUNCTION("""COMPUTED_VALUE"""),"Dubonnet Cocktail")</f>
        <v>Dubonnet Cocktail</v>
      </c>
      <c r="E80" s="13" t="str">
        <f ca="1">IFERROR(VLOOKUP($D80,'Data NEW'!$B$2:$K$210,2,FALSE),"")</f>
        <v>gin</v>
      </c>
      <c r="F80" s="11" t="str">
        <f ca="1">IFERROR(VLOOKUP($D80,'Data NEW'!$B$2:$K$210,6,FALSE),"")</f>
        <v>Dubonnet</v>
      </c>
      <c r="G80" s="11">
        <f ca="1">IFERROR(VLOOKUP($D80,'Data NEW'!$B$2:$K$210,5,FALSE),"")</f>
        <v>0</v>
      </c>
      <c r="H80" s="11">
        <f ca="1">IFERROR(VLOOKUP($D80,'Data NEW'!$B$2:$K$210,4,FALSE),"")</f>
        <v>0</v>
      </c>
      <c r="I80" s="11">
        <f ca="1">IFERROR(VLOOKUP($D80,'Data NEW'!$B$2:$K$210,7,FALSE),"")</f>
        <v>0</v>
      </c>
      <c r="J80" s="11">
        <f ca="1">IFERROR(VLOOKUP($D80,'Data NEW'!$B$2:$K$210,3,FALSE),"")</f>
        <v>0</v>
      </c>
      <c r="K80" s="11">
        <f ca="1">IFERROR(VLOOKUP($D80,'Data NEW'!$B$2:$K$210,8,FALSE),"")</f>
        <v>0</v>
      </c>
      <c r="L80" s="11">
        <f ca="1">IFERROR(VLOOKUP($D80,'Data NEW'!$B$2:$K$210,9,FALSE),"")</f>
        <v>0</v>
      </c>
      <c r="M80" s="11">
        <f ca="1">IFERROR(VLOOKUP($D80,'Data NEW'!$B$2:$K$210,10,FALSE),"")</f>
        <v>0</v>
      </c>
    </row>
    <row r="81" spans="4:13" ht="15.75" customHeight="1" x14ac:dyDescent="0.2">
      <c r="D81" s="12" t="str">
        <f ca="1">IFERROR(__xludf.DUMMYFUNCTION("""COMPUTED_VALUE"""),"Dutch Squirrel")</f>
        <v>Dutch Squirrel</v>
      </c>
      <c r="E81" s="13" t="str">
        <f ca="1">IFERROR(VLOOKUP($D81,'Data NEW'!$B$2:$K$210,2,FALSE),"")</f>
        <v>Van Gogh Wild Appel Vodka</v>
      </c>
      <c r="F81" s="11" t="str">
        <f ca="1">IFERROR(VLOOKUP($D81,'Data NEW'!$B$2:$K$210,6,FALSE),"")</f>
        <v>crème de noyau</v>
      </c>
      <c r="G81" s="11" t="str">
        <f ca="1">IFERROR(VLOOKUP($D81,'Data NEW'!$B$2:$K$210,5,FALSE),"")</f>
        <v>lemon juice</v>
      </c>
      <c r="H81" s="11">
        <f ca="1">IFERROR(VLOOKUP($D81,'Data NEW'!$B$2:$K$210,4,FALSE),"")</f>
        <v>0</v>
      </c>
      <c r="I81" s="11">
        <f ca="1">IFERROR(VLOOKUP($D81,'Data NEW'!$B$2:$K$210,7,FALSE),"")</f>
        <v>0</v>
      </c>
      <c r="J81" s="11">
        <f ca="1">IFERROR(VLOOKUP($D81,'Data NEW'!$B$2:$K$210,3,FALSE),"")</f>
        <v>0</v>
      </c>
      <c r="K81" s="11">
        <f ca="1">IFERROR(VLOOKUP($D81,'Data NEW'!$B$2:$K$210,8,FALSE),"")</f>
        <v>0</v>
      </c>
      <c r="L81" s="11">
        <f ca="1">IFERROR(VLOOKUP($D81,'Data NEW'!$B$2:$K$210,9,FALSE),"")</f>
        <v>0</v>
      </c>
      <c r="M81" s="11">
        <f ca="1">IFERROR(VLOOKUP($D81,'Data NEW'!$B$2:$K$210,10,FALSE),"")</f>
        <v>0</v>
      </c>
    </row>
    <row r="82" spans="4:13" ht="15.75" customHeight="1" x14ac:dyDescent="0.2">
      <c r="D82" s="12" t="str">
        <f ca="1">IFERROR(__xludf.DUMMYFUNCTION("""COMPUTED_VALUE"""),"East India Cocktail")</f>
        <v>East India Cocktail</v>
      </c>
      <c r="E82" s="13" t="str">
        <f ca="1">IFERROR(VLOOKUP($D82,'Data NEW'!$B$2:$K$210,2,FALSE),"")</f>
        <v>brandy</v>
      </c>
      <c r="F82" s="11" t="str">
        <f ca="1">IFERROR(VLOOKUP($D82,'Data NEW'!$B$2:$K$210,6,FALSE),"")</f>
        <v>triple sec</v>
      </c>
      <c r="G82" s="11" t="str">
        <f ca="1">IFERROR(VLOOKUP($D82,'Data NEW'!$B$2:$K$210,5,FALSE),"")</f>
        <v>lemon juice</v>
      </c>
      <c r="H82" s="11" t="str">
        <f ca="1">IFERROR(VLOOKUP($D82,'Data NEW'!$B$2:$K$210,4,FALSE),"")</f>
        <v>Angostura</v>
      </c>
      <c r="I82" s="11">
        <f ca="1">IFERROR(VLOOKUP($D82,'Data NEW'!$B$2:$K$210,7,FALSE),"")</f>
        <v>0</v>
      </c>
      <c r="J82" s="11">
        <f ca="1">IFERROR(VLOOKUP($D82,'Data NEW'!$B$2:$K$210,3,FALSE),"")</f>
        <v>0</v>
      </c>
      <c r="K82" s="11">
        <f ca="1">IFERROR(VLOOKUP($D82,'Data NEW'!$B$2:$K$210,8,FALSE),"")</f>
        <v>0</v>
      </c>
      <c r="L82" s="11">
        <f ca="1">IFERROR(VLOOKUP($D82,'Data NEW'!$B$2:$K$210,9,FALSE),"")</f>
        <v>0</v>
      </c>
      <c r="M82" s="11">
        <f ca="1">IFERROR(VLOOKUP($D82,'Data NEW'!$B$2:$K$210,10,FALSE),"")</f>
        <v>0</v>
      </c>
    </row>
    <row r="83" spans="4:13" ht="15.75" customHeight="1" x14ac:dyDescent="0.2">
      <c r="D83" s="12" t="str">
        <f ca="1">IFERROR(__xludf.DUMMYFUNCTION("""COMPUTED_VALUE"""),"El Floridita No. 1")</f>
        <v>El Floridita No. 1</v>
      </c>
      <c r="E83" s="13" t="str">
        <f ca="1">IFERROR(VLOOKUP($D83,'Data NEW'!$B$2:$K$210,2,FALSE),"")</f>
        <v>rum</v>
      </c>
      <c r="F83" s="11" t="str">
        <f ca="1">IFERROR(VLOOKUP($D83,'Data NEW'!$B$2:$K$210,6,FALSE),"")</f>
        <v>maraschino liqueur</v>
      </c>
      <c r="G83" s="11" t="str">
        <f ca="1">IFERROR(VLOOKUP($D83,'Data NEW'!$B$2:$K$210,5,FALSE),"")</f>
        <v>lime juice</v>
      </c>
      <c r="H83" s="11" t="str">
        <f ca="1">IFERROR(VLOOKUP($D83,'Data NEW'!$B$2:$K$210,4,FALSE),"")</f>
        <v>simple syrup</v>
      </c>
      <c r="I83" s="11">
        <f ca="1">IFERROR(VLOOKUP($D83,'Data NEW'!$B$2:$K$210,7,FALSE),"")</f>
        <v>0</v>
      </c>
      <c r="J83" s="11">
        <f ca="1">IFERROR(VLOOKUP($D83,'Data NEW'!$B$2:$K$210,3,FALSE),"")</f>
        <v>0</v>
      </c>
      <c r="K83" s="11">
        <f ca="1">IFERROR(VLOOKUP($D83,'Data NEW'!$B$2:$K$210,8,FALSE),"")</f>
        <v>0</v>
      </c>
      <c r="L83" s="11">
        <f ca="1">IFERROR(VLOOKUP($D83,'Data NEW'!$B$2:$K$210,9,FALSE),"")</f>
        <v>0</v>
      </c>
      <c r="M83" s="11">
        <f ca="1">IFERROR(VLOOKUP($D83,'Data NEW'!$B$2:$K$210,10,FALSE),"")</f>
        <v>0</v>
      </c>
    </row>
    <row r="84" spans="4:13" ht="15.75" customHeight="1" x14ac:dyDescent="0.2">
      <c r="D84" s="12" t="str">
        <f ca="1">IFERROR(__xludf.DUMMYFUNCTION("""COMPUTED_VALUE"""),"El Floridita No. 2")</f>
        <v>El Floridita No. 2</v>
      </c>
      <c r="E84" s="13" t="str">
        <f ca="1">IFERROR(VLOOKUP($D84,'Data NEW'!$B$2:$K$210,2,FALSE),"")</f>
        <v>rum</v>
      </c>
      <c r="F84" s="11" t="str">
        <f ca="1">IFERROR(VLOOKUP($D84,'Data NEW'!$B$2:$K$210,6,FALSE),"")</f>
        <v>white crème de cacao</v>
      </c>
      <c r="G84" s="11" t="str">
        <f ca="1">IFERROR(VLOOKUP($D84,'Data NEW'!$B$2:$K$210,5,FALSE),"")</f>
        <v>lime juice</v>
      </c>
      <c r="H84" s="11" t="str">
        <f ca="1">IFERROR(VLOOKUP($D84,'Data NEW'!$B$2:$K$210,4,FALSE),"")</f>
        <v>grenadine</v>
      </c>
      <c r="I84" s="11">
        <f ca="1">IFERROR(VLOOKUP($D84,'Data NEW'!$B$2:$K$210,7,FALSE),"")</f>
        <v>0</v>
      </c>
      <c r="J84" s="11">
        <f ca="1">IFERROR(VLOOKUP($D84,'Data NEW'!$B$2:$K$210,3,FALSE),"")</f>
        <v>0</v>
      </c>
      <c r="K84" s="11">
        <f ca="1">IFERROR(VLOOKUP($D84,'Data NEW'!$B$2:$K$210,8,FALSE),"")</f>
        <v>0</v>
      </c>
      <c r="L84" s="11">
        <f ca="1">IFERROR(VLOOKUP($D84,'Data NEW'!$B$2:$K$210,9,FALSE),"")</f>
        <v>0</v>
      </c>
      <c r="M84" s="11">
        <f ca="1">IFERROR(VLOOKUP($D84,'Data NEW'!$B$2:$K$210,10,FALSE),"")</f>
        <v>0</v>
      </c>
    </row>
    <row r="85" spans="4:13" ht="15.75" customHeight="1" x14ac:dyDescent="0.2">
      <c r="D85" s="12" t="str">
        <f ca="1">IFERROR(__xludf.DUMMYFUNCTION("""COMPUTED_VALUE"""),"El Presidente")</f>
        <v>El Presidente</v>
      </c>
      <c r="E85" s="13" t="str">
        <f ca="1">IFERROR(VLOOKUP($D85,'Data NEW'!$B$2:$K$210,2,FALSE),"")</f>
        <v>rum</v>
      </c>
      <c r="F85" s="11">
        <f ca="1">IFERROR(VLOOKUP($D85,'Data NEW'!$B$2:$K$210,6,FALSE),"")</f>
        <v>0</v>
      </c>
      <c r="G85" s="11" t="str">
        <f ca="1">IFERROR(VLOOKUP($D85,'Data NEW'!$B$2:$K$210,5,FALSE),"")</f>
        <v>lime juice</v>
      </c>
      <c r="H85" s="11" t="str">
        <f ca="1">IFERROR(VLOOKUP($D85,'Data NEW'!$B$2:$K$210,4,FALSE),"")</f>
        <v>grenadine</v>
      </c>
      <c r="I85" s="11">
        <f ca="1">IFERROR(VLOOKUP($D85,'Data NEW'!$B$2:$K$210,7,FALSE),"")</f>
        <v>0</v>
      </c>
      <c r="J85" s="11">
        <f ca="1">IFERROR(VLOOKUP($D85,'Data NEW'!$B$2:$K$210,3,FALSE),"")</f>
        <v>0</v>
      </c>
      <c r="K85" s="11">
        <f ca="1">IFERROR(VLOOKUP($D85,'Data NEW'!$B$2:$K$210,8,FALSE),"")</f>
        <v>0</v>
      </c>
      <c r="L85" s="11">
        <f ca="1">IFERROR(VLOOKUP($D85,'Data NEW'!$B$2:$K$210,9,FALSE),"")</f>
        <v>0</v>
      </c>
      <c r="M85" s="11">
        <f ca="1">IFERROR(VLOOKUP($D85,'Data NEW'!$B$2:$K$210,10,FALSE),"")</f>
        <v>0</v>
      </c>
    </row>
    <row r="86" spans="4:13" ht="15.75" customHeight="1" x14ac:dyDescent="0.2">
      <c r="D86" s="12" t="str">
        <f ca="1">IFERROR(__xludf.DUMMYFUNCTION("""COMPUTED_VALUE"""),"English Rose")</f>
        <v>English Rose</v>
      </c>
      <c r="E86" s="13" t="str">
        <f ca="1">IFERROR(VLOOKUP($D86,'Data NEW'!$B$2:$K$210,2,FALSE),"")</f>
        <v>gin</v>
      </c>
      <c r="F86" s="11" t="str">
        <f ca="1">IFERROR(VLOOKUP($D86,'Data NEW'!$B$2:$K$210,6,FALSE),"")</f>
        <v>apricot brandy</v>
      </c>
      <c r="G86" s="11" t="str">
        <f ca="1">IFERROR(VLOOKUP($D86,'Data NEW'!$B$2:$K$210,5,FALSE),"")</f>
        <v>lemon juice</v>
      </c>
      <c r="H86" s="11" t="str">
        <f ca="1">IFERROR(VLOOKUP($D86,'Data NEW'!$B$2:$K$210,4,FALSE),"")</f>
        <v>grenadine</v>
      </c>
      <c r="I86" s="11">
        <f ca="1">IFERROR(VLOOKUP($D86,'Data NEW'!$B$2:$K$210,7,FALSE),"")</f>
        <v>0</v>
      </c>
      <c r="J86" s="11">
        <f ca="1">IFERROR(VLOOKUP($D86,'Data NEW'!$B$2:$K$210,3,FALSE),"")</f>
        <v>0</v>
      </c>
      <c r="K86" s="11">
        <f ca="1">IFERROR(VLOOKUP($D86,'Data NEW'!$B$2:$K$210,8,FALSE),"")</f>
        <v>0</v>
      </c>
      <c r="L86" s="11">
        <f ca="1">IFERROR(VLOOKUP($D86,'Data NEW'!$B$2:$K$210,9,FALSE),"")</f>
        <v>0</v>
      </c>
      <c r="M86" s="11">
        <f ca="1">IFERROR(VLOOKUP($D86,'Data NEW'!$B$2:$K$210,10,FALSE),"")</f>
        <v>0</v>
      </c>
    </row>
    <row r="87" spans="4:13" ht="15.75" customHeight="1" x14ac:dyDescent="0.2">
      <c r="D87" s="12" t="str">
        <f ca="1">IFERROR(__xludf.DUMMYFUNCTION("""COMPUTED_VALUE"""),"Fernandito")</f>
        <v>Fernandito</v>
      </c>
      <c r="E87" s="13" t="str">
        <f ca="1">IFERROR(VLOOKUP($D87,'Data NEW'!$B$2:$K$210,2,FALSE),"")</f>
        <v>spiced rum</v>
      </c>
      <c r="F87" s="11" t="str">
        <f ca="1">IFERROR(VLOOKUP($D87,'Data NEW'!$B$2:$K$210,6,FALSE),"")</f>
        <v>Chambord</v>
      </c>
      <c r="G87" s="11" t="str">
        <f ca="1">IFERROR(VLOOKUP($D87,'Data NEW'!$B$2:$K$210,5,FALSE),"")</f>
        <v>lime juice</v>
      </c>
      <c r="H87" s="11">
        <f ca="1">IFERROR(VLOOKUP($D87,'Data NEW'!$B$2:$K$210,4,FALSE),"")</f>
        <v>0</v>
      </c>
      <c r="I87" s="11" t="str">
        <f ca="1">IFERROR(VLOOKUP($D87,'Data NEW'!$B$2:$K$210,7,FALSE),"")</f>
        <v>orange juice</v>
      </c>
      <c r="J87" s="11">
        <f ca="1">IFERROR(VLOOKUP($D87,'Data NEW'!$B$2:$K$210,3,FALSE),"")</f>
        <v>0</v>
      </c>
      <c r="K87" s="11">
        <f ca="1">IFERROR(VLOOKUP($D87,'Data NEW'!$B$2:$K$210,8,FALSE),"")</f>
        <v>0</v>
      </c>
      <c r="L87" s="11">
        <f ca="1">IFERROR(VLOOKUP($D87,'Data NEW'!$B$2:$K$210,9,FALSE),"")</f>
        <v>0</v>
      </c>
      <c r="M87" s="11">
        <f ca="1">IFERROR(VLOOKUP($D87,'Data NEW'!$B$2:$K$210,10,FALSE),"")</f>
        <v>0</v>
      </c>
    </row>
    <row r="88" spans="4:13" ht="15.75" customHeight="1" x14ac:dyDescent="0.2">
      <c r="D88" s="12" t="str">
        <f ca="1">IFERROR(__xludf.DUMMYFUNCTION("""COMPUTED_VALUE"""),"Fish House Cocktail")</f>
        <v>Fish House Cocktail</v>
      </c>
      <c r="E88" s="13" t="str">
        <f ca="1">IFERROR(VLOOKUP($D88,'Data NEW'!$B$2:$K$210,2,FALSE),"")</f>
        <v>rum and brandy</v>
      </c>
      <c r="F88" s="11" t="str">
        <f ca="1">IFERROR(VLOOKUP($D88,'Data NEW'!$B$2:$K$210,6,FALSE),"")</f>
        <v>peach brandy</v>
      </c>
      <c r="G88" s="11" t="str">
        <f ca="1">IFERROR(VLOOKUP($D88,'Data NEW'!$B$2:$K$210,5,FALSE),"")</f>
        <v>lime juice</v>
      </c>
      <c r="H88" s="11" t="str">
        <f ca="1">IFERROR(VLOOKUP($D88,'Data NEW'!$B$2:$K$210,4,FALSE),"")</f>
        <v>simple syrup</v>
      </c>
      <c r="I88" s="11" t="str">
        <f ca="1">IFERROR(VLOOKUP($D88,'Data NEW'!$B$2:$K$210,7,FALSE),"")</f>
        <v>lemon juice</v>
      </c>
      <c r="J88" s="11">
        <f ca="1">IFERROR(VLOOKUP($D88,'Data NEW'!$B$2:$K$210,3,FALSE),"")</f>
        <v>0</v>
      </c>
      <c r="K88" s="11">
        <f ca="1">IFERROR(VLOOKUP($D88,'Data NEW'!$B$2:$K$210,8,FALSE),"")</f>
        <v>0</v>
      </c>
      <c r="L88" s="11">
        <f ca="1">IFERROR(VLOOKUP($D88,'Data NEW'!$B$2:$K$210,9,FALSE),"")</f>
        <v>0</v>
      </c>
      <c r="M88" s="11">
        <f ca="1">IFERROR(VLOOKUP($D88,'Data NEW'!$B$2:$K$210,10,FALSE),"")</f>
        <v>0</v>
      </c>
    </row>
    <row r="89" spans="4:13" ht="15.75" customHeight="1" x14ac:dyDescent="0.2">
      <c r="D89" s="12" t="str">
        <f ca="1">IFERROR(__xludf.DUMMYFUNCTION("""COMPUTED_VALUE"""),"Footloose Cocktail")</f>
        <v>Footloose Cocktail</v>
      </c>
      <c r="E89" s="13" t="str">
        <f ca="1">IFERROR(VLOOKUP($D89,'Data NEW'!$B$2:$K$210,2,FALSE),"")</f>
        <v>raspberry vodka</v>
      </c>
      <c r="F89" s="11" t="str">
        <f ca="1">IFERROR(VLOOKUP($D89,'Data NEW'!$B$2:$K$210,6,FALSE),"")</f>
        <v>triple sec</v>
      </c>
      <c r="G89" s="11" t="str">
        <f ca="1">IFERROR(VLOOKUP($D89,'Data NEW'!$B$2:$K$210,5,FALSE),"")</f>
        <v>lime juice</v>
      </c>
      <c r="H89" s="11" t="str">
        <f ca="1">IFERROR(VLOOKUP($D89,'Data NEW'!$B$2:$K$210,4,FALSE),"")</f>
        <v>Peychaud's</v>
      </c>
      <c r="I89" s="11">
        <f ca="1">IFERROR(VLOOKUP($D89,'Data NEW'!$B$2:$K$210,7,FALSE),"")</f>
        <v>0</v>
      </c>
      <c r="J89" s="11">
        <f ca="1">IFERROR(VLOOKUP($D89,'Data NEW'!$B$2:$K$210,3,FALSE),"")</f>
        <v>0</v>
      </c>
      <c r="K89" s="11">
        <f ca="1">IFERROR(VLOOKUP($D89,'Data NEW'!$B$2:$K$210,8,FALSE),"")</f>
        <v>0</v>
      </c>
      <c r="L89" s="11">
        <f ca="1">IFERROR(VLOOKUP($D89,'Data NEW'!$B$2:$K$210,9,FALSE),"")</f>
        <v>0</v>
      </c>
      <c r="M89" s="11">
        <f ca="1">IFERROR(VLOOKUP($D89,'Data NEW'!$B$2:$K$210,10,FALSE),"")</f>
        <v>0</v>
      </c>
    </row>
    <row r="90" spans="4:13" ht="15.75" customHeight="1" x14ac:dyDescent="0.2">
      <c r="D90" s="12" t="str">
        <f ca="1">IFERROR(__xludf.DUMMYFUNCTION("""COMPUTED_VALUE"""),"Freddie Fudpacker")</f>
        <v>Freddie Fudpacker</v>
      </c>
      <c r="E90" s="13" t="str">
        <f ca="1">IFERROR(VLOOKUP($D90,'Data NEW'!$B$2:$K$210,2,FALSE),"")</f>
        <v>tequila</v>
      </c>
      <c r="F90" s="11" t="str">
        <f ca="1">IFERROR(VLOOKUP($D90,'Data NEW'!$B$2:$K$210,6,FALSE),"")</f>
        <v>galliano</v>
      </c>
      <c r="G90" s="11" t="str">
        <f ca="1">IFERROR(VLOOKUP($D90,'Data NEW'!$B$2:$K$210,5,FALSE),"")</f>
        <v>orange juice</v>
      </c>
      <c r="H90" s="11">
        <f ca="1">IFERROR(VLOOKUP($D90,'Data NEW'!$B$2:$K$210,4,FALSE),"")</f>
        <v>0</v>
      </c>
      <c r="I90" s="11">
        <f ca="1">IFERROR(VLOOKUP($D90,'Data NEW'!$B$2:$K$210,7,FALSE),"")</f>
        <v>0</v>
      </c>
      <c r="J90" s="11">
        <f ca="1">IFERROR(VLOOKUP($D90,'Data NEW'!$B$2:$K$210,3,FALSE),"")</f>
        <v>0</v>
      </c>
      <c r="K90" s="11">
        <f ca="1">IFERROR(VLOOKUP($D90,'Data NEW'!$B$2:$K$210,8,FALSE),"")</f>
        <v>0</v>
      </c>
      <c r="L90" s="11">
        <f ca="1">IFERROR(VLOOKUP($D90,'Data NEW'!$B$2:$K$210,9,FALSE),"")</f>
        <v>0</v>
      </c>
      <c r="M90" s="11">
        <f ca="1">IFERROR(VLOOKUP($D90,'Data NEW'!$B$2:$K$210,10,FALSE),"")</f>
        <v>0</v>
      </c>
    </row>
    <row r="91" spans="4:13" ht="15.75" customHeight="1" x14ac:dyDescent="0.2">
      <c r="D91" s="12" t="str">
        <f ca="1">IFERROR(__xludf.DUMMYFUNCTION("""COMPUTED_VALUE"""),"French 75")</f>
        <v>French 75</v>
      </c>
      <c r="E91" s="13" t="str">
        <f ca="1">IFERROR(VLOOKUP($D91,'Data NEW'!$B$2:$K$210,2,FALSE),"")</f>
        <v>gin</v>
      </c>
      <c r="F91" s="11">
        <f ca="1">IFERROR(VLOOKUP($D91,'Data NEW'!$B$2:$K$210,6,FALSE),"")</f>
        <v>0</v>
      </c>
      <c r="G91" s="11" t="str">
        <f ca="1">IFERROR(VLOOKUP($D91,'Data NEW'!$B$2:$K$210,5,FALSE),"")</f>
        <v>lemon juice</v>
      </c>
      <c r="H91" s="11" t="str">
        <f ca="1">IFERROR(VLOOKUP($D91,'Data NEW'!$B$2:$K$210,4,FALSE),"")</f>
        <v>champagne</v>
      </c>
      <c r="I91" s="11">
        <f ca="1">IFERROR(VLOOKUP($D91,'Data NEW'!$B$2:$K$210,7,FALSE),"")</f>
        <v>0</v>
      </c>
      <c r="J91" s="11">
        <f ca="1">IFERROR(VLOOKUP($D91,'Data NEW'!$B$2:$K$210,3,FALSE),"")</f>
        <v>0</v>
      </c>
      <c r="K91" s="11">
        <f ca="1">IFERROR(VLOOKUP($D91,'Data NEW'!$B$2:$K$210,8,FALSE),"")</f>
        <v>0</v>
      </c>
      <c r="L91" s="11">
        <f ca="1">IFERROR(VLOOKUP($D91,'Data NEW'!$B$2:$K$210,9,FALSE),"")</f>
        <v>0</v>
      </c>
      <c r="M91" s="11">
        <f ca="1">IFERROR(VLOOKUP($D91,'Data NEW'!$B$2:$K$210,10,FALSE),"")</f>
        <v>0</v>
      </c>
    </row>
    <row r="92" spans="4:13" ht="15.75" customHeight="1" x14ac:dyDescent="0.2">
      <c r="D92" s="12" t="str">
        <f ca="1">IFERROR(__xludf.DUMMYFUNCTION("""COMPUTED_VALUE"""),"French Connection")</f>
        <v>French Connection</v>
      </c>
      <c r="E92" s="13" t="str">
        <f ca="1">IFERROR(VLOOKUP($D92,'Data NEW'!$B$2:$K$210,2,FALSE),"")</f>
        <v>cognac</v>
      </c>
      <c r="F92" s="11" t="str">
        <f ca="1">IFERROR(VLOOKUP($D92,'Data NEW'!$B$2:$K$210,6,FALSE),"")</f>
        <v>Grand Marnier</v>
      </c>
      <c r="G92" s="11">
        <f ca="1">IFERROR(VLOOKUP($D92,'Data NEW'!$B$2:$K$210,5,FALSE),"")</f>
        <v>0</v>
      </c>
      <c r="H92" s="11">
        <f ca="1">IFERROR(VLOOKUP($D92,'Data NEW'!$B$2:$K$210,4,FALSE),"")</f>
        <v>0</v>
      </c>
      <c r="I92" s="11">
        <f ca="1">IFERROR(VLOOKUP($D92,'Data NEW'!$B$2:$K$210,7,FALSE),"")</f>
        <v>0</v>
      </c>
      <c r="J92" s="11">
        <f ca="1">IFERROR(VLOOKUP($D92,'Data NEW'!$B$2:$K$210,3,FALSE),"")</f>
        <v>0</v>
      </c>
      <c r="K92" s="11">
        <f ca="1">IFERROR(VLOOKUP($D92,'Data NEW'!$B$2:$K$210,8,FALSE),"")</f>
        <v>0</v>
      </c>
      <c r="L92" s="11">
        <f ca="1">IFERROR(VLOOKUP($D92,'Data NEW'!$B$2:$K$210,9,FALSE),"")</f>
        <v>0</v>
      </c>
      <c r="M92" s="11">
        <f ca="1">IFERROR(VLOOKUP($D92,'Data NEW'!$B$2:$K$210,10,FALSE),"")</f>
        <v>0</v>
      </c>
    </row>
    <row r="93" spans="4:13" ht="15.75" customHeight="1" x14ac:dyDescent="0.2">
      <c r="D93" s="12" t="str">
        <f ca="1">IFERROR(__xludf.DUMMYFUNCTION("""COMPUTED_VALUE"""),"French Squirrel")</f>
        <v>French Squirrel</v>
      </c>
      <c r="E93" s="13" t="str">
        <f ca="1">IFERROR(VLOOKUP($D93,'Data NEW'!$B$2:$K$210,2,FALSE),"")</f>
        <v>brandy</v>
      </c>
      <c r="F93" s="11" t="str">
        <f ca="1">IFERROR(VLOOKUP($D93,'Data NEW'!$B$2:$K$210,6,FALSE),"")</f>
        <v>crème de noyau</v>
      </c>
      <c r="G93" s="11" t="str">
        <f ca="1">IFERROR(VLOOKUP($D93,'Data NEW'!$B$2:$K$210,5,FALSE),"")</f>
        <v>lemon juice</v>
      </c>
      <c r="H93" s="11">
        <f ca="1">IFERROR(VLOOKUP($D93,'Data NEW'!$B$2:$K$210,4,FALSE),"")</f>
        <v>0</v>
      </c>
      <c r="I93" s="11">
        <f ca="1">IFERROR(VLOOKUP($D93,'Data NEW'!$B$2:$K$210,7,FALSE),"")</f>
        <v>0</v>
      </c>
      <c r="J93" s="11">
        <f ca="1">IFERROR(VLOOKUP($D93,'Data NEW'!$B$2:$K$210,3,FALSE),"")</f>
        <v>0</v>
      </c>
      <c r="K93" s="11">
        <f ca="1">IFERROR(VLOOKUP($D93,'Data NEW'!$B$2:$K$210,8,FALSE),"")</f>
        <v>0</v>
      </c>
      <c r="L93" s="11">
        <f ca="1">IFERROR(VLOOKUP($D93,'Data NEW'!$B$2:$K$210,9,FALSE),"")</f>
        <v>0</v>
      </c>
      <c r="M93" s="11">
        <f ca="1">IFERROR(VLOOKUP($D93,'Data NEW'!$B$2:$K$210,10,FALSE),"")</f>
        <v>0</v>
      </c>
    </row>
    <row r="94" spans="4:13" ht="15.75" customHeight="1" x14ac:dyDescent="0.2">
      <c r="D94" s="12" t="str">
        <f ca="1">IFERROR(__xludf.DUMMYFUNCTION("""COMPUTED_VALUE"""),"Fuzzy Navel")</f>
        <v>Fuzzy Navel</v>
      </c>
      <c r="E94" s="13" t="str">
        <f ca="1">IFERROR(VLOOKUP($D94,'Data NEW'!$B$2:$K$210,2,FALSE),"")</f>
        <v>vodka</v>
      </c>
      <c r="F94" s="11" t="str">
        <f ca="1">IFERROR(VLOOKUP($D94,'Data NEW'!$B$2:$K$210,6,FALSE),"")</f>
        <v>peach schnapps</v>
      </c>
      <c r="G94" s="11" t="str">
        <f ca="1">IFERROR(VLOOKUP($D94,'Data NEW'!$B$2:$K$210,5,FALSE),"")</f>
        <v>orange juice</v>
      </c>
      <c r="H94" s="11">
        <f ca="1">IFERROR(VLOOKUP($D94,'Data NEW'!$B$2:$K$210,4,FALSE),"")</f>
        <v>0</v>
      </c>
      <c r="I94" s="11">
        <f ca="1">IFERROR(VLOOKUP($D94,'Data NEW'!$B$2:$K$210,7,FALSE),"")</f>
        <v>0</v>
      </c>
      <c r="J94" s="11">
        <f ca="1">IFERROR(VLOOKUP($D94,'Data NEW'!$B$2:$K$210,3,FALSE),"")</f>
        <v>0</v>
      </c>
      <c r="K94" s="11">
        <f ca="1">IFERROR(VLOOKUP($D94,'Data NEW'!$B$2:$K$210,8,FALSE),"")</f>
        <v>0</v>
      </c>
      <c r="L94" s="11">
        <f ca="1">IFERROR(VLOOKUP($D94,'Data NEW'!$B$2:$K$210,9,FALSE),"")</f>
        <v>0</v>
      </c>
      <c r="M94" s="11">
        <f ca="1">IFERROR(VLOOKUP($D94,'Data NEW'!$B$2:$K$210,10,FALSE),"")</f>
        <v>0</v>
      </c>
    </row>
    <row r="95" spans="4:13" ht="15.75" customHeight="1" x14ac:dyDescent="0.2">
      <c r="D95" s="12" t="str">
        <f ca="1">IFERROR(__xludf.DUMMYFUNCTION("""COMPUTED_VALUE"""),"Gibson")</f>
        <v>Gibson</v>
      </c>
      <c r="E95" s="13" t="str">
        <f ca="1">IFERROR(VLOOKUP($D95,'Data NEW'!$B$2:$K$210,2,FALSE),"")</f>
        <v>gin or vodka</v>
      </c>
      <c r="F95" s="11" t="str">
        <f ca="1">IFERROR(VLOOKUP($D95,'Data NEW'!$B$2:$K$210,6,FALSE),"")</f>
        <v>dry vermouth</v>
      </c>
      <c r="G95" s="11">
        <f ca="1">IFERROR(VLOOKUP($D95,'Data NEW'!$B$2:$K$210,5,FALSE),"")</f>
        <v>0</v>
      </c>
      <c r="H95" s="11">
        <f ca="1">IFERROR(VLOOKUP($D95,'Data NEW'!$B$2:$K$210,4,FALSE),"")</f>
        <v>0</v>
      </c>
      <c r="I95" s="11">
        <f ca="1">IFERROR(VLOOKUP($D95,'Data NEW'!$B$2:$K$210,7,FALSE),"")</f>
        <v>0</v>
      </c>
      <c r="J95" s="11">
        <f ca="1">IFERROR(VLOOKUP($D95,'Data NEW'!$B$2:$K$210,3,FALSE),"")</f>
        <v>0</v>
      </c>
      <c r="K95" s="11" t="str">
        <f ca="1">IFERROR(VLOOKUP($D95,'Data NEW'!$B$2:$K$210,8,FALSE),"")</f>
        <v>Onion garnish</v>
      </c>
      <c r="L95" s="11">
        <f ca="1">IFERROR(VLOOKUP($D95,'Data NEW'!$B$2:$K$210,9,FALSE),"")</f>
        <v>0</v>
      </c>
      <c r="M95" s="11">
        <f ca="1">IFERROR(VLOOKUP($D95,'Data NEW'!$B$2:$K$210,10,FALSE),"")</f>
        <v>0</v>
      </c>
    </row>
    <row r="96" spans="4:13" ht="15.75" customHeight="1" x14ac:dyDescent="0.2">
      <c r="D96" s="12" t="str">
        <f ca="1">IFERROR(__xludf.DUMMYFUNCTION("""COMPUTED_VALUE"""),"Gin and Tonic")</f>
        <v>Gin and Tonic</v>
      </c>
      <c r="E96" s="13" t="str">
        <f ca="1">IFERROR(VLOOKUP($D96,'Data NEW'!$B$2:$K$210,2,FALSE),"")</f>
        <v>gin</v>
      </c>
      <c r="F96" s="11">
        <f ca="1">IFERROR(VLOOKUP($D96,'Data NEW'!$B$2:$K$210,6,FALSE),"")</f>
        <v>0</v>
      </c>
      <c r="G96" s="11">
        <f ca="1">IFERROR(VLOOKUP($D96,'Data NEW'!$B$2:$K$210,5,FALSE),"")</f>
        <v>0</v>
      </c>
      <c r="H96" s="11" t="str">
        <f ca="1">IFERROR(VLOOKUP($D96,'Data NEW'!$B$2:$K$210,4,FALSE),"")</f>
        <v>tonic water</v>
      </c>
      <c r="I96" s="11">
        <f ca="1">IFERROR(VLOOKUP($D96,'Data NEW'!$B$2:$K$210,7,FALSE),"")</f>
        <v>0</v>
      </c>
      <c r="J96" s="11">
        <f ca="1">IFERROR(VLOOKUP($D96,'Data NEW'!$B$2:$K$210,3,FALSE),"")</f>
        <v>0</v>
      </c>
      <c r="K96" s="11">
        <f ca="1">IFERROR(VLOOKUP($D96,'Data NEW'!$B$2:$K$210,8,FALSE),"")</f>
        <v>0</v>
      </c>
      <c r="L96" s="11">
        <f ca="1">IFERROR(VLOOKUP($D96,'Data NEW'!$B$2:$K$210,9,FALSE),"")</f>
        <v>0</v>
      </c>
      <c r="M96" s="11">
        <f ca="1">IFERROR(VLOOKUP($D96,'Data NEW'!$B$2:$K$210,10,FALSE),"")</f>
        <v>0</v>
      </c>
    </row>
    <row r="97" spans="4:13" ht="15.75" customHeight="1" x14ac:dyDescent="0.2">
      <c r="D97" s="12" t="str">
        <f ca="1">IFERROR(__xludf.DUMMYFUNCTION("""COMPUTED_VALUE"""),"Gin Buck")</f>
        <v>Gin Buck</v>
      </c>
      <c r="E97" s="13" t="str">
        <f ca="1">IFERROR(VLOOKUP($D97,'Data NEW'!$B$2:$K$210,2,FALSE),"")</f>
        <v>gin</v>
      </c>
      <c r="F97" s="11">
        <f ca="1">IFERROR(VLOOKUP($D97,'Data NEW'!$B$2:$K$210,6,FALSE),"")</f>
        <v>0</v>
      </c>
      <c r="G97" s="11">
        <f ca="1">IFERROR(VLOOKUP($D97,'Data NEW'!$B$2:$K$210,5,FALSE),"")</f>
        <v>0</v>
      </c>
      <c r="H97" s="11" t="str">
        <f ca="1">IFERROR(VLOOKUP($D97,'Data NEW'!$B$2:$K$210,4,FALSE),"")</f>
        <v>ginger ale</v>
      </c>
      <c r="I97" s="11">
        <f ca="1">IFERROR(VLOOKUP($D97,'Data NEW'!$B$2:$K$210,7,FALSE),"")</f>
        <v>0</v>
      </c>
      <c r="J97" s="11">
        <f ca="1">IFERROR(VLOOKUP($D97,'Data NEW'!$B$2:$K$210,3,FALSE),"")</f>
        <v>0</v>
      </c>
      <c r="K97" s="11">
        <f ca="1">IFERROR(VLOOKUP($D97,'Data NEW'!$B$2:$K$210,8,FALSE),"")</f>
        <v>0</v>
      </c>
      <c r="L97" s="11">
        <f ca="1">IFERROR(VLOOKUP($D97,'Data NEW'!$B$2:$K$210,9,FALSE),"")</f>
        <v>0</v>
      </c>
      <c r="M97" s="11">
        <f ca="1">IFERROR(VLOOKUP($D97,'Data NEW'!$B$2:$K$210,10,FALSE),"")</f>
        <v>0</v>
      </c>
    </row>
    <row r="98" spans="4:13" ht="15.75" customHeight="1" x14ac:dyDescent="0.2">
      <c r="D98" s="12" t="str">
        <f ca="1">IFERROR(__xludf.DUMMYFUNCTION("""COMPUTED_VALUE"""),"Gin Rickey")</f>
        <v>Gin Rickey</v>
      </c>
      <c r="E98" s="13" t="str">
        <f ca="1">IFERROR(VLOOKUP($D98,'Data NEW'!$B$2:$K$210,2,FALSE),"")</f>
        <v>gin</v>
      </c>
      <c r="F98" s="11">
        <f ca="1">IFERROR(VLOOKUP($D98,'Data NEW'!$B$2:$K$210,6,FALSE),"")</f>
        <v>0</v>
      </c>
      <c r="G98" s="11" t="str">
        <f ca="1">IFERROR(VLOOKUP($D98,'Data NEW'!$B$2:$K$210,5,FALSE),"")</f>
        <v>lime juice</v>
      </c>
      <c r="H98" s="11" t="str">
        <f ca="1">IFERROR(VLOOKUP($D98,'Data NEW'!$B$2:$K$210,4,FALSE),"")</f>
        <v>club soda</v>
      </c>
      <c r="I98" s="11">
        <f ca="1">IFERROR(VLOOKUP($D98,'Data NEW'!$B$2:$K$210,7,FALSE),"")</f>
        <v>0</v>
      </c>
      <c r="J98" s="11">
        <f ca="1">IFERROR(VLOOKUP($D98,'Data NEW'!$B$2:$K$210,3,FALSE),"")</f>
        <v>0</v>
      </c>
      <c r="K98" s="11">
        <f ca="1">IFERROR(VLOOKUP($D98,'Data NEW'!$B$2:$K$210,8,FALSE),"")</f>
        <v>0</v>
      </c>
      <c r="L98" s="11">
        <f ca="1">IFERROR(VLOOKUP($D98,'Data NEW'!$B$2:$K$210,9,FALSE),"")</f>
        <v>0</v>
      </c>
      <c r="M98" s="11">
        <f ca="1">IFERROR(VLOOKUP($D98,'Data NEW'!$B$2:$K$210,10,FALSE),"")</f>
        <v>0</v>
      </c>
    </row>
    <row r="99" spans="4:13" ht="15.75" customHeight="1" x14ac:dyDescent="0.2">
      <c r="D99" s="12" t="str">
        <f ca="1">IFERROR(__xludf.DUMMYFUNCTION("""COMPUTED_VALUE"""),"Goddaughter")</f>
        <v>Goddaughter</v>
      </c>
      <c r="E99" s="13" t="str">
        <f ca="1">IFERROR(VLOOKUP($D99,'Data NEW'!$B$2:$K$210,2,FALSE),"")</f>
        <v>vodka</v>
      </c>
      <c r="F99" s="11" t="str">
        <f ca="1">IFERROR(VLOOKUP($D99,'Data NEW'!$B$2:$K$210,6,FALSE),"")</f>
        <v>amaretto</v>
      </c>
      <c r="G99" s="11">
        <f ca="1">IFERROR(VLOOKUP($D99,'Data NEW'!$B$2:$K$210,5,FALSE),"")</f>
        <v>0</v>
      </c>
      <c r="H99" s="11" t="str">
        <f ca="1">IFERROR(VLOOKUP($D99,'Data NEW'!$B$2:$K$210,4,FALSE),"")</f>
        <v>cream</v>
      </c>
      <c r="I99" s="11">
        <f ca="1">IFERROR(VLOOKUP($D99,'Data NEW'!$B$2:$K$210,7,FALSE),"")</f>
        <v>0</v>
      </c>
      <c r="J99" s="11">
        <f ca="1">IFERROR(VLOOKUP($D99,'Data NEW'!$B$2:$K$210,3,FALSE),"")</f>
        <v>0</v>
      </c>
      <c r="K99" s="11">
        <f ca="1">IFERROR(VLOOKUP($D99,'Data NEW'!$B$2:$K$210,8,FALSE),"")</f>
        <v>0</v>
      </c>
      <c r="L99" s="11">
        <f ca="1">IFERROR(VLOOKUP($D99,'Data NEW'!$B$2:$K$210,9,FALSE),"")</f>
        <v>0</v>
      </c>
      <c r="M99" s="11">
        <f ca="1">IFERROR(VLOOKUP($D99,'Data NEW'!$B$2:$K$210,10,FALSE),"")</f>
        <v>0</v>
      </c>
    </row>
    <row r="100" spans="4:13" ht="15.75" customHeight="1" x14ac:dyDescent="0.2">
      <c r="D100" s="12" t="str">
        <f ca="1">IFERROR(__xludf.DUMMYFUNCTION("""COMPUTED_VALUE"""),"Godfather")</f>
        <v>Godfather</v>
      </c>
      <c r="E100" s="13" t="str">
        <f ca="1">IFERROR(VLOOKUP($D100,'Data NEW'!$B$2:$K$210,2,FALSE),"")</f>
        <v>scotch</v>
      </c>
      <c r="F100" s="11" t="str">
        <f ca="1">IFERROR(VLOOKUP($D100,'Data NEW'!$B$2:$K$210,6,FALSE),"")</f>
        <v>amaretto</v>
      </c>
      <c r="G100" s="11">
        <f ca="1">IFERROR(VLOOKUP($D100,'Data NEW'!$B$2:$K$210,5,FALSE),"")</f>
        <v>0</v>
      </c>
      <c r="H100" s="11">
        <f ca="1">IFERROR(VLOOKUP($D100,'Data NEW'!$B$2:$K$210,4,FALSE),"")</f>
        <v>0</v>
      </c>
      <c r="I100" s="11">
        <f ca="1">IFERROR(VLOOKUP($D100,'Data NEW'!$B$2:$K$210,7,FALSE),"")</f>
        <v>0</v>
      </c>
      <c r="J100" s="11">
        <f ca="1">IFERROR(VLOOKUP($D100,'Data NEW'!$B$2:$K$210,3,FALSE),"")</f>
        <v>0</v>
      </c>
      <c r="K100" s="11">
        <f ca="1">IFERROR(VLOOKUP($D100,'Data NEW'!$B$2:$K$210,8,FALSE),"")</f>
        <v>0</v>
      </c>
      <c r="L100" s="11">
        <f ca="1">IFERROR(VLOOKUP($D100,'Data NEW'!$B$2:$K$210,9,FALSE),"")</f>
        <v>0</v>
      </c>
      <c r="M100" s="11">
        <f ca="1">IFERROR(VLOOKUP($D100,'Data NEW'!$B$2:$K$210,10,FALSE),"")</f>
        <v>0</v>
      </c>
    </row>
    <row r="101" spans="4:13" ht="15.75" customHeight="1" x14ac:dyDescent="0.2">
      <c r="D101" s="12" t="str">
        <f ca="1">IFERROR(__xludf.DUMMYFUNCTION("""COMPUTED_VALUE"""),"Godmother")</f>
        <v>Godmother</v>
      </c>
      <c r="E101" s="13" t="str">
        <f ca="1">IFERROR(VLOOKUP($D101,'Data NEW'!$B$2:$K$210,2,FALSE),"")</f>
        <v>vodka</v>
      </c>
      <c r="F101" s="11" t="str">
        <f ca="1">IFERROR(VLOOKUP($D101,'Data NEW'!$B$2:$K$210,6,FALSE),"")</f>
        <v>amaretto</v>
      </c>
      <c r="G101" s="11">
        <f ca="1">IFERROR(VLOOKUP($D101,'Data NEW'!$B$2:$K$210,5,FALSE),"")</f>
        <v>0</v>
      </c>
      <c r="H101" s="11">
        <f ca="1">IFERROR(VLOOKUP($D101,'Data NEW'!$B$2:$K$210,4,FALSE),"")</f>
        <v>0</v>
      </c>
      <c r="I101" s="11">
        <f ca="1">IFERROR(VLOOKUP($D101,'Data NEW'!$B$2:$K$210,7,FALSE),"")</f>
        <v>0</v>
      </c>
      <c r="J101" s="11">
        <f ca="1">IFERROR(VLOOKUP($D101,'Data NEW'!$B$2:$K$210,3,FALSE),"")</f>
        <v>0</v>
      </c>
      <c r="K101" s="11">
        <f ca="1">IFERROR(VLOOKUP($D101,'Data NEW'!$B$2:$K$210,8,FALSE),"")</f>
        <v>0</v>
      </c>
      <c r="L101" s="11">
        <f ca="1">IFERROR(VLOOKUP($D101,'Data NEW'!$B$2:$K$210,9,FALSE),"")</f>
        <v>0</v>
      </c>
      <c r="M101" s="11">
        <f ca="1">IFERROR(VLOOKUP($D101,'Data NEW'!$B$2:$K$210,10,FALSE),"")</f>
        <v>0</v>
      </c>
    </row>
    <row r="102" spans="4:13" ht="15.75" customHeight="1" x14ac:dyDescent="0.2">
      <c r="D102" s="12" t="str">
        <f ca="1">IFERROR(__xludf.DUMMYFUNCTION("""COMPUTED_VALUE"""),"Godson")</f>
        <v>Godson</v>
      </c>
      <c r="E102" s="13" t="str">
        <f ca="1">IFERROR(VLOOKUP($D102,'Data NEW'!$B$2:$K$210,2,FALSE),"")</f>
        <v>scotch</v>
      </c>
      <c r="F102" s="11" t="str">
        <f ca="1">IFERROR(VLOOKUP($D102,'Data NEW'!$B$2:$K$210,6,FALSE),"")</f>
        <v>amaretto</v>
      </c>
      <c r="G102" s="11">
        <f ca="1">IFERROR(VLOOKUP($D102,'Data NEW'!$B$2:$K$210,5,FALSE),"")</f>
        <v>0</v>
      </c>
      <c r="H102" s="11" t="str">
        <f ca="1">IFERROR(VLOOKUP($D102,'Data NEW'!$B$2:$K$210,4,FALSE),"")</f>
        <v>cream</v>
      </c>
      <c r="I102" s="11">
        <f ca="1">IFERROR(VLOOKUP($D102,'Data NEW'!$B$2:$K$210,7,FALSE),"")</f>
        <v>0</v>
      </c>
      <c r="J102" s="11">
        <f ca="1">IFERROR(VLOOKUP($D102,'Data NEW'!$B$2:$K$210,3,FALSE),"")</f>
        <v>0</v>
      </c>
      <c r="K102" s="11">
        <f ca="1">IFERROR(VLOOKUP($D102,'Data NEW'!$B$2:$K$210,8,FALSE),"")</f>
        <v>0</v>
      </c>
      <c r="L102" s="11">
        <f ca="1">IFERROR(VLOOKUP($D102,'Data NEW'!$B$2:$K$210,9,FALSE),"")</f>
        <v>0</v>
      </c>
      <c r="M102" s="11">
        <f ca="1">IFERROR(VLOOKUP($D102,'Data NEW'!$B$2:$K$210,10,FALSE),"")</f>
        <v>0</v>
      </c>
    </row>
    <row r="103" spans="4:13" ht="15.75" customHeight="1" x14ac:dyDescent="0.2">
      <c r="D103" s="12" t="str">
        <f ca="1">IFERROR(__xludf.DUMMYFUNCTION("""COMPUTED_VALUE"""),"Golden Cadillac")</f>
        <v>Golden Cadillac</v>
      </c>
      <c r="E103" s="13" t="str">
        <f ca="1">IFERROR(VLOOKUP($D103,'Data NEW'!$B$2:$K$210,2,FALSE),"")</f>
        <v>galliano</v>
      </c>
      <c r="F103" s="11" t="str">
        <f ca="1">IFERROR(VLOOKUP($D103,'Data NEW'!$B$2:$K$210,6,FALSE),"")</f>
        <v>white crème de cacao</v>
      </c>
      <c r="G103" s="11">
        <f ca="1">IFERROR(VLOOKUP($D103,'Data NEW'!$B$2:$K$210,5,FALSE),"")</f>
        <v>0</v>
      </c>
      <c r="H103" s="11" t="str">
        <f ca="1">IFERROR(VLOOKUP($D103,'Data NEW'!$B$2:$K$210,4,FALSE),"")</f>
        <v>cream</v>
      </c>
      <c r="I103" s="11">
        <f ca="1">IFERROR(VLOOKUP($D103,'Data NEW'!$B$2:$K$210,7,FALSE),"")</f>
        <v>0</v>
      </c>
      <c r="J103" s="11">
        <f ca="1">IFERROR(VLOOKUP($D103,'Data NEW'!$B$2:$K$210,3,FALSE),"")</f>
        <v>0</v>
      </c>
      <c r="K103" s="11">
        <f ca="1">IFERROR(VLOOKUP($D103,'Data NEW'!$B$2:$K$210,8,FALSE),"")</f>
        <v>0</v>
      </c>
      <c r="L103" s="11">
        <f ca="1">IFERROR(VLOOKUP($D103,'Data NEW'!$B$2:$K$210,9,FALSE),"")</f>
        <v>0</v>
      </c>
      <c r="M103" s="11">
        <f ca="1">IFERROR(VLOOKUP($D103,'Data NEW'!$B$2:$K$210,10,FALSE),"")</f>
        <v>0</v>
      </c>
    </row>
    <row r="104" spans="4:13" ht="15.75" customHeight="1" x14ac:dyDescent="0.2">
      <c r="D104" s="12" t="str">
        <f ca="1">IFERROR(__xludf.DUMMYFUNCTION("""COMPUTED_VALUE"""),"Goldfish Cocktail")</f>
        <v>Goldfish Cocktail</v>
      </c>
      <c r="E104" s="13" t="str">
        <f ca="1">IFERROR(VLOOKUP($D104,'Data NEW'!$B$2:$K$210,2,FALSE),"")</f>
        <v>gin</v>
      </c>
      <c r="F104" s="11" t="str">
        <f ca="1">IFERROR(VLOOKUP($D104,'Data NEW'!$B$2:$K$210,6,FALSE),"")</f>
        <v>dry vermouth</v>
      </c>
      <c r="G104" s="11">
        <f ca="1">IFERROR(VLOOKUP($D104,'Data NEW'!$B$2:$K$210,5,FALSE),"")</f>
        <v>0</v>
      </c>
      <c r="H104" s="11">
        <f ca="1">IFERROR(VLOOKUP($D104,'Data NEW'!$B$2:$K$210,4,FALSE),"")</f>
        <v>0</v>
      </c>
      <c r="I104" s="11">
        <f ca="1">IFERROR(VLOOKUP($D104,'Data NEW'!$B$2:$K$210,7,FALSE),"")</f>
        <v>0</v>
      </c>
      <c r="J104" s="11">
        <f ca="1">IFERROR(VLOOKUP($D104,'Data NEW'!$B$2:$K$210,3,FALSE),"")</f>
        <v>0</v>
      </c>
      <c r="K104" s="11">
        <f ca="1">IFERROR(VLOOKUP($D104,'Data NEW'!$B$2:$K$210,8,FALSE),"")</f>
        <v>0</v>
      </c>
      <c r="L104" s="11">
        <f ca="1">IFERROR(VLOOKUP($D104,'Data NEW'!$B$2:$K$210,9,FALSE),"")</f>
        <v>0</v>
      </c>
      <c r="M104" s="11">
        <f ca="1">IFERROR(VLOOKUP($D104,'Data NEW'!$B$2:$K$210,10,FALSE),"")</f>
        <v>0</v>
      </c>
    </row>
    <row r="105" spans="4:13" ht="15.75" customHeight="1" x14ac:dyDescent="0.2">
      <c r="D105" s="12" t="str">
        <f ca="1">IFERROR(__xludf.DUMMYFUNCTION("""COMPUTED_VALUE"""),"Gotham Cocktail")</f>
        <v>Gotham Cocktail</v>
      </c>
      <c r="E105" s="13" t="str">
        <f ca="1">IFERROR(VLOOKUP($D105,'Data NEW'!$B$2:$K$210,2,FALSE),"")</f>
        <v>brandy</v>
      </c>
      <c r="F105" s="11" t="str">
        <f ca="1">IFERROR(VLOOKUP($D105,'Data NEW'!$B$2:$K$210,6,FALSE),"")</f>
        <v>crème de cassis</v>
      </c>
      <c r="G105" s="11" t="str">
        <f ca="1">IFERROR(VLOOKUP($D105,'Data NEW'!$B$2:$K$210,5,FALSE),"")</f>
        <v>lemon juice</v>
      </c>
      <c r="H105" s="11">
        <f ca="1">IFERROR(VLOOKUP($D105,'Data NEW'!$B$2:$K$210,4,FALSE),"")</f>
        <v>0</v>
      </c>
      <c r="I105" s="11">
        <f ca="1">IFERROR(VLOOKUP($D105,'Data NEW'!$B$2:$K$210,7,FALSE),"")</f>
        <v>0</v>
      </c>
      <c r="J105" s="11">
        <f ca="1">IFERROR(VLOOKUP($D105,'Data NEW'!$B$2:$K$210,3,FALSE),"")</f>
        <v>0</v>
      </c>
      <c r="K105" s="11">
        <f ca="1">IFERROR(VLOOKUP($D105,'Data NEW'!$B$2:$K$210,8,FALSE),"")</f>
        <v>0</v>
      </c>
      <c r="L105" s="11">
        <f ca="1">IFERROR(VLOOKUP($D105,'Data NEW'!$B$2:$K$210,9,FALSE),"")</f>
        <v>0</v>
      </c>
      <c r="M105" s="11">
        <f ca="1">IFERROR(VLOOKUP($D105,'Data NEW'!$B$2:$K$210,10,FALSE),"")</f>
        <v>0</v>
      </c>
    </row>
    <row r="106" spans="4:13" ht="15.75" customHeight="1" x14ac:dyDescent="0.2">
      <c r="D106" s="12" t="str">
        <f ca="1">IFERROR(__xludf.DUMMYFUNCTION("""COMPUTED_VALUE"""),"Grasshopper")</f>
        <v>Grasshopper</v>
      </c>
      <c r="E106" s="13" t="str">
        <f ca="1">IFERROR(VLOOKUP($D106,'Data NEW'!$B$2:$K$210,2,FALSE),"")</f>
        <v>white crème de cacao</v>
      </c>
      <c r="F106" s="11" t="str">
        <f ca="1">IFERROR(VLOOKUP($D106,'Data NEW'!$B$2:$K$210,6,FALSE),"")</f>
        <v>green crème de cacao</v>
      </c>
      <c r="G106" s="11">
        <f ca="1">IFERROR(VLOOKUP($D106,'Data NEW'!$B$2:$K$210,5,FALSE),"")</f>
        <v>0</v>
      </c>
      <c r="H106" s="11" t="str">
        <f ca="1">IFERROR(VLOOKUP($D106,'Data NEW'!$B$2:$K$210,4,FALSE),"")</f>
        <v>cream</v>
      </c>
      <c r="I106" s="11">
        <f ca="1">IFERROR(VLOOKUP($D106,'Data NEW'!$B$2:$K$210,7,FALSE),"")</f>
        <v>0</v>
      </c>
      <c r="J106" s="11">
        <f ca="1">IFERROR(VLOOKUP($D106,'Data NEW'!$B$2:$K$210,3,FALSE),"")</f>
        <v>0</v>
      </c>
      <c r="K106" s="11">
        <f ca="1">IFERROR(VLOOKUP($D106,'Data NEW'!$B$2:$K$210,8,FALSE),"")</f>
        <v>0</v>
      </c>
      <c r="L106" s="11">
        <f ca="1">IFERROR(VLOOKUP($D106,'Data NEW'!$B$2:$K$210,9,FALSE),"")</f>
        <v>0</v>
      </c>
      <c r="M106" s="11">
        <f ca="1">IFERROR(VLOOKUP($D106,'Data NEW'!$B$2:$K$210,10,FALSE),"")</f>
        <v>0</v>
      </c>
    </row>
    <row r="107" spans="4:13" ht="15.75" customHeight="1" x14ac:dyDescent="0.2">
      <c r="D107" s="12" t="str">
        <f ca="1">IFERROR(__xludf.DUMMYFUNCTION("""COMPUTED_VALUE"""),"Greyhound")</f>
        <v>Greyhound</v>
      </c>
      <c r="E107" s="13" t="str">
        <f ca="1">IFERROR(VLOOKUP($D107,'Data NEW'!$B$2:$K$210,2,FALSE),"")</f>
        <v>vodka</v>
      </c>
      <c r="F107" s="11">
        <f ca="1">IFERROR(VLOOKUP($D107,'Data NEW'!$B$2:$K$210,6,FALSE),"")</f>
        <v>0</v>
      </c>
      <c r="G107" s="11" t="str">
        <f ca="1">IFERROR(VLOOKUP($D107,'Data NEW'!$B$2:$K$210,5,FALSE),"")</f>
        <v>grapefruit juice</v>
      </c>
      <c r="H107" s="11">
        <f ca="1">IFERROR(VLOOKUP($D107,'Data NEW'!$B$2:$K$210,4,FALSE),"")</f>
        <v>0</v>
      </c>
      <c r="I107" s="11">
        <f ca="1">IFERROR(VLOOKUP($D107,'Data NEW'!$B$2:$K$210,7,FALSE),"")</f>
        <v>0</v>
      </c>
      <c r="J107" s="11">
        <f ca="1">IFERROR(VLOOKUP($D107,'Data NEW'!$B$2:$K$210,3,FALSE),"")</f>
        <v>0</v>
      </c>
      <c r="K107" s="11">
        <f ca="1">IFERROR(VLOOKUP($D107,'Data NEW'!$B$2:$K$210,8,FALSE),"")</f>
        <v>0</v>
      </c>
      <c r="L107" s="11">
        <f ca="1">IFERROR(VLOOKUP($D107,'Data NEW'!$B$2:$K$210,9,FALSE),"")</f>
        <v>0</v>
      </c>
      <c r="M107" s="11">
        <f ca="1">IFERROR(VLOOKUP($D107,'Data NEW'!$B$2:$K$210,10,FALSE),"")</f>
        <v>0</v>
      </c>
    </row>
    <row r="108" spans="4:13" ht="15.75" customHeight="1" x14ac:dyDescent="0.2">
      <c r="D108" s="12" t="str">
        <f ca="1">IFERROR(__xludf.DUMMYFUNCTION("""COMPUTED_VALUE"""),"Harvey Wallbanger")</f>
        <v>Harvey Wallbanger</v>
      </c>
      <c r="E108" s="13" t="str">
        <f ca="1">IFERROR(VLOOKUP($D108,'Data NEW'!$B$2:$K$210,2,FALSE),"")</f>
        <v>vodka</v>
      </c>
      <c r="F108" s="11" t="str">
        <f ca="1">IFERROR(VLOOKUP($D108,'Data NEW'!$B$2:$K$210,6,FALSE),"")</f>
        <v>galliano</v>
      </c>
      <c r="G108" s="11" t="str">
        <f ca="1">IFERROR(VLOOKUP($D108,'Data NEW'!$B$2:$K$210,5,FALSE),"")</f>
        <v>orange juice</v>
      </c>
      <c r="H108" s="11">
        <f ca="1">IFERROR(VLOOKUP($D108,'Data NEW'!$B$2:$K$210,4,FALSE),"")</f>
        <v>0</v>
      </c>
      <c r="I108" s="11">
        <f ca="1">IFERROR(VLOOKUP($D108,'Data NEW'!$B$2:$K$210,7,FALSE),"")</f>
        <v>0</v>
      </c>
      <c r="J108" s="11">
        <f ca="1">IFERROR(VLOOKUP($D108,'Data NEW'!$B$2:$K$210,3,FALSE),"")</f>
        <v>0</v>
      </c>
      <c r="K108" s="11">
        <f ca="1">IFERROR(VLOOKUP($D108,'Data NEW'!$B$2:$K$210,8,FALSE),"")</f>
        <v>0</v>
      </c>
      <c r="L108" s="11">
        <f ca="1">IFERROR(VLOOKUP($D108,'Data NEW'!$B$2:$K$210,9,FALSE),"")</f>
        <v>0</v>
      </c>
      <c r="M108" s="11">
        <f ca="1">IFERROR(VLOOKUP($D108,'Data NEW'!$B$2:$K$210,10,FALSE),"")</f>
        <v>0</v>
      </c>
    </row>
    <row r="109" spans="4:13" ht="15.75" customHeight="1" x14ac:dyDescent="0.2">
      <c r="D109" s="12" t="str">
        <f ca="1">IFERROR(__xludf.DUMMYFUNCTION("""COMPUTED_VALUE"""),"Hop Toad")</f>
        <v>Hop Toad</v>
      </c>
      <c r="E109" s="13" t="str">
        <f ca="1">IFERROR(VLOOKUP($D109,'Data NEW'!$B$2:$K$210,2,FALSE),"")</f>
        <v>rum</v>
      </c>
      <c r="F109" s="11" t="str">
        <f ca="1">IFERROR(VLOOKUP($D109,'Data NEW'!$B$2:$K$210,6,FALSE),"")</f>
        <v>apricot brandy</v>
      </c>
      <c r="G109" s="11" t="str">
        <f ca="1">IFERROR(VLOOKUP($D109,'Data NEW'!$B$2:$K$210,5,FALSE),"")</f>
        <v>lime juice</v>
      </c>
      <c r="H109" s="11" t="str">
        <f ca="1">IFERROR(VLOOKUP($D109,'Data NEW'!$B$2:$K$210,4,FALSE),"")</f>
        <v>Angostura</v>
      </c>
      <c r="I109" s="11">
        <f ca="1">IFERROR(VLOOKUP($D109,'Data NEW'!$B$2:$K$210,7,FALSE),"")</f>
        <v>0</v>
      </c>
      <c r="J109" s="11">
        <f ca="1">IFERROR(VLOOKUP($D109,'Data NEW'!$B$2:$K$210,3,FALSE),"")</f>
        <v>0</v>
      </c>
      <c r="K109" s="11">
        <f ca="1">IFERROR(VLOOKUP($D109,'Data NEW'!$B$2:$K$210,8,FALSE),"")</f>
        <v>0</v>
      </c>
      <c r="L109" s="11">
        <f ca="1">IFERROR(VLOOKUP($D109,'Data NEW'!$B$2:$K$210,9,FALSE),"")</f>
        <v>0</v>
      </c>
      <c r="M109" s="11">
        <f ca="1">IFERROR(VLOOKUP($D109,'Data NEW'!$B$2:$K$210,10,FALSE),"")</f>
        <v>0</v>
      </c>
    </row>
    <row r="110" spans="4:13" ht="15.75" customHeight="1" x14ac:dyDescent="0.2">
      <c r="D110" s="12" t="str">
        <f ca="1">IFERROR(__xludf.DUMMYFUNCTION("""COMPUTED_VALUE"""),"Income Tax Cocktail")</f>
        <v>Income Tax Cocktail</v>
      </c>
      <c r="E110" s="13" t="str">
        <f ca="1">IFERROR(VLOOKUP($D110,'Data NEW'!$B$2:$K$210,2,FALSE),"")</f>
        <v>gin</v>
      </c>
      <c r="F110" s="11" t="str">
        <f ca="1">IFERROR(VLOOKUP($D110,'Data NEW'!$B$2:$K$210,6,FALSE),"")</f>
        <v>dry vermouth</v>
      </c>
      <c r="G110" s="11" t="str">
        <f ca="1">IFERROR(VLOOKUP($D110,'Data NEW'!$B$2:$K$210,5,FALSE),"")</f>
        <v>orange juice</v>
      </c>
      <c r="H110" s="11" t="str">
        <f ca="1">IFERROR(VLOOKUP($D110,'Data NEW'!$B$2:$K$210,4,FALSE),"")</f>
        <v>Angostura</v>
      </c>
      <c r="I110" s="11">
        <f ca="1">IFERROR(VLOOKUP($D110,'Data NEW'!$B$2:$K$210,7,FALSE),"")</f>
        <v>0</v>
      </c>
      <c r="J110" s="11">
        <f ca="1">IFERROR(VLOOKUP($D110,'Data NEW'!$B$2:$K$210,3,FALSE),"")</f>
        <v>0</v>
      </c>
      <c r="K110" s="11">
        <f ca="1">IFERROR(VLOOKUP($D110,'Data NEW'!$B$2:$K$210,8,FALSE),"")</f>
        <v>0</v>
      </c>
      <c r="L110" s="11" t="str">
        <f ca="1">IFERROR(VLOOKUP($D110,'Data NEW'!$B$2:$K$210,9,FALSE),"")</f>
        <v>sweet vermouth</v>
      </c>
      <c r="M110" s="11">
        <f ca="1">IFERROR(VLOOKUP($D110,'Data NEW'!$B$2:$K$210,10,FALSE),"")</f>
        <v>0</v>
      </c>
    </row>
    <row r="111" spans="4:13" ht="15.75" customHeight="1" x14ac:dyDescent="0.2">
      <c r="D111" s="12" t="str">
        <f ca="1">IFERROR(__xludf.DUMMYFUNCTION("""COMPUTED_VALUE"""),"Irish Peach Cream")</f>
        <v>Irish Peach Cream</v>
      </c>
      <c r="E111" s="13" t="str">
        <f ca="1">IFERROR(VLOOKUP($D111,'Data NEW'!$B$2:$K$210,2,FALSE),"")</f>
        <v>peach vodka</v>
      </c>
      <c r="F111" s="11" t="str">
        <f ca="1">IFERROR(VLOOKUP($D111,'Data NEW'!$B$2:$K$210,6,FALSE),"")</f>
        <v>Baileys</v>
      </c>
      <c r="G111" s="11">
        <f ca="1">IFERROR(VLOOKUP($D111,'Data NEW'!$B$2:$K$210,5,FALSE),"")</f>
        <v>0</v>
      </c>
      <c r="H111" s="11">
        <f ca="1">IFERROR(VLOOKUP($D111,'Data NEW'!$B$2:$K$210,4,FALSE),"")</f>
        <v>0</v>
      </c>
      <c r="I111" s="11">
        <f ca="1">IFERROR(VLOOKUP($D111,'Data NEW'!$B$2:$K$210,7,FALSE),"")</f>
        <v>0</v>
      </c>
      <c r="J111" s="11">
        <f ca="1">IFERROR(VLOOKUP($D111,'Data NEW'!$B$2:$K$210,3,FALSE),"")</f>
        <v>0</v>
      </c>
      <c r="K111" s="11">
        <f ca="1">IFERROR(VLOOKUP($D111,'Data NEW'!$B$2:$K$210,8,FALSE),"")</f>
        <v>0</v>
      </c>
      <c r="L111" s="11">
        <f ca="1">IFERROR(VLOOKUP($D111,'Data NEW'!$B$2:$K$210,9,FALSE),"")</f>
        <v>0</v>
      </c>
      <c r="M111" s="11">
        <f ca="1">IFERROR(VLOOKUP($D111,'Data NEW'!$B$2:$K$210,10,FALSE),"")</f>
        <v>0</v>
      </c>
    </row>
    <row r="112" spans="4:13" ht="15.75" customHeight="1" x14ac:dyDescent="0.2">
      <c r="D112" s="12" t="str">
        <f ca="1">IFERROR(__xludf.DUMMYFUNCTION("""COMPUTED_VALUE"""),"Irish Squirrel")</f>
        <v>Irish Squirrel</v>
      </c>
      <c r="E112" s="13" t="str">
        <f ca="1">IFERROR(VLOOKUP($D112,'Data NEW'!$B$2:$K$210,2,FALSE),"")</f>
        <v>Irish whiskey</v>
      </c>
      <c r="F112" s="11" t="str">
        <f ca="1">IFERROR(VLOOKUP($D112,'Data NEW'!$B$2:$K$210,6,FALSE),"")</f>
        <v>crème de noyau</v>
      </c>
      <c r="G112" s="11" t="str">
        <f ca="1">IFERROR(VLOOKUP($D112,'Data NEW'!$B$2:$K$210,5,FALSE),"")</f>
        <v>lemon juice</v>
      </c>
      <c r="H112" s="11">
        <f ca="1">IFERROR(VLOOKUP($D112,'Data NEW'!$B$2:$K$210,4,FALSE),"")</f>
        <v>0</v>
      </c>
      <c r="I112" s="11">
        <f ca="1">IFERROR(VLOOKUP($D112,'Data NEW'!$B$2:$K$210,7,FALSE),"")</f>
        <v>0</v>
      </c>
      <c r="J112" s="11">
        <f ca="1">IFERROR(VLOOKUP($D112,'Data NEW'!$B$2:$K$210,3,FALSE),"")</f>
        <v>0</v>
      </c>
      <c r="K112" s="11">
        <f ca="1">IFERROR(VLOOKUP($D112,'Data NEW'!$B$2:$K$210,8,FALSE),"")</f>
        <v>0</v>
      </c>
      <c r="L112" s="11">
        <f ca="1">IFERROR(VLOOKUP($D112,'Data NEW'!$B$2:$K$210,9,FALSE),"")</f>
        <v>0</v>
      </c>
      <c r="M112" s="11">
        <f ca="1">IFERROR(VLOOKUP($D112,'Data NEW'!$B$2:$K$210,10,FALSE),"")</f>
        <v>0</v>
      </c>
    </row>
    <row r="113" spans="4:13" ht="15.75" customHeight="1" x14ac:dyDescent="0.2">
      <c r="D113" s="12" t="str">
        <f ca="1">IFERROR(__xludf.DUMMYFUNCTION("""COMPUTED_VALUE"""),"Jack and Coke")</f>
        <v>Jack and Coke</v>
      </c>
      <c r="E113" s="13" t="str">
        <f ca="1">IFERROR(VLOOKUP($D113,'Data NEW'!$B$2:$K$210,2,FALSE),"")</f>
        <v>Jack Daniel's</v>
      </c>
      <c r="F113" s="11">
        <f ca="1">IFERROR(VLOOKUP($D113,'Data NEW'!$B$2:$K$210,6,FALSE),"")</f>
        <v>0</v>
      </c>
      <c r="G113" s="11">
        <f ca="1">IFERROR(VLOOKUP($D113,'Data NEW'!$B$2:$K$210,5,FALSE),"")</f>
        <v>0</v>
      </c>
      <c r="H113" s="11" t="str">
        <f ca="1">IFERROR(VLOOKUP($D113,'Data NEW'!$B$2:$K$210,4,FALSE),"")</f>
        <v>Coca-cola</v>
      </c>
      <c r="I113" s="11">
        <f ca="1">IFERROR(VLOOKUP($D113,'Data NEW'!$B$2:$K$210,7,FALSE),"")</f>
        <v>0</v>
      </c>
      <c r="J113" s="11">
        <f ca="1">IFERROR(VLOOKUP($D113,'Data NEW'!$B$2:$K$210,3,FALSE),"")</f>
        <v>0</v>
      </c>
      <c r="K113" s="11">
        <f ca="1">IFERROR(VLOOKUP($D113,'Data NEW'!$B$2:$K$210,8,FALSE),"")</f>
        <v>0</v>
      </c>
      <c r="L113" s="11">
        <f ca="1">IFERROR(VLOOKUP($D113,'Data NEW'!$B$2:$K$210,9,FALSE),"")</f>
        <v>0</v>
      </c>
      <c r="M113" s="11">
        <f ca="1">IFERROR(VLOOKUP($D113,'Data NEW'!$B$2:$K$210,10,FALSE),"")</f>
        <v>0</v>
      </c>
    </row>
    <row r="114" spans="4:13" ht="15.75" customHeight="1" x14ac:dyDescent="0.2">
      <c r="D114" s="12" t="str">
        <f ca="1">IFERROR(__xludf.DUMMYFUNCTION("""COMPUTED_VALUE"""),"Jack Rose")</f>
        <v>Jack Rose</v>
      </c>
      <c r="E114" s="13" t="str">
        <f ca="1">IFERROR(VLOOKUP($D114,'Data NEW'!$B$2:$K$210,2,FALSE),"")</f>
        <v>applejack</v>
      </c>
      <c r="F114" s="11">
        <f ca="1">IFERROR(VLOOKUP($D114,'Data NEW'!$B$2:$K$210,6,FALSE),"")</f>
        <v>0</v>
      </c>
      <c r="G114" s="11" t="str">
        <f ca="1">IFERROR(VLOOKUP($D114,'Data NEW'!$B$2:$K$210,5,FALSE),"")</f>
        <v>lemon juice</v>
      </c>
      <c r="H114" s="11" t="str">
        <f ca="1">IFERROR(VLOOKUP($D114,'Data NEW'!$B$2:$K$210,4,FALSE),"")</f>
        <v>grenadine</v>
      </c>
      <c r="I114" s="11">
        <f ca="1">IFERROR(VLOOKUP($D114,'Data NEW'!$B$2:$K$210,7,FALSE),"")</f>
        <v>0</v>
      </c>
      <c r="J114" s="11">
        <f ca="1">IFERROR(VLOOKUP($D114,'Data NEW'!$B$2:$K$210,3,FALSE),"")</f>
        <v>0</v>
      </c>
      <c r="K114" s="11">
        <f ca="1">IFERROR(VLOOKUP($D114,'Data NEW'!$B$2:$K$210,8,FALSE),"")</f>
        <v>0</v>
      </c>
      <c r="L114" s="11">
        <f ca="1">IFERROR(VLOOKUP($D114,'Data NEW'!$B$2:$K$210,9,FALSE),"")</f>
        <v>0</v>
      </c>
      <c r="M114" s="11">
        <f ca="1">IFERROR(VLOOKUP($D114,'Data NEW'!$B$2:$K$210,10,FALSE),"")</f>
        <v>0</v>
      </c>
    </row>
    <row r="115" spans="4:13" ht="15.75" customHeight="1" x14ac:dyDescent="0.2">
      <c r="D115" s="12" t="str">
        <f ca="1">IFERROR(__xludf.DUMMYFUNCTION("""COMPUTED_VALUE"""),"James Joyce Cocktail")</f>
        <v>James Joyce Cocktail</v>
      </c>
      <c r="E115" s="13" t="str">
        <f ca="1">IFERROR(VLOOKUP($D115,'Data NEW'!$B$2:$K$210,2,FALSE),"")</f>
        <v>Irish whiskey</v>
      </c>
      <c r="F115" s="11" t="str">
        <f ca="1">IFERROR(VLOOKUP($D115,'Data NEW'!$B$2:$K$210,6,FALSE),"")</f>
        <v>triple sec</v>
      </c>
      <c r="G115" s="11" t="str">
        <f ca="1">IFERROR(VLOOKUP($D115,'Data NEW'!$B$2:$K$210,5,FALSE),"")</f>
        <v>lime juice</v>
      </c>
      <c r="H115" s="11">
        <f ca="1">IFERROR(VLOOKUP($D115,'Data NEW'!$B$2:$K$210,4,FALSE),"")</f>
        <v>0</v>
      </c>
      <c r="I115" s="11">
        <f ca="1">IFERROR(VLOOKUP($D115,'Data NEW'!$B$2:$K$210,7,FALSE),"")</f>
        <v>0</v>
      </c>
      <c r="J115" s="11">
        <f ca="1">IFERROR(VLOOKUP($D115,'Data NEW'!$B$2:$K$210,3,FALSE),"")</f>
        <v>0</v>
      </c>
      <c r="K115" s="11">
        <f ca="1">IFERROR(VLOOKUP($D115,'Data NEW'!$B$2:$K$210,8,FALSE),"")</f>
        <v>0</v>
      </c>
      <c r="L115" s="11">
        <f ca="1">IFERROR(VLOOKUP($D115,'Data NEW'!$B$2:$K$210,9,FALSE),"")</f>
        <v>0</v>
      </c>
      <c r="M115" s="11">
        <f ca="1">IFERROR(VLOOKUP($D115,'Data NEW'!$B$2:$K$210,10,FALSE),"")</f>
        <v>0</v>
      </c>
    </row>
    <row r="116" spans="4:13" ht="15.75" customHeight="1" x14ac:dyDescent="0.2">
      <c r="D116" s="12" t="str">
        <f ca="1">IFERROR(__xludf.DUMMYFUNCTION("""COMPUTED_VALUE"""),"Jockey Club Cocktail")</f>
        <v>Jockey Club Cocktail</v>
      </c>
      <c r="E116" s="13" t="str">
        <f ca="1">IFERROR(VLOOKUP($D116,'Data NEW'!$B$2:$K$210,2,FALSE),"")</f>
        <v>gin</v>
      </c>
      <c r="F116" s="11" t="str">
        <f ca="1">IFERROR(VLOOKUP($D116,'Data NEW'!$B$2:$K$210,6,FALSE),"")</f>
        <v>amaretto</v>
      </c>
      <c r="G116" s="11" t="str">
        <f ca="1">IFERROR(VLOOKUP($D116,'Data NEW'!$B$2:$K$210,5,FALSE),"")</f>
        <v>lemon juice</v>
      </c>
      <c r="H116" s="11" t="str">
        <f ca="1">IFERROR(VLOOKUP($D116,'Data NEW'!$B$2:$K$210,4,FALSE),"")</f>
        <v>Angostura</v>
      </c>
      <c r="I116" s="11">
        <f ca="1">IFERROR(VLOOKUP($D116,'Data NEW'!$B$2:$K$210,7,FALSE),"")</f>
        <v>0</v>
      </c>
      <c r="J116" s="11">
        <f ca="1">IFERROR(VLOOKUP($D116,'Data NEW'!$B$2:$K$210,3,FALSE),"")</f>
        <v>0</v>
      </c>
      <c r="K116" s="11">
        <f ca="1">IFERROR(VLOOKUP($D116,'Data NEW'!$B$2:$K$210,8,FALSE),"")</f>
        <v>0</v>
      </c>
      <c r="L116" s="11">
        <f ca="1">IFERROR(VLOOKUP($D116,'Data NEW'!$B$2:$K$210,9,FALSE),"")</f>
        <v>0</v>
      </c>
      <c r="M116" s="11">
        <f ca="1">IFERROR(VLOOKUP($D116,'Data NEW'!$B$2:$K$210,10,FALSE),"")</f>
        <v>0</v>
      </c>
    </row>
    <row r="117" spans="4:13" ht="15.75" customHeight="1" x14ac:dyDescent="0.2">
      <c r="D117" s="12" t="str">
        <f ca="1">IFERROR(__xludf.DUMMYFUNCTION("""COMPUTED_VALUE"""),"John Collins")</f>
        <v>John Collins</v>
      </c>
      <c r="E117" s="13" t="str">
        <f ca="1">IFERROR(VLOOKUP($D117,'Data NEW'!$B$2:$K$210,2,FALSE),"")</f>
        <v>bourbon</v>
      </c>
      <c r="F117" s="11">
        <f ca="1">IFERROR(VLOOKUP($D117,'Data NEW'!$B$2:$K$210,6,FALSE),"")</f>
        <v>0</v>
      </c>
      <c r="G117" s="11" t="str">
        <f ca="1">IFERROR(VLOOKUP($D117,'Data NEW'!$B$2:$K$210,5,FALSE),"")</f>
        <v>lemon juice</v>
      </c>
      <c r="H117" s="11" t="str">
        <f ca="1">IFERROR(VLOOKUP($D117,'Data NEW'!$B$2:$K$210,4,FALSE),"")</f>
        <v>simple syrup</v>
      </c>
      <c r="I117" s="11">
        <f ca="1">IFERROR(VLOOKUP($D117,'Data NEW'!$B$2:$K$210,7,FALSE),"")</f>
        <v>0</v>
      </c>
      <c r="J117" s="11">
        <f ca="1">IFERROR(VLOOKUP($D117,'Data NEW'!$B$2:$K$210,3,FALSE),"")</f>
        <v>0</v>
      </c>
      <c r="K117" s="11">
        <f ca="1">IFERROR(VLOOKUP($D117,'Data NEW'!$B$2:$K$210,8,FALSE),"")</f>
        <v>0</v>
      </c>
      <c r="L117" s="11">
        <f ca="1">IFERROR(VLOOKUP($D117,'Data NEW'!$B$2:$K$210,9,FALSE),"")</f>
        <v>0</v>
      </c>
      <c r="M117" s="11">
        <f ca="1">IFERROR(VLOOKUP($D117,'Data NEW'!$B$2:$K$210,10,FALSE),"")</f>
        <v>0</v>
      </c>
    </row>
    <row r="118" spans="4:13" ht="15.75" customHeight="1" x14ac:dyDescent="0.2">
      <c r="D118" s="12" t="str">
        <f ca="1">IFERROR(__xludf.DUMMYFUNCTION("""COMPUTED_VALUE"""),"Kamikaze")</f>
        <v>Kamikaze</v>
      </c>
      <c r="E118" s="13" t="str">
        <f ca="1">IFERROR(VLOOKUP($D118,'Data NEW'!$B$2:$K$210,2,FALSE),"")</f>
        <v>vodka</v>
      </c>
      <c r="F118" s="11" t="str">
        <f ca="1">IFERROR(VLOOKUP($D118,'Data NEW'!$B$2:$K$210,6,FALSE),"")</f>
        <v>triple sec</v>
      </c>
      <c r="G118" s="11" t="str">
        <f ca="1">IFERROR(VLOOKUP($D118,'Data NEW'!$B$2:$K$210,5,FALSE),"")</f>
        <v>lime juice</v>
      </c>
      <c r="H118" s="11">
        <f ca="1">IFERROR(VLOOKUP($D118,'Data NEW'!$B$2:$K$210,4,FALSE),"")</f>
        <v>0</v>
      </c>
      <c r="I118" s="11">
        <f ca="1">IFERROR(VLOOKUP($D118,'Data NEW'!$B$2:$K$210,7,FALSE),"")</f>
        <v>0</v>
      </c>
      <c r="J118" s="11">
        <f ca="1">IFERROR(VLOOKUP($D118,'Data NEW'!$B$2:$K$210,3,FALSE),"")</f>
        <v>0</v>
      </c>
      <c r="K118" s="11">
        <f ca="1">IFERROR(VLOOKUP($D118,'Data NEW'!$B$2:$K$210,8,FALSE),"")</f>
        <v>0</v>
      </c>
      <c r="L118" s="11">
        <f ca="1">IFERROR(VLOOKUP($D118,'Data NEW'!$B$2:$K$210,9,FALSE),"")</f>
        <v>0</v>
      </c>
      <c r="M118" s="11">
        <f ca="1">IFERROR(VLOOKUP($D118,'Data NEW'!$B$2:$K$210,10,FALSE),"")</f>
        <v>0</v>
      </c>
    </row>
    <row r="119" spans="4:13" ht="15.75" customHeight="1" x14ac:dyDescent="0.2">
      <c r="D119" s="12" t="str">
        <f ca="1">IFERROR(__xludf.DUMMYFUNCTION("""COMPUTED_VALUE"""),"Kentucky Squirrel")</f>
        <v>Kentucky Squirrel</v>
      </c>
      <c r="E119" s="13" t="str">
        <f ca="1">IFERROR(VLOOKUP($D119,'Data NEW'!$B$2:$K$210,2,FALSE),"")</f>
        <v>bourbon</v>
      </c>
      <c r="F119" s="11" t="str">
        <f ca="1">IFERROR(VLOOKUP($D119,'Data NEW'!$B$2:$K$210,6,FALSE),"")</f>
        <v>crème de noyau</v>
      </c>
      <c r="G119" s="11" t="str">
        <f ca="1">IFERROR(VLOOKUP($D119,'Data NEW'!$B$2:$K$210,5,FALSE),"")</f>
        <v>lemon juice</v>
      </c>
      <c r="H119" s="11">
        <f ca="1">IFERROR(VLOOKUP($D119,'Data NEW'!$B$2:$K$210,4,FALSE),"")</f>
        <v>0</v>
      </c>
      <c r="I119" s="11">
        <f ca="1">IFERROR(VLOOKUP($D119,'Data NEW'!$B$2:$K$210,7,FALSE),"")</f>
        <v>0</v>
      </c>
      <c r="J119" s="11">
        <f ca="1">IFERROR(VLOOKUP($D119,'Data NEW'!$B$2:$K$210,3,FALSE),"")</f>
        <v>0</v>
      </c>
      <c r="K119" s="11">
        <f ca="1">IFERROR(VLOOKUP($D119,'Data NEW'!$B$2:$K$210,8,FALSE),"")</f>
        <v>0</v>
      </c>
      <c r="L119" s="11">
        <f ca="1">IFERROR(VLOOKUP($D119,'Data NEW'!$B$2:$K$210,9,FALSE),"")</f>
        <v>0</v>
      </c>
      <c r="M119" s="11">
        <f ca="1">IFERROR(VLOOKUP($D119,'Data NEW'!$B$2:$K$210,10,FALSE),"")</f>
        <v>0</v>
      </c>
    </row>
    <row r="120" spans="4:13" ht="15.75" customHeight="1" x14ac:dyDescent="0.2">
      <c r="D120" s="12" t="str">
        <f ca="1">IFERROR(__xludf.DUMMYFUNCTION("""COMPUTED_VALUE"""),"Kretchma Cocktail")</f>
        <v>Kretchma Cocktail</v>
      </c>
      <c r="E120" s="13" t="str">
        <f ca="1">IFERROR(VLOOKUP($D120,'Data NEW'!$B$2:$K$210,2,FALSE),"")</f>
        <v>vodka</v>
      </c>
      <c r="F120" s="11" t="str">
        <f ca="1">IFERROR(VLOOKUP($D120,'Data NEW'!$B$2:$K$210,6,FALSE),"")</f>
        <v>white crème de cacao</v>
      </c>
      <c r="G120" s="11" t="str">
        <f ca="1">IFERROR(VLOOKUP($D120,'Data NEW'!$B$2:$K$210,5,FALSE),"")</f>
        <v>lemon juice</v>
      </c>
      <c r="H120" s="11" t="str">
        <f ca="1">IFERROR(VLOOKUP($D120,'Data NEW'!$B$2:$K$210,4,FALSE),"")</f>
        <v>grenadine</v>
      </c>
      <c r="I120" s="11">
        <f ca="1">IFERROR(VLOOKUP($D120,'Data NEW'!$B$2:$K$210,7,FALSE),"")</f>
        <v>0</v>
      </c>
      <c r="J120" s="11">
        <f ca="1">IFERROR(VLOOKUP($D120,'Data NEW'!$B$2:$K$210,3,FALSE),"")</f>
        <v>0</v>
      </c>
      <c r="K120" s="11">
        <f ca="1">IFERROR(VLOOKUP($D120,'Data NEW'!$B$2:$K$210,8,FALSE),"")</f>
        <v>0</v>
      </c>
      <c r="L120" s="11">
        <f ca="1">IFERROR(VLOOKUP($D120,'Data NEW'!$B$2:$K$210,9,FALSE),"")</f>
        <v>0</v>
      </c>
      <c r="M120" s="11">
        <f ca="1">IFERROR(VLOOKUP($D120,'Data NEW'!$B$2:$K$210,10,FALSE),"")</f>
        <v>0</v>
      </c>
    </row>
    <row r="121" spans="4:13" ht="15.75" customHeight="1" x14ac:dyDescent="0.2">
      <c r="D121" s="12" t="str">
        <f ca="1">IFERROR(__xludf.DUMMYFUNCTION("""COMPUTED_VALUE"""),"Leap-Year Cocktail")</f>
        <v>Leap-Year Cocktail</v>
      </c>
      <c r="E121" s="13" t="str">
        <f ca="1">IFERROR(VLOOKUP($D121,'Data NEW'!$B$2:$K$210,2,FALSE),"")</f>
        <v>gin</v>
      </c>
      <c r="F121" s="11" t="str">
        <f ca="1">IFERROR(VLOOKUP($D121,'Data NEW'!$B$2:$K$210,6,FALSE),"")</f>
        <v>Grand Marnier</v>
      </c>
      <c r="G121" s="11" t="str">
        <f ca="1">IFERROR(VLOOKUP($D121,'Data NEW'!$B$2:$K$210,5,FALSE),"")</f>
        <v>lemon juice</v>
      </c>
      <c r="H121" s="11">
        <f ca="1">IFERROR(VLOOKUP($D121,'Data NEW'!$B$2:$K$210,4,FALSE),"")</f>
        <v>0</v>
      </c>
      <c r="I121" s="11">
        <f ca="1">IFERROR(VLOOKUP($D121,'Data NEW'!$B$2:$K$210,7,FALSE),"")</f>
        <v>0</v>
      </c>
      <c r="J121" s="11">
        <f ca="1">IFERROR(VLOOKUP($D121,'Data NEW'!$B$2:$K$210,3,FALSE),"")</f>
        <v>0</v>
      </c>
      <c r="K121" s="11">
        <f ca="1">IFERROR(VLOOKUP($D121,'Data NEW'!$B$2:$K$210,8,FALSE),"")</f>
        <v>0</v>
      </c>
      <c r="L121" s="11">
        <f ca="1">IFERROR(VLOOKUP($D121,'Data NEW'!$B$2:$K$210,9,FALSE),"")</f>
        <v>0</v>
      </c>
      <c r="M121" s="11">
        <f ca="1">IFERROR(VLOOKUP($D121,'Data NEW'!$B$2:$K$210,10,FALSE),"")</f>
        <v>0</v>
      </c>
    </row>
    <row r="122" spans="4:13" ht="15.75" customHeight="1" x14ac:dyDescent="0.2">
      <c r="D122" s="12" t="str">
        <f ca="1">IFERROR(__xludf.DUMMYFUNCTION("""COMPUTED_VALUE"""),"Lemon Drop")</f>
        <v>Lemon Drop</v>
      </c>
      <c r="E122" s="13" t="str">
        <f ca="1">IFERROR(VLOOKUP($D122,'Data NEW'!$B$2:$K$210,2,FALSE),"")</f>
        <v>citrus vodka</v>
      </c>
      <c r="F122" s="11">
        <f ca="1">IFERROR(VLOOKUP($D122,'Data NEW'!$B$2:$K$210,6,FALSE),"")</f>
        <v>0</v>
      </c>
      <c r="G122" s="11" t="str">
        <f ca="1">IFERROR(VLOOKUP($D122,'Data NEW'!$B$2:$K$210,5,FALSE),"")</f>
        <v>lemon juice</v>
      </c>
      <c r="H122" s="11" t="str">
        <f ca="1">IFERROR(VLOOKUP($D122,'Data NEW'!$B$2:$K$210,4,FALSE),"")</f>
        <v>simple syrup</v>
      </c>
      <c r="I122" s="11">
        <f ca="1">IFERROR(VLOOKUP($D122,'Data NEW'!$B$2:$K$210,7,FALSE),"")</f>
        <v>0</v>
      </c>
      <c r="J122" s="11">
        <f ca="1">IFERROR(VLOOKUP($D122,'Data NEW'!$B$2:$K$210,3,FALSE),"")</f>
        <v>0</v>
      </c>
      <c r="K122" s="11">
        <f ca="1">IFERROR(VLOOKUP($D122,'Data NEW'!$B$2:$K$210,8,FALSE),"")</f>
        <v>0</v>
      </c>
      <c r="L122" s="11">
        <f ca="1">IFERROR(VLOOKUP($D122,'Data NEW'!$B$2:$K$210,9,FALSE),"")</f>
        <v>0</v>
      </c>
      <c r="M122" s="11">
        <f ca="1">IFERROR(VLOOKUP($D122,'Data NEW'!$B$2:$K$210,10,FALSE),"")</f>
        <v>0</v>
      </c>
    </row>
    <row r="123" spans="4:13" ht="15.75" customHeight="1" x14ac:dyDescent="0.2">
      <c r="D123" s="12" t="str">
        <f ca="1">IFERROR(__xludf.DUMMYFUNCTION("""COMPUTED_VALUE"""),"Lola Martini")</f>
        <v>Lola Martini</v>
      </c>
      <c r="E123" s="13" t="str">
        <f ca="1">IFERROR(VLOOKUP($D123,'Data NEW'!$B$2:$K$210,2,FALSE),"")</f>
        <v>OP vodka</v>
      </c>
      <c r="F123" s="11" t="str">
        <f ca="1">IFERROR(VLOOKUP($D123,'Data NEW'!$B$2:$K$210,6,FALSE),"")</f>
        <v>triple sec</v>
      </c>
      <c r="G123" s="11" t="str">
        <f ca="1">IFERROR(VLOOKUP($D123,'Data NEW'!$B$2:$K$210,5,FALSE),"")</f>
        <v>lime juice</v>
      </c>
      <c r="H123" s="11">
        <f ca="1">IFERROR(VLOOKUP($D123,'Data NEW'!$B$2:$K$210,4,FALSE),"")</f>
        <v>0</v>
      </c>
      <c r="I123" s="11" t="str">
        <f ca="1">IFERROR(VLOOKUP($D123,'Data NEW'!$B$2:$K$210,7,FALSE),"")</f>
        <v>elderflower syrup</v>
      </c>
      <c r="J123" s="11">
        <f ca="1">IFERROR(VLOOKUP($D123,'Data NEW'!$B$2:$K$210,3,FALSE),"")</f>
        <v>0</v>
      </c>
      <c r="K123" s="11">
        <f ca="1">IFERROR(VLOOKUP($D123,'Data NEW'!$B$2:$K$210,8,FALSE),"")</f>
        <v>0</v>
      </c>
      <c r="L123" s="11" t="str">
        <f ca="1">IFERROR(VLOOKUP($D123,'Data NEW'!$B$2:$K$210,9,FALSE),"")</f>
        <v>cranberry juice</v>
      </c>
      <c r="M123" s="11">
        <f ca="1">IFERROR(VLOOKUP($D123,'Data NEW'!$B$2:$K$210,10,FALSE),"")</f>
        <v>0</v>
      </c>
    </row>
    <row r="124" spans="4:13" ht="15.75" customHeight="1" x14ac:dyDescent="0.2">
      <c r="D124" s="12" t="str">
        <f ca="1">IFERROR(__xludf.DUMMYFUNCTION("""COMPUTED_VALUE"""),"Long Island Iced Tea")</f>
        <v>Long Island Iced Tea</v>
      </c>
      <c r="E124" s="13" t="str">
        <f ca="1">IFERROR(VLOOKUP($D124,'Data NEW'!$B$2:$K$210,2,FALSE),"")</f>
        <v>vodka, gin, rum, and tequila</v>
      </c>
      <c r="F124" s="11" t="str">
        <f ca="1">IFERROR(VLOOKUP($D124,'Data NEW'!$B$2:$K$210,6,FALSE),"")</f>
        <v>triple sec</v>
      </c>
      <c r="G124" s="11" t="str">
        <f ca="1">IFERROR(VLOOKUP($D124,'Data NEW'!$B$2:$K$210,5,FALSE),"")</f>
        <v>lemon juice</v>
      </c>
      <c r="H124" s="11" t="str">
        <f ca="1">IFERROR(VLOOKUP($D124,'Data NEW'!$B$2:$K$210,4,FALSE),"")</f>
        <v>cola</v>
      </c>
      <c r="I124" s="11">
        <f ca="1">IFERROR(VLOOKUP($D124,'Data NEW'!$B$2:$K$210,7,FALSE),"")</f>
        <v>0</v>
      </c>
      <c r="J124" s="11">
        <f ca="1">IFERROR(VLOOKUP($D124,'Data NEW'!$B$2:$K$210,3,FALSE),"")</f>
        <v>0</v>
      </c>
      <c r="K124" s="11">
        <f ca="1">IFERROR(VLOOKUP($D124,'Data NEW'!$B$2:$K$210,8,FALSE),"")</f>
        <v>0</v>
      </c>
      <c r="L124" s="11">
        <f ca="1">IFERROR(VLOOKUP($D124,'Data NEW'!$B$2:$K$210,9,FALSE),"")</f>
        <v>0</v>
      </c>
      <c r="M124" s="11">
        <f ca="1">IFERROR(VLOOKUP($D124,'Data NEW'!$B$2:$K$210,10,FALSE),"")</f>
        <v>0</v>
      </c>
    </row>
    <row r="125" spans="4:13" ht="15.75" customHeight="1" x14ac:dyDescent="0.2">
      <c r="D125" s="12" t="str">
        <f ca="1">IFERROR(__xludf.DUMMYFUNCTION("""COMPUTED_VALUE"""),"Madras")</f>
        <v>Madras</v>
      </c>
      <c r="E125" s="13" t="str">
        <f ca="1">IFERROR(VLOOKUP($D125,'Data NEW'!$B$2:$K$210,2,FALSE),"")</f>
        <v>vodka</v>
      </c>
      <c r="F125" s="11">
        <f ca="1">IFERROR(VLOOKUP($D125,'Data NEW'!$B$2:$K$210,6,FALSE),"")</f>
        <v>0</v>
      </c>
      <c r="G125" s="11" t="str">
        <f ca="1">IFERROR(VLOOKUP($D125,'Data NEW'!$B$2:$K$210,5,FALSE),"")</f>
        <v>cranberry juice</v>
      </c>
      <c r="H125" s="11">
        <f ca="1">IFERROR(VLOOKUP($D125,'Data NEW'!$B$2:$K$210,4,FALSE),"")</f>
        <v>0</v>
      </c>
      <c r="I125" s="11">
        <f ca="1">IFERROR(VLOOKUP($D125,'Data NEW'!$B$2:$K$210,7,FALSE),"")</f>
        <v>0</v>
      </c>
      <c r="J125" s="11">
        <f ca="1">IFERROR(VLOOKUP($D125,'Data NEW'!$B$2:$K$210,3,FALSE),"")</f>
        <v>0</v>
      </c>
      <c r="K125" s="11">
        <f ca="1">IFERROR(VLOOKUP($D125,'Data NEW'!$B$2:$K$210,8,FALSE),"")</f>
        <v>0</v>
      </c>
      <c r="L125" s="11">
        <f ca="1">IFERROR(VLOOKUP($D125,'Data NEW'!$B$2:$K$210,9,FALSE),"")</f>
        <v>0</v>
      </c>
      <c r="M125" s="11">
        <f ca="1">IFERROR(VLOOKUP($D125,'Data NEW'!$B$2:$K$210,10,FALSE),"")</f>
        <v>0</v>
      </c>
    </row>
    <row r="126" spans="4:13" ht="15.75" customHeight="1" x14ac:dyDescent="0.2">
      <c r="D126" s="12" t="str">
        <f ca="1">IFERROR(__xludf.DUMMYFUNCTION("""COMPUTED_VALUE"""),"Maiden's Blush Cocktail")</f>
        <v>Maiden's Blush Cocktail</v>
      </c>
      <c r="E126" s="13" t="str">
        <f ca="1">IFERROR(VLOOKUP($D126,'Data NEW'!$B$2:$K$210,2,FALSE),"")</f>
        <v>gin</v>
      </c>
      <c r="F126" s="11" t="str">
        <f ca="1">IFERROR(VLOOKUP($D126,'Data NEW'!$B$2:$K$210,6,FALSE),"")</f>
        <v>triple sec</v>
      </c>
      <c r="G126" s="11" t="str">
        <f ca="1">IFERROR(VLOOKUP($D126,'Data NEW'!$B$2:$K$210,5,FALSE),"")</f>
        <v>lemon juice</v>
      </c>
      <c r="H126" s="11" t="str">
        <f ca="1">IFERROR(VLOOKUP($D126,'Data NEW'!$B$2:$K$210,4,FALSE),"")</f>
        <v>grenadine</v>
      </c>
      <c r="I126" s="11">
        <f ca="1">IFERROR(VLOOKUP($D126,'Data NEW'!$B$2:$K$210,7,FALSE),"")</f>
        <v>0</v>
      </c>
      <c r="J126" s="11">
        <f ca="1">IFERROR(VLOOKUP($D126,'Data NEW'!$B$2:$K$210,3,FALSE),"")</f>
        <v>0</v>
      </c>
      <c r="K126" s="11">
        <f ca="1">IFERROR(VLOOKUP($D126,'Data NEW'!$B$2:$K$210,8,FALSE),"")</f>
        <v>0</v>
      </c>
      <c r="L126" s="11">
        <f ca="1">IFERROR(VLOOKUP($D126,'Data NEW'!$B$2:$K$210,9,FALSE),"")</f>
        <v>0</v>
      </c>
      <c r="M126" s="11">
        <f ca="1">IFERROR(VLOOKUP($D126,'Data NEW'!$B$2:$K$210,10,FALSE),"")</f>
        <v>0</v>
      </c>
    </row>
    <row r="127" spans="4:13" ht="15.75" customHeight="1" x14ac:dyDescent="0.2">
      <c r="D127" s="12" t="str">
        <f ca="1">IFERROR(__xludf.DUMMYFUNCTION("""COMPUTED_VALUE"""),"Maiden's Prayer")</f>
        <v>Maiden's Prayer</v>
      </c>
      <c r="E127" s="13" t="str">
        <f ca="1">IFERROR(VLOOKUP($D127,'Data NEW'!$B$2:$K$210,2,FALSE),"")</f>
        <v>gin</v>
      </c>
      <c r="F127" s="11" t="str">
        <f ca="1">IFERROR(VLOOKUP($D127,'Data NEW'!$B$2:$K$210,6,FALSE),"")</f>
        <v>triple sec</v>
      </c>
      <c r="G127" s="11" t="str">
        <f ca="1">IFERROR(VLOOKUP($D127,'Data NEW'!$B$2:$K$210,5,FALSE),"")</f>
        <v>lemon juice</v>
      </c>
      <c r="H127" s="11" t="str">
        <f ca="1">IFERROR(VLOOKUP($D127,'Data NEW'!$B$2:$K$210,4,FALSE),"")</f>
        <v>Angostura</v>
      </c>
      <c r="I127" s="11">
        <f ca="1">IFERROR(VLOOKUP($D127,'Data NEW'!$B$2:$K$210,7,FALSE),"")</f>
        <v>0</v>
      </c>
      <c r="J127" s="11">
        <f ca="1">IFERROR(VLOOKUP($D127,'Data NEW'!$B$2:$K$210,3,FALSE),"")</f>
        <v>0</v>
      </c>
      <c r="K127" s="11">
        <f ca="1">IFERROR(VLOOKUP($D127,'Data NEW'!$B$2:$K$210,8,FALSE),"")</f>
        <v>0</v>
      </c>
      <c r="L127" s="11">
        <f ca="1">IFERROR(VLOOKUP($D127,'Data NEW'!$B$2:$K$210,9,FALSE),"")</f>
        <v>0</v>
      </c>
      <c r="M127" s="11">
        <f ca="1">IFERROR(VLOOKUP($D127,'Data NEW'!$B$2:$K$210,10,FALSE),"")</f>
        <v>0</v>
      </c>
    </row>
    <row r="128" spans="4:13" ht="15.75" customHeight="1" x14ac:dyDescent="0.2">
      <c r="D128" s="12" t="str">
        <f ca="1">IFERROR(__xludf.DUMMYFUNCTION("""COMPUTED_VALUE"""),"Mamie Taylor")</f>
        <v>Mamie Taylor</v>
      </c>
      <c r="E128" s="13" t="str">
        <f ca="1">IFERROR(VLOOKUP($D128,'Data NEW'!$B$2:$K$210,2,FALSE),"")</f>
        <v>scotch</v>
      </c>
      <c r="F128" s="11">
        <f ca="1">IFERROR(VLOOKUP($D128,'Data NEW'!$B$2:$K$210,6,FALSE),"")</f>
        <v>0</v>
      </c>
      <c r="G128" s="11">
        <f ca="1">IFERROR(VLOOKUP($D128,'Data NEW'!$B$2:$K$210,5,FALSE),"")</f>
        <v>0</v>
      </c>
      <c r="H128" s="11" t="str">
        <f ca="1">IFERROR(VLOOKUP($D128,'Data NEW'!$B$2:$K$210,4,FALSE),"")</f>
        <v>ginger ale</v>
      </c>
      <c r="I128" s="11">
        <f ca="1">IFERROR(VLOOKUP($D128,'Data NEW'!$B$2:$K$210,7,FALSE),"")</f>
        <v>0</v>
      </c>
      <c r="J128" s="11">
        <f ca="1">IFERROR(VLOOKUP($D128,'Data NEW'!$B$2:$K$210,3,FALSE),"")</f>
        <v>0</v>
      </c>
      <c r="K128" s="11">
        <f ca="1">IFERROR(VLOOKUP($D128,'Data NEW'!$B$2:$K$210,8,FALSE),"")</f>
        <v>0</v>
      </c>
      <c r="L128" s="11">
        <f ca="1">IFERROR(VLOOKUP($D128,'Data NEW'!$B$2:$K$210,9,FALSE),"")</f>
        <v>0</v>
      </c>
      <c r="M128" s="11">
        <f ca="1">IFERROR(VLOOKUP($D128,'Data NEW'!$B$2:$K$210,10,FALSE),"")</f>
        <v>0</v>
      </c>
    </row>
    <row r="129" spans="4:13" ht="15.75" customHeight="1" x14ac:dyDescent="0.2">
      <c r="D129" s="12" t="str">
        <f ca="1">IFERROR(__xludf.DUMMYFUNCTION("""COMPUTED_VALUE"""),"Manhattan")</f>
        <v>Manhattan</v>
      </c>
      <c r="E129" s="13" t="str">
        <f ca="1">IFERROR(VLOOKUP($D129,'Data NEW'!$B$2:$K$210,2,FALSE),"")</f>
        <v>bourbon</v>
      </c>
      <c r="F129" s="11" t="str">
        <f ca="1">IFERROR(VLOOKUP($D129,'Data NEW'!$B$2:$K$210,6,FALSE),"")</f>
        <v>sweet vermouth</v>
      </c>
      <c r="G129" s="11">
        <f ca="1">IFERROR(VLOOKUP($D129,'Data NEW'!$B$2:$K$210,5,FALSE),"")</f>
        <v>0</v>
      </c>
      <c r="H129" s="11" t="str">
        <f ca="1">IFERROR(VLOOKUP($D129,'Data NEW'!$B$2:$K$210,4,FALSE),"")</f>
        <v>Angostura</v>
      </c>
      <c r="I129" s="11">
        <f ca="1">IFERROR(VLOOKUP($D129,'Data NEW'!$B$2:$K$210,7,FALSE),"")</f>
        <v>0</v>
      </c>
      <c r="J129" s="11">
        <f ca="1">IFERROR(VLOOKUP($D129,'Data NEW'!$B$2:$K$210,3,FALSE),"")</f>
        <v>0</v>
      </c>
      <c r="K129" s="11">
        <f ca="1">IFERROR(VLOOKUP($D129,'Data NEW'!$B$2:$K$210,8,FALSE),"")</f>
        <v>0</v>
      </c>
      <c r="L129" s="11">
        <f ca="1">IFERROR(VLOOKUP($D129,'Data NEW'!$B$2:$K$210,9,FALSE),"")</f>
        <v>0</v>
      </c>
      <c r="M129" s="11">
        <f ca="1">IFERROR(VLOOKUP($D129,'Data NEW'!$B$2:$K$210,10,FALSE),"")</f>
        <v>0</v>
      </c>
    </row>
    <row r="130" spans="4:13" ht="15.75" customHeight="1" x14ac:dyDescent="0.2">
      <c r="D130" s="12" t="str">
        <f ca="1">IFERROR(__xludf.DUMMYFUNCTION("""COMPUTED_VALUE"""),"Maravel Sling")</f>
        <v>Maravel Sling</v>
      </c>
      <c r="E130" s="13" t="str">
        <f ca="1">IFERROR(VLOOKUP($D130,'Data NEW'!$B$2:$K$210,2,FALSE),"")</f>
        <v>gin</v>
      </c>
      <c r="F130" s="11" t="str">
        <f ca="1">IFERROR(VLOOKUP($D130,'Data NEW'!$B$2:$K$210,6,FALSE),"")</f>
        <v>Benedictine</v>
      </c>
      <c r="G130" s="11" t="str">
        <f ca="1">IFERROR(VLOOKUP($D130,'Data NEW'!$B$2:$K$210,5,FALSE),"")</f>
        <v>lemon juice</v>
      </c>
      <c r="H130" s="11" t="str">
        <f ca="1">IFERROR(VLOOKUP($D130,'Data NEW'!$B$2:$K$210,4,FALSE),"")</f>
        <v>club soda</v>
      </c>
      <c r="I130" s="11" t="str">
        <f ca="1">IFERROR(VLOOKUP($D130,'Data NEW'!$B$2:$K$210,7,FALSE),"")</f>
        <v>tamarind juice</v>
      </c>
      <c r="J130" s="11">
        <f ca="1">IFERROR(VLOOKUP($D130,'Data NEW'!$B$2:$K$210,3,FALSE),"")</f>
        <v>0</v>
      </c>
      <c r="K130" s="11">
        <f ca="1">IFERROR(VLOOKUP($D130,'Data NEW'!$B$2:$K$210,8,FALSE),"")</f>
        <v>0</v>
      </c>
      <c r="L130" s="11" t="str">
        <f ca="1">IFERROR(VLOOKUP($D130,'Data NEW'!$B$2:$K$210,9,FALSE),"")</f>
        <v>Angostura</v>
      </c>
      <c r="M130" s="11" t="str">
        <f ca="1">IFERROR(VLOOKUP($D130,'Data NEW'!$B$2:$K$210,10,FALSE),"")</f>
        <v>mango nectar</v>
      </c>
    </row>
    <row r="131" spans="4:13" ht="15.75" customHeight="1" x14ac:dyDescent="0.2">
      <c r="D131" s="12" t="str">
        <f ca="1">IFERROR(__xludf.DUMMYFUNCTION("""COMPUTED_VALUE"""),"Margarita")</f>
        <v>Margarita</v>
      </c>
      <c r="E131" s="13" t="str">
        <f ca="1">IFERROR(VLOOKUP($D131,'Data NEW'!$B$2:$K$210,2,FALSE),"")</f>
        <v>tequila</v>
      </c>
      <c r="F131" s="11" t="str">
        <f ca="1">IFERROR(VLOOKUP($D131,'Data NEW'!$B$2:$K$210,6,FALSE),"")</f>
        <v>triple sec</v>
      </c>
      <c r="G131" s="11" t="str">
        <f ca="1">IFERROR(VLOOKUP($D131,'Data NEW'!$B$2:$K$210,5,FALSE),"")</f>
        <v>lime juice</v>
      </c>
      <c r="H131" s="11">
        <f ca="1">IFERROR(VLOOKUP($D131,'Data NEW'!$B$2:$K$210,4,FALSE),"")</f>
        <v>0</v>
      </c>
      <c r="I131" s="11">
        <f ca="1">IFERROR(VLOOKUP($D131,'Data NEW'!$B$2:$K$210,7,FALSE),"")</f>
        <v>0</v>
      </c>
      <c r="J131" s="11">
        <f ca="1">IFERROR(VLOOKUP($D131,'Data NEW'!$B$2:$K$210,3,FALSE),"")</f>
        <v>0</v>
      </c>
      <c r="K131" s="11">
        <f ca="1">IFERROR(VLOOKUP($D131,'Data NEW'!$B$2:$K$210,8,FALSE),"")</f>
        <v>0</v>
      </c>
      <c r="L131" s="11">
        <f ca="1">IFERROR(VLOOKUP($D131,'Data NEW'!$B$2:$K$210,9,FALSE),"")</f>
        <v>0</v>
      </c>
      <c r="M131" s="11">
        <f ca="1">IFERROR(VLOOKUP($D131,'Data NEW'!$B$2:$K$210,10,FALSE),"")</f>
        <v>0</v>
      </c>
    </row>
    <row r="132" spans="4:13" ht="15.75" customHeight="1" x14ac:dyDescent="0.2">
      <c r="D132" s="12" t="str">
        <f ca="1">IFERROR(__xludf.DUMMYFUNCTION("""COMPUTED_VALUE"""),"Marin-i-tini")</f>
        <v>Marin-i-tini</v>
      </c>
      <c r="E132" s="13" t="str">
        <f ca="1">IFERROR(VLOOKUP($D132,'Data NEW'!$B$2:$K$210,2,FALSE),"")</f>
        <v>vodka</v>
      </c>
      <c r="F132" s="11" t="str">
        <f ca="1">IFERROR(VLOOKUP($D132,'Data NEW'!$B$2:$K$210,6,FALSE),"")</f>
        <v>triple sec</v>
      </c>
      <c r="G132" s="11" t="str">
        <f ca="1">IFERROR(VLOOKUP($D132,'Data NEW'!$B$2:$K$210,5,FALSE),"")</f>
        <v>lime juice</v>
      </c>
      <c r="H132" s="11">
        <f ca="1">IFERROR(VLOOKUP($D132,'Data NEW'!$B$2:$K$210,4,FALSE),"")</f>
        <v>0</v>
      </c>
      <c r="I132" s="11">
        <f ca="1">IFERROR(VLOOKUP($D132,'Data NEW'!$B$2:$K$210,7,FALSE),"")</f>
        <v>0</v>
      </c>
      <c r="J132" s="11">
        <f ca="1">IFERROR(VLOOKUP($D132,'Data NEW'!$B$2:$K$210,3,FALSE),"")</f>
        <v>0</v>
      </c>
      <c r="K132" s="11">
        <f ca="1">IFERROR(VLOOKUP($D132,'Data NEW'!$B$2:$K$210,8,FALSE),"")</f>
        <v>0</v>
      </c>
      <c r="L132" s="11" t="str">
        <f ca="1">IFERROR(VLOOKUP($D132,'Data NEW'!$B$2:$K$210,9,FALSE),"")</f>
        <v>blue curacao</v>
      </c>
      <c r="M132" s="11" t="str">
        <f ca="1">IFERROR(VLOOKUP($D132,'Data NEW'!$B$2:$K$210,10,FALSE),"")</f>
        <v>peach schnapps</v>
      </c>
    </row>
    <row r="133" spans="4:13" ht="15.75" customHeight="1" x14ac:dyDescent="0.2">
      <c r="D133" s="12" t="str">
        <f ca="1">IFERROR(__xludf.DUMMYFUNCTION("""COMPUTED_VALUE"""),"Martinez")</f>
        <v>Martinez</v>
      </c>
      <c r="E133" s="13" t="str">
        <f ca="1">IFERROR(VLOOKUP($D133,'Data NEW'!$B$2:$K$210,2,FALSE),"")</f>
        <v>gin</v>
      </c>
      <c r="F133" s="11" t="str">
        <f ca="1">IFERROR(VLOOKUP($D133,'Data NEW'!$B$2:$K$210,6,FALSE),"")</f>
        <v>sweet vermouth</v>
      </c>
      <c r="G133" s="11">
        <f ca="1">IFERROR(VLOOKUP($D133,'Data NEW'!$B$2:$K$210,5,FALSE),"")</f>
        <v>0</v>
      </c>
      <c r="H133" s="11" t="str">
        <f ca="1">IFERROR(VLOOKUP($D133,'Data NEW'!$B$2:$K$210,4,FALSE),"")</f>
        <v>maraschino</v>
      </c>
      <c r="I133" s="11">
        <f ca="1">IFERROR(VLOOKUP($D133,'Data NEW'!$B$2:$K$210,7,FALSE),"")</f>
        <v>0</v>
      </c>
      <c r="J133" s="11">
        <f ca="1">IFERROR(VLOOKUP($D133,'Data NEW'!$B$2:$K$210,3,FALSE),"")</f>
        <v>0</v>
      </c>
      <c r="K133" s="11">
        <f ca="1">IFERROR(VLOOKUP($D133,'Data NEW'!$B$2:$K$210,8,FALSE),"")</f>
        <v>0</v>
      </c>
      <c r="L133" s="11">
        <f ca="1">IFERROR(VLOOKUP($D133,'Data NEW'!$B$2:$K$210,9,FALSE),"")</f>
        <v>0</v>
      </c>
      <c r="M133" s="11">
        <f ca="1">IFERROR(VLOOKUP($D133,'Data NEW'!$B$2:$K$210,10,FALSE),"")</f>
        <v>0</v>
      </c>
    </row>
    <row r="134" spans="4:13" ht="15.75" customHeight="1" x14ac:dyDescent="0.2">
      <c r="D134" s="12" t="str">
        <f ca="1">IFERROR(__xludf.DUMMYFUNCTION("""COMPUTED_VALUE"""),"Maryland Squirrel")</f>
        <v>Maryland Squirrel</v>
      </c>
      <c r="E134" s="13" t="str">
        <f ca="1">IFERROR(VLOOKUP($D134,'Data NEW'!$B$2:$K$210,2,FALSE),"")</f>
        <v>rye whiskey</v>
      </c>
      <c r="F134" s="11" t="str">
        <f ca="1">IFERROR(VLOOKUP($D134,'Data NEW'!$B$2:$K$210,6,FALSE),"")</f>
        <v>crème de noyau</v>
      </c>
      <c r="G134" s="11" t="str">
        <f ca="1">IFERROR(VLOOKUP($D134,'Data NEW'!$B$2:$K$210,5,FALSE),"")</f>
        <v>lemon juice</v>
      </c>
      <c r="H134" s="11">
        <f ca="1">IFERROR(VLOOKUP($D134,'Data NEW'!$B$2:$K$210,4,FALSE),"")</f>
        <v>0</v>
      </c>
      <c r="I134" s="11">
        <f ca="1">IFERROR(VLOOKUP($D134,'Data NEW'!$B$2:$K$210,7,FALSE),"")</f>
        <v>0</v>
      </c>
      <c r="J134" s="11">
        <f ca="1">IFERROR(VLOOKUP($D134,'Data NEW'!$B$2:$K$210,3,FALSE),"")</f>
        <v>0</v>
      </c>
      <c r="K134" s="11">
        <f ca="1">IFERROR(VLOOKUP($D134,'Data NEW'!$B$2:$K$210,8,FALSE),"")</f>
        <v>0</v>
      </c>
      <c r="L134" s="11">
        <f ca="1">IFERROR(VLOOKUP($D134,'Data NEW'!$B$2:$K$210,9,FALSE),"")</f>
        <v>0</v>
      </c>
      <c r="M134" s="11">
        <f ca="1">IFERROR(VLOOKUP($D134,'Data NEW'!$B$2:$K$210,10,FALSE),"")</f>
        <v>0</v>
      </c>
    </row>
    <row r="135" spans="4:13" ht="15.75" customHeight="1" x14ac:dyDescent="0.2">
      <c r="D135" s="12" t="str">
        <f ca="1">IFERROR(__xludf.DUMMYFUNCTION("""COMPUTED_VALUE"""),"Maurice Cocktail")</f>
        <v>Maurice Cocktail</v>
      </c>
      <c r="E135" s="13" t="str">
        <f ca="1">IFERROR(VLOOKUP($D135,'Data NEW'!$B$2:$K$210,2,FALSE),"")</f>
        <v>gin</v>
      </c>
      <c r="F135" s="11" t="str">
        <f ca="1">IFERROR(VLOOKUP($D135,'Data NEW'!$B$2:$K$210,6,FALSE),"")</f>
        <v>dry vermouth</v>
      </c>
      <c r="G135" s="11" t="str">
        <f ca="1">IFERROR(VLOOKUP($D135,'Data NEW'!$B$2:$K$210,5,FALSE),"")</f>
        <v>orange juice</v>
      </c>
      <c r="H135" s="11">
        <f ca="1">IFERROR(VLOOKUP($D135,'Data NEW'!$B$2:$K$210,4,FALSE),"")</f>
        <v>0</v>
      </c>
      <c r="I135" s="11">
        <f ca="1">IFERROR(VLOOKUP($D135,'Data NEW'!$B$2:$K$210,7,FALSE),"")</f>
        <v>0</v>
      </c>
      <c r="J135" s="11">
        <f ca="1">IFERROR(VLOOKUP($D135,'Data NEW'!$B$2:$K$210,3,FALSE),"")</f>
        <v>0</v>
      </c>
      <c r="K135" s="11">
        <f ca="1">IFERROR(VLOOKUP($D135,'Data NEW'!$B$2:$K$210,8,FALSE),"")</f>
        <v>0</v>
      </c>
      <c r="L135" s="11" t="str">
        <f ca="1">IFERROR(VLOOKUP($D135,'Data NEW'!$B$2:$K$210,9,FALSE),"")</f>
        <v>sweet vermouth</v>
      </c>
      <c r="M135" s="11" t="str">
        <f ca="1">IFERROR(VLOOKUP($D135,'Data NEW'!$B$2:$K$210,10,FALSE),"")</f>
        <v>absinthe</v>
      </c>
    </row>
    <row r="136" spans="4:13" ht="15.75" customHeight="1" x14ac:dyDescent="0.2">
      <c r="D136" s="12" t="str">
        <f ca="1">IFERROR(__xludf.DUMMYFUNCTION("""COMPUTED_VALUE"""),"Metropolitan")</f>
        <v>Metropolitan</v>
      </c>
      <c r="E136" s="13" t="str">
        <f ca="1">IFERROR(VLOOKUP($D136,'Data NEW'!$B$2:$K$210,2,FALSE),"")</f>
        <v>currant vodka</v>
      </c>
      <c r="F136" s="11" t="str">
        <f ca="1">IFERROR(VLOOKUP($D136,'Data NEW'!$B$2:$K$210,6,FALSE),"")</f>
        <v>triple sec</v>
      </c>
      <c r="G136" s="11" t="str">
        <f ca="1">IFERROR(VLOOKUP($D136,'Data NEW'!$B$2:$K$210,5,FALSE),"")</f>
        <v>lime juice</v>
      </c>
      <c r="H136" s="11">
        <f ca="1">IFERROR(VLOOKUP($D136,'Data NEW'!$B$2:$K$210,4,FALSE),"")</f>
        <v>0</v>
      </c>
      <c r="I136" s="11" t="str">
        <f ca="1">IFERROR(VLOOKUP($D136,'Data NEW'!$B$2:$K$210,7,FALSE),"")</f>
        <v>cranberry juice</v>
      </c>
      <c r="J136" s="11">
        <f ca="1">IFERROR(VLOOKUP($D136,'Data NEW'!$B$2:$K$210,3,FALSE),"")</f>
        <v>0</v>
      </c>
      <c r="K136" s="11">
        <f ca="1">IFERROR(VLOOKUP($D136,'Data NEW'!$B$2:$K$210,8,FALSE),"")</f>
        <v>0</v>
      </c>
      <c r="L136" s="11">
        <f ca="1">IFERROR(VLOOKUP($D136,'Data NEW'!$B$2:$K$210,9,FALSE),"")</f>
        <v>0</v>
      </c>
      <c r="M136" s="11">
        <f ca="1">IFERROR(VLOOKUP($D136,'Data NEW'!$B$2:$K$210,10,FALSE),"")</f>
        <v>0</v>
      </c>
    </row>
    <row r="137" spans="4:13" ht="15.75" customHeight="1" x14ac:dyDescent="0.2">
      <c r="D137" s="12" t="str">
        <f ca="1">IFERROR(__xludf.DUMMYFUNCTION("""COMPUTED_VALUE"""),"Mexican Squirrel")</f>
        <v>Mexican Squirrel</v>
      </c>
      <c r="E137" s="13" t="str">
        <f ca="1">IFERROR(VLOOKUP($D137,'Data NEW'!$B$2:$K$210,2,FALSE),"")</f>
        <v>tequila</v>
      </c>
      <c r="F137" s="11" t="str">
        <f ca="1">IFERROR(VLOOKUP($D137,'Data NEW'!$B$2:$K$210,6,FALSE),"")</f>
        <v>crème de noyau</v>
      </c>
      <c r="G137" s="11" t="str">
        <f ca="1">IFERROR(VLOOKUP($D137,'Data NEW'!$B$2:$K$210,5,FALSE),"")</f>
        <v>lime juice</v>
      </c>
      <c r="H137" s="11">
        <f ca="1">IFERROR(VLOOKUP($D137,'Data NEW'!$B$2:$K$210,4,FALSE),"")</f>
        <v>0</v>
      </c>
      <c r="I137" s="11">
        <f ca="1">IFERROR(VLOOKUP($D137,'Data NEW'!$B$2:$K$210,7,FALSE),"")</f>
        <v>0</v>
      </c>
      <c r="J137" s="11">
        <f ca="1">IFERROR(VLOOKUP($D137,'Data NEW'!$B$2:$K$210,3,FALSE),"")</f>
        <v>0</v>
      </c>
      <c r="K137" s="11">
        <f ca="1">IFERROR(VLOOKUP($D137,'Data NEW'!$B$2:$K$210,8,FALSE),"")</f>
        <v>0</v>
      </c>
      <c r="L137" s="11">
        <f ca="1">IFERROR(VLOOKUP($D137,'Data NEW'!$B$2:$K$210,9,FALSE),"")</f>
        <v>0</v>
      </c>
      <c r="M137" s="11">
        <f ca="1">IFERROR(VLOOKUP($D137,'Data NEW'!$B$2:$K$210,10,FALSE),"")</f>
        <v>0</v>
      </c>
    </row>
    <row r="138" spans="4:13" ht="15.75" customHeight="1" x14ac:dyDescent="0.2">
      <c r="D138" s="12" t="str">
        <f ca="1">IFERROR(__xludf.DUMMYFUNCTION("""COMPUTED_VALUE"""),"Millennium Manhattan")</f>
        <v>Millennium Manhattan</v>
      </c>
      <c r="E138" s="13" t="str">
        <f ca="1">IFERROR(VLOOKUP($D138,'Data NEW'!$B$2:$K$210,2,FALSE),"")</f>
        <v>bourbon</v>
      </c>
      <c r="F138" s="11" t="str">
        <f ca="1">IFERROR(VLOOKUP($D138,'Data NEW'!$B$2:$K$210,6,FALSE),"")</f>
        <v>sweet vermouth</v>
      </c>
      <c r="G138" s="11">
        <f ca="1">IFERROR(VLOOKUP($D138,'Data NEW'!$B$2:$K$210,5,FALSE),"")</f>
        <v>0</v>
      </c>
      <c r="H138" s="11" t="str">
        <f ca="1">IFERROR(VLOOKUP($D138,'Data NEW'!$B$2:$K$210,4,FALSE),"")</f>
        <v>Angostura</v>
      </c>
      <c r="I138" s="11">
        <f ca="1">IFERROR(VLOOKUP($D138,'Data NEW'!$B$2:$K$210,7,FALSE),"")</f>
        <v>0</v>
      </c>
      <c r="J138" s="11">
        <f ca="1">IFERROR(VLOOKUP($D138,'Data NEW'!$B$2:$K$210,3,FALSE),"")</f>
        <v>0</v>
      </c>
      <c r="K138" s="11">
        <f ca="1">IFERROR(VLOOKUP($D138,'Data NEW'!$B$2:$K$210,8,FALSE),"")</f>
        <v>0</v>
      </c>
      <c r="L138" s="11">
        <f ca="1">IFERROR(VLOOKUP($D138,'Data NEW'!$B$2:$K$210,9,FALSE),"")</f>
        <v>0</v>
      </c>
      <c r="M138" s="11">
        <f ca="1">IFERROR(VLOOKUP($D138,'Data NEW'!$B$2:$K$210,10,FALSE),"")</f>
        <v>0</v>
      </c>
    </row>
    <row r="139" spans="4:13" ht="15.75" customHeight="1" x14ac:dyDescent="0.2">
      <c r="D139" s="12" t="str">
        <f ca="1">IFERROR(__xludf.DUMMYFUNCTION("""COMPUTED_VALUE"""),"Millionaire Cocktail No. 4")</f>
        <v>Millionaire Cocktail No. 4</v>
      </c>
      <c r="E139" s="13" t="str">
        <f ca="1">IFERROR(VLOOKUP($D139,'Data NEW'!$B$2:$K$210,2,FALSE),"")</f>
        <v>rum</v>
      </c>
      <c r="F139" s="11" t="str">
        <f ca="1">IFERROR(VLOOKUP($D139,'Data NEW'!$B$2:$K$210,6,FALSE),"")</f>
        <v>apricot brandy</v>
      </c>
      <c r="G139" s="11" t="str">
        <f ca="1">IFERROR(VLOOKUP($D139,'Data NEW'!$B$2:$K$210,5,FALSE),"")</f>
        <v>lime juice</v>
      </c>
      <c r="H139" s="11">
        <f ca="1">IFERROR(VLOOKUP($D139,'Data NEW'!$B$2:$K$210,4,FALSE),"")</f>
        <v>0</v>
      </c>
      <c r="I139" s="11">
        <f ca="1">IFERROR(VLOOKUP($D139,'Data NEW'!$B$2:$K$210,7,FALSE),"")</f>
        <v>0</v>
      </c>
      <c r="J139" s="11" t="str">
        <f ca="1">IFERROR(VLOOKUP($D139,'Data NEW'!$B$2:$K$210,3,FALSE),"")</f>
        <v>sloe gin</v>
      </c>
      <c r="K139" s="11">
        <f ca="1">IFERROR(VLOOKUP($D139,'Data NEW'!$B$2:$K$210,8,FALSE),"")</f>
        <v>0</v>
      </c>
      <c r="L139" s="11">
        <f ca="1">IFERROR(VLOOKUP($D139,'Data NEW'!$B$2:$K$210,9,FALSE),"")</f>
        <v>0</v>
      </c>
      <c r="M139" s="11">
        <f ca="1">IFERROR(VLOOKUP($D139,'Data NEW'!$B$2:$K$210,10,FALSE),"")</f>
        <v>0</v>
      </c>
    </row>
    <row r="140" spans="4:13" ht="15.75" customHeight="1" x14ac:dyDescent="0.2">
      <c r="D140" s="12" t="str">
        <f ca="1">IFERROR(__xludf.DUMMYFUNCTION("""COMPUTED_VALUE"""),"Millionaire's Margarita")</f>
        <v>Millionaire's Margarita</v>
      </c>
      <c r="E140" s="13" t="str">
        <f ca="1">IFERROR(VLOOKUP($D140,'Data NEW'!$B$2:$K$210,2,FALSE),"")</f>
        <v>tequila</v>
      </c>
      <c r="F140" s="11" t="str">
        <f ca="1">IFERROR(VLOOKUP($D140,'Data NEW'!$B$2:$K$210,6,FALSE),"")</f>
        <v>Grand Marnier</v>
      </c>
      <c r="G140" s="11" t="str">
        <f ca="1">IFERROR(VLOOKUP($D140,'Data NEW'!$B$2:$K$210,5,FALSE),"")</f>
        <v>lime juice</v>
      </c>
      <c r="H140" s="11">
        <f ca="1">IFERROR(VLOOKUP($D140,'Data NEW'!$B$2:$K$210,4,FALSE),"")</f>
        <v>0</v>
      </c>
      <c r="I140" s="11">
        <f ca="1">IFERROR(VLOOKUP($D140,'Data NEW'!$B$2:$K$210,7,FALSE),"")</f>
        <v>0</v>
      </c>
      <c r="J140" s="11">
        <f ca="1">IFERROR(VLOOKUP($D140,'Data NEW'!$B$2:$K$210,3,FALSE),"")</f>
        <v>0</v>
      </c>
      <c r="K140" s="11">
        <f ca="1">IFERROR(VLOOKUP($D140,'Data NEW'!$B$2:$K$210,8,FALSE),"")</f>
        <v>0</v>
      </c>
      <c r="L140" s="11">
        <f ca="1">IFERROR(VLOOKUP($D140,'Data NEW'!$B$2:$K$210,9,FALSE),"")</f>
        <v>0</v>
      </c>
      <c r="M140" s="11">
        <f ca="1">IFERROR(VLOOKUP($D140,'Data NEW'!$B$2:$K$210,10,FALSE),"")</f>
        <v>0</v>
      </c>
    </row>
    <row r="141" spans="4:13" ht="15.75" customHeight="1" x14ac:dyDescent="0.2">
      <c r="D141" s="12" t="str">
        <f ca="1">IFERROR(__xludf.DUMMYFUNCTION("""COMPUTED_VALUE"""),"Mint Julep")</f>
        <v>Mint Julep</v>
      </c>
      <c r="E141" s="13" t="str">
        <f ca="1">IFERROR(VLOOKUP($D141,'Data NEW'!$B$2:$K$210,2,FALSE),"")</f>
        <v>bourbon</v>
      </c>
      <c r="F141" s="11">
        <f ca="1">IFERROR(VLOOKUP($D141,'Data NEW'!$B$2:$K$210,6,FALSE),"")</f>
        <v>0</v>
      </c>
      <c r="G141" s="11">
        <f ca="1">IFERROR(VLOOKUP($D141,'Data NEW'!$B$2:$K$210,5,FALSE),"")</f>
        <v>0</v>
      </c>
      <c r="H141" s="11" t="str">
        <f ca="1">IFERROR(VLOOKUP($D141,'Data NEW'!$B$2:$K$210,4,FALSE),"")</f>
        <v>simple syrup</v>
      </c>
      <c r="I141" s="11">
        <f ca="1">IFERROR(VLOOKUP($D141,'Data NEW'!$B$2:$K$210,7,FALSE),"")</f>
        <v>0</v>
      </c>
      <c r="J141" s="11">
        <f ca="1">IFERROR(VLOOKUP($D141,'Data NEW'!$B$2:$K$210,3,FALSE),"")</f>
        <v>0</v>
      </c>
      <c r="K141" s="11" t="str">
        <f ca="1">IFERROR(VLOOKUP($D141,'Data NEW'!$B$2:$K$210,8,FALSE),"")</f>
        <v>Mint</v>
      </c>
      <c r="L141" s="11">
        <f ca="1">IFERROR(VLOOKUP($D141,'Data NEW'!$B$2:$K$210,9,FALSE),"")</f>
        <v>0</v>
      </c>
      <c r="M141" s="11">
        <f ca="1">IFERROR(VLOOKUP($D141,'Data NEW'!$B$2:$K$210,10,FALSE),"")</f>
        <v>0</v>
      </c>
    </row>
    <row r="142" spans="4:13" ht="15.75" customHeight="1" x14ac:dyDescent="0.2">
      <c r="D142" s="12" t="str">
        <f ca="1">IFERROR(__xludf.DUMMYFUNCTION("""COMPUTED_VALUE"""),"Missing Link")</f>
        <v>Missing Link</v>
      </c>
      <c r="E142" s="13" t="str">
        <f ca="1">IFERROR(VLOOKUP($D142,'Data NEW'!$B$2:$K$210,2,FALSE),"")</f>
        <v>rum</v>
      </c>
      <c r="F142" s="11" t="str">
        <f ca="1">IFERROR(VLOOKUP($D142,'Data NEW'!$B$2:$K$210,6,FALSE),"")</f>
        <v>triple sec</v>
      </c>
      <c r="G142" s="11" t="str">
        <f ca="1">IFERROR(VLOOKUP($D142,'Data NEW'!$B$2:$K$210,5,FALSE),"")</f>
        <v>lemon juice</v>
      </c>
      <c r="H142" s="11">
        <f ca="1">IFERROR(VLOOKUP($D142,'Data NEW'!$B$2:$K$210,4,FALSE),"")</f>
        <v>0</v>
      </c>
      <c r="I142" s="11">
        <f ca="1">IFERROR(VLOOKUP($D142,'Data NEW'!$B$2:$K$210,7,FALSE),"")</f>
        <v>0</v>
      </c>
      <c r="J142" s="11">
        <f ca="1">IFERROR(VLOOKUP($D142,'Data NEW'!$B$2:$K$210,3,FALSE),"")</f>
        <v>0</v>
      </c>
      <c r="K142" s="11">
        <f ca="1">IFERROR(VLOOKUP($D142,'Data NEW'!$B$2:$K$210,8,FALSE),"")</f>
        <v>0</v>
      </c>
      <c r="L142" s="11">
        <f ca="1">IFERROR(VLOOKUP($D142,'Data NEW'!$B$2:$K$210,9,FALSE),"")</f>
        <v>0</v>
      </c>
      <c r="M142" s="11">
        <f ca="1">IFERROR(VLOOKUP($D142,'Data NEW'!$B$2:$K$210,10,FALSE),"")</f>
        <v>0</v>
      </c>
    </row>
    <row r="143" spans="4:13" ht="15.75" customHeight="1" x14ac:dyDescent="0.2">
      <c r="D143" s="12" t="str">
        <f ca="1">IFERROR(__xludf.DUMMYFUNCTION("""COMPUTED_VALUE"""),"Modernista")</f>
        <v>Modernista</v>
      </c>
      <c r="E143" s="13" t="str">
        <f ca="1">IFERROR(VLOOKUP($D143,'Data NEW'!$B$2:$K$210,2,FALSE),"")</f>
        <v>scotch and rum</v>
      </c>
      <c r="F143" s="11" t="str">
        <f ca="1">IFERROR(VLOOKUP($D143,'Data NEW'!$B$2:$K$210,6,FALSE),"")</f>
        <v>absinthe</v>
      </c>
      <c r="G143" s="11" t="str">
        <f ca="1">IFERROR(VLOOKUP($D143,'Data NEW'!$B$2:$K$210,5,FALSE),"")</f>
        <v>lemon juice</v>
      </c>
      <c r="H143" s="11" t="str">
        <f ca="1">IFERROR(VLOOKUP($D143,'Data NEW'!$B$2:$K$210,4,FALSE),"")</f>
        <v>orange bitters</v>
      </c>
      <c r="I143" s="11">
        <f ca="1">IFERROR(VLOOKUP($D143,'Data NEW'!$B$2:$K$210,7,FALSE),"")</f>
        <v>0</v>
      </c>
      <c r="J143" s="11">
        <f ca="1">IFERROR(VLOOKUP($D143,'Data NEW'!$B$2:$K$210,3,FALSE),"")</f>
        <v>0</v>
      </c>
      <c r="K143" s="11">
        <f ca="1">IFERROR(VLOOKUP($D143,'Data NEW'!$B$2:$K$210,8,FALSE),"")</f>
        <v>0</v>
      </c>
      <c r="L143" s="11">
        <f ca="1">IFERROR(VLOOKUP($D143,'Data NEW'!$B$2:$K$210,9,FALSE),"")</f>
        <v>0</v>
      </c>
      <c r="M143" s="11">
        <f ca="1">IFERROR(VLOOKUP($D143,'Data NEW'!$B$2:$K$210,10,FALSE),"")</f>
        <v>0</v>
      </c>
    </row>
    <row r="144" spans="4:13" ht="15.75" customHeight="1" x14ac:dyDescent="0.2">
      <c r="D144" s="12" t="str">
        <f ca="1">IFERROR(__xludf.DUMMYFUNCTION("""COMPUTED_VALUE"""),"Mojito")</f>
        <v>Mojito</v>
      </c>
      <c r="E144" s="13" t="str">
        <f ca="1">IFERROR(VLOOKUP($D144,'Data NEW'!$B$2:$K$210,2,FALSE),"")</f>
        <v>light rum</v>
      </c>
      <c r="F144" s="11">
        <f ca="1">IFERROR(VLOOKUP($D144,'Data NEW'!$B$2:$K$210,6,FALSE),"")</f>
        <v>0</v>
      </c>
      <c r="G144" s="11">
        <f ca="1">IFERROR(VLOOKUP($D144,'Data NEW'!$B$2:$K$210,5,FALSE),"")</f>
        <v>0</v>
      </c>
      <c r="H144" s="11" t="str">
        <f ca="1">IFERROR(VLOOKUP($D144,'Data NEW'!$B$2:$K$210,4,FALSE),"")</f>
        <v>club soda</v>
      </c>
      <c r="I144" s="11">
        <f ca="1">IFERROR(VLOOKUP($D144,'Data NEW'!$B$2:$K$210,7,FALSE),"")</f>
        <v>0</v>
      </c>
      <c r="J144" s="11">
        <f ca="1">IFERROR(VLOOKUP($D144,'Data NEW'!$B$2:$K$210,3,FALSE),"")</f>
        <v>0</v>
      </c>
      <c r="K144" s="11" t="str">
        <f ca="1">IFERROR(VLOOKUP($D144,'Data NEW'!$B$2:$K$210,8,FALSE),"")</f>
        <v>lime wedges</v>
      </c>
      <c r="L144" s="11" t="str">
        <f ca="1">IFERROR(VLOOKUP($D144,'Data NEW'!$B$2:$K$210,9,FALSE),"")</f>
        <v>sugar cube</v>
      </c>
      <c r="M144" s="11" t="str">
        <f ca="1">IFERROR(VLOOKUP($D144,'Data NEW'!$B$2:$K$210,10,FALSE),"")</f>
        <v>mint leaves</v>
      </c>
    </row>
    <row r="145" spans="4:13" ht="15.75" customHeight="1" x14ac:dyDescent="0.2">
      <c r="D145" s="12" t="str">
        <f ca="1">IFERROR(__xludf.DUMMYFUNCTION("""COMPUTED_VALUE"""),"Moscow Mule")</f>
        <v>Moscow Mule</v>
      </c>
      <c r="E145" s="13" t="str">
        <f ca="1">IFERROR(VLOOKUP($D145,'Data NEW'!$B$2:$K$210,2,FALSE),"")</f>
        <v>vodka</v>
      </c>
      <c r="F145" s="11">
        <f ca="1">IFERROR(VLOOKUP($D145,'Data NEW'!$B$2:$K$210,6,FALSE),"")</f>
        <v>0</v>
      </c>
      <c r="G145" s="11">
        <f ca="1">IFERROR(VLOOKUP($D145,'Data NEW'!$B$2:$K$210,5,FALSE),"")</f>
        <v>0</v>
      </c>
      <c r="H145" s="11" t="str">
        <f ca="1">IFERROR(VLOOKUP($D145,'Data NEW'!$B$2:$K$210,4,FALSE),"")</f>
        <v>ginger beer</v>
      </c>
      <c r="I145" s="11">
        <f ca="1">IFERROR(VLOOKUP($D145,'Data NEW'!$B$2:$K$210,7,FALSE),"")</f>
        <v>0</v>
      </c>
      <c r="J145" s="11">
        <f ca="1">IFERROR(VLOOKUP($D145,'Data NEW'!$B$2:$K$210,3,FALSE),"")</f>
        <v>0</v>
      </c>
      <c r="K145" s="11">
        <f ca="1">IFERROR(VLOOKUP($D145,'Data NEW'!$B$2:$K$210,8,FALSE),"")</f>
        <v>0</v>
      </c>
      <c r="L145" s="11">
        <f ca="1">IFERROR(VLOOKUP($D145,'Data NEW'!$B$2:$K$210,9,FALSE),"")</f>
        <v>0</v>
      </c>
      <c r="M145" s="11">
        <f ca="1">IFERROR(VLOOKUP($D145,'Data NEW'!$B$2:$K$210,10,FALSE),"")</f>
        <v>0</v>
      </c>
    </row>
    <row r="146" spans="4:13" ht="15.75" customHeight="1" x14ac:dyDescent="0.2">
      <c r="D146" s="12" t="str">
        <f ca="1">IFERROR(__xludf.DUMMYFUNCTION("""COMPUTED_VALUE"""),"Mount Gay Rumrita")</f>
        <v>Mount Gay Rumrita</v>
      </c>
      <c r="E146" s="13" t="str">
        <f ca="1">IFERROR(VLOOKUP($D146,'Data NEW'!$B$2:$K$210,2,FALSE),"")</f>
        <v>rum</v>
      </c>
      <c r="F146" s="11" t="str">
        <f ca="1">IFERROR(VLOOKUP($D146,'Data NEW'!$B$2:$K$210,6,FALSE),"")</f>
        <v>triple sec</v>
      </c>
      <c r="G146" s="11" t="str">
        <f ca="1">IFERROR(VLOOKUP($D146,'Data NEW'!$B$2:$K$210,5,FALSE),"")</f>
        <v>lime juice</v>
      </c>
      <c r="H146" s="11">
        <f ca="1">IFERROR(VLOOKUP($D146,'Data NEW'!$B$2:$K$210,4,FALSE),"")</f>
        <v>0</v>
      </c>
      <c r="I146" s="11">
        <f ca="1">IFERROR(VLOOKUP($D146,'Data NEW'!$B$2:$K$210,7,FALSE),"")</f>
        <v>0</v>
      </c>
      <c r="J146" s="11">
        <f ca="1">IFERROR(VLOOKUP($D146,'Data NEW'!$B$2:$K$210,3,FALSE),"")</f>
        <v>0</v>
      </c>
      <c r="K146" s="11">
        <f ca="1">IFERROR(VLOOKUP($D146,'Data NEW'!$B$2:$K$210,8,FALSE),"")</f>
        <v>0</v>
      </c>
      <c r="L146" s="11">
        <f ca="1">IFERROR(VLOOKUP($D146,'Data NEW'!$B$2:$K$210,9,FALSE),"")</f>
        <v>0</v>
      </c>
      <c r="M146" s="11">
        <f ca="1">IFERROR(VLOOKUP($D146,'Data NEW'!$B$2:$K$210,10,FALSE),"")</f>
        <v>0</v>
      </c>
    </row>
    <row r="147" spans="4:13" ht="15.75" customHeight="1" x14ac:dyDescent="0.2">
      <c r="D147" s="12" t="str">
        <f ca="1">IFERROR(__xludf.DUMMYFUNCTION("""COMPUTED_VALUE"""),"Muddy Waters")</f>
        <v>Muddy Waters</v>
      </c>
      <c r="E147" s="13" t="str">
        <f ca="1">IFERROR(VLOOKUP($D147,'Data NEW'!$B$2:$K$210,2,FALSE),"")</f>
        <v>rum</v>
      </c>
      <c r="F147" s="11">
        <f ca="1">IFERROR(VLOOKUP($D147,'Data NEW'!$B$2:$K$210,6,FALSE),"")</f>
        <v>0</v>
      </c>
      <c r="G147" s="11" t="str">
        <f ca="1">IFERROR(VLOOKUP($D147,'Data NEW'!$B$2:$K$210,5,FALSE),"")</f>
        <v>grapefruit juice</v>
      </c>
      <c r="H147" s="11">
        <f ca="1">IFERROR(VLOOKUP($D147,'Data NEW'!$B$2:$K$210,4,FALSE),"")</f>
        <v>0</v>
      </c>
      <c r="I147" s="11">
        <f ca="1">IFERROR(VLOOKUP($D147,'Data NEW'!$B$2:$K$210,7,FALSE),"")</f>
        <v>0</v>
      </c>
      <c r="J147" s="11">
        <f ca="1">IFERROR(VLOOKUP($D147,'Data NEW'!$B$2:$K$210,3,FALSE),"")</f>
        <v>0</v>
      </c>
      <c r="K147" s="11" t="str">
        <f ca="1">IFERROR(VLOOKUP($D147,'Data NEW'!$B$2:$K$210,8,FALSE),"")</f>
        <v>lime wedges</v>
      </c>
      <c r="L147" s="11">
        <f ca="1">IFERROR(VLOOKUP($D147,'Data NEW'!$B$2:$K$210,9,FALSE),"")</f>
        <v>0</v>
      </c>
      <c r="M147" s="11">
        <f ca="1">IFERROR(VLOOKUP($D147,'Data NEW'!$B$2:$K$210,10,FALSE),"")</f>
        <v>0</v>
      </c>
    </row>
    <row r="148" spans="4:13" ht="15.75" customHeight="1" x14ac:dyDescent="0.2">
      <c r="D148" s="12" t="str">
        <f ca="1">IFERROR(__xludf.DUMMYFUNCTION("""COMPUTED_VALUE"""),"Mudslide")</f>
        <v>Mudslide</v>
      </c>
      <c r="E148" s="13" t="str">
        <f ca="1">IFERROR(VLOOKUP($D148,'Data NEW'!$B$2:$K$210,2,FALSE),"")</f>
        <v>vodka</v>
      </c>
      <c r="F148" s="11" t="str">
        <f ca="1">IFERROR(VLOOKUP($D148,'Data NEW'!$B$2:$K$210,6,FALSE),"")</f>
        <v>Kahlua</v>
      </c>
      <c r="G148" s="11">
        <f ca="1">IFERROR(VLOOKUP($D148,'Data NEW'!$B$2:$K$210,5,FALSE),"")</f>
        <v>0</v>
      </c>
      <c r="H148" s="11">
        <f ca="1">IFERROR(VLOOKUP($D148,'Data NEW'!$B$2:$K$210,4,FALSE),"")</f>
        <v>0</v>
      </c>
      <c r="I148" s="11">
        <f ca="1">IFERROR(VLOOKUP($D148,'Data NEW'!$B$2:$K$210,7,FALSE),"")</f>
        <v>0</v>
      </c>
      <c r="J148" s="11">
        <f ca="1">IFERROR(VLOOKUP($D148,'Data NEW'!$B$2:$K$210,3,FALSE),"")</f>
        <v>0</v>
      </c>
      <c r="K148" s="11">
        <f ca="1">IFERROR(VLOOKUP($D148,'Data NEW'!$B$2:$K$210,8,FALSE),"")</f>
        <v>0</v>
      </c>
      <c r="L148" s="11">
        <f ca="1">IFERROR(VLOOKUP($D148,'Data NEW'!$B$2:$K$210,9,FALSE),"")</f>
        <v>0</v>
      </c>
      <c r="M148" s="11">
        <f ca="1">IFERROR(VLOOKUP($D148,'Data NEW'!$B$2:$K$210,10,FALSE),"")</f>
        <v>0</v>
      </c>
    </row>
    <row r="149" spans="4:13" ht="15.75" customHeight="1" x14ac:dyDescent="0.2">
      <c r="D149" s="12" t="str">
        <f ca="1">IFERROR(__xludf.DUMMYFUNCTION("""COMPUTED_VALUE"""),"New Jersey Squirrel")</f>
        <v>New Jersey Squirrel</v>
      </c>
      <c r="E149" s="13" t="str">
        <f ca="1">IFERROR(VLOOKUP($D149,'Data NEW'!$B$2:$K$210,2,FALSE),"")</f>
        <v>applejack</v>
      </c>
      <c r="F149" s="11" t="str">
        <f ca="1">IFERROR(VLOOKUP($D149,'Data NEW'!$B$2:$K$210,6,FALSE),"")</f>
        <v>crème de noyau</v>
      </c>
      <c r="G149" s="11" t="str">
        <f ca="1">IFERROR(VLOOKUP($D149,'Data NEW'!$B$2:$K$210,5,FALSE),"")</f>
        <v>lemon juice</v>
      </c>
      <c r="H149" s="11">
        <f ca="1">IFERROR(VLOOKUP($D149,'Data NEW'!$B$2:$K$210,4,FALSE),"")</f>
        <v>0</v>
      </c>
      <c r="I149" s="11">
        <f ca="1">IFERROR(VLOOKUP($D149,'Data NEW'!$B$2:$K$210,7,FALSE),"")</f>
        <v>0</v>
      </c>
      <c r="J149" s="11">
        <f ca="1">IFERROR(VLOOKUP($D149,'Data NEW'!$B$2:$K$210,3,FALSE),"")</f>
        <v>0</v>
      </c>
      <c r="K149" s="11">
        <f ca="1">IFERROR(VLOOKUP($D149,'Data NEW'!$B$2:$K$210,8,FALSE),"")</f>
        <v>0</v>
      </c>
      <c r="L149" s="11">
        <f ca="1">IFERROR(VLOOKUP($D149,'Data NEW'!$B$2:$K$210,9,FALSE),"")</f>
        <v>0</v>
      </c>
      <c r="M149" s="11">
        <f ca="1">IFERROR(VLOOKUP($D149,'Data NEW'!$B$2:$K$210,10,FALSE),"")</f>
        <v>0</v>
      </c>
    </row>
    <row r="150" spans="4:13" ht="15.75" customHeight="1" x14ac:dyDescent="0.2">
      <c r="D150" s="12" t="str">
        <f ca="1">IFERROR(__xludf.DUMMYFUNCTION("""COMPUTED_VALUE"""),"Old San Juan Sour")</f>
        <v>Old San Juan Sour</v>
      </c>
      <c r="E150" s="13" t="str">
        <f ca="1">IFERROR(VLOOKUP($D150,'Data NEW'!$B$2:$K$210,2,FALSE),"")</f>
        <v>rum</v>
      </c>
      <c r="F150" s="11">
        <f ca="1">IFERROR(VLOOKUP($D150,'Data NEW'!$B$2:$K$210,6,FALSE),"")</f>
        <v>0</v>
      </c>
      <c r="G150" s="11" t="str">
        <f ca="1">IFERROR(VLOOKUP($D150,'Data NEW'!$B$2:$K$210,5,FALSE),"")</f>
        <v>lime juice</v>
      </c>
      <c r="H150" s="11" t="str">
        <f ca="1">IFERROR(VLOOKUP($D150,'Data NEW'!$B$2:$K$210,4,FALSE),"")</f>
        <v>simple syrup</v>
      </c>
      <c r="I150" s="11">
        <f ca="1">IFERROR(VLOOKUP($D150,'Data NEW'!$B$2:$K$210,7,FALSE),"")</f>
        <v>0</v>
      </c>
      <c r="J150" s="11">
        <f ca="1">IFERROR(VLOOKUP($D150,'Data NEW'!$B$2:$K$210,3,FALSE),"")</f>
        <v>0</v>
      </c>
      <c r="K150" s="11">
        <f ca="1">IFERROR(VLOOKUP($D150,'Data NEW'!$B$2:$K$210,8,FALSE),"")</f>
        <v>0</v>
      </c>
      <c r="L150" s="11">
        <f ca="1">IFERROR(VLOOKUP($D150,'Data NEW'!$B$2:$K$210,9,FALSE),"")</f>
        <v>0</v>
      </c>
      <c r="M150" s="11">
        <f ca="1">IFERROR(VLOOKUP($D150,'Data NEW'!$B$2:$K$210,10,FALSE),"")</f>
        <v>0</v>
      </c>
    </row>
    <row r="151" spans="4:13" ht="15.75" customHeight="1" x14ac:dyDescent="0.2">
      <c r="D151" s="12" t="str">
        <f ca="1">IFERROR(__xludf.DUMMYFUNCTION("""COMPUTED_VALUE"""),"OP Lemonade")</f>
        <v>OP Lemonade</v>
      </c>
      <c r="E151" s="13" t="str">
        <f ca="1">IFERROR(VLOOKUP($D151,'Data NEW'!$B$2:$K$210,2,FALSE),"")</f>
        <v>OP vodka</v>
      </c>
      <c r="F151" s="11">
        <f ca="1">IFERROR(VLOOKUP($D151,'Data NEW'!$B$2:$K$210,6,FALSE),"")</f>
        <v>0</v>
      </c>
      <c r="G151" s="11" t="str">
        <f ca="1">IFERROR(VLOOKUP($D151,'Data NEW'!$B$2:$K$210,5,FALSE),"")</f>
        <v>lemon juice</v>
      </c>
      <c r="H151" s="11" t="str">
        <f ca="1">IFERROR(VLOOKUP($D151,'Data NEW'!$B$2:$K$210,4,FALSE),"")</f>
        <v>simple syrup</v>
      </c>
      <c r="I151" s="11">
        <f ca="1">IFERROR(VLOOKUP($D151,'Data NEW'!$B$2:$K$210,7,FALSE),"")</f>
        <v>0</v>
      </c>
      <c r="J151" s="11">
        <f ca="1">IFERROR(VLOOKUP($D151,'Data NEW'!$B$2:$K$210,3,FALSE),"")</f>
        <v>0</v>
      </c>
      <c r="K151" s="11">
        <f ca="1">IFERROR(VLOOKUP($D151,'Data NEW'!$B$2:$K$210,8,FALSE),"")</f>
        <v>0</v>
      </c>
      <c r="L151" s="11">
        <f ca="1">IFERROR(VLOOKUP($D151,'Data NEW'!$B$2:$K$210,9,FALSE),"")</f>
        <v>0</v>
      </c>
      <c r="M151" s="11">
        <f ca="1">IFERROR(VLOOKUP($D151,'Data NEW'!$B$2:$K$210,10,FALSE),"")</f>
        <v>0</v>
      </c>
    </row>
    <row r="152" spans="4:13" ht="15.75" customHeight="1" x14ac:dyDescent="0.2">
      <c r="D152" s="12" t="str">
        <f ca="1">IFERROR(__xludf.DUMMYFUNCTION("""COMPUTED_VALUE"""),"Oriental Cocktail")</f>
        <v>Oriental Cocktail</v>
      </c>
      <c r="E152" s="13" t="str">
        <f ca="1">IFERROR(VLOOKUP($D152,'Data NEW'!$B$2:$K$210,2,FALSE),"")</f>
        <v>rye whiskey</v>
      </c>
      <c r="F152" s="11" t="str">
        <f ca="1">IFERROR(VLOOKUP($D152,'Data NEW'!$B$2:$K$210,6,FALSE),"")</f>
        <v>triple sec</v>
      </c>
      <c r="G152" s="11" t="str">
        <f ca="1">IFERROR(VLOOKUP($D152,'Data NEW'!$B$2:$K$210,5,FALSE),"")</f>
        <v>lemon juice</v>
      </c>
      <c r="H152" s="11">
        <f ca="1">IFERROR(VLOOKUP($D152,'Data NEW'!$B$2:$K$210,4,FALSE),"")</f>
        <v>0</v>
      </c>
      <c r="I152" s="11">
        <f ca="1">IFERROR(VLOOKUP($D152,'Data NEW'!$B$2:$K$210,7,FALSE),"")</f>
        <v>0</v>
      </c>
      <c r="J152" s="11">
        <f ca="1">IFERROR(VLOOKUP($D152,'Data NEW'!$B$2:$K$210,3,FALSE),"")</f>
        <v>0</v>
      </c>
      <c r="K152" s="11">
        <f ca="1">IFERROR(VLOOKUP($D152,'Data NEW'!$B$2:$K$210,8,FALSE),"")</f>
        <v>0</v>
      </c>
      <c r="L152" s="11">
        <f ca="1">IFERROR(VLOOKUP($D152,'Data NEW'!$B$2:$K$210,9,FALSE),"")</f>
        <v>0</v>
      </c>
      <c r="M152" s="11">
        <f ca="1">IFERROR(VLOOKUP($D152,'Data NEW'!$B$2:$K$210,10,FALSE),"")</f>
        <v>0</v>
      </c>
    </row>
    <row r="153" spans="4:13" ht="15.75" customHeight="1" x14ac:dyDescent="0.2">
      <c r="D153" s="12" t="str">
        <f ca="1">IFERROR(__xludf.DUMMYFUNCTION("""COMPUTED_VALUE"""),"Pacific Rim")</f>
        <v>Pacific Rim</v>
      </c>
      <c r="E153" s="13" t="str">
        <f ca="1">IFERROR(VLOOKUP($D153,'Data NEW'!$B$2:$K$210,2,FALSE),"")</f>
        <v>gin or vodka</v>
      </c>
      <c r="F153" s="11" t="str">
        <f ca="1">IFERROR(VLOOKUP($D153,'Data NEW'!$B$2:$K$210,6,FALSE),"")</f>
        <v>ginger liqueur</v>
      </c>
      <c r="G153" s="11">
        <f ca="1">IFERROR(VLOOKUP($D153,'Data NEW'!$B$2:$K$210,5,FALSE),"")</f>
        <v>0</v>
      </c>
      <c r="H153" s="11">
        <f ca="1">IFERROR(VLOOKUP($D153,'Data NEW'!$B$2:$K$210,4,FALSE),"")</f>
        <v>0</v>
      </c>
      <c r="I153" s="11">
        <f ca="1">IFERROR(VLOOKUP($D153,'Data NEW'!$B$2:$K$210,7,FALSE),"")</f>
        <v>0</v>
      </c>
      <c r="J153" s="11">
        <f ca="1">IFERROR(VLOOKUP($D153,'Data NEW'!$B$2:$K$210,3,FALSE),"")</f>
        <v>0</v>
      </c>
      <c r="K153" s="11">
        <f ca="1">IFERROR(VLOOKUP($D153,'Data NEW'!$B$2:$K$210,8,FALSE),"")</f>
        <v>0</v>
      </c>
      <c r="L153" s="11">
        <f ca="1">IFERROR(VLOOKUP($D153,'Data NEW'!$B$2:$K$210,9,FALSE),"")</f>
        <v>0</v>
      </c>
      <c r="M153" s="11">
        <f ca="1">IFERROR(VLOOKUP($D153,'Data NEW'!$B$2:$K$210,10,FALSE),"")</f>
        <v>0</v>
      </c>
    </row>
    <row r="154" spans="4:13" ht="15.75" customHeight="1" x14ac:dyDescent="0.2">
      <c r="D154" s="12" t="str">
        <f ca="1">IFERROR(__xludf.DUMMYFUNCTION("""COMPUTED_VALUE"""),"Paddy Cocktail")</f>
        <v>Paddy Cocktail</v>
      </c>
      <c r="E154" s="13" t="str">
        <f ca="1">IFERROR(VLOOKUP($D154,'Data NEW'!$B$2:$K$210,2,FALSE),"")</f>
        <v>Irish Whiskey</v>
      </c>
      <c r="F154" s="11" t="str">
        <f ca="1">IFERROR(VLOOKUP($D154,'Data NEW'!$B$2:$K$210,6,FALSE),"")</f>
        <v>sweet vermouth</v>
      </c>
      <c r="G154" s="11">
        <f ca="1">IFERROR(VLOOKUP($D154,'Data NEW'!$B$2:$K$210,5,FALSE),"")</f>
        <v>0</v>
      </c>
      <c r="H154" s="11" t="str">
        <f ca="1">IFERROR(VLOOKUP($D154,'Data NEW'!$B$2:$K$210,4,FALSE),"")</f>
        <v>Angostura</v>
      </c>
      <c r="I154" s="11">
        <f ca="1">IFERROR(VLOOKUP($D154,'Data NEW'!$B$2:$K$210,7,FALSE),"")</f>
        <v>0</v>
      </c>
      <c r="J154" s="11">
        <f ca="1">IFERROR(VLOOKUP($D154,'Data NEW'!$B$2:$K$210,3,FALSE),"")</f>
        <v>0</v>
      </c>
      <c r="K154" s="11">
        <f ca="1">IFERROR(VLOOKUP($D154,'Data NEW'!$B$2:$K$210,8,FALSE),"")</f>
        <v>0</v>
      </c>
      <c r="L154" s="11">
        <f ca="1">IFERROR(VLOOKUP($D154,'Data NEW'!$B$2:$K$210,9,FALSE),"")</f>
        <v>0</v>
      </c>
      <c r="M154" s="11">
        <f ca="1">IFERROR(VLOOKUP($D154,'Data NEW'!$B$2:$K$210,10,FALSE),"")</f>
        <v>0</v>
      </c>
    </row>
    <row r="155" spans="4:13" ht="15.75" customHeight="1" x14ac:dyDescent="0.2">
      <c r="D155" s="12" t="str">
        <f ca="1">IFERROR(__xludf.DUMMYFUNCTION("""COMPUTED_VALUE"""),"Paradise Cocktail")</f>
        <v>Paradise Cocktail</v>
      </c>
      <c r="E155" s="13" t="str">
        <f ca="1">IFERROR(VLOOKUP($D155,'Data NEW'!$B$2:$K$210,2,FALSE),"")</f>
        <v>gin</v>
      </c>
      <c r="F155" s="11" t="str">
        <f ca="1">IFERROR(VLOOKUP($D155,'Data NEW'!$B$2:$K$210,6,FALSE),"")</f>
        <v>apricot brandy</v>
      </c>
      <c r="G155" s="11" t="str">
        <f ca="1">IFERROR(VLOOKUP($D155,'Data NEW'!$B$2:$K$210,5,FALSE),"")</f>
        <v>lemon juice</v>
      </c>
      <c r="H155" s="11">
        <f ca="1">IFERROR(VLOOKUP($D155,'Data NEW'!$B$2:$K$210,4,FALSE),"")</f>
        <v>0</v>
      </c>
      <c r="I155" s="11" t="str">
        <f ca="1">IFERROR(VLOOKUP($D155,'Data NEW'!$B$2:$K$210,7,FALSE),"")</f>
        <v>orange juice</v>
      </c>
      <c r="J155" s="11">
        <f ca="1">IFERROR(VLOOKUP($D155,'Data NEW'!$B$2:$K$210,3,FALSE),"")</f>
        <v>0</v>
      </c>
      <c r="K155" s="11">
        <f ca="1">IFERROR(VLOOKUP($D155,'Data NEW'!$B$2:$K$210,8,FALSE),"")</f>
        <v>0</v>
      </c>
      <c r="L155" s="11">
        <f ca="1">IFERROR(VLOOKUP($D155,'Data NEW'!$B$2:$K$210,9,FALSE),"")</f>
        <v>0</v>
      </c>
      <c r="M155" s="11">
        <f ca="1">IFERROR(VLOOKUP($D155,'Data NEW'!$B$2:$K$210,10,FALSE),"")</f>
        <v>0</v>
      </c>
    </row>
    <row r="156" spans="4:13" ht="15.75" customHeight="1" x14ac:dyDescent="0.2">
      <c r="D156" s="12" t="str">
        <f ca="1">IFERROR(__xludf.DUMMYFUNCTION("""COMPUTED_VALUE"""),"Pegu Club Cocktail")</f>
        <v>Pegu Club Cocktail</v>
      </c>
      <c r="E156" s="13" t="str">
        <f ca="1">IFERROR(VLOOKUP($D156,'Data NEW'!$B$2:$K$210,2,FALSE),"")</f>
        <v>gin</v>
      </c>
      <c r="F156" s="11" t="str">
        <f ca="1">IFERROR(VLOOKUP($D156,'Data NEW'!$B$2:$K$210,6,FALSE),"")</f>
        <v>triple sec</v>
      </c>
      <c r="G156" s="11" t="str">
        <f ca="1">IFERROR(VLOOKUP($D156,'Data NEW'!$B$2:$K$210,5,FALSE),"")</f>
        <v>lime juice</v>
      </c>
      <c r="H156" s="11" t="str">
        <f ca="1">IFERROR(VLOOKUP($D156,'Data NEW'!$B$2:$K$210,4,FALSE),"")</f>
        <v>Angostura</v>
      </c>
      <c r="I156" s="11">
        <f ca="1">IFERROR(VLOOKUP($D156,'Data NEW'!$B$2:$K$210,7,FALSE),"")</f>
        <v>0</v>
      </c>
      <c r="J156" s="11">
        <f ca="1">IFERROR(VLOOKUP($D156,'Data NEW'!$B$2:$K$210,3,FALSE),"")</f>
        <v>0</v>
      </c>
      <c r="K156" s="11">
        <f ca="1">IFERROR(VLOOKUP($D156,'Data NEW'!$B$2:$K$210,8,FALSE),"")</f>
        <v>0</v>
      </c>
      <c r="L156" s="11" t="str">
        <f ca="1">IFERROR(VLOOKUP($D156,'Data NEW'!$B$2:$K$210,9,FALSE),"")</f>
        <v>orange bitters</v>
      </c>
      <c r="M156" s="11">
        <f ca="1">IFERROR(VLOOKUP($D156,'Data NEW'!$B$2:$K$210,10,FALSE),"")</f>
        <v>0</v>
      </c>
    </row>
    <row r="157" spans="4:13" ht="15.75" customHeight="1" x14ac:dyDescent="0.2">
      <c r="D157" s="12" t="str">
        <f ca="1">IFERROR(__xludf.DUMMYFUNCTION("""COMPUTED_VALUE"""),"Phoebe Snow Cocktail")</f>
        <v>Phoebe Snow Cocktail</v>
      </c>
      <c r="E157" s="13" t="str">
        <f ca="1">IFERROR(VLOOKUP($D157,'Data NEW'!$B$2:$K$210,2,FALSE),"")</f>
        <v>brandy</v>
      </c>
      <c r="F157" s="11" t="str">
        <f ca="1">IFERROR(VLOOKUP($D157,'Data NEW'!$B$2:$K$210,6,FALSE),"")</f>
        <v>Dubonnet</v>
      </c>
      <c r="G157" s="11">
        <f ca="1">IFERROR(VLOOKUP($D157,'Data NEW'!$B$2:$K$210,5,FALSE),"")</f>
        <v>0</v>
      </c>
      <c r="H157" s="11">
        <f ca="1">IFERROR(VLOOKUP($D157,'Data NEW'!$B$2:$K$210,4,FALSE),"")</f>
        <v>0</v>
      </c>
      <c r="I157" s="11">
        <f ca="1">IFERROR(VLOOKUP($D157,'Data NEW'!$B$2:$K$210,7,FALSE),"")</f>
        <v>0</v>
      </c>
      <c r="J157" s="11">
        <f ca="1">IFERROR(VLOOKUP($D157,'Data NEW'!$B$2:$K$210,3,FALSE),"")</f>
        <v>0</v>
      </c>
      <c r="K157" s="11">
        <f ca="1">IFERROR(VLOOKUP($D157,'Data NEW'!$B$2:$K$210,8,FALSE),"")</f>
        <v>0</v>
      </c>
      <c r="L157" s="11">
        <f ca="1">IFERROR(VLOOKUP($D157,'Data NEW'!$B$2:$K$210,9,FALSE),"")</f>
        <v>0</v>
      </c>
      <c r="M157" s="11">
        <f ca="1">IFERROR(VLOOKUP($D157,'Data NEW'!$B$2:$K$210,10,FALSE),"")</f>
        <v>0</v>
      </c>
    </row>
    <row r="158" spans="4:13" ht="15.75" customHeight="1" x14ac:dyDescent="0.2">
      <c r="D158" s="12" t="str">
        <f ca="1">IFERROR(__xludf.DUMMYFUNCTION("""COMPUTED_VALUE"""),"Pimm's Cup")</f>
        <v>Pimm's Cup</v>
      </c>
      <c r="E158" s="13" t="str">
        <f ca="1">IFERROR(VLOOKUP($D158,'Data NEW'!$B$2:$K$210,2,FALSE),"")</f>
        <v>Pimm's No. 1</v>
      </c>
      <c r="F158" s="11">
        <f ca="1">IFERROR(VLOOKUP($D158,'Data NEW'!$B$2:$K$210,6,FALSE),"")</f>
        <v>0</v>
      </c>
      <c r="G158" s="11">
        <f ca="1">IFERROR(VLOOKUP($D158,'Data NEW'!$B$2:$K$210,5,FALSE),"")</f>
        <v>0</v>
      </c>
      <c r="H158" s="11" t="str">
        <f ca="1">IFERROR(VLOOKUP($D158,'Data NEW'!$B$2:$K$210,4,FALSE),"")</f>
        <v>ginger ale, lemon-lime soda, or club soda</v>
      </c>
      <c r="I158" s="11">
        <f ca="1">IFERROR(VLOOKUP($D158,'Data NEW'!$B$2:$K$210,7,FALSE),"")</f>
        <v>0</v>
      </c>
      <c r="J158" s="11">
        <f ca="1">IFERROR(VLOOKUP($D158,'Data NEW'!$B$2:$K$210,3,FALSE),"")</f>
        <v>0</v>
      </c>
      <c r="K158" s="11">
        <f ca="1">IFERROR(VLOOKUP($D158,'Data NEW'!$B$2:$K$210,8,FALSE),"")</f>
        <v>0</v>
      </c>
      <c r="L158" s="11">
        <f ca="1">IFERROR(VLOOKUP($D158,'Data NEW'!$B$2:$K$210,9,FALSE),"")</f>
        <v>0</v>
      </c>
      <c r="M158" s="11">
        <f ca="1">IFERROR(VLOOKUP($D158,'Data NEW'!$B$2:$K$210,10,FALSE),"")</f>
        <v>0</v>
      </c>
    </row>
    <row r="159" spans="4:13" ht="15.75" customHeight="1" x14ac:dyDescent="0.2">
      <c r="D159" s="12" t="str">
        <f ca="1">IFERROR(__xludf.DUMMYFUNCTION("""COMPUTED_VALUE"""),"Pink Squirrel")</f>
        <v>Pink Squirrel</v>
      </c>
      <c r="E159" s="13" t="str">
        <f ca="1">IFERROR(VLOOKUP($D159,'Data NEW'!$B$2:$K$210,2,FALSE),"")</f>
        <v>crème de noyau</v>
      </c>
      <c r="F159" s="11" t="str">
        <f ca="1">IFERROR(VLOOKUP($D159,'Data NEW'!$B$2:$K$210,6,FALSE),"")</f>
        <v>white crème de cacao</v>
      </c>
      <c r="G159" s="11">
        <f ca="1">IFERROR(VLOOKUP($D159,'Data NEW'!$B$2:$K$210,5,FALSE),"")</f>
        <v>0</v>
      </c>
      <c r="H159" s="11" t="str">
        <f ca="1">IFERROR(VLOOKUP($D159,'Data NEW'!$B$2:$K$210,4,FALSE),"")</f>
        <v>cream</v>
      </c>
      <c r="I159" s="11">
        <f ca="1">IFERROR(VLOOKUP($D159,'Data NEW'!$B$2:$K$210,7,FALSE),"")</f>
        <v>0</v>
      </c>
      <c r="J159" s="11">
        <f ca="1">IFERROR(VLOOKUP($D159,'Data NEW'!$B$2:$K$210,3,FALSE),"")</f>
        <v>0</v>
      </c>
      <c r="K159" s="11">
        <f ca="1">IFERROR(VLOOKUP($D159,'Data NEW'!$B$2:$K$210,8,FALSE),"")</f>
        <v>0</v>
      </c>
      <c r="L159" s="11">
        <f ca="1">IFERROR(VLOOKUP($D159,'Data NEW'!$B$2:$K$210,9,FALSE),"")</f>
        <v>0</v>
      </c>
      <c r="M159" s="11">
        <f ca="1">IFERROR(VLOOKUP($D159,'Data NEW'!$B$2:$K$210,10,FALSE),"")</f>
        <v>0</v>
      </c>
    </row>
    <row r="160" spans="4:13" ht="15.75" customHeight="1" x14ac:dyDescent="0.2">
      <c r="D160" s="12" t="str">
        <f ca="1">IFERROR(__xludf.DUMMYFUNCTION("""COMPUTED_VALUE"""),"Pisco Sour")</f>
        <v>Pisco Sour</v>
      </c>
      <c r="E160" s="13" t="str">
        <f ca="1">IFERROR(VLOOKUP($D160,'Data NEW'!$B$2:$K$210,2,FALSE),"")</f>
        <v>pisco brandy</v>
      </c>
      <c r="F160" s="11">
        <f ca="1">IFERROR(VLOOKUP($D160,'Data NEW'!$B$2:$K$210,6,FALSE),"")</f>
        <v>0</v>
      </c>
      <c r="G160" s="11" t="str">
        <f ca="1">IFERROR(VLOOKUP($D160,'Data NEW'!$B$2:$K$210,5,FALSE),"")</f>
        <v>lemon juice</v>
      </c>
      <c r="H160" s="11" t="str">
        <f ca="1">IFERROR(VLOOKUP($D160,'Data NEW'!$B$2:$K$210,4,FALSE),"")</f>
        <v>simple syrup</v>
      </c>
      <c r="I160" s="11">
        <f ca="1">IFERROR(VLOOKUP($D160,'Data NEW'!$B$2:$K$210,7,FALSE),"")</f>
        <v>0</v>
      </c>
      <c r="J160" s="11">
        <f ca="1">IFERROR(VLOOKUP($D160,'Data NEW'!$B$2:$K$210,3,FALSE),"")</f>
        <v>0</v>
      </c>
      <c r="K160" s="11">
        <f ca="1">IFERROR(VLOOKUP($D160,'Data NEW'!$B$2:$K$210,8,FALSE),"")</f>
        <v>0</v>
      </c>
      <c r="L160" s="11" t="str">
        <f ca="1">IFERROR(VLOOKUP($D160,'Data NEW'!$B$2:$K$210,9,FALSE),"")</f>
        <v>egg white</v>
      </c>
      <c r="M160" s="11" t="str">
        <f ca="1">IFERROR(VLOOKUP($D160,'Data NEW'!$B$2:$K$210,10,FALSE),"")</f>
        <v>Angostura</v>
      </c>
    </row>
    <row r="161" spans="4:13" ht="15.75" customHeight="1" x14ac:dyDescent="0.2">
      <c r="D161" s="12" t="str">
        <f ca="1">IFERROR(__xludf.DUMMYFUNCTION("""COMPUTED_VALUE"""),"Planter's Cocktail")</f>
        <v>Planter's Cocktail</v>
      </c>
      <c r="E161" s="13" t="str">
        <f ca="1">IFERROR(VLOOKUP($D161,'Data NEW'!$B$2:$K$210,2,FALSE),"")</f>
        <v>rum</v>
      </c>
      <c r="F161" s="11" t="str">
        <f ca="1">IFERROR(VLOOKUP($D161,'Data NEW'!$B$2:$K$210,6,FALSE),"")</f>
        <v>Godiva Chocolate Liqueur</v>
      </c>
      <c r="G161" s="11">
        <f ca="1">IFERROR(VLOOKUP($D161,'Data NEW'!$B$2:$K$210,5,FALSE),"")</f>
        <v>0</v>
      </c>
      <c r="H161" s="11">
        <f ca="1">IFERROR(VLOOKUP($D161,'Data NEW'!$B$2:$K$210,4,FALSE),"")</f>
        <v>0</v>
      </c>
      <c r="I161" s="11">
        <f ca="1">IFERROR(VLOOKUP($D161,'Data NEW'!$B$2:$K$210,7,FALSE),"")</f>
        <v>0</v>
      </c>
      <c r="J161" s="11">
        <f ca="1">IFERROR(VLOOKUP($D161,'Data NEW'!$B$2:$K$210,3,FALSE),"")</f>
        <v>0</v>
      </c>
      <c r="K161" s="11">
        <f ca="1">IFERROR(VLOOKUP($D161,'Data NEW'!$B$2:$K$210,8,FALSE),"")</f>
        <v>0</v>
      </c>
      <c r="L161" s="11">
        <f ca="1">IFERROR(VLOOKUP($D161,'Data NEW'!$B$2:$K$210,9,FALSE),"")</f>
        <v>0</v>
      </c>
      <c r="M161" s="11">
        <f ca="1">IFERROR(VLOOKUP($D161,'Data NEW'!$B$2:$K$210,10,FALSE),"")</f>
        <v>0</v>
      </c>
    </row>
    <row r="162" spans="4:13" ht="15.75" customHeight="1" x14ac:dyDescent="0.2">
      <c r="D162" s="12" t="str">
        <f ca="1">IFERROR(__xludf.DUMMYFUNCTION("""COMPUTED_VALUE"""),"Pompier Cocktail")</f>
        <v>Pompier Cocktail</v>
      </c>
      <c r="E162" s="13" t="str">
        <f ca="1">IFERROR(VLOOKUP($D162,'Data NEW'!$B$2:$K$210,2,FALSE),"")</f>
        <v>gin</v>
      </c>
      <c r="F162" s="11" t="str">
        <f ca="1">IFERROR(VLOOKUP($D162,'Data NEW'!$B$2:$K$210,6,FALSE),"")</f>
        <v>dry vermouth</v>
      </c>
      <c r="G162" s="11">
        <f ca="1">IFERROR(VLOOKUP($D162,'Data NEW'!$B$2:$K$210,5,FALSE),"")</f>
        <v>0</v>
      </c>
      <c r="H162" s="11">
        <f ca="1">IFERROR(VLOOKUP($D162,'Data NEW'!$B$2:$K$210,4,FALSE),"")</f>
        <v>0</v>
      </c>
      <c r="I162" s="11">
        <f ca="1">IFERROR(VLOOKUP($D162,'Data NEW'!$B$2:$K$210,7,FALSE),"")</f>
        <v>0</v>
      </c>
      <c r="J162" s="11">
        <f ca="1">IFERROR(VLOOKUP($D162,'Data NEW'!$B$2:$K$210,3,FALSE),"")</f>
        <v>0</v>
      </c>
      <c r="K162" s="11">
        <f ca="1">IFERROR(VLOOKUP($D162,'Data NEW'!$B$2:$K$210,8,FALSE),"")</f>
        <v>0</v>
      </c>
      <c r="L162" s="11">
        <f ca="1">IFERROR(VLOOKUP($D162,'Data NEW'!$B$2:$K$210,9,FALSE),"")</f>
        <v>0</v>
      </c>
      <c r="M162" s="11">
        <f ca="1">IFERROR(VLOOKUP($D162,'Data NEW'!$B$2:$K$210,10,FALSE),"")</f>
        <v>0</v>
      </c>
    </row>
    <row r="163" spans="4:13" ht="15.75" customHeight="1" x14ac:dyDescent="0.2">
      <c r="D163" s="12" t="str">
        <f ca="1">IFERROR(__xludf.DUMMYFUNCTION("""COMPUTED_VALUE"""),"Preakness Cocktail")</f>
        <v>Preakness Cocktail</v>
      </c>
      <c r="E163" s="13" t="str">
        <f ca="1">IFERROR(VLOOKUP($D163,'Data NEW'!$B$2:$K$210,2,FALSE),"")</f>
        <v>bourbon</v>
      </c>
      <c r="F163" s="11" t="str">
        <f ca="1">IFERROR(VLOOKUP($D163,'Data NEW'!$B$2:$K$210,6,FALSE),"")</f>
        <v>sweet vermouth</v>
      </c>
      <c r="G163" s="11">
        <f ca="1">IFERROR(VLOOKUP($D163,'Data NEW'!$B$2:$K$210,5,FALSE),"")</f>
        <v>0</v>
      </c>
      <c r="H163" s="11" t="str">
        <f ca="1">IFERROR(VLOOKUP($D163,'Data NEW'!$B$2:$K$210,4,FALSE),"")</f>
        <v>Angostura</v>
      </c>
      <c r="I163" s="11">
        <f ca="1">IFERROR(VLOOKUP($D163,'Data NEW'!$B$2:$K$210,7,FALSE),"")</f>
        <v>0</v>
      </c>
      <c r="J163" s="11">
        <f ca="1">IFERROR(VLOOKUP($D163,'Data NEW'!$B$2:$K$210,3,FALSE),"")</f>
        <v>0</v>
      </c>
      <c r="K163" s="11">
        <f ca="1">IFERROR(VLOOKUP($D163,'Data NEW'!$B$2:$K$210,8,FALSE),"")</f>
        <v>0</v>
      </c>
      <c r="L163" s="11">
        <f ca="1">IFERROR(VLOOKUP($D163,'Data NEW'!$B$2:$K$210,9,FALSE),"")</f>
        <v>0</v>
      </c>
      <c r="M163" s="11">
        <f ca="1">IFERROR(VLOOKUP($D163,'Data NEW'!$B$2:$K$210,10,FALSE),"")</f>
        <v>0</v>
      </c>
    </row>
    <row r="164" spans="4:13" ht="15.75" customHeight="1" x14ac:dyDescent="0.2">
      <c r="D164" s="12" t="str">
        <f ca="1">IFERROR(__xludf.DUMMYFUNCTION("""COMPUTED_VALUE"""),"Presbyterian")</f>
        <v>Presbyterian</v>
      </c>
      <c r="E164" s="13" t="str">
        <f ca="1">IFERROR(VLOOKUP($D164,'Data NEW'!$B$2:$K$210,2,FALSE),"")</f>
        <v>rye whiskey</v>
      </c>
      <c r="F164" s="11">
        <f ca="1">IFERROR(VLOOKUP($D164,'Data NEW'!$B$2:$K$210,6,FALSE),"")</f>
        <v>0</v>
      </c>
      <c r="G164" s="11">
        <f ca="1">IFERROR(VLOOKUP($D164,'Data NEW'!$B$2:$K$210,5,FALSE),"")</f>
        <v>0</v>
      </c>
      <c r="H164" s="11" t="str">
        <f ca="1">IFERROR(VLOOKUP($D164,'Data NEW'!$B$2:$K$210,4,FALSE),"")</f>
        <v>ginger ale</v>
      </c>
      <c r="I164" s="11">
        <f ca="1">IFERROR(VLOOKUP($D164,'Data NEW'!$B$2:$K$210,7,FALSE),"")</f>
        <v>0</v>
      </c>
      <c r="J164" s="11">
        <f ca="1">IFERROR(VLOOKUP($D164,'Data NEW'!$B$2:$K$210,3,FALSE),"")</f>
        <v>0</v>
      </c>
      <c r="K164" s="11">
        <f ca="1">IFERROR(VLOOKUP($D164,'Data NEW'!$B$2:$K$210,8,FALSE),"")</f>
        <v>0</v>
      </c>
      <c r="L164" s="11" t="str">
        <f ca="1">IFERROR(VLOOKUP($D164,'Data NEW'!$B$2:$K$210,9,FALSE),"")</f>
        <v>club soda</v>
      </c>
      <c r="M164" s="11">
        <f ca="1">IFERROR(VLOOKUP($D164,'Data NEW'!$B$2:$K$210,10,FALSE),"")</f>
        <v>0</v>
      </c>
    </row>
    <row r="165" spans="4:13" ht="15.75" customHeight="1" x14ac:dyDescent="0.2">
      <c r="D165" s="12" t="str">
        <f ca="1">IFERROR(__xludf.DUMMYFUNCTION("""COMPUTED_VALUE"""),"Pretty in Pink")</f>
        <v>Pretty in Pink</v>
      </c>
      <c r="E165" s="13" t="str">
        <f ca="1">IFERROR(VLOOKUP($D165,'Data NEW'!$B$2:$K$210,2,FALSE),"")</f>
        <v>Van Gogh Wild Appel Vodka</v>
      </c>
      <c r="F165" s="11" t="str">
        <f ca="1">IFERROR(VLOOKUP($D165,'Data NEW'!$B$2:$K$210,6,FALSE),"")</f>
        <v>crème de noyau</v>
      </c>
      <c r="G165" s="11" t="str">
        <f ca="1">IFERROR(VLOOKUP($D165,'Data NEW'!$B$2:$K$210,5,FALSE),"")</f>
        <v>lemon juice</v>
      </c>
      <c r="H165" s="11" t="str">
        <f ca="1">IFERROR(VLOOKUP($D165,'Data NEW'!$B$2:$K$210,4,FALSE),"")</f>
        <v>club soda</v>
      </c>
      <c r="I165" s="11">
        <f ca="1">IFERROR(VLOOKUP($D165,'Data NEW'!$B$2:$K$210,7,FALSE),"")</f>
        <v>0</v>
      </c>
      <c r="J165" s="11">
        <f ca="1">IFERROR(VLOOKUP($D165,'Data NEW'!$B$2:$K$210,3,FALSE),"")</f>
        <v>0</v>
      </c>
      <c r="K165" s="11">
        <f ca="1">IFERROR(VLOOKUP($D165,'Data NEW'!$B$2:$K$210,8,FALSE),"")</f>
        <v>0</v>
      </c>
      <c r="L165" s="11">
        <f ca="1">IFERROR(VLOOKUP($D165,'Data NEW'!$B$2:$K$210,9,FALSE),"")</f>
        <v>0</v>
      </c>
      <c r="M165" s="11">
        <f ca="1">IFERROR(VLOOKUP($D165,'Data NEW'!$B$2:$K$210,10,FALSE),"")</f>
        <v>0</v>
      </c>
    </row>
    <row r="166" spans="4:13" ht="15.75" customHeight="1" x14ac:dyDescent="0.2">
      <c r="D166" s="12" t="str">
        <f ca="1">IFERROR(__xludf.DUMMYFUNCTION("""COMPUTED_VALUE"""),"Princess Mary's Pride")</f>
        <v>Princess Mary's Pride</v>
      </c>
      <c r="E166" s="13" t="str">
        <f ca="1">IFERROR(VLOOKUP($D166,'Data NEW'!$B$2:$K$210,2,FALSE),"")</f>
        <v>applejack</v>
      </c>
      <c r="F166" s="11" t="str">
        <f ca="1">IFERROR(VLOOKUP($D166,'Data NEW'!$B$2:$K$210,6,FALSE),"")</f>
        <v>dry vermouth</v>
      </c>
      <c r="G166" s="11">
        <f ca="1">IFERROR(VLOOKUP($D166,'Data NEW'!$B$2:$K$210,5,FALSE),"")</f>
        <v>0</v>
      </c>
      <c r="H166" s="11">
        <f ca="1">IFERROR(VLOOKUP($D166,'Data NEW'!$B$2:$K$210,4,FALSE),"")</f>
        <v>0</v>
      </c>
      <c r="I166" s="11">
        <f ca="1">IFERROR(VLOOKUP($D166,'Data NEW'!$B$2:$K$210,7,FALSE),"")</f>
        <v>0</v>
      </c>
      <c r="J166" s="11">
        <f ca="1">IFERROR(VLOOKUP($D166,'Data NEW'!$B$2:$K$210,3,FALSE),"")</f>
        <v>0</v>
      </c>
      <c r="K166" s="11">
        <f ca="1">IFERROR(VLOOKUP($D166,'Data NEW'!$B$2:$K$210,8,FALSE),"")</f>
        <v>0</v>
      </c>
      <c r="L166" s="11">
        <f ca="1">IFERROR(VLOOKUP($D166,'Data NEW'!$B$2:$K$210,9,FALSE),"")</f>
        <v>0</v>
      </c>
      <c r="M166" s="11">
        <f ca="1">IFERROR(VLOOKUP($D166,'Data NEW'!$B$2:$K$210,10,FALSE),"")</f>
        <v>0</v>
      </c>
    </row>
    <row r="167" spans="4:13" ht="15.75" customHeight="1" x14ac:dyDescent="0.2">
      <c r="D167" s="12" t="str">
        <f ca="1">IFERROR(__xludf.DUMMYFUNCTION("""COMPUTED_VALUE"""),"Ramos Gin Fizz")</f>
        <v>Ramos Gin Fizz</v>
      </c>
      <c r="E167" s="13" t="str">
        <f ca="1">IFERROR(VLOOKUP($D167,'Data NEW'!$B$2:$K$210,2,FALSE),"")</f>
        <v>gin</v>
      </c>
      <c r="F167" s="11">
        <f ca="1">IFERROR(VLOOKUP($D167,'Data NEW'!$B$2:$K$210,6,FALSE),"")</f>
        <v>0</v>
      </c>
      <c r="G167" s="11" t="str">
        <f ca="1">IFERROR(VLOOKUP($D167,'Data NEW'!$B$2:$K$210,5,FALSE),"")</f>
        <v>lime juice</v>
      </c>
      <c r="H167" s="11" t="str">
        <f ca="1">IFERROR(VLOOKUP($D167,'Data NEW'!$B$2:$K$210,4,FALSE),"")</f>
        <v>simple syrup</v>
      </c>
      <c r="I167" s="11" t="str">
        <f ca="1">IFERROR(VLOOKUP($D167,'Data NEW'!$B$2:$K$210,7,FALSE),"")</f>
        <v>lemon juice</v>
      </c>
      <c r="J167" s="11">
        <f ca="1">IFERROR(VLOOKUP($D167,'Data NEW'!$B$2:$K$210,3,FALSE),"")</f>
        <v>0</v>
      </c>
      <c r="K167" s="11">
        <f ca="1">IFERROR(VLOOKUP($D167,'Data NEW'!$B$2:$K$210,8,FALSE),"")</f>
        <v>0</v>
      </c>
      <c r="L167" s="11" t="str">
        <f ca="1">IFERROR(VLOOKUP($D167,'Data NEW'!$B$2:$K$210,9,FALSE),"")</f>
        <v>club soda</v>
      </c>
      <c r="M167" s="11" t="str">
        <f ca="1">IFERROR(VLOOKUP($D167,'Data NEW'!$B$2:$K$210,10,FALSE),"")</f>
        <v>cream, egg white, orange-flower water</v>
      </c>
    </row>
    <row r="168" spans="4:13" ht="15.75" customHeight="1" x14ac:dyDescent="0.2">
      <c r="D168" s="12" t="str">
        <f ca="1">IFERROR(__xludf.DUMMYFUNCTION("""COMPUTED_VALUE"""),"Raspberry Martini")</f>
        <v>Raspberry Martini</v>
      </c>
      <c r="E168" s="13" t="str">
        <f ca="1">IFERROR(VLOOKUP($D168,'Data NEW'!$B$2:$K$210,2,FALSE),"")</f>
        <v>raspberry vodka</v>
      </c>
      <c r="F168" s="11" t="str">
        <f ca="1">IFERROR(VLOOKUP($D168,'Data NEW'!$B$2:$K$210,6,FALSE),"")</f>
        <v>Grand Marnier</v>
      </c>
      <c r="G168" s="11">
        <f ca="1">IFERROR(VLOOKUP($D168,'Data NEW'!$B$2:$K$210,5,FALSE),"")</f>
        <v>0</v>
      </c>
      <c r="H168" s="11">
        <f ca="1">IFERROR(VLOOKUP($D168,'Data NEW'!$B$2:$K$210,4,FALSE),"")</f>
        <v>0</v>
      </c>
      <c r="I168" s="11">
        <f ca="1">IFERROR(VLOOKUP($D168,'Data NEW'!$B$2:$K$210,7,FALSE),"")</f>
        <v>0</v>
      </c>
      <c r="J168" s="11">
        <f ca="1">IFERROR(VLOOKUP($D168,'Data NEW'!$B$2:$K$210,3,FALSE),"")</f>
        <v>0</v>
      </c>
      <c r="K168" s="11">
        <f ca="1">IFERROR(VLOOKUP($D168,'Data NEW'!$B$2:$K$210,8,FALSE),"")</f>
        <v>0</v>
      </c>
      <c r="L168" s="11">
        <f ca="1">IFERROR(VLOOKUP($D168,'Data NEW'!$B$2:$K$210,9,FALSE),"")</f>
        <v>0</v>
      </c>
      <c r="M168" s="11">
        <f ca="1">IFERROR(VLOOKUP($D168,'Data NEW'!$B$2:$K$210,10,FALSE),"")</f>
        <v>0</v>
      </c>
    </row>
    <row r="169" spans="4:13" ht="15.75" customHeight="1" x14ac:dyDescent="0.2">
      <c r="D169" s="12" t="str">
        <f ca="1">IFERROR(__xludf.DUMMYFUNCTION("""COMPUTED_VALUE"""),"RBS Special")</f>
        <v>RBS Special</v>
      </c>
      <c r="E169" s="13" t="str">
        <f ca="1">IFERROR(VLOOKUP($D169,'Data NEW'!$B$2:$K$210,2,FALSE),"")</f>
        <v>rye whiskey</v>
      </c>
      <c r="F169" s="11" t="str">
        <f ca="1">IFERROR(VLOOKUP($D169,'Data NEW'!$B$2:$K$210,6,FALSE),"")</f>
        <v>kummel</v>
      </c>
      <c r="G169" s="11" t="str">
        <f ca="1">IFERROR(VLOOKUP($D169,'Data NEW'!$B$2:$K$210,5,FALSE),"")</f>
        <v>lemon juice</v>
      </c>
      <c r="H169" s="11" t="str">
        <f ca="1">IFERROR(VLOOKUP($D169,'Data NEW'!$B$2:$K$210,4,FALSE),"")</f>
        <v>grenadine</v>
      </c>
      <c r="I169" s="11">
        <f ca="1">IFERROR(VLOOKUP($D169,'Data NEW'!$B$2:$K$210,7,FALSE),"")</f>
        <v>0</v>
      </c>
      <c r="J169" s="11">
        <f ca="1">IFERROR(VLOOKUP($D169,'Data NEW'!$B$2:$K$210,3,FALSE),"")</f>
        <v>0</v>
      </c>
      <c r="K169" s="11">
        <f ca="1">IFERROR(VLOOKUP($D169,'Data NEW'!$B$2:$K$210,8,FALSE),"")</f>
        <v>0</v>
      </c>
      <c r="L169" s="11">
        <f ca="1">IFERROR(VLOOKUP($D169,'Data NEW'!$B$2:$K$210,9,FALSE),"")</f>
        <v>0</v>
      </c>
      <c r="M169" s="11">
        <f ca="1">IFERROR(VLOOKUP($D169,'Data NEW'!$B$2:$K$210,10,FALSE),"")</f>
        <v>0</v>
      </c>
    </row>
    <row r="170" spans="4:13" ht="15.75" customHeight="1" x14ac:dyDescent="0.2">
      <c r="D170" s="12" t="str">
        <f ca="1">IFERROR(__xludf.DUMMYFUNCTION("""COMPUTED_VALUE"""),"Remember the Maine")</f>
        <v>Remember the Maine</v>
      </c>
      <c r="E170" s="13" t="str">
        <f ca="1">IFERROR(VLOOKUP($D170,'Data NEW'!$B$2:$K$210,2,FALSE),"")</f>
        <v>bourbon</v>
      </c>
      <c r="F170" s="11" t="str">
        <f ca="1">IFERROR(VLOOKUP($D170,'Data NEW'!$B$2:$K$210,6,FALSE),"")</f>
        <v>sweet vermouth</v>
      </c>
      <c r="G170" s="11">
        <f ca="1">IFERROR(VLOOKUP($D170,'Data NEW'!$B$2:$K$210,5,FALSE),"")</f>
        <v>0</v>
      </c>
      <c r="H170" s="11" t="str">
        <f ca="1">IFERROR(VLOOKUP($D170,'Data NEW'!$B$2:$K$210,4,FALSE),"")</f>
        <v>Angostura</v>
      </c>
      <c r="I170" s="11">
        <f ca="1">IFERROR(VLOOKUP($D170,'Data NEW'!$B$2:$K$210,7,FALSE),"")</f>
        <v>0</v>
      </c>
      <c r="J170" s="11">
        <f ca="1">IFERROR(VLOOKUP($D170,'Data NEW'!$B$2:$K$210,3,FALSE),"")</f>
        <v>0</v>
      </c>
      <c r="K170" s="11">
        <f ca="1">IFERROR(VLOOKUP($D170,'Data NEW'!$B$2:$K$210,8,FALSE),"")</f>
        <v>0</v>
      </c>
      <c r="L170" s="11">
        <f ca="1">IFERROR(VLOOKUP($D170,'Data NEW'!$B$2:$K$210,9,FALSE),"")</f>
        <v>0</v>
      </c>
      <c r="M170" s="11">
        <f ca="1">IFERROR(VLOOKUP($D170,'Data NEW'!$B$2:$K$210,10,FALSE),"")</f>
        <v>0</v>
      </c>
    </row>
    <row r="171" spans="4:13" ht="15.75" customHeight="1" x14ac:dyDescent="0.2">
      <c r="D171" s="12" t="str">
        <f ca="1">IFERROR(__xludf.DUMMYFUNCTION("""COMPUTED_VALUE"""),"Riveredge Cocktail")</f>
        <v>Riveredge Cocktail</v>
      </c>
      <c r="E171" s="13" t="str">
        <f ca="1">IFERROR(VLOOKUP($D171,'Data NEW'!$B$2:$K$210,2,FALSE),"")</f>
        <v>gin</v>
      </c>
      <c r="F171" s="11" t="str">
        <f ca="1">IFERROR(VLOOKUP($D171,'Data NEW'!$B$2:$K$210,6,FALSE),"")</f>
        <v>dry vermouth</v>
      </c>
      <c r="G171" s="11" t="str">
        <f ca="1">IFERROR(VLOOKUP($D171,'Data NEW'!$B$2:$K$210,5,FALSE),"")</f>
        <v>orange juice</v>
      </c>
      <c r="H171" s="11" t="str">
        <f ca="1">IFERROR(VLOOKUP($D171,'Data NEW'!$B$2:$K$210,4,FALSE),"")</f>
        <v>orange bitters</v>
      </c>
      <c r="I171" s="11">
        <f ca="1">IFERROR(VLOOKUP($D171,'Data NEW'!$B$2:$K$210,7,FALSE),"")</f>
        <v>0</v>
      </c>
      <c r="J171" s="11">
        <f ca="1">IFERROR(VLOOKUP($D171,'Data NEW'!$B$2:$K$210,3,FALSE),"")</f>
        <v>0</v>
      </c>
      <c r="K171" s="11" t="str">
        <f ca="1">IFERROR(VLOOKUP($D171,'Data NEW'!$B$2:$K$210,8,FALSE),"")</f>
        <v>orange zest</v>
      </c>
      <c r="L171" s="11">
        <f ca="1">IFERROR(VLOOKUP($D171,'Data NEW'!$B$2:$K$210,9,FALSE),"")</f>
        <v>0</v>
      </c>
      <c r="M171" s="11">
        <f ca="1">IFERROR(VLOOKUP($D171,'Data NEW'!$B$2:$K$210,10,FALSE),"")</f>
        <v>0</v>
      </c>
    </row>
    <row r="172" spans="4:13" ht="15.75" customHeight="1" x14ac:dyDescent="0.2">
      <c r="D172" s="12" t="str">
        <f ca="1">IFERROR(__xludf.DUMMYFUNCTION("""COMPUTED_VALUE"""),"Rob Roy")</f>
        <v>Rob Roy</v>
      </c>
      <c r="E172" s="13" t="str">
        <f ca="1">IFERROR(VLOOKUP($D172,'Data NEW'!$B$2:$K$210,2,FALSE),"")</f>
        <v>scotch</v>
      </c>
      <c r="F172" s="11" t="str">
        <f ca="1">IFERROR(VLOOKUP($D172,'Data NEW'!$B$2:$K$210,6,FALSE),"")</f>
        <v>sweet vermouth</v>
      </c>
      <c r="G172" s="11">
        <f ca="1">IFERROR(VLOOKUP($D172,'Data NEW'!$B$2:$K$210,5,FALSE),"")</f>
        <v>0</v>
      </c>
      <c r="H172" s="11" t="str">
        <f ca="1">IFERROR(VLOOKUP($D172,'Data NEW'!$B$2:$K$210,4,FALSE),"")</f>
        <v>Peychaud's</v>
      </c>
      <c r="I172" s="11">
        <f ca="1">IFERROR(VLOOKUP($D172,'Data NEW'!$B$2:$K$210,7,FALSE),"")</f>
        <v>0</v>
      </c>
      <c r="J172" s="11">
        <f ca="1">IFERROR(VLOOKUP($D172,'Data NEW'!$B$2:$K$210,3,FALSE),"")</f>
        <v>0</v>
      </c>
      <c r="K172" s="11">
        <f ca="1">IFERROR(VLOOKUP($D172,'Data NEW'!$B$2:$K$210,8,FALSE),"")</f>
        <v>0</v>
      </c>
      <c r="L172" s="11">
        <f ca="1">IFERROR(VLOOKUP($D172,'Data NEW'!$B$2:$K$210,9,FALSE),"")</f>
        <v>0</v>
      </c>
      <c r="M172" s="11">
        <f ca="1">IFERROR(VLOOKUP($D172,'Data NEW'!$B$2:$K$210,10,FALSE),"")</f>
        <v>0</v>
      </c>
    </row>
    <row r="173" spans="4:13" ht="15.75" customHeight="1" x14ac:dyDescent="0.2">
      <c r="D173" s="12" t="str">
        <f ca="1">IFERROR(__xludf.DUMMYFUNCTION("""COMPUTED_VALUE"""),"Rosebud Cocktail")</f>
        <v>Rosebud Cocktail</v>
      </c>
      <c r="E173" s="13" t="str">
        <f ca="1">IFERROR(VLOOKUP($D173,'Data NEW'!$B$2:$K$210,2,FALSE),"")</f>
        <v>citrus vodka</v>
      </c>
      <c r="F173" s="11" t="str">
        <f ca="1">IFERROR(VLOOKUP($D173,'Data NEW'!$B$2:$K$210,6,FALSE),"")</f>
        <v>triple sec</v>
      </c>
      <c r="G173" s="11" t="str">
        <f ca="1">IFERROR(VLOOKUP($D173,'Data NEW'!$B$2:$K$210,5,FALSE),"")</f>
        <v>lime juice</v>
      </c>
      <c r="H173" s="11">
        <f ca="1">IFERROR(VLOOKUP($D173,'Data NEW'!$B$2:$K$210,4,FALSE),"")</f>
        <v>0</v>
      </c>
      <c r="I173" s="11" t="str">
        <f ca="1">IFERROR(VLOOKUP($D173,'Data NEW'!$B$2:$K$210,7,FALSE),"")</f>
        <v>grapefruit juice</v>
      </c>
      <c r="J173" s="11">
        <f ca="1">IFERROR(VLOOKUP($D173,'Data NEW'!$B$2:$K$210,3,FALSE),"")</f>
        <v>0</v>
      </c>
      <c r="K173" s="11">
        <f ca="1">IFERROR(VLOOKUP($D173,'Data NEW'!$B$2:$K$210,8,FALSE),"")</f>
        <v>0</v>
      </c>
      <c r="L173" s="11">
        <f ca="1">IFERROR(VLOOKUP($D173,'Data NEW'!$B$2:$K$210,9,FALSE),"")</f>
        <v>0</v>
      </c>
      <c r="M173" s="11">
        <f ca="1">IFERROR(VLOOKUP($D173,'Data NEW'!$B$2:$K$210,10,FALSE),"")</f>
        <v>0</v>
      </c>
    </row>
    <row r="174" spans="4:13" ht="15.75" customHeight="1" x14ac:dyDescent="0.2">
      <c r="D174" s="12" t="str">
        <f ca="1">IFERROR(__xludf.DUMMYFUNCTION("""COMPUTED_VALUE"""),"Russian Squirrel")</f>
        <v>Russian Squirrel</v>
      </c>
      <c r="E174" s="13" t="str">
        <f ca="1">IFERROR(VLOOKUP($D174,'Data NEW'!$B$2:$K$210,2,FALSE),"")</f>
        <v>vodka</v>
      </c>
      <c r="F174" s="11" t="str">
        <f ca="1">IFERROR(VLOOKUP($D174,'Data NEW'!$B$2:$K$210,6,FALSE),"")</f>
        <v>crème de noyau</v>
      </c>
      <c r="G174" s="11" t="str">
        <f ca="1">IFERROR(VLOOKUP($D174,'Data NEW'!$B$2:$K$210,5,FALSE),"")</f>
        <v>lime juice</v>
      </c>
      <c r="H174" s="11">
        <f ca="1">IFERROR(VLOOKUP($D174,'Data NEW'!$B$2:$K$210,4,FALSE),"")</f>
        <v>0</v>
      </c>
      <c r="I174" s="11">
        <f ca="1">IFERROR(VLOOKUP($D174,'Data NEW'!$B$2:$K$210,7,FALSE),"")</f>
        <v>0</v>
      </c>
      <c r="J174" s="11">
        <f ca="1">IFERROR(VLOOKUP($D174,'Data NEW'!$B$2:$K$210,3,FALSE),"")</f>
        <v>0</v>
      </c>
      <c r="K174" s="11">
        <f ca="1">IFERROR(VLOOKUP($D174,'Data NEW'!$B$2:$K$210,8,FALSE),"")</f>
        <v>0</v>
      </c>
      <c r="L174" s="11">
        <f ca="1">IFERROR(VLOOKUP($D174,'Data NEW'!$B$2:$K$210,9,FALSE),"")</f>
        <v>0</v>
      </c>
      <c r="M174" s="11">
        <f ca="1">IFERROR(VLOOKUP($D174,'Data NEW'!$B$2:$K$210,10,FALSE),"")</f>
        <v>0</v>
      </c>
    </row>
    <row r="175" spans="4:13" ht="15.75" customHeight="1" x14ac:dyDescent="0.2">
      <c r="D175" s="12" t="str">
        <f ca="1">IFERROR(__xludf.DUMMYFUNCTION("""COMPUTED_VALUE"""),"Rusty Nail")</f>
        <v>Rusty Nail</v>
      </c>
      <c r="E175" s="13" t="str">
        <f ca="1">IFERROR(VLOOKUP($D175,'Data NEW'!$B$2:$K$210,2,FALSE),"")</f>
        <v>scotch</v>
      </c>
      <c r="F175" s="11" t="str">
        <f ca="1">IFERROR(VLOOKUP($D175,'Data NEW'!$B$2:$K$210,6,FALSE),"")</f>
        <v>Drambuie</v>
      </c>
      <c r="G175" s="11">
        <f ca="1">IFERROR(VLOOKUP($D175,'Data NEW'!$B$2:$K$210,5,FALSE),"")</f>
        <v>0</v>
      </c>
      <c r="H175" s="11">
        <f ca="1">IFERROR(VLOOKUP($D175,'Data NEW'!$B$2:$K$210,4,FALSE),"")</f>
        <v>0</v>
      </c>
      <c r="I175" s="11">
        <f ca="1">IFERROR(VLOOKUP($D175,'Data NEW'!$B$2:$K$210,7,FALSE),"")</f>
        <v>0</v>
      </c>
      <c r="J175" s="11">
        <f ca="1">IFERROR(VLOOKUP($D175,'Data NEW'!$B$2:$K$210,3,FALSE),"")</f>
        <v>0</v>
      </c>
      <c r="K175" s="11">
        <f ca="1">IFERROR(VLOOKUP($D175,'Data NEW'!$B$2:$K$210,8,FALSE),"")</f>
        <v>0</v>
      </c>
      <c r="L175" s="11">
        <f ca="1">IFERROR(VLOOKUP($D175,'Data NEW'!$B$2:$K$210,9,FALSE),"")</f>
        <v>0</v>
      </c>
      <c r="M175" s="11">
        <f ca="1">IFERROR(VLOOKUP($D175,'Data NEW'!$B$2:$K$210,10,FALSE),"")</f>
        <v>0</v>
      </c>
    </row>
    <row r="176" spans="4:13" ht="15.75" customHeight="1" x14ac:dyDescent="0.2">
      <c r="D176" s="12" t="str">
        <f ca="1">IFERROR(__xludf.DUMMYFUNCTION("""COMPUTED_VALUE"""),"Rye and Ginger")</f>
        <v>Rye and Ginger</v>
      </c>
      <c r="E176" s="13" t="str">
        <f ca="1">IFERROR(VLOOKUP($D176,'Data NEW'!$B$2:$K$210,2,FALSE),"")</f>
        <v>rye whiskey</v>
      </c>
      <c r="F176" s="11">
        <f ca="1">IFERROR(VLOOKUP($D176,'Data NEW'!$B$2:$K$210,6,FALSE),"")</f>
        <v>0</v>
      </c>
      <c r="G176" s="11">
        <f ca="1">IFERROR(VLOOKUP($D176,'Data NEW'!$B$2:$K$210,5,FALSE),"")</f>
        <v>0</v>
      </c>
      <c r="H176" s="11" t="str">
        <f ca="1">IFERROR(VLOOKUP($D176,'Data NEW'!$B$2:$K$210,4,FALSE),"")</f>
        <v>ginger ale</v>
      </c>
      <c r="I176" s="11">
        <f ca="1">IFERROR(VLOOKUP($D176,'Data NEW'!$B$2:$K$210,7,FALSE),"")</f>
        <v>0</v>
      </c>
      <c r="J176" s="11">
        <f ca="1">IFERROR(VLOOKUP($D176,'Data NEW'!$B$2:$K$210,3,FALSE),"")</f>
        <v>0</v>
      </c>
      <c r="K176" s="11">
        <f ca="1">IFERROR(VLOOKUP($D176,'Data NEW'!$B$2:$K$210,8,FALSE),"")</f>
        <v>0</v>
      </c>
      <c r="L176" s="11">
        <f ca="1">IFERROR(VLOOKUP($D176,'Data NEW'!$B$2:$K$210,9,FALSE),"")</f>
        <v>0</v>
      </c>
      <c r="M176" s="11">
        <f ca="1">IFERROR(VLOOKUP($D176,'Data NEW'!$B$2:$K$210,10,FALSE),"")</f>
        <v>0</v>
      </c>
    </row>
    <row r="177" spans="4:13" ht="15.75" customHeight="1" x14ac:dyDescent="0.2">
      <c r="D177" s="12" t="str">
        <f ca="1">IFERROR(__xludf.DUMMYFUNCTION("""COMPUTED_VALUE"""),"Salty Chihuahua")</f>
        <v>Salty Chihuahua</v>
      </c>
      <c r="E177" s="13" t="str">
        <f ca="1">IFERROR(VLOOKUP($D177,'Data NEW'!$B$2:$K$210,2,FALSE),"")</f>
        <v>tequila</v>
      </c>
      <c r="F177" s="11">
        <f ca="1">IFERROR(VLOOKUP($D177,'Data NEW'!$B$2:$K$210,6,FALSE),"")</f>
        <v>0</v>
      </c>
      <c r="G177" s="11" t="str">
        <f ca="1">IFERROR(VLOOKUP($D177,'Data NEW'!$B$2:$K$210,5,FALSE),"")</f>
        <v>grapefruit juice</v>
      </c>
      <c r="H177" s="11">
        <f ca="1">IFERROR(VLOOKUP($D177,'Data NEW'!$B$2:$K$210,4,FALSE),"")</f>
        <v>0</v>
      </c>
      <c r="I177" s="11">
        <f ca="1">IFERROR(VLOOKUP($D177,'Data NEW'!$B$2:$K$210,7,FALSE),"")</f>
        <v>0</v>
      </c>
      <c r="J177" s="11">
        <f ca="1">IFERROR(VLOOKUP($D177,'Data NEW'!$B$2:$K$210,3,FALSE),"")</f>
        <v>0</v>
      </c>
      <c r="K177" s="11" t="str">
        <f ca="1">IFERROR(VLOOKUP($D177,'Data NEW'!$B$2:$K$210,8,FALSE),"")</f>
        <v>salt-rimmed glass</v>
      </c>
      <c r="L177" s="11">
        <f ca="1">IFERROR(VLOOKUP($D177,'Data NEW'!$B$2:$K$210,9,FALSE),"")</f>
        <v>0</v>
      </c>
      <c r="M177" s="11">
        <f ca="1">IFERROR(VLOOKUP($D177,'Data NEW'!$B$2:$K$210,10,FALSE),"")</f>
        <v>0</v>
      </c>
    </row>
    <row r="178" spans="4:13" ht="15.75" customHeight="1" x14ac:dyDescent="0.2">
      <c r="D178" s="12" t="str">
        <f ca="1">IFERROR(__xludf.DUMMYFUNCTION("""COMPUTED_VALUE"""),"Salty Dog")</f>
        <v>Salty Dog</v>
      </c>
      <c r="E178" s="13" t="str">
        <f ca="1">IFERROR(VLOOKUP($D178,'Data NEW'!$B$2:$K$210,2,FALSE),"")</f>
        <v>vodka</v>
      </c>
      <c r="F178" s="11">
        <f ca="1">IFERROR(VLOOKUP($D178,'Data NEW'!$B$2:$K$210,6,FALSE),"")</f>
        <v>0</v>
      </c>
      <c r="G178" s="11" t="str">
        <f ca="1">IFERROR(VLOOKUP($D178,'Data NEW'!$B$2:$K$210,5,FALSE),"")</f>
        <v>grapefruit juice</v>
      </c>
      <c r="H178" s="11">
        <f ca="1">IFERROR(VLOOKUP($D178,'Data NEW'!$B$2:$K$210,4,FALSE),"")</f>
        <v>0</v>
      </c>
      <c r="I178" s="11">
        <f ca="1">IFERROR(VLOOKUP($D178,'Data NEW'!$B$2:$K$210,7,FALSE),"")</f>
        <v>0</v>
      </c>
      <c r="J178" s="11">
        <f ca="1">IFERROR(VLOOKUP($D178,'Data NEW'!$B$2:$K$210,3,FALSE),"")</f>
        <v>0</v>
      </c>
      <c r="K178" s="11" t="str">
        <f ca="1">IFERROR(VLOOKUP($D178,'Data NEW'!$B$2:$K$210,8,FALSE),"")</f>
        <v>salt-rimmed glass</v>
      </c>
      <c r="L178" s="11">
        <f ca="1">IFERROR(VLOOKUP($D178,'Data NEW'!$B$2:$K$210,9,FALSE),"")</f>
        <v>0</v>
      </c>
      <c r="M178" s="11">
        <f ca="1">IFERROR(VLOOKUP($D178,'Data NEW'!$B$2:$K$210,10,FALSE),"")</f>
        <v>0</v>
      </c>
    </row>
    <row r="179" spans="4:13" ht="15.75" customHeight="1" x14ac:dyDescent="0.2">
      <c r="D179" s="12" t="str">
        <f ca="1">IFERROR(__xludf.DUMMYFUNCTION("""COMPUTED_VALUE"""),"Scofflaw Cocktail")</f>
        <v>Scofflaw Cocktail</v>
      </c>
      <c r="E179" s="13" t="str">
        <f ca="1">IFERROR(VLOOKUP($D179,'Data NEW'!$B$2:$K$210,2,FALSE),"")</f>
        <v>bourbon</v>
      </c>
      <c r="F179" s="11" t="str">
        <f ca="1">IFERROR(VLOOKUP($D179,'Data NEW'!$B$2:$K$210,6,FALSE),"")</f>
        <v>dry vermouth</v>
      </c>
      <c r="G179" s="11" t="str">
        <f ca="1">IFERROR(VLOOKUP($D179,'Data NEW'!$B$2:$K$210,5,FALSE),"")</f>
        <v>lemon juice</v>
      </c>
      <c r="H179" s="11" t="str">
        <f ca="1">IFERROR(VLOOKUP($D179,'Data NEW'!$B$2:$K$210,4,FALSE),"")</f>
        <v>orange bitters</v>
      </c>
      <c r="I179" s="11">
        <f ca="1">IFERROR(VLOOKUP($D179,'Data NEW'!$B$2:$K$210,7,FALSE),"")</f>
        <v>0</v>
      </c>
      <c r="J179" s="11">
        <f ca="1">IFERROR(VLOOKUP($D179,'Data NEW'!$B$2:$K$210,3,FALSE),"")</f>
        <v>0</v>
      </c>
      <c r="K179" s="11">
        <f ca="1">IFERROR(VLOOKUP($D179,'Data NEW'!$B$2:$K$210,8,FALSE),"")</f>
        <v>0</v>
      </c>
      <c r="L179" s="11" t="str">
        <f ca="1">IFERROR(VLOOKUP($D179,'Data NEW'!$B$2:$K$210,9,FALSE),"")</f>
        <v>grenadine</v>
      </c>
      <c r="M179" s="11">
        <f ca="1">IFERROR(VLOOKUP($D179,'Data NEW'!$B$2:$K$210,10,FALSE),"")</f>
        <v>0</v>
      </c>
    </row>
    <row r="180" spans="4:13" ht="15.75" customHeight="1" x14ac:dyDescent="0.2">
      <c r="D180" s="12" t="str">
        <f ca="1">IFERROR(__xludf.DUMMYFUNCTION("""COMPUTED_VALUE"""),"Scotch and Soda")</f>
        <v>Scotch and Soda</v>
      </c>
      <c r="E180" s="13" t="str">
        <f ca="1">IFERROR(VLOOKUP($D180,'Data NEW'!$B$2:$K$210,2,FALSE),"")</f>
        <v>scotch</v>
      </c>
      <c r="F180" s="11">
        <f ca="1">IFERROR(VLOOKUP($D180,'Data NEW'!$B$2:$K$210,6,FALSE),"")</f>
        <v>0</v>
      </c>
      <c r="G180" s="11">
        <f ca="1">IFERROR(VLOOKUP($D180,'Data NEW'!$B$2:$K$210,5,FALSE),"")</f>
        <v>0</v>
      </c>
      <c r="H180" s="11" t="str">
        <f ca="1">IFERROR(VLOOKUP($D180,'Data NEW'!$B$2:$K$210,4,FALSE),"")</f>
        <v>club soda</v>
      </c>
      <c r="I180" s="11">
        <f ca="1">IFERROR(VLOOKUP($D180,'Data NEW'!$B$2:$K$210,7,FALSE),"")</f>
        <v>0</v>
      </c>
      <c r="J180" s="11">
        <f ca="1">IFERROR(VLOOKUP($D180,'Data NEW'!$B$2:$K$210,3,FALSE),"")</f>
        <v>0</v>
      </c>
      <c r="K180" s="11">
        <f ca="1">IFERROR(VLOOKUP($D180,'Data NEW'!$B$2:$K$210,8,FALSE),"")</f>
        <v>0</v>
      </c>
      <c r="L180" s="11">
        <f ca="1">IFERROR(VLOOKUP($D180,'Data NEW'!$B$2:$K$210,9,FALSE),"")</f>
        <v>0</v>
      </c>
      <c r="M180" s="11">
        <f ca="1">IFERROR(VLOOKUP($D180,'Data NEW'!$B$2:$K$210,10,FALSE),"")</f>
        <v>0</v>
      </c>
    </row>
    <row r="181" spans="4:13" ht="15.75" customHeight="1" x14ac:dyDescent="0.2">
      <c r="D181" s="12" t="str">
        <f ca="1">IFERROR(__xludf.DUMMYFUNCTION("""COMPUTED_VALUE"""),"Scotch and Water")</f>
        <v>Scotch and Water</v>
      </c>
      <c r="E181" s="13" t="str">
        <f ca="1">IFERROR(VLOOKUP($D181,'Data NEW'!$B$2:$K$210,2,FALSE),"")</f>
        <v>scotch</v>
      </c>
      <c r="F181" s="11">
        <f ca="1">IFERROR(VLOOKUP($D181,'Data NEW'!$B$2:$K$210,6,FALSE),"")</f>
        <v>0</v>
      </c>
      <c r="G181" s="11">
        <f ca="1">IFERROR(VLOOKUP($D181,'Data NEW'!$B$2:$K$210,5,FALSE),"")</f>
        <v>0</v>
      </c>
      <c r="H181" s="11" t="str">
        <f ca="1">IFERROR(VLOOKUP($D181,'Data NEW'!$B$2:$K$210,4,FALSE),"")</f>
        <v>bottled water</v>
      </c>
      <c r="I181" s="11">
        <f ca="1">IFERROR(VLOOKUP($D181,'Data NEW'!$B$2:$K$210,7,FALSE),"")</f>
        <v>0</v>
      </c>
      <c r="J181" s="11">
        <f ca="1">IFERROR(VLOOKUP($D181,'Data NEW'!$B$2:$K$210,3,FALSE),"")</f>
        <v>0</v>
      </c>
      <c r="K181" s="11">
        <f ca="1">IFERROR(VLOOKUP($D181,'Data NEW'!$B$2:$K$210,8,FALSE),"")</f>
        <v>0</v>
      </c>
      <c r="L181" s="11">
        <f ca="1">IFERROR(VLOOKUP($D181,'Data NEW'!$B$2:$K$210,9,FALSE),"")</f>
        <v>0</v>
      </c>
      <c r="M181" s="11">
        <f ca="1">IFERROR(VLOOKUP($D181,'Data NEW'!$B$2:$K$210,10,FALSE),"")</f>
        <v>0</v>
      </c>
    </row>
    <row r="182" spans="4:13" ht="15.75" customHeight="1" x14ac:dyDescent="0.2">
      <c r="D182" s="12" t="str">
        <f ca="1">IFERROR(__xludf.DUMMYFUNCTION("""COMPUTED_VALUE"""),"Scottish Squirrel")</f>
        <v>Scottish Squirrel</v>
      </c>
      <c r="E182" s="13" t="str">
        <f ca="1">IFERROR(VLOOKUP($D182,'Data NEW'!$B$2:$K$210,2,FALSE),"")</f>
        <v>scotch</v>
      </c>
      <c r="F182" s="11" t="str">
        <f ca="1">IFERROR(VLOOKUP($D182,'Data NEW'!$B$2:$K$210,6,FALSE),"")</f>
        <v>crème de noyau</v>
      </c>
      <c r="G182" s="11" t="str">
        <f ca="1">IFERROR(VLOOKUP($D182,'Data NEW'!$B$2:$K$210,5,FALSE),"")</f>
        <v>lemon juice</v>
      </c>
      <c r="H182" s="11">
        <f ca="1">IFERROR(VLOOKUP($D182,'Data NEW'!$B$2:$K$210,4,FALSE),"")</f>
        <v>0</v>
      </c>
      <c r="I182" s="11">
        <f ca="1">IFERROR(VLOOKUP($D182,'Data NEW'!$B$2:$K$210,7,FALSE),"")</f>
        <v>0</v>
      </c>
      <c r="J182" s="11">
        <f ca="1">IFERROR(VLOOKUP($D182,'Data NEW'!$B$2:$K$210,3,FALSE),"")</f>
        <v>0</v>
      </c>
      <c r="K182" s="11">
        <f ca="1">IFERROR(VLOOKUP($D182,'Data NEW'!$B$2:$K$210,8,FALSE),"")</f>
        <v>0</v>
      </c>
      <c r="L182" s="11">
        <f ca="1">IFERROR(VLOOKUP($D182,'Data NEW'!$B$2:$K$210,9,FALSE),"")</f>
        <v>0</v>
      </c>
      <c r="M182" s="11">
        <f ca="1">IFERROR(VLOOKUP($D182,'Data NEW'!$B$2:$K$210,10,FALSE),"")</f>
        <v>0</v>
      </c>
    </row>
    <row r="183" spans="4:13" ht="15.75" customHeight="1" x14ac:dyDescent="0.2">
      <c r="D183" s="12" t="str">
        <f ca="1">IFERROR(__xludf.DUMMYFUNCTION("""COMPUTED_VALUE"""),"Screwdriver")</f>
        <v>Screwdriver</v>
      </c>
      <c r="E183" s="13" t="str">
        <f ca="1">IFERROR(VLOOKUP($D183,'Data NEW'!$B$2:$K$210,2,FALSE),"")</f>
        <v>vodka</v>
      </c>
      <c r="F183" s="11">
        <f ca="1">IFERROR(VLOOKUP($D183,'Data NEW'!$B$2:$K$210,6,FALSE),"")</f>
        <v>0</v>
      </c>
      <c r="G183" s="11" t="str">
        <f ca="1">IFERROR(VLOOKUP($D183,'Data NEW'!$B$2:$K$210,5,FALSE),"")</f>
        <v>orange juice</v>
      </c>
      <c r="H183" s="11">
        <f ca="1">IFERROR(VLOOKUP($D183,'Data NEW'!$B$2:$K$210,4,FALSE),"")</f>
        <v>0</v>
      </c>
      <c r="I183" s="11">
        <f ca="1">IFERROR(VLOOKUP($D183,'Data NEW'!$B$2:$K$210,7,FALSE),"")</f>
        <v>0</v>
      </c>
      <c r="J183" s="11">
        <f ca="1">IFERROR(VLOOKUP($D183,'Data NEW'!$B$2:$K$210,3,FALSE),"")</f>
        <v>0</v>
      </c>
      <c r="K183" s="11">
        <f ca="1">IFERROR(VLOOKUP($D183,'Data NEW'!$B$2:$K$210,8,FALSE),"")</f>
        <v>0</v>
      </c>
      <c r="L183" s="11">
        <f ca="1">IFERROR(VLOOKUP($D183,'Data NEW'!$B$2:$K$210,9,FALSE),"")</f>
        <v>0</v>
      </c>
      <c r="M183" s="11">
        <f ca="1">IFERROR(VLOOKUP($D183,'Data NEW'!$B$2:$K$210,10,FALSE),"")</f>
        <v>0</v>
      </c>
    </row>
    <row r="184" spans="4:13" ht="15.75" customHeight="1" x14ac:dyDescent="0.2">
      <c r="D184" s="12" t="str">
        <f ca="1">IFERROR(__xludf.DUMMYFUNCTION("""COMPUTED_VALUE"""),"Sea Breeze")</f>
        <v>Sea Breeze</v>
      </c>
      <c r="E184" s="13" t="str">
        <f ca="1">IFERROR(VLOOKUP($D184,'Data NEW'!$B$2:$K$210,2,FALSE),"")</f>
        <v>vodka</v>
      </c>
      <c r="F184" s="11">
        <f ca="1">IFERROR(VLOOKUP($D184,'Data NEW'!$B$2:$K$210,6,FALSE),"")</f>
        <v>0</v>
      </c>
      <c r="G184" s="11" t="str">
        <f ca="1">IFERROR(VLOOKUP($D184,'Data NEW'!$B$2:$K$210,5,FALSE),"")</f>
        <v>cranberry juice</v>
      </c>
      <c r="H184" s="11">
        <f ca="1">IFERROR(VLOOKUP($D184,'Data NEW'!$B$2:$K$210,4,FALSE),"")</f>
        <v>0</v>
      </c>
      <c r="I184" s="11">
        <f ca="1">IFERROR(VLOOKUP($D184,'Data NEW'!$B$2:$K$210,7,FALSE),"")</f>
        <v>0</v>
      </c>
      <c r="J184" s="11">
        <f ca="1">IFERROR(VLOOKUP($D184,'Data NEW'!$B$2:$K$210,3,FALSE),"")</f>
        <v>0</v>
      </c>
      <c r="K184" s="11">
        <f ca="1">IFERROR(VLOOKUP($D184,'Data NEW'!$B$2:$K$210,8,FALSE),"")</f>
        <v>0</v>
      </c>
      <c r="L184" s="11">
        <f ca="1">IFERROR(VLOOKUP($D184,'Data NEW'!$B$2:$K$210,9,FALSE),"")</f>
        <v>0</v>
      </c>
      <c r="M184" s="11">
        <f ca="1">IFERROR(VLOOKUP($D184,'Data NEW'!$B$2:$K$210,10,FALSE),"")</f>
        <v>0</v>
      </c>
    </row>
    <row r="185" spans="4:13" ht="15.75" customHeight="1" x14ac:dyDescent="0.2">
      <c r="D185" s="12" t="str">
        <f ca="1">IFERROR(__xludf.DUMMYFUNCTION("""COMPUTED_VALUE"""),"Seven and Seven")</f>
        <v>Seven and Seven</v>
      </c>
      <c r="E185" s="13" t="str">
        <f ca="1">IFERROR(VLOOKUP($D185,'Data NEW'!$B$2:$K$210,2,FALSE),"")</f>
        <v>Seagram's Seven-Crown whiskey</v>
      </c>
      <c r="F185" s="11">
        <f ca="1">IFERROR(VLOOKUP($D185,'Data NEW'!$B$2:$K$210,6,FALSE),"")</f>
        <v>0</v>
      </c>
      <c r="G185" s="11">
        <f ca="1">IFERROR(VLOOKUP($D185,'Data NEW'!$B$2:$K$210,5,FALSE),"")</f>
        <v>0</v>
      </c>
      <c r="H185" s="11" t="str">
        <f ca="1">IFERROR(VLOOKUP($D185,'Data NEW'!$B$2:$K$210,4,FALSE),"")</f>
        <v>7UP</v>
      </c>
      <c r="I185" s="11">
        <f ca="1">IFERROR(VLOOKUP($D185,'Data NEW'!$B$2:$K$210,7,FALSE),"")</f>
        <v>0</v>
      </c>
      <c r="J185" s="11">
        <f ca="1">IFERROR(VLOOKUP($D185,'Data NEW'!$B$2:$K$210,3,FALSE),"")</f>
        <v>0</v>
      </c>
      <c r="K185" s="11">
        <f ca="1">IFERROR(VLOOKUP($D185,'Data NEW'!$B$2:$K$210,8,FALSE),"")</f>
        <v>0</v>
      </c>
      <c r="L185" s="11">
        <f ca="1">IFERROR(VLOOKUP($D185,'Data NEW'!$B$2:$K$210,9,FALSE),"")</f>
        <v>0</v>
      </c>
      <c r="M185" s="11">
        <f ca="1">IFERROR(VLOOKUP($D185,'Data NEW'!$B$2:$K$210,10,FALSE),"")</f>
        <v>0</v>
      </c>
    </row>
    <row r="186" spans="4:13" ht="15.75" customHeight="1" x14ac:dyDescent="0.2">
      <c r="D186" s="12" t="str">
        <f ca="1">IFERROR(__xludf.DUMMYFUNCTION("""COMPUTED_VALUE"""),"Sex on the Beach")</f>
        <v>Sex on the Beach</v>
      </c>
      <c r="E186" s="13" t="str">
        <f ca="1">IFERROR(VLOOKUP($D186,'Data NEW'!$B$2:$K$210,2,FALSE),"")</f>
        <v>vodka</v>
      </c>
      <c r="F186" s="11" t="str">
        <f ca="1">IFERROR(VLOOKUP($D186,'Data NEW'!$B$2:$K$210,6,FALSE),"")</f>
        <v>peach schnapps</v>
      </c>
      <c r="G186" s="11" t="str">
        <f ca="1">IFERROR(VLOOKUP($D186,'Data NEW'!$B$2:$K$210,5,FALSE),"")</f>
        <v>cranberry juice</v>
      </c>
      <c r="H186" s="11">
        <f ca="1">IFERROR(VLOOKUP($D186,'Data NEW'!$B$2:$K$210,4,FALSE),"")</f>
        <v>0</v>
      </c>
      <c r="I186" s="11" t="str">
        <f ca="1">IFERROR(VLOOKUP($D186,'Data NEW'!$B$2:$K$210,7,FALSE),"")</f>
        <v>orange juice</v>
      </c>
      <c r="J186" s="11">
        <f ca="1">IFERROR(VLOOKUP($D186,'Data NEW'!$B$2:$K$210,3,FALSE),"")</f>
        <v>0</v>
      </c>
      <c r="K186" s="11">
        <f ca="1">IFERROR(VLOOKUP($D186,'Data NEW'!$B$2:$K$210,8,FALSE),"")</f>
        <v>0</v>
      </c>
      <c r="L186" s="11">
        <f ca="1">IFERROR(VLOOKUP($D186,'Data NEW'!$B$2:$K$210,9,FALSE),"")</f>
        <v>0</v>
      </c>
      <c r="M186" s="11">
        <f ca="1">IFERROR(VLOOKUP($D186,'Data NEW'!$B$2:$K$210,10,FALSE),"")</f>
        <v>0</v>
      </c>
    </row>
    <row r="187" spans="4:13" ht="15.75" customHeight="1" x14ac:dyDescent="0.2">
      <c r="D187" s="12" t="str">
        <f ca="1">IFERROR(__xludf.DUMMYFUNCTION("""COMPUTED_VALUE"""),"Sidecar")</f>
        <v>Sidecar</v>
      </c>
      <c r="E187" s="13" t="str">
        <f ca="1">IFERROR(VLOOKUP($D187,'Data NEW'!$B$2:$K$210,2,FALSE),"")</f>
        <v>brandy</v>
      </c>
      <c r="F187" s="11" t="str">
        <f ca="1">IFERROR(VLOOKUP($D187,'Data NEW'!$B$2:$K$210,6,FALSE),"")</f>
        <v>triple sec</v>
      </c>
      <c r="G187" s="11" t="str">
        <f ca="1">IFERROR(VLOOKUP($D187,'Data NEW'!$B$2:$K$210,5,FALSE),"")</f>
        <v>lemon juice</v>
      </c>
      <c r="H187" s="11">
        <f ca="1">IFERROR(VLOOKUP($D187,'Data NEW'!$B$2:$K$210,4,FALSE),"")</f>
        <v>0</v>
      </c>
      <c r="I187" s="11">
        <f ca="1">IFERROR(VLOOKUP($D187,'Data NEW'!$B$2:$K$210,7,FALSE),"")</f>
        <v>0</v>
      </c>
      <c r="J187" s="11">
        <f ca="1">IFERROR(VLOOKUP($D187,'Data NEW'!$B$2:$K$210,3,FALSE),"")</f>
        <v>0</v>
      </c>
      <c r="K187" s="11">
        <f ca="1">IFERROR(VLOOKUP($D187,'Data NEW'!$B$2:$K$210,8,FALSE),"")</f>
        <v>0</v>
      </c>
      <c r="L187" s="11">
        <f ca="1">IFERROR(VLOOKUP($D187,'Data NEW'!$B$2:$K$210,9,FALSE),"")</f>
        <v>0</v>
      </c>
      <c r="M187" s="11">
        <f ca="1">IFERROR(VLOOKUP($D187,'Data NEW'!$B$2:$K$210,10,FALSE),"")</f>
        <v>0</v>
      </c>
    </row>
    <row r="188" spans="4:13" ht="15.75" customHeight="1" x14ac:dyDescent="0.2">
      <c r="D188" s="12" t="str">
        <f ca="1">IFERROR(__xludf.DUMMYFUNCTION("""COMPUTED_VALUE"""),"Singapore Sling No. 1")</f>
        <v>Singapore Sling No. 1</v>
      </c>
      <c r="E188" s="13" t="str">
        <f ca="1">IFERROR(VLOOKUP($D188,'Data NEW'!$B$2:$K$210,2,FALSE),"")</f>
        <v>gin</v>
      </c>
      <c r="F188" s="11" t="str">
        <f ca="1">IFERROR(VLOOKUP($D188,'Data NEW'!$B$2:$K$210,6,FALSE),"")</f>
        <v>Benedictine</v>
      </c>
      <c r="G188" s="11" t="str">
        <f ca="1">IFERROR(VLOOKUP($D188,'Data NEW'!$B$2:$K$210,5,FALSE),"")</f>
        <v>lemon juice</v>
      </c>
      <c r="H188" s="11" t="str">
        <f ca="1">IFERROR(VLOOKUP($D188,'Data NEW'!$B$2:$K$210,4,FALSE),"")</f>
        <v>club soda</v>
      </c>
      <c r="I188" s="11">
        <f ca="1">IFERROR(VLOOKUP($D188,'Data NEW'!$B$2:$K$210,7,FALSE),"")</f>
        <v>0</v>
      </c>
      <c r="J188" s="11">
        <f ca="1">IFERROR(VLOOKUP($D188,'Data NEW'!$B$2:$K$210,3,FALSE),"")</f>
        <v>0</v>
      </c>
      <c r="K188" s="11">
        <f ca="1">IFERROR(VLOOKUP($D188,'Data NEW'!$B$2:$K$210,8,FALSE),"")</f>
        <v>0</v>
      </c>
      <c r="L188" s="11" t="str">
        <f ca="1">IFERROR(VLOOKUP($D188,'Data NEW'!$B$2:$K$210,9,FALSE),"")</f>
        <v>orange bitters</v>
      </c>
      <c r="M188" s="11">
        <f ca="1">IFERROR(VLOOKUP($D188,'Data NEW'!$B$2:$K$210,10,FALSE),"")</f>
        <v>0</v>
      </c>
    </row>
    <row r="189" spans="4:13" ht="15.75" customHeight="1" x14ac:dyDescent="0.2">
      <c r="D189" s="12" t="str">
        <f ca="1">IFERROR(__xludf.DUMMYFUNCTION("""COMPUTED_VALUE"""),"Singapore Sling No. 2")</f>
        <v>Singapore Sling No. 2</v>
      </c>
      <c r="E189" s="13" t="str">
        <f ca="1">IFERROR(VLOOKUP($D189,'Data NEW'!$B$2:$K$210,2,FALSE),"")</f>
        <v>gin</v>
      </c>
      <c r="F189" s="11" t="str">
        <f ca="1">IFERROR(VLOOKUP($D189,'Data NEW'!$B$2:$K$210,6,FALSE),"")</f>
        <v>Benedictine</v>
      </c>
      <c r="G189" s="11" t="str">
        <f ca="1">IFERROR(VLOOKUP($D189,'Data NEW'!$B$2:$K$210,5,FALSE),"")</f>
        <v>lime juice</v>
      </c>
      <c r="H189" s="11" t="str">
        <f ca="1">IFERROR(VLOOKUP($D189,'Data NEW'!$B$2:$K$210,4,FALSE),"")</f>
        <v>club soda</v>
      </c>
      <c r="I189" s="11" t="str">
        <f ca="1">IFERROR(VLOOKUP($D189,'Data NEW'!$B$2:$K$210,7,FALSE),"")</f>
        <v>pineapple juice</v>
      </c>
      <c r="J189" s="11">
        <f ca="1">IFERROR(VLOOKUP($D189,'Data NEW'!$B$2:$K$210,3,FALSE),"")</f>
        <v>0</v>
      </c>
      <c r="K189" s="11">
        <f ca="1">IFERROR(VLOOKUP($D189,'Data NEW'!$B$2:$K$210,8,FALSE),"")</f>
        <v>0</v>
      </c>
      <c r="L189" s="11" t="str">
        <f ca="1">IFERROR(VLOOKUP($D189,'Data NEW'!$B$2:$K$210,9,FALSE),"")</f>
        <v>triple sec</v>
      </c>
      <c r="M189" s="11" t="str">
        <f ca="1">IFERROR(VLOOKUP($D189,'Data NEW'!$B$2:$K$210,10,FALSE),"")</f>
        <v>Angostura and Cherry Brandy</v>
      </c>
    </row>
    <row r="190" spans="4:13" ht="15.75" customHeight="1" x14ac:dyDescent="0.2">
      <c r="D190" s="12" t="str">
        <f ca="1">IFERROR(__xludf.DUMMYFUNCTION("""COMPUTED_VALUE"""),"Sloe Comfortable Screw")</f>
        <v>Sloe Comfortable Screw</v>
      </c>
      <c r="E190" s="13" t="str">
        <f ca="1">IFERROR(VLOOKUP($D190,'Data NEW'!$B$2:$K$210,2,FALSE),"")</f>
        <v>vodka</v>
      </c>
      <c r="F190" s="11" t="str">
        <f ca="1">IFERROR(VLOOKUP($D190,'Data NEW'!$B$2:$K$210,6,FALSE),"")</f>
        <v>amaretto</v>
      </c>
      <c r="G190" s="11" t="str">
        <f ca="1">IFERROR(VLOOKUP($D190,'Data NEW'!$B$2:$K$210,5,FALSE),"")</f>
        <v>orange juice</v>
      </c>
      <c r="H190" s="11">
        <f ca="1">IFERROR(VLOOKUP($D190,'Data NEW'!$B$2:$K$210,4,FALSE),"")</f>
        <v>0</v>
      </c>
      <c r="I190" s="11">
        <f ca="1">IFERROR(VLOOKUP($D190,'Data NEW'!$B$2:$K$210,7,FALSE),"")</f>
        <v>0</v>
      </c>
      <c r="J190" s="11" t="str">
        <f ca="1">IFERROR(VLOOKUP($D190,'Data NEW'!$B$2:$K$210,3,FALSE),"")</f>
        <v>sloe gin</v>
      </c>
      <c r="K190" s="11">
        <f ca="1">IFERROR(VLOOKUP($D190,'Data NEW'!$B$2:$K$210,8,FALSE),"")</f>
        <v>0</v>
      </c>
      <c r="L190" s="11">
        <f ca="1">IFERROR(VLOOKUP($D190,'Data NEW'!$B$2:$K$210,9,FALSE),"")</f>
        <v>0</v>
      </c>
      <c r="M190" s="11">
        <f ca="1">IFERROR(VLOOKUP($D190,'Data NEW'!$B$2:$K$210,10,FALSE),"")</f>
        <v>0</v>
      </c>
    </row>
    <row r="191" spans="4:13" ht="15.75" customHeight="1" x14ac:dyDescent="0.2">
      <c r="D191" s="12" t="str">
        <f ca="1">IFERROR(__xludf.DUMMYFUNCTION("""COMPUTED_VALUE"""),"Sloe Gin Fizz ")</f>
        <v xml:space="preserve">Sloe Gin Fizz </v>
      </c>
      <c r="E191" s="13" t="str">
        <f ca="1">IFERROR(VLOOKUP($D191,'Data NEW'!$B$2:$K$210,2,FALSE),"")</f>
        <v>sloe gin</v>
      </c>
      <c r="F191" s="11">
        <f ca="1">IFERROR(VLOOKUP($D191,'Data NEW'!$B$2:$K$210,6,FALSE),"")</f>
        <v>0</v>
      </c>
      <c r="G191" s="11" t="str">
        <f ca="1">IFERROR(VLOOKUP($D191,'Data NEW'!$B$2:$K$210,5,FALSE),"")</f>
        <v>lemon juice</v>
      </c>
      <c r="H191" s="11" t="str">
        <f ca="1">IFERROR(VLOOKUP($D191,'Data NEW'!$B$2:$K$210,4,FALSE),"")</f>
        <v>simple syrup</v>
      </c>
      <c r="I191" s="11">
        <f ca="1">IFERROR(VLOOKUP($D191,'Data NEW'!$B$2:$K$210,7,FALSE),"")</f>
        <v>0</v>
      </c>
      <c r="J191" s="11">
        <f ca="1">IFERROR(VLOOKUP($D191,'Data NEW'!$B$2:$K$210,3,FALSE),"")</f>
        <v>0</v>
      </c>
      <c r="K191" s="11">
        <f ca="1">IFERROR(VLOOKUP($D191,'Data NEW'!$B$2:$K$210,8,FALSE),"")</f>
        <v>0</v>
      </c>
      <c r="L191" s="11">
        <f ca="1">IFERROR(VLOOKUP($D191,'Data NEW'!$B$2:$K$210,9,FALSE),"")</f>
        <v>0</v>
      </c>
      <c r="M191" s="11">
        <f ca="1">IFERROR(VLOOKUP($D191,'Data NEW'!$B$2:$K$210,10,FALSE),"")</f>
        <v>0</v>
      </c>
    </row>
    <row r="192" spans="4:13" ht="15.75" customHeight="1" x14ac:dyDescent="0.2">
      <c r="D192" s="12" t="str">
        <f ca="1">IFERROR(__xludf.DUMMYFUNCTION("""COMPUTED_VALUE"""),"Starry Night")</f>
        <v>Starry Night</v>
      </c>
      <c r="E192" s="13" t="str">
        <f ca="1">IFERROR(VLOOKUP($D192,'Data NEW'!$B$2:$K$210,2,FALSE),"")</f>
        <v>gin</v>
      </c>
      <c r="F192" s="11" t="str">
        <f ca="1">IFERROR(VLOOKUP($D192,'Data NEW'!$B$2:$K$210,6,FALSE),"")</f>
        <v>Goldschlager</v>
      </c>
      <c r="G192" s="11">
        <f ca="1">IFERROR(VLOOKUP($D192,'Data NEW'!$B$2:$K$210,5,FALSE),"")</f>
        <v>0</v>
      </c>
      <c r="H192" s="11">
        <f ca="1">IFERROR(VLOOKUP($D192,'Data NEW'!$B$2:$K$210,4,FALSE),"")</f>
        <v>0</v>
      </c>
      <c r="I192" s="11">
        <f ca="1">IFERROR(VLOOKUP($D192,'Data NEW'!$B$2:$K$210,7,FALSE),"")</f>
        <v>0</v>
      </c>
      <c r="J192" s="11">
        <f ca="1">IFERROR(VLOOKUP($D192,'Data NEW'!$B$2:$K$210,3,FALSE),"")</f>
        <v>0</v>
      </c>
      <c r="K192" s="11">
        <f ca="1">IFERROR(VLOOKUP($D192,'Data NEW'!$B$2:$K$210,8,FALSE),"")</f>
        <v>0</v>
      </c>
      <c r="L192" s="11">
        <f ca="1">IFERROR(VLOOKUP($D192,'Data NEW'!$B$2:$K$210,9,FALSE),"")</f>
        <v>0</v>
      </c>
      <c r="M192" s="11">
        <f ca="1">IFERROR(VLOOKUP($D192,'Data NEW'!$B$2:$K$210,10,FALSE),"")</f>
        <v>0</v>
      </c>
    </row>
    <row r="193" spans="4:13" ht="15.75" customHeight="1" x14ac:dyDescent="0.2">
      <c r="D193" s="12" t="str">
        <f ca="1">IFERROR(__xludf.DUMMYFUNCTION("""COMPUTED_VALUE"""),"Stiletto")</f>
        <v>Stiletto</v>
      </c>
      <c r="E193" s="13" t="str">
        <f ca="1">IFERROR(VLOOKUP($D193,'Data NEW'!$B$2:$K$210,2,FALSE),"")</f>
        <v>bourbon</v>
      </c>
      <c r="F193" s="11" t="str">
        <f ca="1">IFERROR(VLOOKUP($D193,'Data NEW'!$B$2:$K$210,6,FALSE),"")</f>
        <v>amaretto</v>
      </c>
      <c r="G193" s="11" t="str">
        <f ca="1">IFERROR(VLOOKUP($D193,'Data NEW'!$B$2:$K$210,5,FALSE),"")</f>
        <v>lime juice</v>
      </c>
      <c r="H193" s="11">
        <f ca="1">IFERROR(VLOOKUP($D193,'Data NEW'!$B$2:$K$210,4,FALSE),"")</f>
        <v>0</v>
      </c>
      <c r="I193" s="11">
        <f ca="1">IFERROR(VLOOKUP($D193,'Data NEW'!$B$2:$K$210,7,FALSE),"")</f>
        <v>0</v>
      </c>
      <c r="J193" s="11">
        <f ca="1">IFERROR(VLOOKUP($D193,'Data NEW'!$B$2:$K$210,3,FALSE),"")</f>
        <v>0</v>
      </c>
      <c r="K193" s="11">
        <f ca="1">IFERROR(VLOOKUP($D193,'Data NEW'!$B$2:$K$210,8,FALSE),"")</f>
        <v>0</v>
      </c>
      <c r="L193" s="11">
        <f ca="1">IFERROR(VLOOKUP($D193,'Data NEW'!$B$2:$K$210,9,FALSE),"")</f>
        <v>0</v>
      </c>
      <c r="M193" s="11">
        <f ca="1">IFERROR(VLOOKUP($D193,'Data NEW'!$B$2:$K$210,10,FALSE),"")</f>
        <v>0</v>
      </c>
    </row>
    <row r="194" spans="4:13" ht="15.75" customHeight="1" x14ac:dyDescent="0.2">
      <c r="D194" s="12" t="str">
        <f ca="1">IFERROR(__xludf.DUMMYFUNCTION("""COMPUTED_VALUE"""),"Stinger")</f>
        <v>Stinger</v>
      </c>
      <c r="E194" s="13" t="str">
        <f ca="1">IFERROR(VLOOKUP($D194,'Data NEW'!$B$2:$K$210,2,FALSE),"")</f>
        <v>brandy</v>
      </c>
      <c r="F194" s="11" t="str">
        <f ca="1">IFERROR(VLOOKUP($D194,'Data NEW'!$B$2:$K$210,6,FALSE),"")</f>
        <v>white crème de cacao</v>
      </c>
      <c r="G194" s="11">
        <f ca="1">IFERROR(VLOOKUP($D194,'Data NEW'!$B$2:$K$210,5,FALSE),"")</f>
        <v>0</v>
      </c>
      <c r="H194" s="11">
        <f ca="1">IFERROR(VLOOKUP($D194,'Data NEW'!$B$2:$K$210,4,FALSE),"")</f>
        <v>0</v>
      </c>
      <c r="I194" s="11">
        <f ca="1">IFERROR(VLOOKUP($D194,'Data NEW'!$B$2:$K$210,7,FALSE),"")</f>
        <v>0</v>
      </c>
      <c r="J194" s="11">
        <f ca="1">IFERROR(VLOOKUP($D194,'Data NEW'!$B$2:$K$210,3,FALSE),"")</f>
        <v>0</v>
      </c>
      <c r="K194" s="11">
        <f ca="1">IFERROR(VLOOKUP($D194,'Data NEW'!$B$2:$K$210,8,FALSE),"")</f>
        <v>0</v>
      </c>
      <c r="L194" s="11">
        <f ca="1">IFERROR(VLOOKUP($D194,'Data NEW'!$B$2:$K$210,9,FALSE),"")</f>
        <v>0</v>
      </c>
      <c r="M194" s="11">
        <f ca="1">IFERROR(VLOOKUP($D194,'Data NEW'!$B$2:$K$210,10,FALSE),"")</f>
        <v>0</v>
      </c>
    </row>
    <row r="195" spans="4:13" ht="15.75" customHeight="1" x14ac:dyDescent="0.2">
      <c r="D195" s="12" t="str">
        <f ca="1">IFERROR(__xludf.DUMMYFUNCTION("""COMPUTED_VALUE"""),"Tea Tini")</f>
        <v>Tea Tini</v>
      </c>
      <c r="E195" s="13" t="str">
        <f ca="1">IFERROR(VLOOKUP($D195,'Data NEW'!$B$2:$K$210,2,FALSE),"")</f>
        <v>orange vodka</v>
      </c>
      <c r="F195" s="11">
        <f ca="1">IFERROR(VLOOKUP($D195,'Data NEW'!$B$2:$K$210,6,FALSE),"")</f>
        <v>0</v>
      </c>
      <c r="G195" s="11" t="str">
        <f ca="1">IFERROR(VLOOKUP($D195,'Data NEW'!$B$2:$K$210,5,FALSE),"")</f>
        <v>lemon juice</v>
      </c>
      <c r="H195" s="11" t="str">
        <f ca="1">IFERROR(VLOOKUP($D195,'Data NEW'!$B$2:$K$210,4,FALSE),"")</f>
        <v>sweet iced tea</v>
      </c>
      <c r="I195" s="11">
        <f ca="1">IFERROR(VLOOKUP($D195,'Data NEW'!$B$2:$K$210,7,FALSE),"")</f>
        <v>0</v>
      </c>
      <c r="J195" s="11">
        <f ca="1">IFERROR(VLOOKUP($D195,'Data NEW'!$B$2:$K$210,3,FALSE),"")</f>
        <v>0</v>
      </c>
      <c r="K195" s="11">
        <f ca="1">IFERROR(VLOOKUP($D195,'Data NEW'!$B$2:$K$210,8,FALSE),"")</f>
        <v>0</v>
      </c>
      <c r="L195" s="11">
        <f ca="1">IFERROR(VLOOKUP($D195,'Data NEW'!$B$2:$K$210,9,FALSE),"")</f>
        <v>0</v>
      </c>
      <c r="M195" s="11">
        <f ca="1">IFERROR(VLOOKUP($D195,'Data NEW'!$B$2:$K$210,10,FALSE),"")</f>
        <v>0</v>
      </c>
    </row>
    <row r="196" spans="4:13" ht="15.75" customHeight="1" x14ac:dyDescent="0.2">
      <c r="D196" s="12" t="str">
        <f ca="1">IFERROR(__xludf.DUMMYFUNCTION("""COMPUTED_VALUE"""),"Tequila Sunrise")</f>
        <v>Tequila Sunrise</v>
      </c>
      <c r="E196" s="13" t="str">
        <f ca="1">IFERROR(VLOOKUP($D196,'Data NEW'!$B$2:$K$210,2,FALSE),"")</f>
        <v>tequila</v>
      </c>
      <c r="F196" s="11">
        <f ca="1">IFERROR(VLOOKUP($D196,'Data NEW'!$B$2:$K$210,6,FALSE),"")</f>
        <v>0</v>
      </c>
      <c r="G196" s="11" t="str">
        <f ca="1">IFERROR(VLOOKUP($D196,'Data NEW'!$B$2:$K$210,5,FALSE),"")</f>
        <v>orange juice</v>
      </c>
      <c r="H196" s="11" t="str">
        <f ca="1">IFERROR(VLOOKUP($D196,'Data NEW'!$B$2:$K$210,4,FALSE),"")</f>
        <v>grenadine</v>
      </c>
      <c r="I196" s="11">
        <f ca="1">IFERROR(VLOOKUP($D196,'Data NEW'!$B$2:$K$210,7,FALSE),"")</f>
        <v>0</v>
      </c>
      <c r="J196" s="11">
        <f ca="1">IFERROR(VLOOKUP($D196,'Data NEW'!$B$2:$K$210,3,FALSE),"")</f>
        <v>0</v>
      </c>
      <c r="K196" s="11">
        <f ca="1">IFERROR(VLOOKUP($D196,'Data NEW'!$B$2:$K$210,8,FALSE),"")</f>
        <v>0</v>
      </c>
      <c r="L196" s="11">
        <f ca="1">IFERROR(VLOOKUP($D196,'Data NEW'!$B$2:$K$210,9,FALSE),"")</f>
        <v>0</v>
      </c>
      <c r="M196" s="11">
        <f ca="1">IFERROR(VLOOKUP($D196,'Data NEW'!$B$2:$K$210,10,FALSE),"")</f>
        <v>0</v>
      </c>
    </row>
    <row r="197" spans="4:13" ht="15.75" customHeight="1" x14ac:dyDescent="0.2">
      <c r="D197" s="12" t="str">
        <f ca="1">IFERROR(__xludf.DUMMYFUNCTION("""COMPUTED_VALUE"""),"Third Degree")</f>
        <v>Third Degree</v>
      </c>
      <c r="E197" s="13" t="str">
        <f ca="1">IFERROR(VLOOKUP($D197,'Data NEW'!$B$2:$K$210,2,FALSE),"")</f>
        <v>gin</v>
      </c>
      <c r="F197" s="11" t="str">
        <f ca="1">IFERROR(VLOOKUP($D197,'Data NEW'!$B$2:$K$210,6,FALSE),"")</f>
        <v>dry vermouth</v>
      </c>
      <c r="G197" s="11">
        <f ca="1">IFERROR(VLOOKUP($D197,'Data NEW'!$B$2:$K$210,5,FALSE),"")</f>
        <v>0</v>
      </c>
      <c r="H197" s="11">
        <f ca="1">IFERROR(VLOOKUP($D197,'Data NEW'!$B$2:$K$210,4,FALSE),"")</f>
        <v>0</v>
      </c>
      <c r="I197" s="11">
        <f ca="1">IFERROR(VLOOKUP($D197,'Data NEW'!$B$2:$K$210,7,FALSE),"")</f>
        <v>0</v>
      </c>
      <c r="J197" s="11">
        <f ca="1">IFERROR(VLOOKUP($D197,'Data NEW'!$B$2:$K$210,3,FALSE),"")</f>
        <v>0</v>
      </c>
      <c r="K197" s="11">
        <f ca="1">IFERROR(VLOOKUP($D197,'Data NEW'!$B$2:$K$210,8,FALSE),"")</f>
        <v>0</v>
      </c>
      <c r="L197" s="11">
        <f ca="1">IFERROR(VLOOKUP($D197,'Data NEW'!$B$2:$K$210,9,FALSE),"")</f>
        <v>0</v>
      </c>
      <c r="M197" s="11">
        <f ca="1">IFERROR(VLOOKUP($D197,'Data NEW'!$B$2:$K$210,10,FALSE),"")</f>
        <v>0</v>
      </c>
    </row>
    <row r="198" spans="4:13" ht="15.75" customHeight="1" x14ac:dyDescent="0.2">
      <c r="D198" s="12" t="str">
        <f ca="1">IFERROR(__xludf.DUMMYFUNCTION("""COMPUTED_VALUE"""),"Toasted Almond")</f>
        <v>Toasted Almond</v>
      </c>
      <c r="E198" s="13" t="str">
        <f ca="1">IFERROR(VLOOKUP($D198,'Data NEW'!$B$2:$K$210,2,FALSE),"")</f>
        <v>amaretto</v>
      </c>
      <c r="F198" s="11" t="str">
        <f ca="1">IFERROR(VLOOKUP($D198,'Data NEW'!$B$2:$K$210,6,FALSE),"")</f>
        <v>Kahlua</v>
      </c>
      <c r="G198" s="11">
        <f ca="1">IFERROR(VLOOKUP($D198,'Data NEW'!$B$2:$K$210,5,FALSE),"")</f>
        <v>0</v>
      </c>
      <c r="H198" s="11" t="str">
        <f ca="1">IFERROR(VLOOKUP($D198,'Data NEW'!$B$2:$K$210,4,FALSE),"")</f>
        <v>cream</v>
      </c>
      <c r="I198" s="11">
        <f ca="1">IFERROR(VLOOKUP($D198,'Data NEW'!$B$2:$K$210,7,FALSE),"")</f>
        <v>0</v>
      </c>
      <c r="J198" s="11">
        <f ca="1">IFERROR(VLOOKUP($D198,'Data NEW'!$B$2:$K$210,3,FALSE),"")</f>
        <v>0</v>
      </c>
      <c r="K198" s="11">
        <f ca="1">IFERROR(VLOOKUP($D198,'Data NEW'!$B$2:$K$210,8,FALSE),"")</f>
        <v>0</v>
      </c>
      <c r="L198" s="11">
        <f ca="1">IFERROR(VLOOKUP($D198,'Data NEW'!$B$2:$K$210,9,FALSE),"")</f>
        <v>0</v>
      </c>
      <c r="M198" s="11">
        <f ca="1">IFERROR(VLOOKUP($D198,'Data NEW'!$B$2:$K$210,10,FALSE),"")</f>
        <v>0</v>
      </c>
    </row>
    <row r="199" spans="4:13" ht="15.75" customHeight="1" x14ac:dyDescent="0.2">
      <c r="D199" s="12" t="str">
        <f ca="1">IFERROR(__xludf.DUMMYFUNCTION("""COMPUTED_VALUE"""),"Tom Collins")</f>
        <v>Tom Collins</v>
      </c>
      <c r="E199" s="13" t="str">
        <f ca="1">IFERROR(VLOOKUP($D199,'Data NEW'!$B$2:$K$210,2,FALSE),"")</f>
        <v>gin</v>
      </c>
      <c r="F199" s="11">
        <f ca="1">IFERROR(VLOOKUP($D199,'Data NEW'!$B$2:$K$210,6,FALSE),"")</f>
        <v>0</v>
      </c>
      <c r="G199" s="11" t="str">
        <f ca="1">IFERROR(VLOOKUP($D199,'Data NEW'!$B$2:$K$210,5,FALSE),"")</f>
        <v>lemon juice</v>
      </c>
      <c r="H199" s="11" t="str">
        <f ca="1">IFERROR(VLOOKUP($D199,'Data NEW'!$B$2:$K$210,4,FALSE),"")</f>
        <v>simple syrup</v>
      </c>
      <c r="I199" s="11">
        <f ca="1">IFERROR(VLOOKUP($D199,'Data NEW'!$B$2:$K$210,7,FALSE),"")</f>
        <v>0</v>
      </c>
      <c r="J199" s="11">
        <f ca="1">IFERROR(VLOOKUP($D199,'Data NEW'!$B$2:$K$210,3,FALSE),"")</f>
        <v>0</v>
      </c>
      <c r="K199" s="11">
        <f ca="1">IFERROR(VLOOKUP($D199,'Data NEW'!$B$2:$K$210,8,FALSE),"")</f>
        <v>0</v>
      </c>
      <c r="L199" s="11">
        <f ca="1">IFERROR(VLOOKUP($D199,'Data NEW'!$B$2:$K$210,9,FALSE),"")</f>
        <v>0</v>
      </c>
      <c r="M199" s="11">
        <f ca="1">IFERROR(VLOOKUP($D199,'Data NEW'!$B$2:$K$210,10,FALSE),"")</f>
        <v>0</v>
      </c>
    </row>
    <row r="200" spans="4:13" ht="15.75" customHeight="1" x14ac:dyDescent="0.2">
      <c r="D200" s="12" t="str">
        <f ca="1">IFERROR(__xludf.DUMMYFUNCTION("""COMPUTED_VALUE"""),"Tremblement de Terre")</f>
        <v>Tremblement de Terre</v>
      </c>
      <c r="E200" s="13" t="str">
        <f ca="1">IFERROR(VLOOKUP($D200,'Data NEW'!$B$2:$K$210,2,FALSE),"")</f>
        <v>cognac</v>
      </c>
      <c r="F200" s="11" t="str">
        <f ca="1">IFERROR(VLOOKUP($D200,'Data NEW'!$B$2:$K$210,6,FALSE),"")</f>
        <v>absinthe</v>
      </c>
      <c r="G200" s="11">
        <f ca="1">IFERROR(VLOOKUP($D200,'Data NEW'!$B$2:$K$210,5,FALSE),"")</f>
        <v>0</v>
      </c>
      <c r="H200" s="11">
        <f ca="1">IFERROR(VLOOKUP($D200,'Data NEW'!$B$2:$K$210,4,FALSE),"")</f>
        <v>0</v>
      </c>
      <c r="I200" s="11">
        <f ca="1">IFERROR(VLOOKUP($D200,'Data NEW'!$B$2:$K$210,7,FALSE),"")</f>
        <v>0</v>
      </c>
      <c r="J200" s="11">
        <f ca="1">IFERROR(VLOOKUP($D200,'Data NEW'!$B$2:$K$210,3,FALSE),"")</f>
        <v>0</v>
      </c>
      <c r="K200" s="11">
        <f ca="1">IFERROR(VLOOKUP($D200,'Data NEW'!$B$2:$K$210,8,FALSE),"")</f>
        <v>0</v>
      </c>
      <c r="L200" s="11">
        <f ca="1">IFERROR(VLOOKUP($D200,'Data NEW'!$B$2:$K$210,9,FALSE),"")</f>
        <v>0</v>
      </c>
      <c r="M200" s="11">
        <f ca="1">IFERROR(VLOOKUP($D200,'Data NEW'!$B$2:$K$210,10,FALSE),"")</f>
        <v>0</v>
      </c>
    </row>
    <row r="201" spans="4:13" ht="15.75" customHeight="1" x14ac:dyDescent="0.2">
      <c r="D201" s="12" t="str">
        <f ca="1">IFERROR(__xludf.DUMMYFUNCTION("""COMPUTED_VALUE"""),"Tropical Cocktail")</f>
        <v>Tropical Cocktail</v>
      </c>
      <c r="E201" s="13" t="str">
        <f ca="1">IFERROR(VLOOKUP($D201,'Data NEW'!$B$2:$K$210,2,FALSE),"")</f>
        <v>rum</v>
      </c>
      <c r="F201" s="11">
        <f ca="1">IFERROR(VLOOKUP($D201,'Data NEW'!$B$2:$K$210,6,FALSE),"")</f>
        <v>0</v>
      </c>
      <c r="G201" s="11" t="str">
        <f ca="1">IFERROR(VLOOKUP($D201,'Data NEW'!$B$2:$K$210,5,FALSE),"")</f>
        <v>lime juice</v>
      </c>
      <c r="H201" s="11" t="str">
        <f ca="1">IFERROR(VLOOKUP($D201,'Data NEW'!$B$2:$K$210,4,FALSE),"")</f>
        <v>grenadine</v>
      </c>
      <c r="I201" s="11">
        <f ca="1">IFERROR(VLOOKUP($D201,'Data NEW'!$B$2:$K$210,7,FALSE),"")</f>
        <v>0</v>
      </c>
      <c r="J201" s="11">
        <f ca="1">IFERROR(VLOOKUP($D201,'Data NEW'!$B$2:$K$210,3,FALSE),"")</f>
        <v>0</v>
      </c>
      <c r="K201" s="11">
        <f ca="1">IFERROR(VLOOKUP($D201,'Data NEW'!$B$2:$K$210,8,FALSE),"")</f>
        <v>0</v>
      </c>
      <c r="L201" s="11">
        <f ca="1">IFERROR(VLOOKUP($D201,'Data NEW'!$B$2:$K$210,9,FALSE),"")</f>
        <v>0</v>
      </c>
      <c r="M201" s="11">
        <f ca="1">IFERROR(VLOOKUP($D201,'Data NEW'!$B$2:$K$210,10,FALSE),"")</f>
        <v>0</v>
      </c>
    </row>
    <row r="202" spans="4:13" ht="15.75" customHeight="1" x14ac:dyDescent="0.2">
      <c r="D202" s="12" t="str">
        <f ca="1">IFERROR(__xludf.DUMMYFUNCTION("""COMPUTED_VALUE"""),"Twentieth-Century Cocktail")</f>
        <v>Twentieth-Century Cocktail</v>
      </c>
      <c r="E202" s="13" t="str">
        <f ca="1">IFERROR(VLOOKUP($D202,'Data NEW'!$B$2:$K$210,2,FALSE),"")</f>
        <v>gin</v>
      </c>
      <c r="F202" s="11" t="str">
        <f ca="1">IFERROR(VLOOKUP($D202,'Data NEW'!$B$2:$K$210,6,FALSE),"")</f>
        <v>white crème de cacao</v>
      </c>
      <c r="G202" s="11" t="str">
        <f ca="1">IFERROR(VLOOKUP($D202,'Data NEW'!$B$2:$K$210,5,FALSE),"")</f>
        <v>lemon juice</v>
      </c>
      <c r="H202" s="11">
        <f ca="1">IFERROR(VLOOKUP($D202,'Data NEW'!$B$2:$K$210,4,FALSE),"")</f>
        <v>0</v>
      </c>
      <c r="I202" s="11">
        <f ca="1">IFERROR(VLOOKUP($D202,'Data NEW'!$B$2:$K$210,7,FALSE),"")</f>
        <v>0</v>
      </c>
      <c r="J202" s="11">
        <f ca="1">IFERROR(VLOOKUP($D202,'Data NEW'!$B$2:$K$210,3,FALSE),"")</f>
        <v>0</v>
      </c>
      <c r="K202" s="11">
        <f ca="1">IFERROR(VLOOKUP($D202,'Data NEW'!$B$2:$K$210,8,FALSE),"")</f>
        <v>0</v>
      </c>
      <c r="L202" s="11">
        <f ca="1">IFERROR(VLOOKUP($D202,'Data NEW'!$B$2:$K$210,9,FALSE),"")</f>
        <v>0</v>
      </c>
      <c r="M202" s="11">
        <f ca="1">IFERROR(VLOOKUP($D202,'Data NEW'!$B$2:$K$210,10,FALSE),"")</f>
        <v>0</v>
      </c>
    </row>
    <row r="203" spans="4:13" ht="15.75" customHeight="1" x14ac:dyDescent="0.2">
      <c r="D203" s="12" t="str">
        <f ca="1">IFERROR(__xludf.DUMMYFUNCTION("""COMPUTED_VALUE"""),"Vesper Martini")</f>
        <v>Vesper Martini</v>
      </c>
      <c r="E203" s="13" t="str">
        <f ca="1">IFERROR(VLOOKUP($D203,'Data NEW'!$B$2:$K$210,2,FALSE),"")</f>
        <v>gin or vodka</v>
      </c>
      <c r="F203" s="11" t="str">
        <f ca="1">IFERROR(VLOOKUP($D203,'Data NEW'!$B$2:$K$210,6,FALSE),"")</f>
        <v>Lillet</v>
      </c>
      <c r="G203" s="11">
        <f ca="1">IFERROR(VLOOKUP($D203,'Data NEW'!$B$2:$K$210,5,FALSE),"")</f>
        <v>0</v>
      </c>
      <c r="H203" s="11">
        <f ca="1">IFERROR(VLOOKUP($D203,'Data NEW'!$B$2:$K$210,4,FALSE),"")</f>
        <v>0</v>
      </c>
      <c r="I203" s="11">
        <f ca="1">IFERROR(VLOOKUP($D203,'Data NEW'!$B$2:$K$210,7,FALSE),"")</f>
        <v>0</v>
      </c>
      <c r="J203" s="11">
        <f ca="1">IFERROR(VLOOKUP($D203,'Data NEW'!$B$2:$K$210,3,FALSE),"")</f>
        <v>0</v>
      </c>
      <c r="K203" s="11">
        <f ca="1">IFERROR(VLOOKUP($D203,'Data NEW'!$B$2:$K$210,8,FALSE),"")</f>
        <v>0</v>
      </c>
      <c r="L203" s="11">
        <f ca="1">IFERROR(VLOOKUP($D203,'Data NEW'!$B$2:$K$210,9,FALSE),"")</f>
        <v>0</v>
      </c>
      <c r="M203" s="11">
        <f ca="1">IFERROR(VLOOKUP($D203,'Data NEW'!$B$2:$K$210,10,FALSE),"")</f>
        <v>0</v>
      </c>
    </row>
    <row r="204" spans="4:13" ht="15.75" customHeight="1" x14ac:dyDescent="0.2">
      <c r="D204" s="12" t="str">
        <f ca="1">IFERROR(__xludf.DUMMYFUNCTION("""COMPUTED_VALUE"""),"Vodka and Tonic")</f>
        <v>Vodka and Tonic</v>
      </c>
      <c r="E204" s="13" t="str">
        <f ca="1">IFERROR(VLOOKUP($D204,'Data NEW'!$B$2:$K$210,2,FALSE),"")</f>
        <v>vodka</v>
      </c>
      <c r="F204" s="11">
        <f ca="1">IFERROR(VLOOKUP($D204,'Data NEW'!$B$2:$K$210,6,FALSE),"")</f>
        <v>0</v>
      </c>
      <c r="G204" s="11">
        <f ca="1">IFERROR(VLOOKUP($D204,'Data NEW'!$B$2:$K$210,5,FALSE),"")</f>
        <v>0</v>
      </c>
      <c r="H204" s="11" t="str">
        <f ca="1">IFERROR(VLOOKUP($D204,'Data NEW'!$B$2:$K$210,4,FALSE),"")</f>
        <v>tonic water</v>
      </c>
      <c r="I204" s="11">
        <f ca="1">IFERROR(VLOOKUP($D204,'Data NEW'!$B$2:$K$210,7,FALSE),"")</f>
        <v>0</v>
      </c>
      <c r="J204" s="11">
        <f ca="1">IFERROR(VLOOKUP($D204,'Data NEW'!$B$2:$K$210,3,FALSE),"")</f>
        <v>0</v>
      </c>
      <c r="K204" s="11">
        <f ca="1">IFERROR(VLOOKUP($D204,'Data NEW'!$B$2:$K$210,8,FALSE),"")</f>
        <v>0</v>
      </c>
      <c r="L204" s="11">
        <f ca="1">IFERROR(VLOOKUP($D204,'Data NEW'!$B$2:$K$210,9,FALSE),"")</f>
        <v>0</v>
      </c>
      <c r="M204" s="11">
        <f ca="1">IFERROR(VLOOKUP($D204,'Data NEW'!$B$2:$K$210,10,FALSE),"")</f>
        <v>0</v>
      </c>
    </row>
    <row r="205" spans="4:13" ht="15.75" customHeight="1" x14ac:dyDescent="0.2">
      <c r="D205" s="12" t="str">
        <f ca="1">IFERROR(__xludf.DUMMYFUNCTION("""COMPUTED_VALUE"""),"Ward Eight")</f>
        <v>Ward Eight</v>
      </c>
      <c r="E205" s="13" t="str">
        <f ca="1">IFERROR(VLOOKUP($D205,'Data NEW'!$B$2:$K$210,2,FALSE),"")</f>
        <v>rye whiskey</v>
      </c>
      <c r="F205" s="11">
        <f ca="1">IFERROR(VLOOKUP($D205,'Data NEW'!$B$2:$K$210,6,FALSE),"")</f>
        <v>0</v>
      </c>
      <c r="G205" s="11" t="str">
        <f ca="1">IFERROR(VLOOKUP($D205,'Data NEW'!$B$2:$K$210,5,FALSE),"")</f>
        <v>lemon juice</v>
      </c>
      <c r="H205" s="11" t="str">
        <f ca="1">IFERROR(VLOOKUP($D205,'Data NEW'!$B$2:$K$210,4,FALSE),"")</f>
        <v>grenadine</v>
      </c>
      <c r="I205" s="11">
        <f ca="1">IFERROR(VLOOKUP($D205,'Data NEW'!$B$2:$K$210,7,FALSE),"")</f>
        <v>0</v>
      </c>
      <c r="J205" s="11">
        <f ca="1">IFERROR(VLOOKUP($D205,'Data NEW'!$B$2:$K$210,3,FALSE),"")</f>
        <v>0</v>
      </c>
      <c r="K205" s="11">
        <f ca="1">IFERROR(VLOOKUP($D205,'Data NEW'!$B$2:$K$210,8,FALSE),"")</f>
        <v>0</v>
      </c>
      <c r="L205" s="11">
        <f ca="1">IFERROR(VLOOKUP($D205,'Data NEW'!$B$2:$K$210,9,FALSE),"")</f>
        <v>0</v>
      </c>
      <c r="M205" s="11">
        <f ca="1">IFERROR(VLOOKUP($D205,'Data NEW'!$B$2:$K$210,10,FALSE),"")</f>
        <v>0</v>
      </c>
    </row>
    <row r="206" spans="4:13" ht="15.75" customHeight="1" x14ac:dyDescent="0.2">
      <c r="D206" s="12" t="str">
        <f ca="1">IFERROR(__xludf.DUMMYFUNCTION("""COMPUTED_VALUE"""),"Whiskey Old-Fashioned")</f>
        <v>Whiskey Old-Fashioned</v>
      </c>
      <c r="E206" s="13" t="str">
        <f ca="1">IFERROR(VLOOKUP($D206,'Data NEW'!$B$2:$K$210,2,FALSE),"")</f>
        <v>rye whiskey, bourbon</v>
      </c>
      <c r="F206" s="11">
        <f ca="1">IFERROR(VLOOKUP($D206,'Data NEW'!$B$2:$K$210,6,FALSE),"")</f>
        <v>0</v>
      </c>
      <c r="G206" s="11">
        <f ca="1">IFERROR(VLOOKUP($D206,'Data NEW'!$B$2:$K$210,5,FALSE),"")</f>
        <v>0</v>
      </c>
      <c r="H206" s="11" t="str">
        <f ca="1">IFERROR(VLOOKUP($D206,'Data NEW'!$B$2:$K$210,4,FALSE),"")</f>
        <v>Angostura</v>
      </c>
      <c r="I206" s="11">
        <f ca="1">IFERROR(VLOOKUP($D206,'Data NEW'!$B$2:$K$210,7,FALSE),"")</f>
        <v>0</v>
      </c>
      <c r="J206" s="11">
        <f ca="1">IFERROR(VLOOKUP($D206,'Data NEW'!$B$2:$K$210,3,FALSE),"")</f>
        <v>0</v>
      </c>
      <c r="K206" s="11" t="str">
        <f ca="1">IFERROR(VLOOKUP($D206,'Data NEW'!$B$2:$K$210,8,FALSE),"")</f>
        <v>sugar cube</v>
      </c>
      <c r="L206" s="11">
        <f ca="1">IFERROR(VLOOKUP($D206,'Data NEW'!$B$2:$K$210,9,FALSE),"")</f>
        <v>0</v>
      </c>
      <c r="M206" s="11">
        <f ca="1">IFERROR(VLOOKUP($D206,'Data NEW'!$B$2:$K$210,10,FALSE),"")</f>
        <v>0</v>
      </c>
    </row>
    <row r="207" spans="4:13" ht="15.75" customHeight="1" x14ac:dyDescent="0.2">
      <c r="D207" s="12" t="str">
        <f ca="1">IFERROR(__xludf.DUMMYFUNCTION("""COMPUTED_VALUE"""),"Whiskey Sour")</f>
        <v>Whiskey Sour</v>
      </c>
      <c r="E207" s="13" t="str">
        <f ca="1">IFERROR(VLOOKUP($D207,'Data NEW'!$B$2:$K$210,2,FALSE),"")</f>
        <v>bourbon</v>
      </c>
      <c r="F207" s="11">
        <f ca="1">IFERROR(VLOOKUP($D207,'Data NEW'!$B$2:$K$210,6,FALSE),"")</f>
        <v>0</v>
      </c>
      <c r="G207" s="11" t="str">
        <f ca="1">IFERROR(VLOOKUP($D207,'Data NEW'!$B$2:$K$210,5,FALSE),"")</f>
        <v>lemon juice</v>
      </c>
      <c r="H207" s="11" t="str">
        <f ca="1">IFERROR(VLOOKUP($D207,'Data NEW'!$B$2:$K$210,4,FALSE),"")</f>
        <v>simple syrup</v>
      </c>
      <c r="I207" s="11">
        <f ca="1">IFERROR(VLOOKUP($D207,'Data NEW'!$B$2:$K$210,7,FALSE),"")</f>
        <v>0</v>
      </c>
      <c r="J207" s="11">
        <f ca="1">IFERROR(VLOOKUP($D207,'Data NEW'!$B$2:$K$210,3,FALSE),"")</f>
        <v>0</v>
      </c>
      <c r="K207" s="11">
        <f ca="1">IFERROR(VLOOKUP($D207,'Data NEW'!$B$2:$K$210,8,FALSE),"")</f>
        <v>0</v>
      </c>
      <c r="L207" s="11">
        <f ca="1">IFERROR(VLOOKUP($D207,'Data NEW'!$B$2:$K$210,9,FALSE),"")</f>
        <v>0</v>
      </c>
      <c r="M207" s="11">
        <f ca="1">IFERROR(VLOOKUP($D207,'Data NEW'!$B$2:$K$210,10,FALSE),"")</f>
        <v>0</v>
      </c>
    </row>
    <row r="208" spans="4:13" ht="15.75" customHeight="1" x14ac:dyDescent="0.2">
      <c r="D208" s="12" t="str">
        <f ca="1">IFERROR(__xludf.DUMMYFUNCTION("""COMPUTED_VALUE"""),"White Russian")</f>
        <v>White Russian</v>
      </c>
      <c r="E208" s="13" t="str">
        <f ca="1">IFERROR(VLOOKUP($D208,'Data NEW'!$B$2:$K$210,2,FALSE),"")</f>
        <v>vodka</v>
      </c>
      <c r="F208" s="11" t="str">
        <f ca="1">IFERROR(VLOOKUP($D208,'Data NEW'!$B$2:$K$210,6,FALSE),"")</f>
        <v>Kahlua</v>
      </c>
      <c r="G208" s="11">
        <f ca="1">IFERROR(VLOOKUP($D208,'Data NEW'!$B$2:$K$210,5,FALSE),"")</f>
        <v>0</v>
      </c>
      <c r="H208" s="11" t="str">
        <f ca="1">IFERROR(VLOOKUP($D208,'Data NEW'!$B$2:$K$210,4,FALSE),"")</f>
        <v>cream</v>
      </c>
      <c r="I208" s="11">
        <f ca="1">IFERROR(VLOOKUP($D208,'Data NEW'!$B$2:$K$210,7,FALSE),"")</f>
        <v>0</v>
      </c>
      <c r="J208" s="11">
        <f ca="1">IFERROR(VLOOKUP($D208,'Data NEW'!$B$2:$K$210,3,FALSE),"")</f>
        <v>0</v>
      </c>
      <c r="K208" s="11">
        <f ca="1">IFERROR(VLOOKUP($D208,'Data NEW'!$B$2:$K$210,8,FALSE),"")</f>
        <v>0</v>
      </c>
      <c r="L208" s="11">
        <f ca="1">IFERROR(VLOOKUP($D208,'Data NEW'!$B$2:$K$210,9,FALSE),"")</f>
        <v>0</v>
      </c>
      <c r="M208" s="11">
        <f ca="1">IFERROR(VLOOKUP($D208,'Data NEW'!$B$2:$K$210,10,FALSE),"")</f>
        <v>0</v>
      </c>
    </row>
    <row r="209" spans="4:13" ht="15.75" customHeight="1" x14ac:dyDescent="0.2">
      <c r="D209" s="12" t="str">
        <f ca="1">IFERROR(__xludf.DUMMYFUNCTION("""COMPUTED_VALUE"""),"White Spider")</f>
        <v>White Spider</v>
      </c>
      <c r="E209" s="13" t="str">
        <f ca="1">IFERROR(VLOOKUP($D209,'Data NEW'!$B$2:$K$210,2,FALSE),"")</f>
        <v>vodka</v>
      </c>
      <c r="F209" s="11" t="str">
        <f ca="1">IFERROR(VLOOKUP($D209,'Data NEW'!$B$2:$K$210,6,FALSE),"")</f>
        <v>white crème de cacao</v>
      </c>
      <c r="G209" s="11">
        <f ca="1">IFERROR(VLOOKUP($D209,'Data NEW'!$B$2:$K$210,5,FALSE),"")</f>
        <v>0</v>
      </c>
      <c r="H209" s="11">
        <f ca="1">IFERROR(VLOOKUP($D209,'Data NEW'!$B$2:$K$210,4,FALSE),"")</f>
        <v>0</v>
      </c>
      <c r="I209" s="11">
        <f ca="1">IFERROR(VLOOKUP($D209,'Data NEW'!$B$2:$K$210,7,FALSE),"")</f>
        <v>0</v>
      </c>
      <c r="J209" s="11">
        <f ca="1">IFERROR(VLOOKUP($D209,'Data NEW'!$B$2:$K$210,3,FALSE),"")</f>
        <v>0</v>
      </c>
      <c r="K209" s="11">
        <f ca="1">IFERROR(VLOOKUP($D209,'Data NEW'!$B$2:$K$210,8,FALSE),"")</f>
        <v>0</v>
      </c>
      <c r="L209" s="11">
        <f ca="1">IFERROR(VLOOKUP($D209,'Data NEW'!$B$2:$K$210,9,FALSE),"")</f>
        <v>0</v>
      </c>
      <c r="M209" s="11">
        <f ca="1">IFERROR(VLOOKUP($D209,'Data NEW'!$B$2:$K$210,10,FALSE),"")</f>
        <v>0</v>
      </c>
    </row>
    <row r="210" spans="4:13" ht="15.75" customHeight="1" x14ac:dyDescent="0.2">
      <c r="D210" s="12" t="str">
        <f ca="1">IFERROR(__xludf.DUMMYFUNCTION("""COMPUTED_VALUE"""),"Woo Woo")</f>
        <v>Woo Woo</v>
      </c>
      <c r="E210" s="13" t="str">
        <f ca="1">IFERROR(VLOOKUP($D210,'Data NEW'!$B$2:$K$210,2,FALSE),"")</f>
        <v>vodka</v>
      </c>
      <c r="F210" s="11" t="str">
        <f ca="1">IFERROR(VLOOKUP($D210,'Data NEW'!$B$2:$K$210,6,FALSE),"")</f>
        <v>peach schnapps</v>
      </c>
      <c r="G210" s="11" t="str">
        <f ca="1">IFERROR(VLOOKUP($D210,'Data NEW'!$B$2:$K$210,5,FALSE),"")</f>
        <v>cranberry juice</v>
      </c>
      <c r="H210" s="11">
        <f ca="1">IFERROR(VLOOKUP($D210,'Data NEW'!$B$2:$K$210,4,FALSE),"")</f>
        <v>0</v>
      </c>
      <c r="I210" s="11">
        <f ca="1">IFERROR(VLOOKUP($D210,'Data NEW'!$B$2:$K$210,7,FALSE),"")</f>
        <v>0</v>
      </c>
      <c r="J210" s="11">
        <f ca="1">IFERROR(VLOOKUP($D210,'Data NEW'!$B$2:$K$210,3,FALSE),"")</f>
        <v>0</v>
      </c>
      <c r="K210" s="11">
        <f ca="1">IFERROR(VLOOKUP($D210,'Data NEW'!$B$2:$K$210,8,FALSE),"")</f>
        <v>0</v>
      </c>
      <c r="L210" s="11">
        <f ca="1">IFERROR(VLOOKUP($D210,'Data NEW'!$B$2:$K$210,9,FALSE),"")</f>
        <v>0</v>
      </c>
      <c r="M210" s="11">
        <f ca="1">IFERROR(VLOOKUP($D210,'Data NEW'!$B$2:$K$210,10,FALSE),"")</f>
        <v>0</v>
      </c>
    </row>
    <row r="211" spans="4:13" ht="15.75" customHeight="1" x14ac:dyDescent="0.2">
      <c r="D211" s="12"/>
      <c r="E211" s="13" t="str">
        <f>IFERROR(VLOOKUP($D211,'Data NEW'!$B$2:$K$210,2,FALSE),"")</f>
        <v/>
      </c>
    </row>
    <row r="212" spans="4:13" ht="15.75" customHeight="1" x14ac:dyDescent="0.2">
      <c r="D212" s="12"/>
      <c r="E212" s="13" t="str">
        <f>IFERROR(VLOOKUP($D212,'Data NEW'!$B$2:$K$210,2,FALSE),"")</f>
        <v/>
      </c>
    </row>
    <row r="213" spans="4:13" ht="15.75" customHeight="1" x14ac:dyDescent="0.2">
      <c r="D213" s="12"/>
      <c r="E213" s="13" t="str">
        <f>IFERROR(VLOOKUP($D213,'Data NEW'!$B$2:$K$210,2,FALSE),"")</f>
        <v/>
      </c>
    </row>
    <row r="214" spans="4:13" ht="15.75" customHeight="1" x14ac:dyDescent="0.2">
      <c r="D214" s="12"/>
      <c r="E214" s="13" t="str">
        <f>IFERROR(VLOOKUP($D214,'Data NEW'!$B$2:$K$210,2,FALSE),"")</f>
        <v/>
      </c>
    </row>
    <row r="215" spans="4:13" ht="15.75" customHeight="1" x14ac:dyDescent="0.2">
      <c r="D215" s="12"/>
      <c r="E215" s="13" t="str">
        <f>IFERROR(VLOOKUP($D215,'Data NEW'!$B$2:$K$210,2,FALSE),"")</f>
        <v/>
      </c>
    </row>
    <row r="216" spans="4:13" ht="15.75" customHeight="1" x14ac:dyDescent="0.2">
      <c r="D216" s="12"/>
      <c r="E216" s="13" t="str">
        <f>IFERROR(VLOOKUP($D216,'Data NEW'!$B$2:$K$210,2,FALSE),"")</f>
        <v/>
      </c>
    </row>
    <row r="217" spans="4:13" ht="15.75" customHeight="1" x14ac:dyDescent="0.2">
      <c r="D217" s="12"/>
      <c r="E217" s="13" t="str">
        <f>IFERROR(VLOOKUP($D217,'Data NEW'!$B$2:$K$210,2,FALSE),"")</f>
        <v/>
      </c>
    </row>
    <row r="218" spans="4:13" ht="15.75" customHeight="1" x14ac:dyDescent="0.2">
      <c r="D218" s="12"/>
      <c r="E218" s="13" t="str">
        <f>IFERROR(VLOOKUP($D218,'Data NEW'!$B$2:$K$210,2,FALSE),"")</f>
        <v/>
      </c>
    </row>
    <row r="219" spans="4:13" ht="15.75" customHeight="1" x14ac:dyDescent="0.2">
      <c r="D219" s="12"/>
      <c r="E219" s="13" t="str">
        <f>IFERROR(VLOOKUP($D219,'Data NEW'!$B$2:$K$210,2,FALSE),"")</f>
        <v/>
      </c>
    </row>
    <row r="220" spans="4:13" ht="15.75" customHeight="1" x14ac:dyDescent="0.2">
      <c r="D220" s="12"/>
      <c r="E220" s="13" t="str">
        <f>IFERROR(VLOOKUP($D220,'Data NEW'!$B$2:$K$210,2,FALSE),"")</f>
        <v/>
      </c>
    </row>
    <row r="221" spans="4:13" ht="15.75" customHeight="1" x14ac:dyDescent="0.2">
      <c r="D221" s="12"/>
      <c r="E221" s="13" t="str">
        <f>IFERROR(VLOOKUP($D221,'Data NEW'!$B$2:$K$210,2,FALSE),"")</f>
        <v/>
      </c>
    </row>
    <row r="222" spans="4:13" ht="15.75" customHeight="1" x14ac:dyDescent="0.2">
      <c r="D222" s="12"/>
      <c r="E222" s="13" t="str">
        <f>IFERROR(VLOOKUP($D222,'Data NEW'!$B$2:$K$210,2,FALSE),"")</f>
        <v/>
      </c>
    </row>
    <row r="223" spans="4:13" ht="15.75" customHeight="1" x14ac:dyDescent="0.2">
      <c r="D223" s="12"/>
      <c r="E223" s="13" t="str">
        <f>IFERROR(VLOOKUP($D223,'Data NEW'!$B$2:$K$210,2,FALSE),"")</f>
        <v/>
      </c>
    </row>
    <row r="224" spans="4:13" ht="15.75" customHeight="1" x14ac:dyDescent="0.2">
      <c r="D224" s="12"/>
      <c r="E224" s="13" t="str">
        <f>IFERROR(VLOOKUP($D224,'Data NEW'!$B$2:$K$210,2,FALSE),"")</f>
        <v/>
      </c>
    </row>
    <row r="225" spans="4:5" ht="15.75" customHeight="1" x14ac:dyDescent="0.2">
      <c r="D225" s="12"/>
      <c r="E225" s="13" t="str">
        <f>IFERROR(VLOOKUP($D225,'Data NEW'!$B$2:$K$210,2,FALSE),"")</f>
        <v/>
      </c>
    </row>
    <row r="226" spans="4:5" ht="15.75" customHeight="1" x14ac:dyDescent="0.2">
      <c r="D226" s="12"/>
      <c r="E226" s="13" t="str">
        <f>IFERROR(VLOOKUP($D226,'Data NEW'!$B$2:$K$210,2,FALSE),"")</f>
        <v/>
      </c>
    </row>
    <row r="227" spans="4:5" ht="15.75" customHeight="1" x14ac:dyDescent="0.2">
      <c r="D227" s="12"/>
      <c r="E227" s="13" t="str">
        <f>IFERROR(VLOOKUP($D227,'Data NEW'!$B$2:$K$210,2,FALSE),"")</f>
        <v/>
      </c>
    </row>
    <row r="228" spans="4:5" ht="15.75" customHeight="1" x14ac:dyDescent="0.2">
      <c r="D228" s="12"/>
      <c r="E228" s="13" t="str">
        <f>IFERROR(VLOOKUP($D228,'Data NEW'!$B$2:$K$210,2,FALSE),"")</f>
        <v/>
      </c>
    </row>
    <row r="229" spans="4:5" ht="15.75" customHeight="1" x14ac:dyDescent="0.2">
      <c r="D229" s="12"/>
      <c r="E229" s="13" t="str">
        <f>IFERROR(VLOOKUP($D229,'Data NEW'!$B$2:$K$210,2,FALSE),"")</f>
        <v/>
      </c>
    </row>
    <row r="230" spans="4:5" ht="15.75" customHeight="1" x14ac:dyDescent="0.2">
      <c r="D230" s="12"/>
      <c r="E230" s="13" t="str">
        <f>IFERROR(VLOOKUP($D230,'Data NEW'!$B$2:$K$210,2,FALSE),"")</f>
        <v/>
      </c>
    </row>
    <row r="231" spans="4:5" ht="15.75" customHeight="1" x14ac:dyDescent="0.2">
      <c r="D231" s="12"/>
      <c r="E231" s="13" t="str">
        <f>IFERROR(VLOOKUP($D231,'Data NEW'!$B$2:$K$210,2,FALSE),"")</f>
        <v/>
      </c>
    </row>
    <row r="232" spans="4:5" ht="15.75" customHeight="1" x14ac:dyDescent="0.2">
      <c r="D232" s="12"/>
      <c r="E232" s="13" t="str">
        <f>IFERROR(VLOOKUP($D232,'Data NEW'!$B$2:$K$210,2,FALSE),"")</f>
        <v/>
      </c>
    </row>
    <row r="233" spans="4:5" ht="15.75" customHeight="1" x14ac:dyDescent="0.2">
      <c r="D233" s="12"/>
      <c r="E233" s="13" t="str">
        <f>IFERROR(VLOOKUP($D233,'Data NEW'!$B$2:$K$210,2,FALSE),"")</f>
        <v/>
      </c>
    </row>
    <row r="234" spans="4:5" ht="15.75" customHeight="1" x14ac:dyDescent="0.2">
      <c r="D234" s="12"/>
      <c r="E234" s="13" t="str">
        <f>IFERROR(VLOOKUP($D234,'Data NEW'!$B$2:$K$210,2,FALSE),"")</f>
        <v/>
      </c>
    </row>
    <row r="235" spans="4:5" ht="15.75" customHeight="1" x14ac:dyDescent="0.2">
      <c r="D235" s="12"/>
      <c r="E235" s="13" t="str">
        <f>IFERROR(VLOOKUP($D235,'Data NEW'!$B$2:$K$210,2,FALSE),"")</f>
        <v/>
      </c>
    </row>
    <row r="236" spans="4:5" ht="15.75" customHeight="1" x14ac:dyDescent="0.2">
      <c r="D236" s="12"/>
      <c r="E236" s="13" t="str">
        <f>IFERROR(VLOOKUP($D236,'Data NEW'!$B$2:$K$210,2,FALSE),"")</f>
        <v/>
      </c>
    </row>
    <row r="237" spans="4:5" ht="15.75" customHeight="1" x14ac:dyDescent="0.2">
      <c r="D237" s="12"/>
      <c r="E237" s="13" t="str">
        <f>IFERROR(VLOOKUP($D237,'Data NEW'!$B$2:$K$210,2,FALSE),"")</f>
        <v/>
      </c>
    </row>
    <row r="238" spans="4:5" ht="15.75" customHeight="1" x14ac:dyDescent="0.2">
      <c r="D238" s="12"/>
      <c r="E238" s="13" t="str">
        <f>IFERROR(VLOOKUP($D238,'Data NEW'!$B$2:$K$210,2,FALSE),"")</f>
        <v/>
      </c>
    </row>
    <row r="239" spans="4:5" ht="15.75" customHeight="1" x14ac:dyDescent="0.2">
      <c r="D239" s="12"/>
      <c r="E239" s="13" t="str">
        <f>IFERROR(VLOOKUP($D239,'Data NEW'!$B$2:$K$210,2,FALSE),"")</f>
        <v/>
      </c>
    </row>
    <row r="240" spans="4:5" ht="15.75" customHeight="1" x14ac:dyDescent="0.2">
      <c r="D240" s="12"/>
      <c r="E240" s="13" t="str">
        <f>IFERROR(VLOOKUP($D240,'Data NEW'!$B$2:$K$210,2,FALSE),"")</f>
        <v/>
      </c>
    </row>
    <row r="241" spans="4:5" ht="15.75" customHeight="1" x14ac:dyDescent="0.2">
      <c r="D241" s="12"/>
      <c r="E241" s="13" t="str">
        <f>IFERROR(VLOOKUP($D241,'Data NEW'!$B$2:$K$210,2,FALSE),"")</f>
        <v/>
      </c>
    </row>
    <row r="242" spans="4:5" ht="15.75" customHeight="1" x14ac:dyDescent="0.2">
      <c r="D242" s="12"/>
      <c r="E242" s="13" t="str">
        <f>IFERROR(VLOOKUP($D242,'Data NEW'!$B$2:$K$210,2,FALSE),"")</f>
        <v/>
      </c>
    </row>
    <row r="243" spans="4:5" ht="15.75" customHeight="1" x14ac:dyDescent="0.2">
      <c r="D243" s="12"/>
      <c r="E243" s="13" t="str">
        <f>IFERROR(VLOOKUP($D243,'Data NEW'!$B$2:$K$210,2,FALSE),"")</f>
        <v/>
      </c>
    </row>
    <row r="244" spans="4:5" ht="15.75" customHeight="1" x14ac:dyDescent="0.2">
      <c r="D244" s="12"/>
      <c r="E244" s="13" t="str">
        <f>IFERROR(VLOOKUP($D244,'Data NEW'!$B$2:$K$210,2,FALSE),"")</f>
        <v/>
      </c>
    </row>
    <row r="245" spans="4:5" ht="15.75" customHeight="1" x14ac:dyDescent="0.2">
      <c r="D245" s="12"/>
      <c r="E245" s="13" t="str">
        <f>IFERROR(VLOOKUP($D245,'Data NEW'!$B$2:$K$210,2,FALSE),"")</f>
        <v/>
      </c>
    </row>
    <row r="246" spans="4:5" ht="15.75" customHeight="1" x14ac:dyDescent="0.2">
      <c r="D246" s="12"/>
      <c r="E246" s="13" t="str">
        <f>IFERROR(VLOOKUP($D246,'Data NEW'!$B$2:$K$210,2,FALSE),"")</f>
        <v/>
      </c>
    </row>
    <row r="247" spans="4:5" ht="15.75" customHeight="1" x14ac:dyDescent="0.2">
      <c r="D247" s="12"/>
      <c r="E247" s="13" t="str">
        <f>IFERROR(VLOOKUP($D247,'Data NEW'!$B$2:$K$210,2,FALSE),"")</f>
        <v/>
      </c>
    </row>
    <row r="248" spans="4:5" ht="15.75" customHeight="1" x14ac:dyDescent="0.2">
      <c r="D248" s="12"/>
      <c r="E248" s="13" t="str">
        <f>IFERROR(VLOOKUP($D248,'Data NEW'!$B$2:$K$210,2,FALSE),"")</f>
        <v/>
      </c>
    </row>
    <row r="249" spans="4:5" ht="15.75" customHeight="1" x14ac:dyDescent="0.2">
      <c r="D249" s="12"/>
      <c r="E249" s="13" t="str">
        <f>IFERROR(VLOOKUP($D249,'Data NEW'!$B$2:$K$210,2,FALSE),"")</f>
        <v/>
      </c>
    </row>
    <row r="250" spans="4:5" ht="15.75" customHeight="1" x14ac:dyDescent="0.2">
      <c r="D250" s="12"/>
      <c r="E250" s="13" t="str">
        <f>IFERROR(VLOOKUP($D250,'Data NEW'!$B$2:$K$210,2,FALSE),"")</f>
        <v/>
      </c>
    </row>
    <row r="251" spans="4:5" ht="15.75" customHeight="1" x14ac:dyDescent="0.2">
      <c r="D251" s="12"/>
      <c r="E251" s="13" t="str">
        <f>IFERROR(VLOOKUP($D251,'Data NEW'!$B$2:$K$210,2,FALSE),"")</f>
        <v/>
      </c>
    </row>
    <row r="252" spans="4:5" ht="15.75" customHeight="1" x14ac:dyDescent="0.2">
      <c r="D252" s="12"/>
      <c r="E252" s="13" t="str">
        <f>IFERROR(VLOOKUP($D252,'Data NEW'!$B$2:$K$210,2,FALSE),"")</f>
        <v/>
      </c>
    </row>
    <row r="253" spans="4:5" ht="15.75" customHeight="1" x14ac:dyDescent="0.2">
      <c r="D253" s="12"/>
      <c r="E253" s="13" t="str">
        <f>IFERROR(VLOOKUP($D253,'Data NEW'!$B$2:$K$210,2,FALSE),"")</f>
        <v/>
      </c>
    </row>
    <row r="254" spans="4:5" ht="15.75" customHeight="1" x14ac:dyDescent="0.2">
      <c r="D254" s="12"/>
      <c r="E254" s="13" t="str">
        <f>IFERROR(VLOOKUP($D254,'Data NEW'!$B$2:$K$210,2,FALSE),"")</f>
        <v/>
      </c>
    </row>
    <row r="255" spans="4:5" ht="15.75" customHeight="1" x14ac:dyDescent="0.2">
      <c r="D255" s="12"/>
      <c r="E255" s="13" t="str">
        <f>IFERROR(VLOOKUP($D255,'Data NEW'!$B$2:$K$210,2,FALSE),"")</f>
        <v/>
      </c>
    </row>
    <row r="256" spans="4:5" ht="15.75" customHeight="1" x14ac:dyDescent="0.2">
      <c r="D256" s="12"/>
      <c r="E256" s="13" t="str">
        <f>IFERROR(VLOOKUP($D256,'Data NEW'!$B$2:$K$210,2,FALSE),"")</f>
        <v/>
      </c>
    </row>
    <row r="257" spans="4:5" ht="15.75" customHeight="1" x14ac:dyDescent="0.2">
      <c r="D257" s="12"/>
      <c r="E257" s="13" t="str">
        <f>IFERROR(VLOOKUP($D257,'Data NEW'!$B$2:$K$210,2,FALSE),"")</f>
        <v/>
      </c>
    </row>
    <row r="258" spans="4:5" ht="15.75" customHeight="1" x14ac:dyDescent="0.2">
      <c r="D258" s="12"/>
      <c r="E258" s="13" t="str">
        <f>IFERROR(VLOOKUP($D258,'Data NEW'!$B$2:$K$210,2,FALSE),"")</f>
        <v/>
      </c>
    </row>
    <row r="259" spans="4:5" ht="15.75" customHeight="1" x14ac:dyDescent="0.2">
      <c r="D259" s="12"/>
      <c r="E259" s="13" t="str">
        <f>IFERROR(VLOOKUP($D259,'Data NEW'!$B$2:$K$210,2,FALSE),"")</f>
        <v/>
      </c>
    </row>
    <row r="260" spans="4:5" ht="15.75" customHeight="1" x14ac:dyDescent="0.2">
      <c r="D260" s="12"/>
      <c r="E260" s="13" t="str">
        <f>IFERROR(VLOOKUP($D260,'Data NEW'!$B$2:$K$210,2,FALSE),"")</f>
        <v/>
      </c>
    </row>
    <row r="261" spans="4:5" ht="15.75" customHeight="1" x14ac:dyDescent="0.2">
      <c r="D261" s="12"/>
      <c r="E261" s="13" t="str">
        <f>IFERROR(VLOOKUP($D261,'Data NEW'!$B$2:$K$210,2,FALSE),"")</f>
        <v/>
      </c>
    </row>
    <row r="262" spans="4:5" ht="15.75" customHeight="1" x14ac:dyDescent="0.2">
      <c r="D262" s="12"/>
      <c r="E262" s="13" t="str">
        <f>IFERROR(VLOOKUP($D262,'Data NEW'!$B$2:$K$210,2,FALSE),"")</f>
        <v/>
      </c>
    </row>
    <row r="263" spans="4:5" ht="15.75" customHeight="1" x14ac:dyDescent="0.2">
      <c r="D263" s="12"/>
      <c r="E263" s="13" t="str">
        <f>IFERROR(VLOOKUP($D263,'Data NEW'!$B$2:$K$210,2,FALSE),"")</f>
        <v/>
      </c>
    </row>
    <row r="264" spans="4:5" ht="15.75" customHeight="1" x14ac:dyDescent="0.2">
      <c r="D264" s="12"/>
      <c r="E264" s="13" t="str">
        <f>IFERROR(VLOOKUP($D264,'Data NEW'!$B$2:$K$210,2,FALSE),"")</f>
        <v/>
      </c>
    </row>
    <row r="265" spans="4:5" ht="15.75" customHeight="1" x14ac:dyDescent="0.2">
      <c r="D265" s="12"/>
      <c r="E265" s="13" t="str">
        <f>IFERROR(VLOOKUP($D265,'Data NEW'!$B$2:$K$210,2,FALSE),"")</f>
        <v/>
      </c>
    </row>
    <row r="266" spans="4:5" ht="15.75" customHeight="1" x14ac:dyDescent="0.2">
      <c r="D266" s="12"/>
      <c r="E266" s="13" t="str">
        <f>IFERROR(VLOOKUP($D266,'Data NEW'!$B$2:$K$210,2,FALSE),"")</f>
        <v/>
      </c>
    </row>
    <row r="267" spans="4:5" ht="15.75" customHeight="1" x14ac:dyDescent="0.2">
      <c r="D267" s="12"/>
      <c r="E267" s="13" t="str">
        <f>IFERROR(VLOOKUP($D267,'Data NEW'!$B$2:$K$210,2,FALSE),"")</f>
        <v/>
      </c>
    </row>
    <row r="268" spans="4:5" ht="15.75" customHeight="1" x14ac:dyDescent="0.2">
      <c r="D268" s="12"/>
      <c r="E268" s="13" t="str">
        <f>IFERROR(VLOOKUP($D268,'Data NEW'!$B$2:$K$210,2,FALSE),"")</f>
        <v/>
      </c>
    </row>
    <row r="269" spans="4:5" ht="15.75" customHeight="1" x14ac:dyDescent="0.2">
      <c r="D269" s="12"/>
      <c r="E269" s="13" t="str">
        <f>IFERROR(VLOOKUP($D269,'Data NEW'!$B$2:$K$210,2,FALSE),"")</f>
        <v/>
      </c>
    </row>
    <row r="270" spans="4:5" ht="15.75" customHeight="1" x14ac:dyDescent="0.2">
      <c r="D270" s="12"/>
      <c r="E270" s="13" t="str">
        <f>IFERROR(VLOOKUP($D270,'Data NEW'!$B$2:$K$210,2,FALSE),"")</f>
        <v/>
      </c>
    </row>
    <row r="271" spans="4:5" ht="15.75" customHeight="1" x14ac:dyDescent="0.2">
      <c r="D271" s="12"/>
      <c r="E271" s="13" t="str">
        <f>IFERROR(VLOOKUP($D271,'Data NEW'!$B$2:$K$210,2,FALSE),"")</f>
        <v/>
      </c>
    </row>
    <row r="272" spans="4:5" ht="15.75" customHeight="1" x14ac:dyDescent="0.2">
      <c r="D272" s="12"/>
      <c r="E272" s="13" t="str">
        <f>IFERROR(VLOOKUP($D272,'Data NEW'!$B$2:$K$210,2,FALSE),"")</f>
        <v/>
      </c>
    </row>
    <row r="273" spans="4:5" ht="15.75" customHeight="1" x14ac:dyDescent="0.2">
      <c r="D273" s="12"/>
      <c r="E273" s="13" t="str">
        <f>IFERROR(VLOOKUP($D273,'Data NEW'!$B$2:$K$210,2,FALSE),"")</f>
        <v/>
      </c>
    </row>
    <row r="274" spans="4:5" ht="15.75" customHeight="1" x14ac:dyDescent="0.2">
      <c r="D274" s="12"/>
      <c r="E274" s="13" t="str">
        <f>IFERROR(VLOOKUP($D274,'Data NEW'!$B$2:$K$210,2,FALSE),"")</f>
        <v/>
      </c>
    </row>
    <row r="275" spans="4:5" ht="15.75" customHeight="1" x14ac:dyDescent="0.2">
      <c r="D275" s="12"/>
      <c r="E275" s="13" t="str">
        <f>IFERROR(VLOOKUP($D275,'Data NEW'!$B$2:$K$210,2,FALSE),"")</f>
        <v/>
      </c>
    </row>
    <row r="276" spans="4:5" ht="15.75" customHeight="1" x14ac:dyDescent="0.2">
      <c r="D276" s="12"/>
      <c r="E276" s="13" t="str">
        <f>IFERROR(VLOOKUP($D276,'Data NEW'!$B$2:$K$210,2,FALSE),"")</f>
        <v/>
      </c>
    </row>
    <row r="277" spans="4:5" ht="15.75" customHeight="1" x14ac:dyDescent="0.2">
      <c r="D277" s="12"/>
      <c r="E277" s="13" t="str">
        <f>IFERROR(VLOOKUP($D277,'Data NEW'!$B$2:$K$210,2,FALSE),"")</f>
        <v/>
      </c>
    </row>
    <row r="278" spans="4:5" ht="15.75" customHeight="1" x14ac:dyDescent="0.2">
      <c r="D278" s="12"/>
      <c r="E278" s="13" t="str">
        <f>IFERROR(VLOOKUP($D278,'Data NEW'!$B$2:$K$210,2,FALSE),"")</f>
        <v/>
      </c>
    </row>
    <row r="279" spans="4:5" ht="15.75" customHeight="1" x14ac:dyDescent="0.2">
      <c r="D279" s="12"/>
      <c r="E279" s="13" t="str">
        <f>IFERROR(VLOOKUP($D279,'Data NEW'!$B$2:$K$210,2,FALSE),"")</f>
        <v/>
      </c>
    </row>
    <row r="280" spans="4:5" ht="15.75" customHeight="1" x14ac:dyDescent="0.2">
      <c r="D280" s="12"/>
      <c r="E280" s="13" t="str">
        <f>IFERROR(VLOOKUP($D280,'Data NEW'!$B$2:$K$210,2,FALSE),"")</f>
        <v/>
      </c>
    </row>
    <row r="281" spans="4:5" ht="15.75" customHeight="1" x14ac:dyDescent="0.2">
      <c r="D281" s="12"/>
      <c r="E281" s="13" t="str">
        <f>IFERROR(VLOOKUP($D281,'Data NEW'!$B$2:$K$210,2,FALSE),"")</f>
        <v/>
      </c>
    </row>
    <row r="282" spans="4:5" ht="15.75" customHeight="1" x14ac:dyDescent="0.2">
      <c r="D282" s="12"/>
      <c r="E282" s="13" t="str">
        <f>IFERROR(VLOOKUP($D282,'Data NEW'!$B$2:$K$210,2,FALSE),"")</f>
        <v/>
      </c>
    </row>
    <row r="283" spans="4:5" ht="15.75" customHeight="1" x14ac:dyDescent="0.2">
      <c r="D283" s="12"/>
      <c r="E283" s="13" t="str">
        <f>IFERROR(VLOOKUP($D283,'Data NEW'!$B$2:$K$210,2,FALSE),"")</f>
        <v/>
      </c>
    </row>
    <row r="284" spans="4:5" ht="15.75" customHeight="1" x14ac:dyDescent="0.2">
      <c r="D284" s="12"/>
      <c r="E284" s="13" t="str">
        <f>IFERROR(VLOOKUP($D284,'Data NEW'!$B$2:$K$210,2,FALSE),"")</f>
        <v/>
      </c>
    </row>
    <row r="285" spans="4:5" ht="15.75" customHeight="1" x14ac:dyDescent="0.2">
      <c r="D285" s="12"/>
      <c r="E285" s="13" t="str">
        <f>IFERROR(VLOOKUP($D285,'Data NEW'!$B$2:$K$210,2,FALSE),"")</f>
        <v/>
      </c>
    </row>
    <row r="286" spans="4:5" ht="15.75" customHeight="1" x14ac:dyDescent="0.2">
      <c r="D286" s="12"/>
      <c r="E286" s="13" t="str">
        <f>IFERROR(VLOOKUP($D286,'Data NEW'!$B$2:$K$210,2,FALSE),"")</f>
        <v/>
      </c>
    </row>
    <row r="287" spans="4:5" ht="15.75" customHeight="1" x14ac:dyDescent="0.2">
      <c r="D287" s="12"/>
      <c r="E287" s="13" t="str">
        <f>IFERROR(VLOOKUP($D287,'Data NEW'!$B$2:$K$210,2,FALSE),"")</f>
        <v/>
      </c>
    </row>
    <row r="288" spans="4:5" ht="15.75" customHeight="1" x14ac:dyDescent="0.2">
      <c r="D288" s="12"/>
      <c r="E288" s="13" t="str">
        <f>IFERROR(VLOOKUP($D288,'Data NEW'!$B$2:$K$210,2,FALSE),"")</f>
        <v/>
      </c>
    </row>
    <row r="289" spans="4:5" ht="15.75" customHeight="1" x14ac:dyDescent="0.2">
      <c r="D289" s="12"/>
      <c r="E289" s="13" t="str">
        <f>IFERROR(VLOOKUP($D289,'Data NEW'!$B$2:$K$210,2,FALSE),"")</f>
        <v/>
      </c>
    </row>
    <row r="290" spans="4:5" ht="15.75" customHeight="1" x14ac:dyDescent="0.2">
      <c r="D290" s="12"/>
      <c r="E290" s="13" t="str">
        <f>IFERROR(VLOOKUP($D290,'Data NEW'!$B$2:$K$210,2,FALSE),"")</f>
        <v/>
      </c>
    </row>
    <row r="291" spans="4:5" ht="15.75" customHeight="1" x14ac:dyDescent="0.2">
      <c r="D291" s="12"/>
      <c r="E291" s="13" t="str">
        <f>IFERROR(VLOOKUP($D291,'Data NEW'!$B$2:$K$210,2,FALSE),"")</f>
        <v/>
      </c>
    </row>
    <row r="292" spans="4:5" ht="15.75" customHeight="1" x14ac:dyDescent="0.2">
      <c r="D292" s="12"/>
      <c r="E292" s="13" t="str">
        <f>IFERROR(VLOOKUP($D292,'Data NEW'!$B$2:$K$210,2,FALSE),"")</f>
        <v/>
      </c>
    </row>
    <row r="293" spans="4:5" ht="15.75" customHeight="1" x14ac:dyDescent="0.2">
      <c r="D293" s="12"/>
      <c r="E293" s="13" t="str">
        <f>IFERROR(VLOOKUP($D293,'Data NEW'!$B$2:$K$210,2,FALSE),"")</f>
        <v/>
      </c>
    </row>
    <row r="294" spans="4:5" ht="15.75" customHeight="1" x14ac:dyDescent="0.2">
      <c r="D294" s="12"/>
      <c r="E294" s="13" t="str">
        <f>IFERROR(VLOOKUP($D294,'Data NEW'!$B$2:$K$210,2,FALSE),"")</f>
        <v/>
      </c>
    </row>
    <row r="295" spans="4:5" ht="15.75" customHeight="1" x14ac:dyDescent="0.2">
      <c r="D295" s="12"/>
      <c r="E295" s="13" t="str">
        <f>IFERROR(VLOOKUP($D295,'Data NEW'!$B$2:$K$210,2,FALSE),"")</f>
        <v/>
      </c>
    </row>
    <row r="296" spans="4:5" ht="15.75" customHeight="1" x14ac:dyDescent="0.2">
      <c r="D296" s="12"/>
      <c r="E296" s="13" t="str">
        <f>IFERROR(VLOOKUP($D296,'Data NEW'!$B$2:$K$210,2,FALSE),"")</f>
        <v/>
      </c>
    </row>
    <row r="297" spans="4:5" ht="15.75" customHeight="1" x14ac:dyDescent="0.2">
      <c r="D297" s="12"/>
      <c r="E297" s="13" t="str">
        <f>IFERROR(VLOOKUP($D297,'Data NEW'!$B$2:$K$210,2,FALSE),"")</f>
        <v/>
      </c>
    </row>
    <row r="298" spans="4:5" ht="15.75" customHeight="1" x14ac:dyDescent="0.2">
      <c r="D298" s="12"/>
      <c r="E298" s="13" t="str">
        <f>IFERROR(VLOOKUP($D298,'Data NEW'!$B$2:$K$210,2,FALSE),"")</f>
        <v/>
      </c>
    </row>
    <row r="299" spans="4:5" ht="15.75" customHeight="1" x14ac:dyDescent="0.2">
      <c r="D299" s="12"/>
      <c r="E299" s="13" t="str">
        <f>IFERROR(VLOOKUP($D299,'Data NEW'!$B$2:$K$210,2,FALSE),"")</f>
        <v/>
      </c>
    </row>
    <row r="300" spans="4:5" ht="15.75" customHeight="1" x14ac:dyDescent="0.2">
      <c r="D300" s="12"/>
      <c r="E300" s="13" t="str">
        <f>IFERROR(VLOOKUP($D300,'Data NEW'!$B$2:$K$210,2,FALSE),"")</f>
        <v/>
      </c>
    </row>
    <row r="301" spans="4:5" ht="15.75" customHeight="1" x14ac:dyDescent="0.2">
      <c r="D301" s="12"/>
      <c r="E301" s="13" t="str">
        <f>IFERROR(VLOOKUP($D301,'Data NEW'!$B$2:$K$210,2,FALSE),"")</f>
        <v/>
      </c>
    </row>
    <row r="302" spans="4:5" ht="15.75" customHeight="1" x14ac:dyDescent="0.2">
      <c r="D302" s="12"/>
      <c r="E302" s="13" t="str">
        <f>IFERROR(VLOOKUP($D302,'Data NEW'!$B$2:$K$210,2,FALSE),"")</f>
        <v/>
      </c>
    </row>
    <row r="303" spans="4:5" ht="15.75" customHeight="1" x14ac:dyDescent="0.2">
      <c r="D303" s="12"/>
      <c r="E303" s="13" t="str">
        <f>IFERROR(VLOOKUP($D303,'Data NEW'!$B$2:$K$210,2,FALSE),"")</f>
        <v/>
      </c>
    </row>
    <row r="304" spans="4:5" ht="15.75" customHeight="1" x14ac:dyDescent="0.2">
      <c r="D304" s="12"/>
      <c r="E304" s="13" t="str">
        <f>IFERROR(VLOOKUP($D304,'Data NEW'!$B$2:$K$210,2,FALSE),"")</f>
        <v/>
      </c>
    </row>
    <row r="305" spans="4:5" ht="15.75" customHeight="1" x14ac:dyDescent="0.2">
      <c r="D305" s="12"/>
      <c r="E305" s="13" t="str">
        <f>IFERROR(VLOOKUP($D305,'Data NEW'!$B$2:$K$210,2,FALSE),"")</f>
        <v/>
      </c>
    </row>
    <row r="306" spans="4:5" ht="15.75" customHeight="1" x14ac:dyDescent="0.2">
      <c r="D306" s="12"/>
      <c r="E306" s="13" t="str">
        <f>IFERROR(VLOOKUP($D306,'Data NEW'!$B$2:$K$210,2,FALSE),"")</f>
        <v/>
      </c>
    </row>
    <row r="307" spans="4:5" ht="15.75" customHeight="1" x14ac:dyDescent="0.2">
      <c r="D307" s="12"/>
      <c r="E307" s="13" t="str">
        <f>IFERROR(VLOOKUP($D307,'Data NEW'!$B$2:$K$210,2,FALSE),"")</f>
        <v/>
      </c>
    </row>
    <row r="308" spans="4:5" ht="15.75" customHeight="1" x14ac:dyDescent="0.2">
      <c r="D308" s="12"/>
      <c r="E308" s="13" t="str">
        <f>IFERROR(VLOOKUP($D308,'Data NEW'!$B$2:$K$210,2,FALSE),"")</f>
        <v/>
      </c>
    </row>
    <row r="309" spans="4:5" ht="15.75" customHeight="1" x14ac:dyDescent="0.2">
      <c r="D309" s="12"/>
      <c r="E309" s="13" t="str">
        <f>IFERROR(VLOOKUP($D309,'Data NEW'!$B$2:$K$210,2,FALSE),"")</f>
        <v/>
      </c>
    </row>
    <row r="310" spans="4:5" ht="15.75" customHeight="1" x14ac:dyDescent="0.2">
      <c r="D310" s="12"/>
      <c r="E310" s="13" t="str">
        <f>IFERROR(VLOOKUP($D310,'Data NEW'!$B$2:$K$210,2,FALSE),"")</f>
        <v/>
      </c>
    </row>
    <row r="311" spans="4:5" ht="15.75" customHeight="1" x14ac:dyDescent="0.2">
      <c r="D311" s="12"/>
      <c r="E311" s="13" t="str">
        <f>IFERROR(VLOOKUP($D311,'Data NEW'!$B$2:$K$210,2,FALSE),"")</f>
        <v/>
      </c>
    </row>
    <row r="312" spans="4:5" ht="15.75" customHeight="1" x14ac:dyDescent="0.2">
      <c r="D312" s="12"/>
      <c r="E312" s="13" t="str">
        <f>IFERROR(VLOOKUP($D312,'Data NEW'!$B$2:$K$210,2,FALSE),"")</f>
        <v/>
      </c>
    </row>
    <row r="313" spans="4:5" ht="15.75" customHeight="1" x14ac:dyDescent="0.2">
      <c r="D313" s="12"/>
      <c r="E313" s="13" t="str">
        <f>IFERROR(VLOOKUP($D313,'Data NEW'!$B$2:$K$210,2,FALSE),"")</f>
        <v/>
      </c>
    </row>
    <row r="314" spans="4:5" ht="15.75" customHeight="1" x14ac:dyDescent="0.2">
      <c r="D314" s="12"/>
      <c r="E314" s="13" t="str">
        <f>IFERROR(VLOOKUP($D314,'Data NEW'!$B$2:$K$210,2,FALSE),"")</f>
        <v/>
      </c>
    </row>
    <row r="315" spans="4:5" ht="15.75" customHeight="1" x14ac:dyDescent="0.2">
      <c r="D315" s="12"/>
      <c r="E315" s="13" t="str">
        <f>IFERROR(VLOOKUP($D315,'Data NEW'!$B$2:$K$210,2,FALSE),"")</f>
        <v/>
      </c>
    </row>
    <row r="316" spans="4:5" ht="15.75" customHeight="1" x14ac:dyDescent="0.2">
      <c r="D316" s="12"/>
      <c r="E316" s="13" t="str">
        <f>IFERROR(VLOOKUP($D316,'Data NEW'!$B$2:$K$210,2,FALSE),"")</f>
        <v/>
      </c>
    </row>
    <row r="317" spans="4:5" ht="15.75" customHeight="1" x14ac:dyDescent="0.2">
      <c r="D317" s="12"/>
      <c r="E317" s="13" t="str">
        <f>IFERROR(VLOOKUP($D317,'Data NEW'!$B$2:$K$210,2,FALSE),"")</f>
        <v/>
      </c>
    </row>
    <row r="318" spans="4:5" ht="15.75" customHeight="1" x14ac:dyDescent="0.2">
      <c r="D318" s="12"/>
      <c r="E318" s="13" t="str">
        <f>IFERROR(VLOOKUP($D318,'Data NEW'!$B$2:$K$210,2,FALSE),"")</f>
        <v/>
      </c>
    </row>
    <row r="319" spans="4:5" ht="15.75" customHeight="1" x14ac:dyDescent="0.2">
      <c r="D319" s="12"/>
      <c r="E319" s="13" t="str">
        <f>IFERROR(VLOOKUP($D319,'Data NEW'!$B$2:$K$210,2,FALSE),"")</f>
        <v/>
      </c>
    </row>
    <row r="320" spans="4:5" ht="15.75" customHeight="1" x14ac:dyDescent="0.2">
      <c r="D320" s="12"/>
      <c r="E320" s="13" t="str">
        <f>IFERROR(VLOOKUP($D320,'Data NEW'!$B$2:$K$210,2,FALSE),"")</f>
        <v/>
      </c>
    </row>
    <row r="321" spans="4:5" ht="15.75" customHeight="1" x14ac:dyDescent="0.2">
      <c r="D321" s="12"/>
      <c r="E321" s="13" t="str">
        <f>IFERROR(VLOOKUP($D321,'Data NEW'!$B$2:$K$210,2,FALSE),"")</f>
        <v/>
      </c>
    </row>
    <row r="322" spans="4:5" ht="15.75" customHeight="1" x14ac:dyDescent="0.2">
      <c r="D322" s="12"/>
      <c r="E322" s="13" t="str">
        <f>IFERROR(VLOOKUP($D322,'Data NEW'!$B$2:$K$210,2,FALSE),"")</f>
        <v/>
      </c>
    </row>
    <row r="323" spans="4:5" ht="15.75" customHeight="1" x14ac:dyDescent="0.2">
      <c r="D323" s="12"/>
      <c r="E323" s="13" t="str">
        <f>IFERROR(VLOOKUP($D323,'Data NEW'!$B$2:$K$210,2,FALSE),"")</f>
        <v/>
      </c>
    </row>
    <row r="324" spans="4:5" ht="15.75" customHeight="1" x14ac:dyDescent="0.2">
      <c r="D324" s="12"/>
      <c r="E324" s="13" t="str">
        <f>IFERROR(VLOOKUP($D324,'Data NEW'!$B$2:$K$210,2,FALSE),"")</f>
        <v/>
      </c>
    </row>
    <row r="325" spans="4:5" ht="15.75" customHeight="1" x14ac:dyDescent="0.2">
      <c r="D325" s="12"/>
      <c r="E325" s="13" t="str">
        <f>IFERROR(VLOOKUP($D325,'Data NEW'!$B$2:$K$210,2,FALSE),"")</f>
        <v/>
      </c>
    </row>
    <row r="326" spans="4:5" ht="15.75" customHeight="1" x14ac:dyDescent="0.2">
      <c r="D326" s="12"/>
      <c r="E326" s="13" t="str">
        <f>IFERROR(VLOOKUP($D326,'Data NEW'!$B$2:$K$210,2,FALSE),"")</f>
        <v/>
      </c>
    </row>
    <row r="327" spans="4:5" ht="15.75" customHeight="1" x14ac:dyDescent="0.2">
      <c r="D327" s="12"/>
      <c r="E327" s="13" t="str">
        <f>IFERROR(VLOOKUP($D327,'Data NEW'!$B$2:$K$210,2,FALSE),"")</f>
        <v/>
      </c>
    </row>
    <row r="328" spans="4:5" ht="15.75" customHeight="1" x14ac:dyDescent="0.2">
      <c r="D328" s="12"/>
      <c r="E328" s="13" t="str">
        <f>IFERROR(VLOOKUP($D328,'Data NEW'!$B$2:$K$210,2,FALSE),"")</f>
        <v/>
      </c>
    </row>
    <row r="329" spans="4:5" ht="15.75" customHeight="1" x14ac:dyDescent="0.2">
      <c r="D329" s="12"/>
      <c r="E329" s="13" t="str">
        <f>IFERROR(VLOOKUP($D329,'Data NEW'!$B$2:$K$210,2,FALSE),"")</f>
        <v/>
      </c>
    </row>
    <row r="330" spans="4:5" ht="15.75" customHeight="1" x14ac:dyDescent="0.2">
      <c r="D330" s="12"/>
      <c r="E330" s="13" t="str">
        <f>IFERROR(VLOOKUP($D330,'Data NEW'!$B$2:$K$210,2,FALSE),"")</f>
        <v/>
      </c>
    </row>
    <row r="331" spans="4:5" ht="15.75" customHeight="1" x14ac:dyDescent="0.2">
      <c r="D331" s="12"/>
      <c r="E331" s="13" t="str">
        <f>IFERROR(VLOOKUP($D331,'Data NEW'!$B$2:$K$210,2,FALSE),"")</f>
        <v/>
      </c>
    </row>
    <row r="332" spans="4:5" ht="15.75" customHeight="1" x14ac:dyDescent="0.2">
      <c r="D332" s="12"/>
      <c r="E332" s="13" t="str">
        <f>IFERROR(VLOOKUP($D332,'Data NEW'!$B$2:$K$210,2,FALSE),"")</f>
        <v/>
      </c>
    </row>
    <row r="333" spans="4:5" ht="15.75" customHeight="1" x14ac:dyDescent="0.2">
      <c r="D333" s="12"/>
      <c r="E333" s="13" t="str">
        <f>IFERROR(VLOOKUP($D333,'Data NEW'!$B$2:$K$210,2,FALSE),"")</f>
        <v/>
      </c>
    </row>
    <row r="334" spans="4:5" ht="15.75" customHeight="1" x14ac:dyDescent="0.2">
      <c r="D334" s="12"/>
      <c r="E334" s="13" t="str">
        <f>IFERROR(VLOOKUP($D334,'Data NEW'!$B$2:$K$210,2,FALSE),"")</f>
        <v/>
      </c>
    </row>
    <row r="335" spans="4:5" ht="15.75" customHeight="1" x14ac:dyDescent="0.2">
      <c r="D335" s="12"/>
      <c r="E335" s="13" t="str">
        <f>IFERROR(VLOOKUP($D335,'Data NEW'!$B$2:$K$210,2,FALSE),"")</f>
        <v/>
      </c>
    </row>
    <row r="336" spans="4:5" ht="15.75" customHeight="1" x14ac:dyDescent="0.2">
      <c r="D336" s="12"/>
      <c r="E336" s="13" t="str">
        <f>IFERROR(VLOOKUP($D336,'Data NEW'!$B$2:$K$210,2,FALSE),"")</f>
        <v/>
      </c>
    </row>
    <row r="337" spans="4:5" ht="15.75" customHeight="1" x14ac:dyDescent="0.2">
      <c r="D337" s="12"/>
      <c r="E337" s="13" t="str">
        <f>IFERROR(VLOOKUP($D337,'Data NEW'!$B$2:$K$210,2,FALSE),"")</f>
        <v/>
      </c>
    </row>
    <row r="338" spans="4:5" ht="15.75" customHeight="1" x14ac:dyDescent="0.2">
      <c r="D338" s="12"/>
      <c r="E338" s="13" t="str">
        <f>IFERROR(VLOOKUP($D338,'Data NEW'!$B$2:$K$210,2,FALSE),"")</f>
        <v/>
      </c>
    </row>
    <row r="339" spans="4:5" ht="15.75" customHeight="1" x14ac:dyDescent="0.2">
      <c r="D339" s="12"/>
      <c r="E339" s="13" t="str">
        <f>IFERROR(VLOOKUP($D339,'Data NEW'!$B$2:$K$210,2,FALSE),"")</f>
        <v/>
      </c>
    </row>
    <row r="340" spans="4:5" ht="15.75" customHeight="1" x14ac:dyDescent="0.2">
      <c r="D340" s="12"/>
      <c r="E340" s="13" t="str">
        <f>IFERROR(VLOOKUP($D340,'Data NEW'!$B$2:$K$210,2,FALSE),"")</f>
        <v/>
      </c>
    </row>
    <row r="341" spans="4:5" ht="15.75" customHeight="1" x14ac:dyDescent="0.2">
      <c r="D341" s="12"/>
      <c r="E341" s="13" t="str">
        <f>IFERROR(VLOOKUP($D341,'Data NEW'!$B$2:$K$210,2,FALSE),"")</f>
        <v/>
      </c>
    </row>
    <row r="342" spans="4:5" ht="15.75" customHeight="1" x14ac:dyDescent="0.2">
      <c r="D342" s="12"/>
      <c r="E342" s="13" t="str">
        <f>IFERROR(VLOOKUP($D342,'Data NEW'!$B$2:$K$210,2,FALSE),"")</f>
        <v/>
      </c>
    </row>
    <row r="343" spans="4:5" ht="15.75" customHeight="1" x14ac:dyDescent="0.2">
      <c r="D343" s="12"/>
      <c r="E343" s="13" t="str">
        <f>IFERROR(VLOOKUP($D343,'Data NEW'!$B$2:$K$210,2,FALSE),"")</f>
        <v/>
      </c>
    </row>
    <row r="344" spans="4:5" ht="15.75" customHeight="1" x14ac:dyDescent="0.2">
      <c r="D344" s="12"/>
      <c r="E344" s="13" t="str">
        <f>IFERROR(VLOOKUP($D344,'Data NEW'!$B$2:$K$210,2,FALSE),"")</f>
        <v/>
      </c>
    </row>
    <row r="345" spans="4:5" ht="15.75" customHeight="1" x14ac:dyDescent="0.2">
      <c r="D345" s="12"/>
      <c r="E345" s="13" t="str">
        <f>IFERROR(VLOOKUP($D345,'Data NEW'!$B$2:$K$210,2,FALSE),"")</f>
        <v/>
      </c>
    </row>
    <row r="346" spans="4:5" ht="15.75" customHeight="1" x14ac:dyDescent="0.2">
      <c r="D346" s="12"/>
      <c r="E346" s="13" t="str">
        <f>IFERROR(VLOOKUP($D346,'Data NEW'!$B$2:$K$210,2,FALSE),"")</f>
        <v/>
      </c>
    </row>
    <row r="347" spans="4:5" ht="15.75" customHeight="1" x14ac:dyDescent="0.2">
      <c r="D347" s="12"/>
      <c r="E347" s="13" t="str">
        <f>IFERROR(VLOOKUP($D347,'Data NEW'!$B$2:$K$210,2,FALSE),"")</f>
        <v/>
      </c>
    </row>
    <row r="348" spans="4:5" ht="15.75" customHeight="1" x14ac:dyDescent="0.2">
      <c r="D348" s="12"/>
      <c r="E348" s="13" t="str">
        <f>IFERROR(VLOOKUP($D348,'Data NEW'!$B$2:$K$210,2,FALSE),"")</f>
        <v/>
      </c>
    </row>
    <row r="349" spans="4:5" ht="15.75" customHeight="1" x14ac:dyDescent="0.2">
      <c r="D349" s="12"/>
      <c r="E349" s="13" t="str">
        <f>IFERROR(VLOOKUP($D349,'Data NEW'!$B$2:$K$210,2,FALSE),"")</f>
        <v/>
      </c>
    </row>
    <row r="350" spans="4:5" ht="15.75" customHeight="1" x14ac:dyDescent="0.2">
      <c r="D350" s="12"/>
      <c r="E350" s="13" t="str">
        <f>IFERROR(VLOOKUP($D350,'Data NEW'!$B$2:$K$210,2,FALSE),"")</f>
        <v/>
      </c>
    </row>
    <row r="351" spans="4:5" ht="15.75" customHeight="1" x14ac:dyDescent="0.2">
      <c r="D351" s="12"/>
      <c r="E351" s="13" t="str">
        <f>IFERROR(VLOOKUP($D351,'Data NEW'!$B$2:$K$210,2,FALSE),"")</f>
        <v/>
      </c>
    </row>
    <row r="352" spans="4:5" ht="15.75" customHeight="1" x14ac:dyDescent="0.2">
      <c r="D352" s="12"/>
      <c r="E352" s="13" t="str">
        <f>IFERROR(VLOOKUP($D352,'Data NEW'!$B$2:$K$210,2,FALSE),"")</f>
        <v/>
      </c>
    </row>
    <row r="353" spans="4:5" ht="15.75" customHeight="1" x14ac:dyDescent="0.2">
      <c r="D353" s="12"/>
      <c r="E353" s="13" t="str">
        <f>IFERROR(VLOOKUP($D353,'Data NEW'!$B$2:$K$210,2,FALSE),"")</f>
        <v/>
      </c>
    </row>
    <row r="354" spans="4:5" ht="15.75" customHeight="1" x14ac:dyDescent="0.2">
      <c r="D354" s="12"/>
      <c r="E354" s="13" t="str">
        <f>IFERROR(VLOOKUP($D354,'Data NEW'!$B$2:$K$210,2,FALSE),"")</f>
        <v/>
      </c>
    </row>
    <row r="355" spans="4:5" ht="15.75" customHeight="1" x14ac:dyDescent="0.2">
      <c r="D355" s="12"/>
      <c r="E355" s="13" t="str">
        <f>IFERROR(VLOOKUP($D355,'Data NEW'!$B$2:$K$210,2,FALSE),"")</f>
        <v/>
      </c>
    </row>
    <row r="356" spans="4:5" ht="15.75" customHeight="1" x14ac:dyDescent="0.2">
      <c r="D356" s="12"/>
      <c r="E356" s="13" t="str">
        <f>IFERROR(VLOOKUP($D356,'Data NEW'!$B$2:$K$210,2,FALSE),"")</f>
        <v/>
      </c>
    </row>
    <row r="357" spans="4:5" ht="15.75" customHeight="1" x14ac:dyDescent="0.2">
      <c r="D357" s="12"/>
      <c r="E357" s="13" t="str">
        <f>IFERROR(VLOOKUP($D357,'Data NEW'!$B$2:$K$210,2,FALSE),"")</f>
        <v/>
      </c>
    </row>
    <row r="358" spans="4:5" ht="15.75" customHeight="1" x14ac:dyDescent="0.2">
      <c r="D358" s="12"/>
      <c r="E358" s="13" t="str">
        <f>IFERROR(VLOOKUP($D358,'Data NEW'!$B$2:$K$210,2,FALSE),"")</f>
        <v/>
      </c>
    </row>
    <row r="359" spans="4:5" ht="15.75" customHeight="1" x14ac:dyDescent="0.2">
      <c r="D359" s="12"/>
      <c r="E359" s="13" t="str">
        <f>IFERROR(VLOOKUP($D359,'Data NEW'!$B$2:$K$210,2,FALSE),"")</f>
        <v/>
      </c>
    </row>
    <row r="360" spans="4:5" ht="15.75" customHeight="1" x14ac:dyDescent="0.2">
      <c r="D360" s="12"/>
      <c r="E360" s="13" t="str">
        <f>IFERROR(VLOOKUP($D360,'Data NEW'!$B$2:$K$210,2,FALSE),"")</f>
        <v/>
      </c>
    </row>
    <row r="361" spans="4:5" ht="15.75" customHeight="1" x14ac:dyDescent="0.2">
      <c r="D361" s="12"/>
      <c r="E361" s="13" t="str">
        <f>IFERROR(VLOOKUP($D361,'Data NEW'!$B$2:$K$210,2,FALSE),"")</f>
        <v/>
      </c>
    </row>
    <row r="362" spans="4:5" ht="15.75" customHeight="1" x14ac:dyDescent="0.2">
      <c r="D362" s="12"/>
      <c r="E362" s="13" t="str">
        <f>IFERROR(VLOOKUP($D362,'Data NEW'!$B$2:$K$210,2,FALSE),"")</f>
        <v/>
      </c>
    </row>
    <row r="363" spans="4:5" ht="15.75" customHeight="1" x14ac:dyDescent="0.2">
      <c r="D363" s="12"/>
      <c r="E363" s="13" t="str">
        <f>IFERROR(VLOOKUP($D363,'Data NEW'!$B$2:$K$210,2,FALSE),"")</f>
        <v/>
      </c>
    </row>
    <row r="364" spans="4:5" ht="15.75" customHeight="1" x14ac:dyDescent="0.2">
      <c r="D364" s="12"/>
      <c r="E364" s="13" t="str">
        <f>IFERROR(VLOOKUP($D364,'Data NEW'!$B$2:$K$210,2,FALSE),"")</f>
        <v/>
      </c>
    </row>
    <row r="365" spans="4:5" ht="15.75" customHeight="1" x14ac:dyDescent="0.2">
      <c r="D365" s="12"/>
      <c r="E365" s="13" t="str">
        <f>IFERROR(VLOOKUP($D365,'Data NEW'!$B$2:$K$210,2,FALSE),"")</f>
        <v/>
      </c>
    </row>
    <row r="366" spans="4:5" ht="15.75" customHeight="1" x14ac:dyDescent="0.2">
      <c r="D366" s="12"/>
      <c r="E366" s="13" t="str">
        <f>IFERROR(VLOOKUP($D366,'Data NEW'!$B$2:$K$210,2,FALSE),"")</f>
        <v/>
      </c>
    </row>
    <row r="367" spans="4:5" ht="15.75" customHeight="1" x14ac:dyDescent="0.2">
      <c r="D367" s="12"/>
      <c r="E367" s="13" t="str">
        <f>IFERROR(VLOOKUP($D367,'Data NEW'!$B$2:$K$210,2,FALSE),"")</f>
        <v/>
      </c>
    </row>
    <row r="368" spans="4:5" ht="15.75" customHeight="1" x14ac:dyDescent="0.2">
      <c r="D368" s="12"/>
      <c r="E368" s="13" t="str">
        <f>IFERROR(VLOOKUP($D368,'Data NEW'!$B$2:$K$210,2,FALSE),"")</f>
        <v/>
      </c>
    </row>
    <row r="369" spans="4:5" ht="15.75" customHeight="1" x14ac:dyDescent="0.2">
      <c r="D369" s="12"/>
      <c r="E369" s="13" t="str">
        <f>IFERROR(VLOOKUP($D369,'Data NEW'!$B$2:$K$210,2,FALSE),"")</f>
        <v/>
      </c>
    </row>
    <row r="370" spans="4:5" ht="15.75" customHeight="1" x14ac:dyDescent="0.2">
      <c r="D370" s="12"/>
      <c r="E370" s="13" t="str">
        <f>IFERROR(VLOOKUP($D370,'Data NEW'!$B$2:$K$210,2,FALSE),"")</f>
        <v/>
      </c>
    </row>
    <row r="371" spans="4:5" ht="15.75" customHeight="1" x14ac:dyDescent="0.2">
      <c r="D371" s="12"/>
      <c r="E371" s="13" t="str">
        <f>IFERROR(VLOOKUP($D371,'Data NEW'!$B$2:$K$210,2,FALSE),"")</f>
        <v/>
      </c>
    </row>
    <row r="372" spans="4:5" ht="15.75" customHeight="1" x14ac:dyDescent="0.2">
      <c r="D372" s="12"/>
      <c r="E372" s="13" t="str">
        <f>IFERROR(VLOOKUP($D372,'Data NEW'!$B$2:$K$210,2,FALSE),"")</f>
        <v/>
      </c>
    </row>
    <row r="373" spans="4:5" ht="15.75" customHeight="1" x14ac:dyDescent="0.2">
      <c r="D373" s="12"/>
      <c r="E373" s="13" t="str">
        <f>IFERROR(VLOOKUP($D373,'Data NEW'!$B$2:$K$210,2,FALSE),"")</f>
        <v/>
      </c>
    </row>
    <row r="374" spans="4:5" ht="15.75" customHeight="1" x14ac:dyDescent="0.2">
      <c r="D374" s="12"/>
      <c r="E374" s="13" t="str">
        <f>IFERROR(VLOOKUP($D374,'Data NEW'!$B$2:$K$210,2,FALSE),"")</f>
        <v/>
      </c>
    </row>
    <row r="375" spans="4:5" ht="15.75" customHeight="1" x14ac:dyDescent="0.2">
      <c r="D375" s="12"/>
      <c r="E375" s="13" t="str">
        <f>IFERROR(VLOOKUP($D375,'Data NEW'!$B$2:$K$210,2,FALSE),"")</f>
        <v/>
      </c>
    </row>
    <row r="376" spans="4:5" ht="15.75" customHeight="1" x14ac:dyDescent="0.2">
      <c r="D376" s="12"/>
      <c r="E376" s="13" t="str">
        <f>IFERROR(VLOOKUP($D376,'Data NEW'!$B$2:$K$210,2,FALSE),"")</f>
        <v/>
      </c>
    </row>
    <row r="377" spans="4:5" ht="15.75" customHeight="1" x14ac:dyDescent="0.2">
      <c r="D377" s="12"/>
      <c r="E377" s="13" t="str">
        <f>IFERROR(VLOOKUP($D377,'Data NEW'!$B$2:$K$210,2,FALSE),"")</f>
        <v/>
      </c>
    </row>
    <row r="378" spans="4:5" ht="15.75" customHeight="1" x14ac:dyDescent="0.2">
      <c r="D378" s="12"/>
      <c r="E378" s="13" t="str">
        <f>IFERROR(VLOOKUP($D378,'Data NEW'!$B$2:$K$210,2,FALSE),"")</f>
        <v/>
      </c>
    </row>
    <row r="379" spans="4:5" ht="15.75" customHeight="1" x14ac:dyDescent="0.2">
      <c r="D379" s="12"/>
      <c r="E379" s="13" t="str">
        <f>IFERROR(VLOOKUP($D379,'Data NEW'!$B$2:$K$210,2,FALSE),"")</f>
        <v/>
      </c>
    </row>
    <row r="380" spans="4:5" ht="15.75" customHeight="1" x14ac:dyDescent="0.2">
      <c r="D380" s="12"/>
      <c r="E380" s="13" t="str">
        <f>IFERROR(VLOOKUP($D380,'Data NEW'!$B$2:$K$210,2,FALSE),"")</f>
        <v/>
      </c>
    </row>
    <row r="381" spans="4:5" ht="15.75" customHeight="1" x14ac:dyDescent="0.2">
      <c r="D381" s="12"/>
      <c r="E381" s="13" t="str">
        <f>IFERROR(VLOOKUP($D381,'Data NEW'!$B$2:$K$210,2,FALSE),"")</f>
        <v/>
      </c>
    </row>
    <row r="382" spans="4:5" ht="15.75" customHeight="1" x14ac:dyDescent="0.2">
      <c r="D382" s="12"/>
      <c r="E382" s="13" t="str">
        <f>IFERROR(VLOOKUP($D382,'Data NEW'!$B$2:$K$210,2,FALSE),"")</f>
        <v/>
      </c>
    </row>
    <row r="383" spans="4:5" ht="15.75" customHeight="1" x14ac:dyDescent="0.2">
      <c r="D383" s="12"/>
      <c r="E383" s="13" t="str">
        <f>IFERROR(VLOOKUP($D383,'Data NEW'!$B$2:$K$210,2,FALSE),"")</f>
        <v/>
      </c>
    </row>
    <row r="384" spans="4:5" ht="15.75" customHeight="1" x14ac:dyDescent="0.2">
      <c r="D384" s="12"/>
      <c r="E384" s="13" t="str">
        <f>IFERROR(VLOOKUP($D384,'Data NEW'!$B$2:$K$210,2,FALSE),"")</f>
        <v/>
      </c>
    </row>
    <row r="385" spans="4:5" ht="15.75" customHeight="1" x14ac:dyDescent="0.2">
      <c r="D385" s="12"/>
      <c r="E385" s="13" t="str">
        <f>IFERROR(VLOOKUP($D385,'Data NEW'!$B$2:$K$210,2,FALSE),"")</f>
        <v/>
      </c>
    </row>
    <row r="386" spans="4:5" ht="15.75" customHeight="1" x14ac:dyDescent="0.2">
      <c r="D386" s="12"/>
      <c r="E386" s="13" t="str">
        <f>IFERROR(VLOOKUP($D386,'Data NEW'!$B$2:$K$210,2,FALSE),"")</f>
        <v/>
      </c>
    </row>
    <row r="387" spans="4:5" ht="15.75" customHeight="1" x14ac:dyDescent="0.2">
      <c r="D387" s="12"/>
      <c r="E387" s="13" t="str">
        <f>IFERROR(VLOOKUP($D387,'Data NEW'!$B$2:$K$210,2,FALSE),"")</f>
        <v/>
      </c>
    </row>
    <row r="388" spans="4:5" ht="15.75" customHeight="1" x14ac:dyDescent="0.2">
      <c r="D388" s="12"/>
      <c r="E388" s="13" t="str">
        <f>IFERROR(VLOOKUP($D388,'Data NEW'!$B$2:$K$210,2,FALSE),"")</f>
        <v/>
      </c>
    </row>
    <row r="389" spans="4:5" ht="15.75" customHeight="1" x14ac:dyDescent="0.2">
      <c r="D389" s="12"/>
      <c r="E389" s="13" t="str">
        <f>IFERROR(VLOOKUP($D389,'Data NEW'!$B$2:$K$210,2,FALSE),"")</f>
        <v/>
      </c>
    </row>
    <row r="390" spans="4:5" ht="15.75" customHeight="1" x14ac:dyDescent="0.2">
      <c r="D390" s="12"/>
      <c r="E390" s="13" t="str">
        <f>IFERROR(VLOOKUP($D390,'Data NEW'!$B$2:$K$210,2,FALSE),"")</f>
        <v/>
      </c>
    </row>
    <row r="391" spans="4:5" ht="15.75" customHeight="1" x14ac:dyDescent="0.2">
      <c r="D391" s="12"/>
      <c r="E391" s="13" t="str">
        <f>IFERROR(VLOOKUP($D391,'Data NEW'!$B$2:$K$210,2,FALSE),"")</f>
        <v/>
      </c>
    </row>
    <row r="392" spans="4:5" ht="15.75" customHeight="1" x14ac:dyDescent="0.2">
      <c r="D392" s="12"/>
      <c r="E392" s="13" t="str">
        <f>IFERROR(VLOOKUP($D392,'Data NEW'!$B$2:$K$210,2,FALSE),"")</f>
        <v/>
      </c>
    </row>
    <row r="393" spans="4:5" ht="15.75" customHeight="1" x14ac:dyDescent="0.2">
      <c r="D393" s="12"/>
      <c r="E393" s="13" t="str">
        <f>IFERROR(VLOOKUP($D393,'Data NEW'!$B$2:$K$210,2,FALSE),"")</f>
        <v/>
      </c>
    </row>
    <row r="394" spans="4:5" ht="15.75" customHeight="1" x14ac:dyDescent="0.2">
      <c r="D394" s="12"/>
      <c r="E394" s="13" t="str">
        <f>IFERROR(VLOOKUP($D394,'Data NEW'!$B$2:$K$210,2,FALSE),"")</f>
        <v/>
      </c>
    </row>
    <row r="395" spans="4:5" ht="15.75" customHeight="1" x14ac:dyDescent="0.2">
      <c r="D395" s="12"/>
      <c r="E395" s="13" t="str">
        <f>IFERROR(VLOOKUP($D395,'Data NEW'!$B$2:$K$210,2,FALSE),"")</f>
        <v/>
      </c>
    </row>
    <row r="396" spans="4:5" ht="15.75" customHeight="1" x14ac:dyDescent="0.2">
      <c r="D396" s="12"/>
      <c r="E396" s="13" t="str">
        <f>IFERROR(VLOOKUP($D396,'Data NEW'!$B$2:$K$210,2,FALSE),"")</f>
        <v/>
      </c>
    </row>
    <row r="397" spans="4:5" ht="15.75" customHeight="1" x14ac:dyDescent="0.2">
      <c r="D397" s="12"/>
      <c r="E397" s="13" t="str">
        <f>IFERROR(VLOOKUP($D397,'Data NEW'!$B$2:$K$210,2,FALSE),"")</f>
        <v/>
      </c>
    </row>
    <row r="398" spans="4:5" ht="15.75" customHeight="1" x14ac:dyDescent="0.2">
      <c r="D398" s="12"/>
      <c r="E398" s="13" t="str">
        <f>IFERROR(VLOOKUP($D398,'Data NEW'!$B$2:$K$210,2,FALSE),"")</f>
        <v/>
      </c>
    </row>
    <row r="399" spans="4:5" ht="15.75" customHeight="1" x14ac:dyDescent="0.2">
      <c r="D399" s="12"/>
      <c r="E399" s="13" t="str">
        <f>IFERROR(VLOOKUP($D399,'Data NEW'!$B$2:$K$210,2,FALSE),"")</f>
        <v/>
      </c>
    </row>
    <row r="400" spans="4:5" ht="15.75" customHeight="1" x14ac:dyDescent="0.2">
      <c r="D400" s="12"/>
      <c r="E400" s="13" t="str">
        <f>IFERROR(VLOOKUP($D400,'Data NEW'!$B$2:$K$210,2,FALSE),"")</f>
        <v/>
      </c>
    </row>
    <row r="401" spans="4:5" ht="15.75" customHeight="1" x14ac:dyDescent="0.2">
      <c r="D401" s="12"/>
      <c r="E401" s="13" t="str">
        <f>IFERROR(VLOOKUP($D401,'Data NEW'!$B$2:$K$210,2,FALSE),"")</f>
        <v/>
      </c>
    </row>
    <row r="402" spans="4:5" ht="15.75" customHeight="1" x14ac:dyDescent="0.2">
      <c r="D402" s="12"/>
      <c r="E402" s="13" t="str">
        <f>IFERROR(VLOOKUP($D402,'Data NEW'!$B$2:$K$210,2,FALSE),"")</f>
        <v/>
      </c>
    </row>
    <row r="403" spans="4:5" ht="15.75" customHeight="1" x14ac:dyDescent="0.2">
      <c r="D403" s="12"/>
      <c r="E403" s="13" t="str">
        <f>IFERROR(VLOOKUP($D403,'Data NEW'!$B$2:$K$210,2,FALSE),"")</f>
        <v/>
      </c>
    </row>
    <row r="404" spans="4:5" ht="15.75" customHeight="1" x14ac:dyDescent="0.2">
      <c r="D404" s="12"/>
      <c r="E404" s="13" t="str">
        <f>IFERROR(VLOOKUP($D404,'Data NEW'!$B$2:$K$210,2,FALSE),"")</f>
        <v/>
      </c>
    </row>
    <row r="405" spans="4:5" ht="15.75" customHeight="1" x14ac:dyDescent="0.2">
      <c r="D405" s="12"/>
      <c r="E405" s="13" t="str">
        <f>IFERROR(VLOOKUP($D405,'Data NEW'!$B$2:$K$210,2,FALSE),"")</f>
        <v/>
      </c>
    </row>
    <row r="406" spans="4:5" ht="15.75" customHeight="1" x14ac:dyDescent="0.2">
      <c r="D406" s="12"/>
      <c r="E406" s="13" t="str">
        <f>IFERROR(VLOOKUP($D406,'Data NEW'!$B$2:$K$210,2,FALSE),"")</f>
        <v/>
      </c>
    </row>
    <row r="407" spans="4:5" ht="15.75" customHeight="1" x14ac:dyDescent="0.2">
      <c r="D407" s="12"/>
      <c r="E407" s="13" t="str">
        <f>IFERROR(VLOOKUP($D407,'Data NEW'!$B$2:$K$210,2,FALSE),"")</f>
        <v/>
      </c>
    </row>
    <row r="408" spans="4:5" ht="15.75" customHeight="1" x14ac:dyDescent="0.2">
      <c r="D408" s="12"/>
      <c r="E408" s="13" t="str">
        <f>IFERROR(VLOOKUP($D408,'Data NEW'!$B$2:$K$210,2,FALSE),"")</f>
        <v/>
      </c>
    </row>
    <row r="409" spans="4:5" ht="15.75" customHeight="1" x14ac:dyDescent="0.2">
      <c r="D409" s="12"/>
      <c r="E409" s="13" t="str">
        <f>IFERROR(VLOOKUP($D409,'Data NEW'!$B$2:$K$210,2,FALSE),"")</f>
        <v/>
      </c>
    </row>
    <row r="410" spans="4:5" ht="15.75" customHeight="1" x14ac:dyDescent="0.2">
      <c r="D410" s="12"/>
      <c r="E410" s="13" t="str">
        <f>IFERROR(VLOOKUP($D410,'Data NEW'!$B$2:$K$210,2,FALSE),"")</f>
        <v/>
      </c>
    </row>
    <row r="411" spans="4:5" ht="15.75" customHeight="1" x14ac:dyDescent="0.2">
      <c r="D411" s="12"/>
      <c r="E411" s="13" t="str">
        <f>IFERROR(VLOOKUP($D411,'Data NEW'!$B$2:$K$210,2,FALSE),"")</f>
        <v/>
      </c>
    </row>
    <row r="412" spans="4:5" ht="15.75" customHeight="1" x14ac:dyDescent="0.2">
      <c r="D412" s="12"/>
      <c r="E412" s="13" t="str">
        <f>IFERROR(VLOOKUP($D412,'Data NEW'!$B$2:$K$210,2,FALSE),"")</f>
        <v/>
      </c>
    </row>
    <row r="413" spans="4:5" ht="15.75" customHeight="1" x14ac:dyDescent="0.2">
      <c r="D413" s="12"/>
      <c r="E413" s="13" t="str">
        <f>IFERROR(VLOOKUP($D413,'Data NEW'!$B$2:$K$210,2,FALSE),"")</f>
        <v/>
      </c>
    </row>
    <row r="414" spans="4:5" ht="15.75" customHeight="1" x14ac:dyDescent="0.2">
      <c r="D414" s="12"/>
      <c r="E414" s="13" t="str">
        <f>IFERROR(VLOOKUP($D414,'Data NEW'!$B$2:$K$210,2,FALSE),"")</f>
        <v/>
      </c>
    </row>
    <row r="415" spans="4:5" ht="15.75" customHeight="1" x14ac:dyDescent="0.2">
      <c r="D415" s="12"/>
      <c r="E415" s="13" t="str">
        <f>IFERROR(VLOOKUP($D415,'Data NEW'!$B$2:$K$210,2,FALSE),"")</f>
        <v/>
      </c>
    </row>
    <row r="416" spans="4:5" ht="15.75" customHeight="1" x14ac:dyDescent="0.2">
      <c r="D416" s="12"/>
      <c r="E416" s="13" t="str">
        <f>IFERROR(VLOOKUP($D416,'Data NEW'!$B$2:$K$210,2,FALSE),"")</f>
        <v/>
      </c>
    </row>
    <row r="417" spans="4:5" ht="15.75" customHeight="1" x14ac:dyDescent="0.2">
      <c r="D417" s="12"/>
      <c r="E417" s="13" t="str">
        <f>IFERROR(VLOOKUP($D417,'Data NEW'!$B$2:$K$210,2,FALSE),"")</f>
        <v/>
      </c>
    </row>
    <row r="418" spans="4:5" ht="15.75" customHeight="1" x14ac:dyDescent="0.2">
      <c r="D418" s="12"/>
      <c r="E418" s="13" t="str">
        <f>IFERROR(VLOOKUP($D418,'Data NEW'!$B$2:$K$210,2,FALSE),"")</f>
        <v/>
      </c>
    </row>
    <row r="419" spans="4:5" ht="15.75" customHeight="1" x14ac:dyDescent="0.2">
      <c r="D419" s="12"/>
      <c r="E419" s="13" t="str">
        <f>IFERROR(VLOOKUP($D419,'Data NEW'!$B$2:$K$210,2,FALSE),"")</f>
        <v/>
      </c>
    </row>
    <row r="420" spans="4:5" ht="15.75" customHeight="1" x14ac:dyDescent="0.2">
      <c r="D420" s="12"/>
      <c r="E420" s="13" t="str">
        <f>IFERROR(VLOOKUP($D420,'Data NEW'!$B$2:$K$210,2,FALSE),"")</f>
        <v/>
      </c>
    </row>
    <row r="421" spans="4:5" ht="15.75" customHeight="1" x14ac:dyDescent="0.2">
      <c r="D421" s="12"/>
      <c r="E421" s="13" t="str">
        <f>IFERROR(VLOOKUP($D421,'Data NEW'!$B$2:$K$210,2,FALSE),"")</f>
        <v/>
      </c>
    </row>
    <row r="422" spans="4:5" ht="15.75" customHeight="1" x14ac:dyDescent="0.2">
      <c r="D422" s="12"/>
      <c r="E422" s="13" t="str">
        <f>IFERROR(VLOOKUP($D422,'Data NEW'!$B$2:$K$210,2,FALSE),"")</f>
        <v/>
      </c>
    </row>
    <row r="423" spans="4:5" ht="15.75" customHeight="1" x14ac:dyDescent="0.2">
      <c r="D423" s="12"/>
      <c r="E423" s="13" t="str">
        <f>IFERROR(VLOOKUP($D423,'Data NEW'!$B$2:$K$210,2,FALSE),"")</f>
        <v/>
      </c>
    </row>
    <row r="424" spans="4:5" ht="15.75" customHeight="1" x14ac:dyDescent="0.2">
      <c r="D424" s="12"/>
      <c r="E424" s="13" t="str">
        <f>IFERROR(VLOOKUP($D424,'Data NEW'!$B$2:$K$210,2,FALSE),"")</f>
        <v/>
      </c>
    </row>
    <row r="425" spans="4:5" ht="15.75" customHeight="1" x14ac:dyDescent="0.2">
      <c r="D425" s="12"/>
      <c r="E425" s="13" t="str">
        <f>IFERROR(VLOOKUP($D425,'Data NEW'!$B$2:$K$210,2,FALSE),"")</f>
        <v/>
      </c>
    </row>
    <row r="426" spans="4:5" ht="15.75" customHeight="1" x14ac:dyDescent="0.2">
      <c r="D426" s="12"/>
      <c r="E426" s="13" t="str">
        <f>IFERROR(VLOOKUP($D426,'Data NEW'!$B$2:$K$210,2,FALSE),"")</f>
        <v/>
      </c>
    </row>
    <row r="427" spans="4:5" ht="15.75" customHeight="1" x14ac:dyDescent="0.2">
      <c r="D427" s="12"/>
      <c r="E427" s="13" t="str">
        <f>IFERROR(VLOOKUP($D427,'Data NEW'!$B$2:$K$210,2,FALSE),"")</f>
        <v/>
      </c>
    </row>
    <row r="428" spans="4:5" ht="15.75" customHeight="1" x14ac:dyDescent="0.2">
      <c r="D428" s="12"/>
      <c r="E428" s="13" t="str">
        <f>IFERROR(VLOOKUP($D428,'Data NEW'!$B$2:$K$210,2,FALSE),"")</f>
        <v/>
      </c>
    </row>
    <row r="429" spans="4:5" ht="15.75" customHeight="1" x14ac:dyDescent="0.2">
      <c r="D429" s="12"/>
      <c r="E429" s="13" t="str">
        <f>IFERROR(VLOOKUP($D429,'Data NEW'!$B$2:$K$210,2,FALSE),"")</f>
        <v/>
      </c>
    </row>
    <row r="430" spans="4:5" ht="15.75" customHeight="1" x14ac:dyDescent="0.2">
      <c r="D430" s="12"/>
      <c r="E430" s="13" t="str">
        <f>IFERROR(VLOOKUP($D430,'Data NEW'!$B$2:$K$210,2,FALSE),"")</f>
        <v/>
      </c>
    </row>
    <row r="431" spans="4:5" ht="15.75" customHeight="1" x14ac:dyDescent="0.2">
      <c r="D431" s="12"/>
      <c r="E431" s="13" t="str">
        <f>IFERROR(VLOOKUP($D431,'Data NEW'!$B$2:$K$210,2,FALSE),"")</f>
        <v/>
      </c>
    </row>
    <row r="432" spans="4:5" ht="15.75" customHeight="1" x14ac:dyDescent="0.2">
      <c r="D432" s="12"/>
      <c r="E432" s="13" t="str">
        <f>IFERROR(VLOOKUP($D432,'Data NEW'!$B$2:$K$210,2,FALSE),"")</f>
        <v/>
      </c>
    </row>
    <row r="433" spans="4:5" ht="15.75" customHeight="1" x14ac:dyDescent="0.2">
      <c r="D433" s="12"/>
      <c r="E433" s="13" t="str">
        <f>IFERROR(VLOOKUP($D433,'Data NEW'!$B$2:$K$210,2,FALSE),"")</f>
        <v/>
      </c>
    </row>
    <row r="434" spans="4:5" ht="15.75" customHeight="1" x14ac:dyDescent="0.2">
      <c r="D434" s="12"/>
      <c r="E434" s="13" t="str">
        <f>IFERROR(VLOOKUP($D434,'Data NEW'!$B$2:$K$210,2,FALSE),"")</f>
        <v/>
      </c>
    </row>
    <row r="435" spans="4:5" ht="15.75" customHeight="1" x14ac:dyDescent="0.2">
      <c r="D435" s="12"/>
      <c r="E435" s="13" t="str">
        <f>IFERROR(VLOOKUP($D435,'Data NEW'!$B$2:$K$210,2,FALSE),"")</f>
        <v/>
      </c>
    </row>
    <row r="436" spans="4:5" ht="15.75" customHeight="1" x14ac:dyDescent="0.2">
      <c r="D436" s="12"/>
      <c r="E436" s="13" t="str">
        <f>IFERROR(VLOOKUP($D436,'Data NEW'!$B$2:$K$210,2,FALSE),"")</f>
        <v/>
      </c>
    </row>
    <row r="437" spans="4:5" ht="15.75" customHeight="1" x14ac:dyDescent="0.2">
      <c r="D437" s="12"/>
      <c r="E437" s="13" t="str">
        <f>IFERROR(VLOOKUP($D437,'Data NEW'!$B$2:$K$210,2,FALSE),"")</f>
        <v/>
      </c>
    </row>
    <row r="438" spans="4:5" ht="15.75" customHeight="1" x14ac:dyDescent="0.2">
      <c r="D438" s="12"/>
      <c r="E438" s="13" t="str">
        <f>IFERROR(VLOOKUP($D438,'Data NEW'!$B$2:$K$210,2,FALSE),"")</f>
        <v/>
      </c>
    </row>
    <row r="439" spans="4:5" ht="15.75" customHeight="1" x14ac:dyDescent="0.2">
      <c r="D439" s="12"/>
      <c r="E439" s="13" t="str">
        <f>IFERROR(VLOOKUP($D439,'Data NEW'!$B$2:$K$210,2,FALSE),"")</f>
        <v/>
      </c>
    </row>
    <row r="440" spans="4:5" ht="15.75" customHeight="1" x14ac:dyDescent="0.2">
      <c r="D440" s="12"/>
      <c r="E440" s="13" t="str">
        <f>IFERROR(VLOOKUP($D440,'Data NEW'!$B$2:$K$210,2,FALSE),"")</f>
        <v/>
      </c>
    </row>
    <row r="441" spans="4:5" ht="15.75" customHeight="1" x14ac:dyDescent="0.2">
      <c r="D441" s="12"/>
      <c r="E441" s="13" t="str">
        <f>IFERROR(VLOOKUP($D441,'Data NEW'!$B$2:$K$210,2,FALSE),"")</f>
        <v/>
      </c>
    </row>
    <row r="442" spans="4:5" ht="15.75" customHeight="1" x14ac:dyDescent="0.2">
      <c r="D442" s="12"/>
      <c r="E442" s="13" t="str">
        <f>IFERROR(VLOOKUP($D442,'Data NEW'!$B$2:$K$210,2,FALSE),"")</f>
        <v/>
      </c>
    </row>
    <row r="443" spans="4:5" ht="15.75" customHeight="1" x14ac:dyDescent="0.2">
      <c r="D443" s="12"/>
      <c r="E443" s="13" t="str">
        <f>IFERROR(VLOOKUP($D443,'Data NEW'!$B$2:$K$210,2,FALSE),"")</f>
        <v/>
      </c>
    </row>
    <row r="444" spans="4:5" ht="15.75" customHeight="1" x14ac:dyDescent="0.2">
      <c r="D444" s="12"/>
      <c r="E444" s="13" t="str">
        <f>IFERROR(VLOOKUP($D444,'Data NEW'!$B$2:$K$210,2,FALSE),"")</f>
        <v/>
      </c>
    </row>
    <row r="445" spans="4:5" ht="15.75" customHeight="1" x14ac:dyDescent="0.2">
      <c r="D445" s="12"/>
      <c r="E445" s="13" t="str">
        <f>IFERROR(VLOOKUP($D445,'Data NEW'!$B$2:$K$210,2,FALSE),"")</f>
        <v/>
      </c>
    </row>
    <row r="446" spans="4:5" ht="15.75" customHeight="1" x14ac:dyDescent="0.2">
      <c r="D446" s="12"/>
      <c r="E446" s="13" t="str">
        <f>IFERROR(VLOOKUP($D446,'Data NEW'!$B$2:$K$210,2,FALSE),"")</f>
        <v/>
      </c>
    </row>
    <row r="447" spans="4:5" ht="15.75" customHeight="1" x14ac:dyDescent="0.2">
      <c r="D447" s="12"/>
      <c r="E447" s="13" t="str">
        <f>IFERROR(VLOOKUP($D447,'Data NEW'!$B$2:$K$210,2,FALSE),"")</f>
        <v/>
      </c>
    </row>
    <row r="448" spans="4:5" ht="15.75" customHeight="1" x14ac:dyDescent="0.2">
      <c r="D448" s="12"/>
      <c r="E448" s="13" t="str">
        <f>IFERROR(VLOOKUP($D448,'Data NEW'!$B$2:$K$210,2,FALSE),"")</f>
        <v/>
      </c>
    </row>
    <row r="449" spans="4:5" ht="15.75" customHeight="1" x14ac:dyDescent="0.2">
      <c r="D449" s="12"/>
      <c r="E449" s="13" t="str">
        <f>IFERROR(VLOOKUP($D449,'Data NEW'!$B$2:$K$210,2,FALSE),"")</f>
        <v/>
      </c>
    </row>
    <row r="450" spans="4:5" ht="15.75" customHeight="1" x14ac:dyDescent="0.2">
      <c r="D450" s="12"/>
      <c r="E450" s="13" t="str">
        <f>IFERROR(VLOOKUP($D450,'Data NEW'!$B$2:$K$210,2,FALSE),"")</f>
        <v/>
      </c>
    </row>
    <row r="451" spans="4:5" ht="15.75" customHeight="1" x14ac:dyDescent="0.2">
      <c r="D451" s="12"/>
      <c r="E451" s="13" t="str">
        <f>IFERROR(VLOOKUP($D451,'Data NEW'!$B$2:$K$210,2,FALSE),"")</f>
        <v/>
      </c>
    </row>
    <row r="452" spans="4:5" ht="15.75" customHeight="1" x14ac:dyDescent="0.2">
      <c r="D452" s="12"/>
      <c r="E452" s="13" t="str">
        <f>IFERROR(VLOOKUP($D452,'Data NEW'!$B$2:$K$210,2,FALSE),"")</f>
        <v/>
      </c>
    </row>
    <row r="453" spans="4:5" ht="15.75" customHeight="1" x14ac:dyDescent="0.2">
      <c r="D453" s="12"/>
      <c r="E453" s="13" t="str">
        <f>IFERROR(VLOOKUP($D453,'Data NEW'!$B$2:$K$210,2,FALSE),"")</f>
        <v/>
      </c>
    </row>
    <row r="454" spans="4:5" ht="15.75" customHeight="1" x14ac:dyDescent="0.2">
      <c r="D454" s="12"/>
      <c r="E454" s="13" t="str">
        <f>IFERROR(VLOOKUP($D454,'Data NEW'!$B$2:$K$210,2,FALSE),"")</f>
        <v/>
      </c>
    </row>
    <row r="455" spans="4:5" ht="15.75" customHeight="1" x14ac:dyDescent="0.2">
      <c r="D455" s="12"/>
      <c r="E455" s="13" t="str">
        <f>IFERROR(VLOOKUP($D455,'Data NEW'!$B$2:$K$210,2,FALSE),"")</f>
        <v/>
      </c>
    </row>
    <row r="456" spans="4:5" ht="15.75" customHeight="1" x14ac:dyDescent="0.2">
      <c r="D456" s="12"/>
      <c r="E456" s="13" t="str">
        <f>IFERROR(VLOOKUP($D456,'Data NEW'!$B$2:$K$210,2,FALSE),"")</f>
        <v/>
      </c>
    </row>
    <row r="457" spans="4:5" ht="15.75" customHeight="1" x14ac:dyDescent="0.2">
      <c r="D457" s="12"/>
      <c r="E457" s="13" t="str">
        <f>IFERROR(VLOOKUP($D457,'Data NEW'!$B$2:$K$210,2,FALSE),"")</f>
        <v/>
      </c>
    </row>
    <row r="458" spans="4:5" ht="15.75" customHeight="1" x14ac:dyDescent="0.2">
      <c r="D458" s="12"/>
      <c r="E458" s="13" t="str">
        <f>IFERROR(VLOOKUP($D458,'Data NEW'!$B$2:$K$210,2,FALSE),"")</f>
        <v/>
      </c>
    </row>
    <row r="459" spans="4:5" ht="15.75" customHeight="1" x14ac:dyDescent="0.2">
      <c r="D459" s="12"/>
      <c r="E459" s="13" t="str">
        <f>IFERROR(VLOOKUP($D459,'Data NEW'!$B$2:$K$210,2,FALSE),"")</f>
        <v/>
      </c>
    </row>
    <row r="460" spans="4:5" ht="15.75" customHeight="1" x14ac:dyDescent="0.2">
      <c r="D460" s="12"/>
      <c r="E460" s="13" t="str">
        <f>IFERROR(VLOOKUP($D460,'Data NEW'!$B$2:$K$210,2,FALSE),"")</f>
        <v/>
      </c>
    </row>
    <row r="461" spans="4:5" ht="15.75" customHeight="1" x14ac:dyDescent="0.2">
      <c r="D461" s="12"/>
      <c r="E461" s="13" t="str">
        <f>IFERROR(VLOOKUP($D461,'Data NEW'!$B$2:$K$210,2,FALSE),"")</f>
        <v/>
      </c>
    </row>
    <row r="462" spans="4:5" ht="15.75" customHeight="1" x14ac:dyDescent="0.2">
      <c r="D462" s="12"/>
      <c r="E462" s="13" t="str">
        <f>IFERROR(VLOOKUP($D462,'Data NEW'!$B$2:$K$210,2,FALSE),"")</f>
        <v/>
      </c>
    </row>
    <row r="463" spans="4:5" ht="15.75" customHeight="1" x14ac:dyDescent="0.2">
      <c r="D463" s="12"/>
      <c r="E463" s="13" t="str">
        <f>IFERROR(VLOOKUP($D463,'Data NEW'!$B$2:$K$210,2,FALSE),"")</f>
        <v/>
      </c>
    </row>
    <row r="464" spans="4:5" ht="15.75" customHeight="1" x14ac:dyDescent="0.2">
      <c r="D464" s="12"/>
      <c r="E464" s="13" t="str">
        <f>IFERROR(VLOOKUP($D464,'Data NEW'!$B$2:$K$210,2,FALSE),"")</f>
        <v/>
      </c>
    </row>
    <row r="465" spans="4:5" ht="15.75" customHeight="1" x14ac:dyDescent="0.2">
      <c r="D465" s="12"/>
      <c r="E465" s="13" t="str">
        <f>IFERROR(VLOOKUP($D465,'Data NEW'!$B$2:$K$210,2,FALSE),"")</f>
        <v/>
      </c>
    </row>
    <row r="466" spans="4:5" ht="15.75" customHeight="1" x14ac:dyDescent="0.2">
      <c r="D466" s="12"/>
      <c r="E466" s="13" t="str">
        <f>IFERROR(VLOOKUP($D466,'Data NEW'!$B$2:$K$210,2,FALSE),"")</f>
        <v/>
      </c>
    </row>
    <row r="467" spans="4:5" ht="15.75" customHeight="1" x14ac:dyDescent="0.2">
      <c r="D467" s="12"/>
      <c r="E467" s="13" t="str">
        <f>IFERROR(VLOOKUP($D467,'Data NEW'!$B$2:$K$210,2,FALSE),"")</f>
        <v/>
      </c>
    </row>
    <row r="468" spans="4:5" ht="15.75" customHeight="1" x14ac:dyDescent="0.2">
      <c r="D468" s="12"/>
      <c r="E468" s="13" t="str">
        <f>IFERROR(VLOOKUP($D468,'Data NEW'!$B$2:$K$210,2,FALSE),"")</f>
        <v/>
      </c>
    </row>
    <row r="469" spans="4:5" ht="15.75" customHeight="1" x14ac:dyDescent="0.2">
      <c r="D469" s="12"/>
      <c r="E469" s="13" t="str">
        <f>IFERROR(VLOOKUP($D469,'Data NEW'!$B$2:$K$210,2,FALSE),"")</f>
        <v/>
      </c>
    </row>
    <row r="470" spans="4:5" ht="15.75" customHeight="1" x14ac:dyDescent="0.2">
      <c r="D470" s="12"/>
      <c r="E470" s="13" t="str">
        <f>IFERROR(VLOOKUP($D470,'Data NEW'!$B$2:$K$210,2,FALSE),"")</f>
        <v/>
      </c>
    </row>
    <row r="471" spans="4:5" ht="15.75" customHeight="1" x14ac:dyDescent="0.2">
      <c r="D471" s="12"/>
      <c r="E471" s="13" t="str">
        <f>IFERROR(VLOOKUP($D471,'Data NEW'!$B$2:$K$210,2,FALSE),"")</f>
        <v/>
      </c>
    </row>
    <row r="472" spans="4:5" ht="15.75" customHeight="1" x14ac:dyDescent="0.2">
      <c r="D472" s="12"/>
      <c r="E472" s="13" t="str">
        <f>IFERROR(VLOOKUP($D472,'Data NEW'!$B$2:$K$210,2,FALSE),"")</f>
        <v/>
      </c>
    </row>
    <row r="473" spans="4:5" ht="15.75" customHeight="1" x14ac:dyDescent="0.2">
      <c r="D473" s="12"/>
      <c r="E473" s="13" t="str">
        <f>IFERROR(VLOOKUP($D473,'Data NEW'!$B$2:$K$210,2,FALSE),"")</f>
        <v/>
      </c>
    </row>
    <row r="474" spans="4:5" ht="15.75" customHeight="1" x14ac:dyDescent="0.2">
      <c r="D474" s="12"/>
      <c r="E474" s="13" t="str">
        <f>IFERROR(VLOOKUP($D474,'Data NEW'!$B$2:$K$210,2,FALSE),"")</f>
        <v/>
      </c>
    </row>
    <row r="475" spans="4:5" ht="15.75" customHeight="1" x14ac:dyDescent="0.2">
      <c r="D475" s="12"/>
      <c r="E475" s="13" t="str">
        <f>IFERROR(VLOOKUP($D475,'Data NEW'!$B$2:$K$210,2,FALSE),"")</f>
        <v/>
      </c>
    </row>
    <row r="476" spans="4:5" ht="15.75" customHeight="1" x14ac:dyDescent="0.2">
      <c r="D476" s="12"/>
      <c r="E476" s="13" t="str">
        <f>IFERROR(VLOOKUP($D476,'Data NEW'!$B$2:$K$210,2,FALSE),"")</f>
        <v/>
      </c>
    </row>
    <row r="477" spans="4:5" ht="15.75" customHeight="1" x14ac:dyDescent="0.2">
      <c r="D477" s="12"/>
      <c r="E477" s="13" t="str">
        <f>IFERROR(VLOOKUP($D477,'Data NEW'!$B$2:$K$210,2,FALSE),"")</f>
        <v/>
      </c>
    </row>
    <row r="478" spans="4:5" ht="15.75" customHeight="1" x14ac:dyDescent="0.2">
      <c r="D478" s="12"/>
      <c r="E478" s="13" t="str">
        <f>IFERROR(VLOOKUP($D478,'Data NEW'!$B$2:$K$210,2,FALSE),"")</f>
        <v/>
      </c>
    </row>
    <row r="479" spans="4:5" ht="15.75" customHeight="1" x14ac:dyDescent="0.2">
      <c r="D479" s="12"/>
      <c r="E479" s="13" t="str">
        <f>IFERROR(VLOOKUP($D479,'Data NEW'!$B$2:$K$210,2,FALSE),"")</f>
        <v/>
      </c>
    </row>
    <row r="480" spans="4:5" ht="15.75" customHeight="1" x14ac:dyDescent="0.2">
      <c r="D480" s="12"/>
      <c r="E480" s="13" t="str">
        <f>IFERROR(VLOOKUP($D480,'Data NEW'!$B$2:$K$210,2,FALSE),"")</f>
        <v/>
      </c>
    </row>
    <row r="481" spans="4:5" ht="15.75" customHeight="1" x14ac:dyDescent="0.2">
      <c r="D481" s="12"/>
      <c r="E481" s="13" t="str">
        <f>IFERROR(VLOOKUP($D481,'Data NEW'!$B$2:$K$210,2,FALSE),"")</f>
        <v/>
      </c>
    </row>
    <row r="482" spans="4:5" ht="15.75" customHeight="1" x14ac:dyDescent="0.2">
      <c r="D482" s="12"/>
      <c r="E482" s="13" t="str">
        <f>IFERROR(VLOOKUP($D482,'Data NEW'!$B$2:$K$210,2,FALSE),"")</f>
        <v/>
      </c>
    </row>
    <row r="483" spans="4:5" ht="15.75" customHeight="1" x14ac:dyDescent="0.2">
      <c r="D483" s="12"/>
      <c r="E483" s="13" t="str">
        <f>IFERROR(VLOOKUP($D483,'Data NEW'!$B$2:$K$210,2,FALSE),"")</f>
        <v/>
      </c>
    </row>
    <row r="484" spans="4:5" ht="15.75" customHeight="1" x14ac:dyDescent="0.2">
      <c r="D484" s="12"/>
      <c r="E484" s="13" t="str">
        <f>IFERROR(VLOOKUP($D484,'Data NEW'!$B$2:$K$210,2,FALSE),"")</f>
        <v/>
      </c>
    </row>
    <row r="485" spans="4:5" ht="15.75" customHeight="1" x14ac:dyDescent="0.2">
      <c r="D485" s="12"/>
      <c r="E485" s="13" t="str">
        <f>IFERROR(VLOOKUP($D485,'Data NEW'!$B$2:$K$210,2,FALSE),"")</f>
        <v/>
      </c>
    </row>
    <row r="486" spans="4:5" ht="15.75" customHeight="1" x14ac:dyDescent="0.2">
      <c r="D486" s="12"/>
      <c r="E486" s="13" t="str">
        <f>IFERROR(VLOOKUP($D486,'Data NEW'!$B$2:$K$210,2,FALSE),"")</f>
        <v/>
      </c>
    </row>
    <row r="487" spans="4:5" ht="15.75" customHeight="1" x14ac:dyDescent="0.2">
      <c r="D487" s="12"/>
      <c r="E487" s="13" t="str">
        <f>IFERROR(VLOOKUP($D487,'Data NEW'!$B$2:$K$210,2,FALSE),"")</f>
        <v/>
      </c>
    </row>
    <row r="488" spans="4:5" ht="15.75" customHeight="1" x14ac:dyDescent="0.2">
      <c r="D488" s="12"/>
      <c r="E488" s="13" t="str">
        <f>IFERROR(VLOOKUP($D488,'Data NEW'!$B$2:$K$210,2,FALSE),"")</f>
        <v/>
      </c>
    </row>
    <row r="489" spans="4:5" ht="15.75" customHeight="1" x14ac:dyDescent="0.2">
      <c r="D489" s="12"/>
      <c r="E489" s="13" t="str">
        <f>IFERROR(VLOOKUP($D489,'Data NEW'!$B$2:$K$210,2,FALSE),"")</f>
        <v/>
      </c>
    </row>
    <row r="490" spans="4:5" ht="15.75" customHeight="1" x14ac:dyDescent="0.2">
      <c r="D490" s="12"/>
      <c r="E490" s="13" t="str">
        <f>IFERROR(VLOOKUP($D490,'Data NEW'!$B$2:$K$210,2,FALSE),"")</f>
        <v/>
      </c>
    </row>
    <row r="491" spans="4:5" ht="15.75" customHeight="1" x14ac:dyDescent="0.2">
      <c r="D491" s="12"/>
      <c r="E491" s="13" t="str">
        <f>IFERROR(VLOOKUP($D491,'Data NEW'!$B$2:$K$210,2,FALSE),"")</f>
        <v/>
      </c>
    </row>
    <row r="492" spans="4:5" ht="15.75" customHeight="1" x14ac:dyDescent="0.2">
      <c r="D492" s="12"/>
      <c r="E492" s="13" t="str">
        <f>IFERROR(VLOOKUP($D492,'Data NEW'!$B$2:$K$210,2,FALSE),"")</f>
        <v/>
      </c>
    </row>
    <row r="493" spans="4:5" ht="15.75" customHeight="1" x14ac:dyDescent="0.2">
      <c r="D493" s="12"/>
      <c r="E493" s="13" t="str">
        <f>IFERROR(VLOOKUP($D493,'Data NEW'!$B$2:$K$210,2,FALSE),"")</f>
        <v/>
      </c>
    </row>
    <row r="494" spans="4:5" ht="15.75" customHeight="1" x14ac:dyDescent="0.2">
      <c r="D494" s="12"/>
      <c r="E494" s="13" t="str">
        <f>IFERROR(VLOOKUP($D494,'Data NEW'!$B$2:$K$210,2,FALSE),"")</f>
        <v/>
      </c>
    </row>
    <row r="495" spans="4:5" ht="15.75" customHeight="1" x14ac:dyDescent="0.2">
      <c r="D495" s="12"/>
      <c r="E495" s="13" t="str">
        <f>IFERROR(VLOOKUP($D495,'Data NEW'!$B$2:$K$210,2,FALSE),"")</f>
        <v/>
      </c>
    </row>
    <row r="496" spans="4:5" ht="15.75" customHeight="1" x14ac:dyDescent="0.2">
      <c r="D496" s="12"/>
      <c r="E496" s="13" t="str">
        <f>IFERROR(VLOOKUP($D496,'Data NEW'!$B$2:$K$210,2,FALSE),"")</f>
        <v/>
      </c>
    </row>
    <row r="497" spans="4:5" ht="15.75" customHeight="1" x14ac:dyDescent="0.2">
      <c r="D497" s="12"/>
      <c r="E497" s="13" t="str">
        <f>IFERROR(VLOOKUP($D497,'Data NEW'!$B$2:$K$210,2,FALSE),"")</f>
        <v/>
      </c>
    </row>
    <row r="498" spans="4:5" ht="15.75" customHeight="1" x14ac:dyDescent="0.2">
      <c r="D498" s="12"/>
      <c r="E498" s="13" t="str">
        <f>IFERROR(VLOOKUP($D498,'Data NEW'!$B$2:$K$210,2,FALSE),"")</f>
        <v/>
      </c>
    </row>
    <row r="499" spans="4:5" ht="15.75" customHeight="1" x14ac:dyDescent="0.2">
      <c r="D499" s="12"/>
      <c r="E499" s="13" t="str">
        <f>IFERROR(VLOOKUP($D499,'Data NEW'!$B$2:$K$210,2,FALSE),"")</f>
        <v/>
      </c>
    </row>
    <row r="500" spans="4:5" ht="15.75" customHeight="1" x14ac:dyDescent="0.2">
      <c r="D500" s="12"/>
      <c r="E500" s="13" t="str">
        <f>IFERROR(VLOOKUP($D500,'Data NEW'!$B$2:$K$210,2,FALSE),"")</f>
        <v/>
      </c>
    </row>
    <row r="501" spans="4:5" ht="15.75" customHeight="1" x14ac:dyDescent="0.2">
      <c r="D501" s="12"/>
      <c r="E501" s="13" t="str">
        <f>IFERROR(VLOOKUP($D501,'Data NEW'!$B$2:$K$210,2,FALSE),"")</f>
        <v/>
      </c>
    </row>
    <row r="502" spans="4:5" ht="15.75" customHeight="1" x14ac:dyDescent="0.2">
      <c r="D502" s="12"/>
      <c r="E502" s="13" t="str">
        <f>IFERROR(VLOOKUP($D502,'Data NEW'!$B$2:$K$210,2,FALSE),"")</f>
        <v/>
      </c>
    </row>
    <row r="503" spans="4:5" ht="15.75" customHeight="1" x14ac:dyDescent="0.2">
      <c r="D503" s="12"/>
      <c r="E503" s="13" t="str">
        <f>IFERROR(VLOOKUP($D503,'Data NEW'!$B$2:$K$210,2,FALSE),"")</f>
        <v/>
      </c>
    </row>
    <row r="504" spans="4:5" ht="15.75" customHeight="1" x14ac:dyDescent="0.2">
      <c r="D504" s="12"/>
      <c r="E504" s="13" t="str">
        <f>IFERROR(VLOOKUP($D504,'Data NEW'!$B$2:$K$210,2,FALSE),"")</f>
        <v/>
      </c>
    </row>
    <row r="505" spans="4:5" ht="15.75" customHeight="1" x14ac:dyDescent="0.2">
      <c r="D505" s="12"/>
      <c r="E505" s="13" t="str">
        <f>IFERROR(VLOOKUP($D505,'Data NEW'!$B$2:$K$210,2,FALSE),"")</f>
        <v/>
      </c>
    </row>
    <row r="506" spans="4:5" ht="15.75" customHeight="1" x14ac:dyDescent="0.2">
      <c r="D506" s="12"/>
      <c r="E506" s="13" t="str">
        <f>IFERROR(VLOOKUP($D506,'Data NEW'!$B$2:$K$210,2,FALSE),"")</f>
        <v/>
      </c>
    </row>
    <row r="507" spans="4:5" ht="15.75" customHeight="1" x14ac:dyDescent="0.2">
      <c r="D507" s="12"/>
      <c r="E507" s="13" t="str">
        <f>IFERROR(VLOOKUP($D507,'Data NEW'!$B$2:$K$210,2,FALSE),"")</f>
        <v/>
      </c>
    </row>
    <row r="508" spans="4:5" ht="15.75" customHeight="1" x14ac:dyDescent="0.2">
      <c r="D508" s="12"/>
      <c r="E508" s="13" t="str">
        <f>IFERROR(VLOOKUP($D508,'Data NEW'!$B$2:$K$210,2,FALSE),"")</f>
        <v/>
      </c>
    </row>
    <row r="509" spans="4:5" ht="15.75" customHeight="1" x14ac:dyDescent="0.2">
      <c r="D509" s="12"/>
      <c r="E509" s="13" t="str">
        <f>IFERROR(VLOOKUP($D509,'Data NEW'!$B$2:$K$210,2,FALSE),"")</f>
        <v/>
      </c>
    </row>
    <row r="510" spans="4:5" ht="15.75" customHeight="1" x14ac:dyDescent="0.2">
      <c r="D510" s="12"/>
      <c r="E510" s="13" t="str">
        <f>IFERROR(VLOOKUP($D510,'Data NEW'!$B$2:$K$210,2,FALSE),"")</f>
        <v/>
      </c>
    </row>
    <row r="511" spans="4:5" ht="15.75" customHeight="1" x14ac:dyDescent="0.2">
      <c r="D511" s="12"/>
      <c r="E511" s="13" t="str">
        <f>IFERROR(VLOOKUP($D511,'Data NEW'!$B$2:$K$210,2,FALSE),"")</f>
        <v/>
      </c>
    </row>
    <row r="512" spans="4:5" ht="15.75" customHeight="1" x14ac:dyDescent="0.2">
      <c r="D512" s="12"/>
      <c r="E512" s="13" t="str">
        <f>IFERROR(VLOOKUP($D512,'Data NEW'!$B$2:$K$210,2,FALSE),"")</f>
        <v/>
      </c>
    </row>
    <row r="513" spans="4:5" ht="15.75" customHeight="1" x14ac:dyDescent="0.2">
      <c r="D513" s="12"/>
      <c r="E513" s="13" t="str">
        <f>IFERROR(VLOOKUP($D513,'Data NEW'!$B$2:$K$210,2,FALSE),"")</f>
        <v/>
      </c>
    </row>
    <row r="514" spans="4:5" ht="15.75" customHeight="1" x14ac:dyDescent="0.2">
      <c r="D514" s="12"/>
      <c r="E514" s="13" t="str">
        <f>IFERROR(VLOOKUP($D514,'Data NEW'!$B$2:$K$210,2,FALSE),"")</f>
        <v/>
      </c>
    </row>
    <row r="515" spans="4:5" ht="15.75" customHeight="1" x14ac:dyDescent="0.2">
      <c r="D515" s="12"/>
      <c r="E515" s="13" t="str">
        <f>IFERROR(VLOOKUP($D515,'Data NEW'!$B$2:$K$210,2,FALSE),"")</f>
        <v/>
      </c>
    </row>
    <row r="516" spans="4:5" ht="15.75" customHeight="1" x14ac:dyDescent="0.2">
      <c r="D516" s="12"/>
      <c r="E516" s="13" t="str">
        <f>IFERROR(VLOOKUP($D516,'Data NEW'!$B$2:$K$210,2,FALSE),"")</f>
        <v/>
      </c>
    </row>
    <row r="517" spans="4:5" ht="15.75" customHeight="1" x14ac:dyDescent="0.2">
      <c r="D517" s="12"/>
      <c r="E517" s="13" t="str">
        <f>IFERROR(VLOOKUP($D517,'Data NEW'!$B$2:$K$210,2,FALSE),"")</f>
        <v/>
      </c>
    </row>
    <row r="518" spans="4:5" ht="15.75" customHeight="1" x14ac:dyDescent="0.2">
      <c r="D518" s="12"/>
      <c r="E518" s="13" t="str">
        <f>IFERROR(VLOOKUP($D518,'Data NEW'!$B$2:$K$210,2,FALSE),"")</f>
        <v/>
      </c>
    </row>
    <row r="519" spans="4:5" ht="15.75" customHeight="1" x14ac:dyDescent="0.2">
      <c r="D519" s="12"/>
      <c r="E519" s="13" t="str">
        <f>IFERROR(VLOOKUP($D519,'Data NEW'!$B$2:$K$210,2,FALSE),"")</f>
        <v/>
      </c>
    </row>
    <row r="520" spans="4:5" ht="15.75" customHeight="1" x14ac:dyDescent="0.2">
      <c r="D520" s="12"/>
      <c r="E520" s="13" t="str">
        <f>IFERROR(VLOOKUP($D520,'Data NEW'!$B$2:$K$210,2,FALSE),"")</f>
        <v/>
      </c>
    </row>
    <row r="521" spans="4:5" ht="15.75" customHeight="1" x14ac:dyDescent="0.2">
      <c r="D521" s="12"/>
      <c r="E521" s="13" t="str">
        <f>IFERROR(VLOOKUP($D521,'Data NEW'!$B$2:$K$210,2,FALSE),"")</f>
        <v/>
      </c>
    </row>
    <row r="522" spans="4:5" ht="15.75" customHeight="1" x14ac:dyDescent="0.2">
      <c r="D522" s="12"/>
      <c r="E522" s="13" t="str">
        <f>IFERROR(VLOOKUP($D522,'Data NEW'!$B$2:$K$210,2,FALSE),"")</f>
        <v/>
      </c>
    </row>
    <row r="523" spans="4:5" ht="15.75" customHeight="1" x14ac:dyDescent="0.2">
      <c r="D523" s="12"/>
      <c r="E523" s="13" t="str">
        <f>IFERROR(VLOOKUP($D523,'Data NEW'!$B$2:$K$210,2,FALSE),"")</f>
        <v/>
      </c>
    </row>
    <row r="524" spans="4:5" ht="15.75" customHeight="1" x14ac:dyDescent="0.2">
      <c r="D524" s="12"/>
      <c r="E524" s="13" t="str">
        <f>IFERROR(VLOOKUP($D524,'Data NEW'!$B$2:$K$210,2,FALSE),"")</f>
        <v/>
      </c>
    </row>
    <row r="525" spans="4:5" ht="15.75" customHeight="1" x14ac:dyDescent="0.2">
      <c r="D525" s="12"/>
      <c r="E525" s="13" t="str">
        <f>IFERROR(VLOOKUP($D525,'Data NEW'!$B$2:$K$210,2,FALSE),"")</f>
        <v/>
      </c>
    </row>
    <row r="526" spans="4:5" ht="15.75" customHeight="1" x14ac:dyDescent="0.2">
      <c r="D526" s="12"/>
      <c r="E526" s="13" t="str">
        <f>IFERROR(VLOOKUP($D526,'Data NEW'!$B$2:$K$210,2,FALSE),"")</f>
        <v/>
      </c>
    </row>
    <row r="527" spans="4:5" ht="15.75" customHeight="1" x14ac:dyDescent="0.2">
      <c r="D527" s="12"/>
      <c r="E527" s="13" t="str">
        <f>IFERROR(VLOOKUP($D527,'Data NEW'!$B$2:$K$210,2,FALSE),"")</f>
        <v/>
      </c>
    </row>
    <row r="528" spans="4:5" ht="15.75" customHeight="1" x14ac:dyDescent="0.2">
      <c r="D528" s="12"/>
      <c r="E528" s="13" t="str">
        <f>IFERROR(VLOOKUP($D528,'Data NEW'!$B$2:$K$210,2,FALSE),"")</f>
        <v/>
      </c>
    </row>
    <row r="529" spans="4:5" ht="15.75" customHeight="1" x14ac:dyDescent="0.2">
      <c r="D529" s="12"/>
      <c r="E529" s="13" t="str">
        <f>IFERROR(VLOOKUP($D529,'Data NEW'!$B$2:$K$210,2,FALSE),"")</f>
        <v/>
      </c>
    </row>
    <row r="530" spans="4:5" ht="15.75" customHeight="1" x14ac:dyDescent="0.2">
      <c r="D530" s="12"/>
      <c r="E530" s="13" t="str">
        <f>IFERROR(VLOOKUP($D530,'Data NEW'!$B$2:$K$210,2,FALSE),"")</f>
        <v/>
      </c>
    </row>
    <row r="531" spans="4:5" ht="15.75" customHeight="1" x14ac:dyDescent="0.2">
      <c r="D531" s="12"/>
      <c r="E531" s="13" t="str">
        <f>IFERROR(VLOOKUP($D531,'Data NEW'!$B$2:$K$210,2,FALSE),"")</f>
        <v/>
      </c>
    </row>
    <row r="532" spans="4:5" ht="15.75" customHeight="1" x14ac:dyDescent="0.2">
      <c r="D532" s="12"/>
      <c r="E532" s="13" t="str">
        <f>IFERROR(VLOOKUP($D532,'Data NEW'!$B$2:$K$210,2,FALSE),"")</f>
        <v/>
      </c>
    </row>
    <row r="533" spans="4:5" ht="15.75" customHeight="1" x14ac:dyDescent="0.2">
      <c r="D533" s="12"/>
      <c r="E533" s="13" t="str">
        <f>IFERROR(VLOOKUP($D533,'Data NEW'!$B$2:$K$210,2,FALSE),"")</f>
        <v/>
      </c>
    </row>
    <row r="534" spans="4:5" ht="15.75" customHeight="1" x14ac:dyDescent="0.2">
      <c r="D534" s="12"/>
      <c r="E534" s="13" t="str">
        <f>IFERROR(VLOOKUP($D534,'Data NEW'!$B$2:$K$210,2,FALSE),"")</f>
        <v/>
      </c>
    </row>
    <row r="535" spans="4:5" ht="15.75" customHeight="1" x14ac:dyDescent="0.2">
      <c r="D535" s="12"/>
      <c r="E535" s="13" t="str">
        <f>IFERROR(VLOOKUP($D535,'Data NEW'!$B$2:$K$210,2,FALSE),"")</f>
        <v/>
      </c>
    </row>
    <row r="536" spans="4:5" ht="15.75" customHeight="1" x14ac:dyDescent="0.2">
      <c r="D536" s="12"/>
      <c r="E536" s="13" t="str">
        <f>IFERROR(VLOOKUP($D536,'Data NEW'!$B$2:$K$210,2,FALSE),"")</f>
        <v/>
      </c>
    </row>
    <row r="537" spans="4:5" ht="15.75" customHeight="1" x14ac:dyDescent="0.2">
      <c r="D537" s="12"/>
      <c r="E537" s="13" t="str">
        <f>IFERROR(VLOOKUP($D537,'Data NEW'!$B$2:$K$210,2,FALSE),"")</f>
        <v/>
      </c>
    </row>
    <row r="538" spans="4:5" ht="15.75" customHeight="1" x14ac:dyDescent="0.2">
      <c r="D538" s="12"/>
      <c r="E538" s="13" t="str">
        <f>IFERROR(VLOOKUP($D538,'Data NEW'!$B$2:$K$210,2,FALSE),"")</f>
        <v/>
      </c>
    </row>
    <row r="539" spans="4:5" ht="15.75" customHeight="1" x14ac:dyDescent="0.2">
      <c r="D539" s="12"/>
      <c r="E539" s="13" t="str">
        <f>IFERROR(VLOOKUP($D539,'Data NEW'!$B$2:$K$210,2,FALSE),"")</f>
        <v/>
      </c>
    </row>
    <row r="540" spans="4:5" ht="15.75" customHeight="1" x14ac:dyDescent="0.2">
      <c r="D540" s="12"/>
      <c r="E540" s="13" t="str">
        <f>IFERROR(VLOOKUP($D540,'Data NEW'!$B$2:$K$210,2,FALSE),"")</f>
        <v/>
      </c>
    </row>
    <row r="541" spans="4:5" ht="15.75" customHeight="1" x14ac:dyDescent="0.2">
      <c r="D541" s="12"/>
      <c r="E541" s="13" t="str">
        <f>IFERROR(VLOOKUP($D541,'Data NEW'!$B$2:$K$210,2,FALSE),"")</f>
        <v/>
      </c>
    </row>
    <row r="542" spans="4:5" ht="15.75" customHeight="1" x14ac:dyDescent="0.2">
      <c r="D542" s="12"/>
      <c r="E542" s="13" t="str">
        <f>IFERROR(VLOOKUP($D542,'Data NEW'!$B$2:$K$210,2,FALSE),"")</f>
        <v/>
      </c>
    </row>
    <row r="543" spans="4:5" ht="15.75" customHeight="1" x14ac:dyDescent="0.2">
      <c r="D543" s="12"/>
      <c r="E543" s="13" t="str">
        <f>IFERROR(VLOOKUP($D543,'Data NEW'!$B$2:$K$210,2,FALSE),"")</f>
        <v/>
      </c>
    </row>
    <row r="544" spans="4:5" ht="15.75" customHeight="1" x14ac:dyDescent="0.2">
      <c r="D544" s="12"/>
      <c r="E544" s="13" t="str">
        <f>IFERROR(VLOOKUP($D544,'Data NEW'!$B$2:$K$210,2,FALSE),"")</f>
        <v/>
      </c>
    </row>
    <row r="545" spans="4:5" ht="15.75" customHeight="1" x14ac:dyDescent="0.2">
      <c r="D545" s="12"/>
      <c r="E545" s="13" t="str">
        <f>IFERROR(VLOOKUP($D545,'Data NEW'!$B$2:$K$210,2,FALSE),"")</f>
        <v/>
      </c>
    </row>
    <row r="546" spans="4:5" ht="15.75" customHeight="1" x14ac:dyDescent="0.2">
      <c r="D546" s="12"/>
      <c r="E546" s="13" t="str">
        <f>IFERROR(VLOOKUP($D546,'Data NEW'!$B$2:$K$210,2,FALSE),"")</f>
        <v/>
      </c>
    </row>
    <row r="547" spans="4:5" ht="15.75" customHeight="1" x14ac:dyDescent="0.2">
      <c r="D547" s="12"/>
      <c r="E547" s="13" t="str">
        <f>IFERROR(VLOOKUP($D547,'Data NEW'!$B$2:$K$210,2,FALSE),"")</f>
        <v/>
      </c>
    </row>
    <row r="548" spans="4:5" ht="15.75" customHeight="1" x14ac:dyDescent="0.2">
      <c r="D548" s="12"/>
      <c r="E548" s="13" t="str">
        <f>IFERROR(VLOOKUP($D548,'Data NEW'!$B$2:$K$210,2,FALSE),"")</f>
        <v/>
      </c>
    </row>
    <row r="549" spans="4:5" ht="15.75" customHeight="1" x14ac:dyDescent="0.2">
      <c r="D549" s="12"/>
      <c r="E549" s="13" t="str">
        <f>IFERROR(VLOOKUP($D549,'Data NEW'!$B$2:$K$210,2,FALSE),"")</f>
        <v/>
      </c>
    </row>
    <row r="550" spans="4:5" ht="15.75" customHeight="1" x14ac:dyDescent="0.2">
      <c r="D550" s="12"/>
      <c r="E550" s="13" t="str">
        <f>IFERROR(VLOOKUP($D550,'Data NEW'!$B$2:$K$210,2,FALSE),"")</f>
        <v/>
      </c>
    </row>
    <row r="551" spans="4:5" ht="15.75" customHeight="1" x14ac:dyDescent="0.2">
      <c r="D551" s="12"/>
      <c r="E551" s="13" t="str">
        <f>IFERROR(VLOOKUP($D551,'Data NEW'!$B$2:$K$210,2,FALSE),"")</f>
        <v/>
      </c>
    </row>
    <row r="552" spans="4:5" ht="15.75" customHeight="1" x14ac:dyDescent="0.2">
      <c r="D552" s="12"/>
      <c r="E552" s="13" t="str">
        <f>IFERROR(VLOOKUP($D552,'Data NEW'!$B$2:$K$210,2,FALSE),"")</f>
        <v/>
      </c>
    </row>
    <row r="553" spans="4:5" ht="15.75" customHeight="1" x14ac:dyDescent="0.2">
      <c r="D553" s="12"/>
      <c r="E553" s="13" t="str">
        <f>IFERROR(VLOOKUP($D553,'Data NEW'!$B$2:$K$210,2,FALSE),"")</f>
        <v/>
      </c>
    </row>
    <row r="554" spans="4:5" ht="15.75" customHeight="1" x14ac:dyDescent="0.2">
      <c r="D554" s="12"/>
      <c r="E554" s="13" t="str">
        <f>IFERROR(VLOOKUP($D554,'Data NEW'!$B$2:$K$210,2,FALSE),"")</f>
        <v/>
      </c>
    </row>
    <row r="555" spans="4:5" ht="15.75" customHeight="1" x14ac:dyDescent="0.2">
      <c r="D555" s="12"/>
      <c r="E555" s="13" t="str">
        <f>IFERROR(VLOOKUP($D555,'Data NEW'!$B$2:$K$210,2,FALSE),"")</f>
        <v/>
      </c>
    </row>
    <row r="556" spans="4:5" ht="15.75" customHeight="1" x14ac:dyDescent="0.2">
      <c r="D556" s="12"/>
      <c r="E556" s="13" t="str">
        <f>IFERROR(VLOOKUP($D556,'Data NEW'!$B$2:$K$210,2,FALSE),"")</f>
        <v/>
      </c>
    </row>
    <row r="557" spans="4:5" ht="15.75" customHeight="1" x14ac:dyDescent="0.2">
      <c r="D557" s="12"/>
      <c r="E557" s="13" t="str">
        <f>IFERROR(VLOOKUP($D557,'Data NEW'!$B$2:$K$210,2,FALSE),"")</f>
        <v/>
      </c>
    </row>
    <row r="558" spans="4:5" ht="15.75" customHeight="1" x14ac:dyDescent="0.2">
      <c r="D558" s="12"/>
      <c r="E558" s="13" t="str">
        <f>IFERROR(VLOOKUP($D558,'Data NEW'!$B$2:$K$210,2,FALSE),"")</f>
        <v/>
      </c>
    </row>
    <row r="559" spans="4:5" ht="15.75" customHeight="1" x14ac:dyDescent="0.2">
      <c r="D559" s="12"/>
      <c r="E559" s="13" t="str">
        <f>IFERROR(VLOOKUP($D559,'Data NEW'!$B$2:$K$210,2,FALSE),"")</f>
        <v/>
      </c>
    </row>
    <row r="560" spans="4:5" ht="15.75" customHeight="1" x14ac:dyDescent="0.2">
      <c r="D560" s="12"/>
      <c r="E560" s="13" t="str">
        <f>IFERROR(VLOOKUP($D560,'Data NEW'!$B$2:$K$210,2,FALSE),"")</f>
        <v/>
      </c>
    </row>
    <row r="561" spans="4:5" ht="15.75" customHeight="1" x14ac:dyDescent="0.2">
      <c r="D561" s="12"/>
      <c r="E561" s="13" t="str">
        <f>IFERROR(VLOOKUP($D561,'Data NEW'!$B$2:$K$210,2,FALSE),"")</f>
        <v/>
      </c>
    </row>
    <row r="562" spans="4:5" ht="15.75" customHeight="1" x14ac:dyDescent="0.2">
      <c r="D562" s="12"/>
      <c r="E562" s="13" t="str">
        <f>IFERROR(VLOOKUP($D562,'Data NEW'!$B$2:$K$210,2,FALSE),"")</f>
        <v/>
      </c>
    </row>
    <row r="563" spans="4:5" ht="15.75" customHeight="1" x14ac:dyDescent="0.2">
      <c r="D563" s="12"/>
      <c r="E563" s="13" t="str">
        <f>IFERROR(VLOOKUP($D563,'Data NEW'!$B$2:$K$210,2,FALSE),"")</f>
        <v/>
      </c>
    </row>
    <row r="564" spans="4:5" ht="15.75" customHeight="1" x14ac:dyDescent="0.2">
      <c r="D564" s="12"/>
      <c r="E564" s="13" t="str">
        <f>IFERROR(VLOOKUP($D564,'Data NEW'!$B$2:$K$210,2,FALSE),"")</f>
        <v/>
      </c>
    </row>
    <row r="565" spans="4:5" ht="15.75" customHeight="1" x14ac:dyDescent="0.2">
      <c r="D565" s="12"/>
      <c r="E565" s="13" t="str">
        <f>IFERROR(VLOOKUP($D565,'Data NEW'!$B$2:$K$210,2,FALSE),"")</f>
        <v/>
      </c>
    </row>
    <row r="566" spans="4:5" ht="15.75" customHeight="1" x14ac:dyDescent="0.2">
      <c r="D566" s="12"/>
      <c r="E566" s="13" t="str">
        <f>IFERROR(VLOOKUP($D566,'Data NEW'!$B$2:$K$210,2,FALSE),"")</f>
        <v/>
      </c>
    </row>
    <row r="567" spans="4:5" ht="15.75" customHeight="1" x14ac:dyDescent="0.2">
      <c r="D567" s="12"/>
      <c r="E567" s="13" t="str">
        <f>IFERROR(VLOOKUP($D567,'Data NEW'!$B$2:$K$210,2,FALSE),"")</f>
        <v/>
      </c>
    </row>
    <row r="568" spans="4:5" ht="15.75" customHeight="1" x14ac:dyDescent="0.2">
      <c r="D568" s="12"/>
      <c r="E568" s="13" t="str">
        <f>IFERROR(VLOOKUP($D568,'Data NEW'!$B$2:$K$210,2,FALSE),"")</f>
        <v/>
      </c>
    </row>
    <row r="569" spans="4:5" ht="15.75" customHeight="1" x14ac:dyDescent="0.2">
      <c r="D569" s="12"/>
      <c r="E569" s="13" t="str">
        <f>IFERROR(VLOOKUP($D569,'Data NEW'!$B$2:$K$210,2,FALSE),"")</f>
        <v/>
      </c>
    </row>
    <row r="570" spans="4:5" ht="15.75" customHeight="1" x14ac:dyDescent="0.2">
      <c r="D570" s="12"/>
      <c r="E570" s="13" t="str">
        <f>IFERROR(VLOOKUP($D570,'Data NEW'!$B$2:$K$210,2,FALSE),"")</f>
        <v/>
      </c>
    </row>
    <row r="571" spans="4:5" ht="15.75" customHeight="1" x14ac:dyDescent="0.2">
      <c r="D571" s="12"/>
      <c r="E571" s="13" t="str">
        <f>IFERROR(VLOOKUP($D571,'Data NEW'!$B$2:$K$210,2,FALSE),"")</f>
        <v/>
      </c>
    </row>
    <row r="572" spans="4:5" ht="15.75" customHeight="1" x14ac:dyDescent="0.2">
      <c r="D572" s="12"/>
      <c r="E572" s="13" t="str">
        <f>IFERROR(VLOOKUP($D572,'Data NEW'!$B$2:$K$210,2,FALSE),"")</f>
        <v/>
      </c>
    </row>
    <row r="573" spans="4:5" ht="15.75" customHeight="1" x14ac:dyDescent="0.2">
      <c r="D573" s="12"/>
      <c r="E573" s="13" t="str">
        <f>IFERROR(VLOOKUP($D573,'Data NEW'!$B$2:$K$210,2,FALSE),"")</f>
        <v/>
      </c>
    </row>
    <row r="574" spans="4:5" ht="15.75" customHeight="1" x14ac:dyDescent="0.2">
      <c r="D574" s="12"/>
      <c r="E574" s="13" t="str">
        <f>IFERROR(VLOOKUP($D574,'Data NEW'!$B$2:$K$210,2,FALSE),"")</f>
        <v/>
      </c>
    </row>
    <row r="575" spans="4:5" ht="15.75" customHeight="1" x14ac:dyDescent="0.2">
      <c r="D575" s="12"/>
      <c r="E575" s="13" t="str">
        <f>IFERROR(VLOOKUP($D575,'Data NEW'!$B$2:$K$210,2,FALSE),"")</f>
        <v/>
      </c>
    </row>
    <row r="576" spans="4:5" ht="15.75" customHeight="1" x14ac:dyDescent="0.2">
      <c r="D576" s="12"/>
      <c r="E576" s="13" t="str">
        <f>IFERROR(VLOOKUP($D576,'Data NEW'!$B$2:$K$210,2,FALSE),"")</f>
        <v/>
      </c>
    </row>
    <row r="577" spans="4:5" ht="15.75" customHeight="1" x14ac:dyDescent="0.2">
      <c r="D577" s="12"/>
      <c r="E577" s="13" t="str">
        <f>IFERROR(VLOOKUP($D577,'Data NEW'!$B$2:$K$210,2,FALSE),"")</f>
        <v/>
      </c>
    </row>
    <row r="578" spans="4:5" ht="15.75" customHeight="1" x14ac:dyDescent="0.2">
      <c r="D578" s="12"/>
      <c r="E578" s="13" t="str">
        <f>IFERROR(VLOOKUP($D578,'Data NEW'!$B$2:$K$210,2,FALSE),"")</f>
        <v/>
      </c>
    </row>
    <row r="579" spans="4:5" ht="15.75" customHeight="1" x14ac:dyDescent="0.2">
      <c r="D579" s="12"/>
      <c r="E579" s="13" t="str">
        <f>IFERROR(VLOOKUP($D579,'Data NEW'!$B$2:$K$210,2,FALSE),"")</f>
        <v/>
      </c>
    </row>
    <row r="580" spans="4:5" ht="15.75" customHeight="1" x14ac:dyDescent="0.2">
      <c r="D580" s="12"/>
      <c r="E580" s="13" t="str">
        <f>IFERROR(VLOOKUP($D580,'Data NEW'!$B$2:$K$210,2,FALSE),"")</f>
        <v/>
      </c>
    </row>
    <row r="581" spans="4:5" ht="15.75" customHeight="1" x14ac:dyDescent="0.2">
      <c r="D581" s="12"/>
      <c r="E581" s="13" t="str">
        <f>IFERROR(VLOOKUP($D581,'Data NEW'!$B$2:$K$210,2,FALSE),"")</f>
        <v/>
      </c>
    </row>
    <row r="582" spans="4:5" ht="15.75" customHeight="1" x14ac:dyDescent="0.2">
      <c r="D582" s="12"/>
      <c r="E582" s="13" t="str">
        <f>IFERROR(VLOOKUP($D582,'Data NEW'!$B$2:$K$210,2,FALSE),"")</f>
        <v/>
      </c>
    </row>
    <row r="583" spans="4:5" ht="15.75" customHeight="1" x14ac:dyDescent="0.2">
      <c r="D583" s="12"/>
      <c r="E583" s="13" t="str">
        <f>IFERROR(VLOOKUP($D583,'Data NEW'!$B$2:$K$210,2,FALSE),"")</f>
        <v/>
      </c>
    </row>
    <row r="584" spans="4:5" ht="15.75" customHeight="1" x14ac:dyDescent="0.2">
      <c r="D584" s="12"/>
      <c r="E584" s="13" t="str">
        <f>IFERROR(VLOOKUP($D584,'Data NEW'!$B$2:$K$210,2,FALSE),"")</f>
        <v/>
      </c>
    </row>
    <row r="585" spans="4:5" ht="15.75" customHeight="1" x14ac:dyDescent="0.2">
      <c r="D585" s="12"/>
      <c r="E585" s="13" t="str">
        <f>IFERROR(VLOOKUP($D585,'Data NEW'!$B$2:$K$210,2,FALSE),"")</f>
        <v/>
      </c>
    </row>
    <row r="586" spans="4:5" ht="15.75" customHeight="1" x14ac:dyDescent="0.2">
      <c r="D586" s="12"/>
      <c r="E586" s="13" t="str">
        <f>IFERROR(VLOOKUP($D586,'Data NEW'!$B$2:$K$210,2,FALSE),"")</f>
        <v/>
      </c>
    </row>
    <row r="587" spans="4:5" ht="15.75" customHeight="1" x14ac:dyDescent="0.2">
      <c r="D587" s="12"/>
      <c r="E587" s="13" t="str">
        <f>IFERROR(VLOOKUP($D587,'Data NEW'!$B$2:$K$210,2,FALSE),"")</f>
        <v/>
      </c>
    </row>
    <row r="588" spans="4:5" ht="15.75" customHeight="1" x14ac:dyDescent="0.2">
      <c r="D588" s="12"/>
      <c r="E588" s="13" t="str">
        <f>IFERROR(VLOOKUP($D588,'Data NEW'!$B$2:$K$210,2,FALSE),"")</f>
        <v/>
      </c>
    </row>
    <row r="589" spans="4:5" ht="15.75" customHeight="1" x14ac:dyDescent="0.2">
      <c r="D589" s="12"/>
      <c r="E589" s="13" t="str">
        <f>IFERROR(VLOOKUP($D589,'Data NEW'!$B$2:$K$210,2,FALSE),"")</f>
        <v/>
      </c>
    </row>
    <row r="590" spans="4:5" ht="15.75" customHeight="1" x14ac:dyDescent="0.2">
      <c r="D590" s="12"/>
      <c r="E590" s="13" t="str">
        <f>IFERROR(VLOOKUP($D590,'Data NEW'!$B$2:$K$210,2,FALSE),"")</f>
        <v/>
      </c>
    </row>
    <row r="591" spans="4:5" ht="15.75" customHeight="1" x14ac:dyDescent="0.2">
      <c r="D591" s="12"/>
      <c r="E591" s="13" t="str">
        <f>IFERROR(VLOOKUP($D591,'Data NEW'!$B$2:$K$210,2,FALSE),"")</f>
        <v/>
      </c>
    </row>
    <row r="592" spans="4:5" ht="15.75" customHeight="1" x14ac:dyDescent="0.2">
      <c r="D592" s="12"/>
      <c r="E592" s="13" t="str">
        <f>IFERROR(VLOOKUP($D592,'Data NEW'!$B$2:$K$210,2,FALSE),"")</f>
        <v/>
      </c>
    </row>
    <row r="593" spans="4:5" ht="15.75" customHeight="1" x14ac:dyDescent="0.2">
      <c r="D593" s="12"/>
      <c r="E593" s="13" t="str">
        <f>IFERROR(VLOOKUP($D593,'Data NEW'!$B$2:$K$210,2,FALSE),"")</f>
        <v/>
      </c>
    </row>
    <row r="594" spans="4:5" ht="15.75" customHeight="1" x14ac:dyDescent="0.2">
      <c r="D594" s="12"/>
      <c r="E594" s="13" t="str">
        <f>IFERROR(VLOOKUP($D594,'Data NEW'!$B$2:$K$210,2,FALSE),"")</f>
        <v/>
      </c>
    </row>
    <row r="595" spans="4:5" ht="15.75" customHeight="1" x14ac:dyDescent="0.2">
      <c r="D595" s="12"/>
      <c r="E595" s="13" t="str">
        <f>IFERROR(VLOOKUP($D595,'Data NEW'!$B$2:$K$210,2,FALSE),"")</f>
        <v/>
      </c>
    </row>
    <row r="596" spans="4:5" ht="15.75" customHeight="1" x14ac:dyDescent="0.2">
      <c r="D596" s="12"/>
      <c r="E596" s="13" t="str">
        <f>IFERROR(VLOOKUP($D596,'Data NEW'!$B$2:$K$210,2,FALSE),"")</f>
        <v/>
      </c>
    </row>
    <row r="597" spans="4:5" ht="15.75" customHeight="1" x14ac:dyDescent="0.2">
      <c r="D597" s="12"/>
      <c r="E597" s="13" t="str">
        <f>IFERROR(VLOOKUP($D597,'Data NEW'!$B$2:$K$210,2,FALSE),"")</f>
        <v/>
      </c>
    </row>
    <row r="598" spans="4:5" ht="15.75" customHeight="1" x14ac:dyDescent="0.2">
      <c r="D598" s="12"/>
      <c r="E598" s="13" t="str">
        <f>IFERROR(VLOOKUP($D598,'Data NEW'!$B$2:$K$210,2,FALSE),"")</f>
        <v/>
      </c>
    </row>
    <row r="599" spans="4:5" ht="15.75" customHeight="1" x14ac:dyDescent="0.2">
      <c r="D599" s="12"/>
      <c r="E599" s="13" t="str">
        <f>IFERROR(VLOOKUP($D599,'Data NEW'!$B$2:$K$210,2,FALSE),"")</f>
        <v/>
      </c>
    </row>
    <row r="600" spans="4:5" ht="15.75" customHeight="1" x14ac:dyDescent="0.2">
      <c r="D600" s="12"/>
      <c r="E600" s="13" t="str">
        <f>IFERROR(VLOOKUP($D600,'Data NEW'!$B$2:$K$210,2,FALSE),"")</f>
        <v/>
      </c>
    </row>
    <row r="601" spans="4:5" ht="15.75" customHeight="1" x14ac:dyDescent="0.2">
      <c r="D601" s="12"/>
      <c r="E601" s="13" t="str">
        <f>IFERROR(VLOOKUP($D601,'Data NEW'!$B$2:$K$210,2,FALSE),"")</f>
        <v/>
      </c>
    </row>
    <row r="602" spans="4:5" ht="15.75" customHeight="1" x14ac:dyDescent="0.2">
      <c r="D602" s="12"/>
      <c r="E602" s="13" t="str">
        <f>IFERROR(VLOOKUP($D602,'Data NEW'!$B$2:$K$210,2,FALSE),"")</f>
        <v/>
      </c>
    </row>
    <row r="603" spans="4:5" ht="15.75" customHeight="1" x14ac:dyDescent="0.2">
      <c r="D603" s="12"/>
      <c r="E603" s="13" t="str">
        <f>IFERROR(VLOOKUP($D603,'Data NEW'!$B$2:$K$210,2,FALSE),"")</f>
        <v/>
      </c>
    </row>
    <row r="604" spans="4:5" ht="15.75" customHeight="1" x14ac:dyDescent="0.2">
      <c r="D604" s="12"/>
      <c r="E604" s="13" t="str">
        <f>IFERROR(VLOOKUP($D604,'Data NEW'!$B$2:$K$210,2,FALSE),"")</f>
        <v/>
      </c>
    </row>
    <row r="605" spans="4:5" ht="15.75" customHeight="1" x14ac:dyDescent="0.2">
      <c r="D605" s="12"/>
      <c r="E605" s="13" t="str">
        <f>IFERROR(VLOOKUP($D605,'Data NEW'!$B$2:$K$210,2,FALSE),"")</f>
        <v/>
      </c>
    </row>
    <row r="606" spans="4:5" ht="15.75" customHeight="1" x14ac:dyDescent="0.2">
      <c r="D606" s="12"/>
      <c r="E606" s="13" t="str">
        <f>IFERROR(VLOOKUP($D606,'Data NEW'!$B$2:$K$210,2,FALSE),"")</f>
        <v/>
      </c>
    </row>
    <row r="607" spans="4:5" ht="15.75" customHeight="1" x14ac:dyDescent="0.2">
      <c r="D607" s="12"/>
      <c r="E607" s="13" t="str">
        <f>IFERROR(VLOOKUP($D607,'Data NEW'!$B$2:$K$210,2,FALSE),"")</f>
        <v/>
      </c>
    </row>
    <row r="608" spans="4:5" ht="15.75" customHeight="1" x14ac:dyDescent="0.2">
      <c r="D608" s="12"/>
      <c r="E608" s="13" t="str">
        <f>IFERROR(VLOOKUP($D608,'Data NEW'!$B$2:$K$210,2,FALSE),"")</f>
        <v/>
      </c>
    </row>
    <row r="609" spans="4:5" ht="15.75" customHeight="1" x14ac:dyDescent="0.2">
      <c r="D609" s="12"/>
      <c r="E609" s="13" t="str">
        <f>IFERROR(VLOOKUP($D609,'Data NEW'!$B$2:$K$210,2,FALSE),"")</f>
        <v/>
      </c>
    </row>
    <row r="610" spans="4:5" ht="15.75" customHeight="1" x14ac:dyDescent="0.2">
      <c r="D610" s="12"/>
      <c r="E610" s="13" t="str">
        <f>IFERROR(VLOOKUP($D610,'Data NEW'!$B$2:$K$210,2,FALSE),"")</f>
        <v/>
      </c>
    </row>
    <row r="611" spans="4:5" ht="15.75" customHeight="1" x14ac:dyDescent="0.2">
      <c r="D611" s="12"/>
      <c r="E611" s="13" t="str">
        <f>IFERROR(VLOOKUP($D611,'Data NEW'!$B$2:$K$210,2,FALSE),"")</f>
        <v/>
      </c>
    </row>
    <row r="612" spans="4:5" ht="15.75" customHeight="1" x14ac:dyDescent="0.2">
      <c r="D612" s="12"/>
      <c r="E612" s="13" t="str">
        <f>IFERROR(VLOOKUP($D612,'Data NEW'!$B$2:$K$210,2,FALSE),"")</f>
        <v/>
      </c>
    </row>
    <row r="613" spans="4:5" ht="15.75" customHeight="1" x14ac:dyDescent="0.2">
      <c r="D613" s="12"/>
      <c r="E613" s="13" t="str">
        <f>IFERROR(VLOOKUP($D613,'Data NEW'!$B$2:$K$210,2,FALSE),"")</f>
        <v/>
      </c>
    </row>
    <row r="614" spans="4:5" ht="15.75" customHeight="1" x14ac:dyDescent="0.2">
      <c r="D614" s="12"/>
      <c r="E614" s="13" t="str">
        <f>IFERROR(VLOOKUP($D614,'Data NEW'!$B$2:$K$210,2,FALSE),"")</f>
        <v/>
      </c>
    </row>
    <row r="615" spans="4:5" ht="15.75" customHeight="1" x14ac:dyDescent="0.2">
      <c r="D615" s="12"/>
      <c r="E615" s="13" t="str">
        <f>IFERROR(VLOOKUP($D615,'Data NEW'!$B$2:$K$210,2,FALSE),"")</f>
        <v/>
      </c>
    </row>
    <row r="616" spans="4:5" ht="15.75" customHeight="1" x14ac:dyDescent="0.2">
      <c r="D616" s="12"/>
      <c r="E616" s="13" t="str">
        <f>IFERROR(VLOOKUP($D616,'Data NEW'!$B$2:$K$210,2,FALSE),"")</f>
        <v/>
      </c>
    </row>
    <row r="617" spans="4:5" ht="15.75" customHeight="1" x14ac:dyDescent="0.2">
      <c r="D617" s="12"/>
      <c r="E617" s="13" t="str">
        <f>IFERROR(VLOOKUP($D617,'Data NEW'!$B$2:$K$210,2,FALSE),"")</f>
        <v/>
      </c>
    </row>
    <row r="618" spans="4:5" ht="15.75" customHeight="1" x14ac:dyDescent="0.2">
      <c r="D618" s="12"/>
      <c r="E618" s="13" t="str">
        <f>IFERROR(VLOOKUP($D618,'Data NEW'!$B$2:$K$210,2,FALSE),"")</f>
        <v/>
      </c>
    </row>
    <row r="619" spans="4:5" ht="15.75" customHeight="1" x14ac:dyDescent="0.2">
      <c r="D619" s="12"/>
      <c r="E619" s="13" t="str">
        <f>IFERROR(VLOOKUP($D619,'Data NEW'!$B$2:$K$210,2,FALSE),"")</f>
        <v/>
      </c>
    </row>
    <row r="620" spans="4:5" ht="15.75" customHeight="1" x14ac:dyDescent="0.2">
      <c r="D620" s="12"/>
      <c r="E620" s="13" t="str">
        <f>IFERROR(VLOOKUP($D620,'Data NEW'!$B$2:$K$210,2,FALSE),"")</f>
        <v/>
      </c>
    </row>
    <row r="621" spans="4:5" ht="15.75" customHeight="1" x14ac:dyDescent="0.2">
      <c r="D621" s="12"/>
      <c r="E621" s="13" t="str">
        <f>IFERROR(VLOOKUP($D621,'Data NEW'!$B$2:$K$210,2,FALSE),"")</f>
        <v/>
      </c>
    </row>
    <row r="622" spans="4:5" ht="15.75" customHeight="1" x14ac:dyDescent="0.2">
      <c r="D622" s="12"/>
      <c r="E622" s="13" t="str">
        <f>IFERROR(VLOOKUP($D622,'Data NEW'!$B$2:$K$210,2,FALSE),"")</f>
        <v/>
      </c>
    </row>
    <row r="623" spans="4:5" ht="15.75" customHeight="1" x14ac:dyDescent="0.2">
      <c r="D623" s="12"/>
      <c r="E623" s="13" t="str">
        <f>IFERROR(VLOOKUP($D623,'Data NEW'!$B$2:$K$210,2,FALSE),"")</f>
        <v/>
      </c>
    </row>
    <row r="624" spans="4:5" ht="15.75" customHeight="1" x14ac:dyDescent="0.2">
      <c r="D624" s="12"/>
      <c r="E624" s="13" t="str">
        <f>IFERROR(VLOOKUP($D624,'Data NEW'!$B$2:$K$210,2,FALSE),"")</f>
        <v/>
      </c>
    </row>
    <row r="625" spans="4:5" ht="15.75" customHeight="1" x14ac:dyDescent="0.2">
      <c r="D625" s="12"/>
      <c r="E625" s="13" t="str">
        <f>IFERROR(VLOOKUP($D625,'Data NEW'!$B$2:$K$210,2,FALSE),"")</f>
        <v/>
      </c>
    </row>
    <row r="626" spans="4:5" ht="15.75" customHeight="1" x14ac:dyDescent="0.2">
      <c r="D626" s="12"/>
      <c r="E626" s="13" t="str">
        <f>IFERROR(VLOOKUP($D626,'Data NEW'!$B$2:$K$210,2,FALSE),"")</f>
        <v/>
      </c>
    </row>
    <row r="627" spans="4:5" ht="15.75" customHeight="1" x14ac:dyDescent="0.2">
      <c r="D627" s="12"/>
      <c r="E627" s="13" t="str">
        <f>IFERROR(VLOOKUP($D627,'Data NEW'!$B$2:$K$210,2,FALSE),"")</f>
        <v/>
      </c>
    </row>
    <row r="628" spans="4:5" ht="15.75" customHeight="1" x14ac:dyDescent="0.2">
      <c r="D628" s="12"/>
      <c r="E628" s="13" t="str">
        <f>IFERROR(VLOOKUP($D628,'Data NEW'!$B$2:$K$210,2,FALSE),"")</f>
        <v/>
      </c>
    </row>
    <row r="629" spans="4:5" ht="15.75" customHeight="1" x14ac:dyDescent="0.2">
      <c r="D629" s="12"/>
      <c r="E629" s="13" t="str">
        <f>IFERROR(VLOOKUP($D629,'Data NEW'!$B$2:$K$210,2,FALSE),"")</f>
        <v/>
      </c>
    </row>
    <row r="630" spans="4:5" ht="15.75" customHeight="1" x14ac:dyDescent="0.2">
      <c r="D630" s="12"/>
      <c r="E630" s="13" t="str">
        <f>IFERROR(VLOOKUP($D630,'Data NEW'!$B$2:$K$210,2,FALSE),"")</f>
        <v/>
      </c>
    </row>
    <row r="631" spans="4:5" ht="15.75" customHeight="1" x14ac:dyDescent="0.2">
      <c r="D631" s="12"/>
      <c r="E631" s="13" t="str">
        <f>IFERROR(VLOOKUP($D631,'Data NEW'!$B$2:$K$210,2,FALSE),"")</f>
        <v/>
      </c>
    </row>
    <row r="632" spans="4:5" ht="15.75" customHeight="1" x14ac:dyDescent="0.2">
      <c r="D632" s="12"/>
      <c r="E632" s="13" t="str">
        <f>IFERROR(VLOOKUP($D632,'Data NEW'!$B$2:$K$210,2,FALSE),"")</f>
        <v/>
      </c>
    </row>
    <row r="633" spans="4:5" ht="15.75" customHeight="1" x14ac:dyDescent="0.2">
      <c r="D633" s="12"/>
      <c r="E633" s="13" t="str">
        <f>IFERROR(VLOOKUP($D633,'Data NEW'!$B$2:$K$210,2,FALSE),"")</f>
        <v/>
      </c>
    </row>
    <row r="634" spans="4:5" ht="15.75" customHeight="1" x14ac:dyDescent="0.2">
      <c r="D634" s="12"/>
      <c r="E634" s="13" t="str">
        <f>IFERROR(VLOOKUP($D634,'Data NEW'!$B$2:$K$210,2,FALSE),"")</f>
        <v/>
      </c>
    </row>
    <row r="635" spans="4:5" ht="15.75" customHeight="1" x14ac:dyDescent="0.2">
      <c r="D635" s="12"/>
      <c r="E635" s="13" t="str">
        <f>IFERROR(VLOOKUP($D635,'Data NEW'!$B$2:$K$210,2,FALSE),"")</f>
        <v/>
      </c>
    </row>
    <row r="636" spans="4:5" ht="15.75" customHeight="1" x14ac:dyDescent="0.2">
      <c r="D636" s="12"/>
      <c r="E636" s="13" t="str">
        <f>IFERROR(VLOOKUP($D636,'Data NEW'!$B$2:$K$210,2,FALSE),"")</f>
        <v/>
      </c>
    </row>
    <row r="637" spans="4:5" ht="15.75" customHeight="1" x14ac:dyDescent="0.2">
      <c r="D637" s="12"/>
      <c r="E637" s="13" t="str">
        <f>IFERROR(VLOOKUP($D637,'Data NEW'!$B$2:$K$210,2,FALSE),"")</f>
        <v/>
      </c>
    </row>
    <row r="638" spans="4:5" ht="15.75" customHeight="1" x14ac:dyDescent="0.2">
      <c r="D638" s="12"/>
      <c r="E638" s="13" t="str">
        <f>IFERROR(VLOOKUP($D638,'Data NEW'!$B$2:$K$210,2,FALSE),"")</f>
        <v/>
      </c>
    </row>
    <row r="639" spans="4:5" ht="15.75" customHeight="1" x14ac:dyDescent="0.2">
      <c r="D639" s="12"/>
      <c r="E639" s="13" t="str">
        <f>IFERROR(VLOOKUP($D639,'Data NEW'!$B$2:$K$210,2,FALSE),"")</f>
        <v/>
      </c>
    </row>
    <row r="640" spans="4:5" ht="15.75" customHeight="1" x14ac:dyDescent="0.2">
      <c r="D640" s="12"/>
      <c r="E640" s="13" t="str">
        <f>IFERROR(VLOOKUP($D640,'Data NEW'!$B$2:$K$210,2,FALSE),"")</f>
        <v/>
      </c>
    </row>
    <row r="641" spans="4:5" ht="15.75" customHeight="1" x14ac:dyDescent="0.2">
      <c r="D641" s="12"/>
      <c r="E641" s="13" t="str">
        <f>IFERROR(VLOOKUP($D641,'Data NEW'!$B$2:$K$210,2,FALSE),"")</f>
        <v/>
      </c>
    </row>
    <row r="642" spans="4:5" ht="15.75" customHeight="1" x14ac:dyDescent="0.2">
      <c r="D642" s="12"/>
      <c r="E642" s="13" t="str">
        <f>IFERROR(VLOOKUP($D642,'Data NEW'!$B$2:$K$210,2,FALSE),"")</f>
        <v/>
      </c>
    </row>
    <row r="643" spans="4:5" ht="15.75" customHeight="1" x14ac:dyDescent="0.2">
      <c r="D643" s="12"/>
      <c r="E643" s="13" t="str">
        <f>IFERROR(VLOOKUP($D643,'Data NEW'!$B$2:$K$210,2,FALSE),"")</f>
        <v/>
      </c>
    </row>
    <row r="644" spans="4:5" ht="15.75" customHeight="1" x14ac:dyDescent="0.2">
      <c r="D644" s="12"/>
      <c r="E644" s="13" t="str">
        <f>IFERROR(VLOOKUP($D644,'Data NEW'!$B$2:$K$210,2,FALSE),"")</f>
        <v/>
      </c>
    </row>
    <row r="645" spans="4:5" ht="15.75" customHeight="1" x14ac:dyDescent="0.2">
      <c r="D645" s="12"/>
      <c r="E645" s="13" t="str">
        <f>IFERROR(VLOOKUP($D645,'Data NEW'!$B$2:$K$210,2,FALSE),"")</f>
        <v/>
      </c>
    </row>
    <row r="646" spans="4:5" ht="15.75" customHeight="1" x14ac:dyDescent="0.2">
      <c r="D646" s="12"/>
      <c r="E646" s="13" t="str">
        <f>IFERROR(VLOOKUP($D646,'Data NEW'!$B$2:$K$210,2,FALSE),"")</f>
        <v/>
      </c>
    </row>
    <row r="647" spans="4:5" ht="15.75" customHeight="1" x14ac:dyDescent="0.2">
      <c r="D647" s="12"/>
      <c r="E647" s="13" t="str">
        <f>IFERROR(VLOOKUP($D647,'Data NEW'!$B$2:$K$210,2,FALSE),"")</f>
        <v/>
      </c>
    </row>
    <row r="648" spans="4:5" ht="15.75" customHeight="1" x14ac:dyDescent="0.2">
      <c r="D648" s="12"/>
      <c r="E648" s="13" t="str">
        <f>IFERROR(VLOOKUP($D648,'Data NEW'!$B$2:$K$210,2,FALSE),"")</f>
        <v/>
      </c>
    </row>
    <row r="649" spans="4:5" ht="15.75" customHeight="1" x14ac:dyDescent="0.2">
      <c r="D649" s="12"/>
      <c r="E649" s="13" t="str">
        <f>IFERROR(VLOOKUP($D649,'Data NEW'!$B$2:$K$210,2,FALSE),"")</f>
        <v/>
      </c>
    </row>
    <row r="650" spans="4:5" ht="15.75" customHeight="1" x14ac:dyDescent="0.2">
      <c r="D650" s="12"/>
      <c r="E650" s="13" t="str">
        <f>IFERROR(VLOOKUP($D650,'Data NEW'!$B$2:$K$210,2,FALSE),"")</f>
        <v/>
      </c>
    </row>
    <row r="651" spans="4:5" ht="15.75" customHeight="1" x14ac:dyDescent="0.2">
      <c r="D651" s="12"/>
      <c r="E651" s="13" t="str">
        <f>IFERROR(VLOOKUP($D651,'Data NEW'!$B$2:$K$210,2,FALSE),"")</f>
        <v/>
      </c>
    </row>
    <row r="652" spans="4:5" ht="15.75" customHeight="1" x14ac:dyDescent="0.2">
      <c r="D652" s="12"/>
      <c r="E652" s="13" t="str">
        <f>IFERROR(VLOOKUP($D652,'Data NEW'!$B$2:$K$210,2,FALSE),"")</f>
        <v/>
      </c>
    </row>
    <row r="653" spans="4:5" ht="15.75" customHeight="1" x14ac:dyDescent="0.2">
      <c r="D653" s="12"/>
      <c r="E653" s="13" t="str">
        <f>IFERROR(VLOOKUP($D653,'Data NEW'!$B$2:$K$210,2,FALSE),"")</f>
        <v/>
      </c>
    </row>
    <row r="654" spans="4:5" ht="15.75" customHeight="1" x14ac:dyDescent="0.2">
      <c r="D654" s="12"/>
      <c r="E654" s="13" t="str">
        <f>IFERROR(VLOOKUP($D654,'Data NEW'!$B$2:$K$210,2,FALSE),"")</f>
        <v/>
      </c>
    </row>
    <row r="655" spans="4:5" ht="15.75" customHeight="1" x14ac:dyDescent="0.2">
      <c r="D655" s="12"/>
      <c r="E655" s="13" t="str">
        <f>IFERROR(VLOOKUP($D655,'Data NEW'!$B$2:$K$210,2,FALSE),"")</f>
        <v/>
      </c>
    </row>
    <row r="656" spans="4:5" ht="15.75" customHeight="1" x14ac:dyDescent="0.2">
      <c r="D656" s="12"/>
      <c r="E656" s="13" t="str">
        <f>IFERROR(VLOOKUP($D656,'Data NEW'!$B$2:$K$210,2,FALSE),"")</f>
        <v/>
      </c>
    </row>
    <row r="657" spans="4:5" ht="15.75" customHeight="1" x14ac:dyDescent="0.2">
      <c r="D657" s="12"/>
      <c r="E657" s="13" t="str">
        <f>IFERROR(VLOOKUP($D657,'Data NEW'!$B$2:$K$210,2,FALSE),"")</f>
        <v/>
      </c>
    </row>
    <row r="658" spans="4:5" ht="15.75" customHeight="1" x14ac:dyDescent="0.2">
      <c r="D658" s="12"/>
      <c r="E658" s="13" t="str">
        <f>IFERROR(VLOOKUP($D658,'Data NEW'!$B$2:$K$210,2,FALSE),"")</f>
        <v/>
      </c>
    </row>
    <row r="659" spans="4:5" ht="15.75" customHeight="1" x14ac:dyDescent="0.2">
      <c r="D659" s="12"/>
      <c r="E659" s="13" t="str">
        <f>IFERROR(VLOOKUP($D659,'Data NEW'!$B$2:$K$210,2,FALSE),"")</f>
        <v/>
      </c>
    </row>
    <row r="660" spans="4:5" ht="15.75" customHeight="1" x14ac:dyDescent="0.2">
      <c r="D660" s="12"/>
      <c r="E660" s="13" t="str">
        <f>IFERROR(VLOOKUP($D660,'Data NEW'!$B$2:$K$210,2,FALSE),"")</f>
        <v/>
      </c>
    </row>
    <row r="661" spans="4:5" ht="15.75" customHeight="1" x14ac:dyDescent="0.2">
      <c r="D661" s="12"/>
      <c r="E661" s="13" t="str">
        <f>IFERROR(VLOOKUP($D661,'Data NEW'!$B$2:$K$210,2,FALSE),"")</f>
        <v/>
      </c>
    </row>
    <row r="662" spans="4:5" ht="15.75" customHeight="1" x14ac:dyDescent="0.2">
      <c r="D662" s="12"/>
      <c r="E662" s="13" t="str">
        <f>IFERROR(VLOOKUP($D662,'Data NEW'!$B$2:$K$210,2,FALSE),"")</f>
        <v/>
      </c>
    </row>
    <row r="663" spans="4:5" ht="15.75" customHeight="1" x14ac:dyDescent="0.2">
      <c r="D663" s="12"/>
      <c r="E663" s="13" t="str">
        <f>IFERROR(VLOOKUP($D663,'Data NEW'!$B$2:$K$210,2,FALSE),"")</f>
        <v/>
      </c>
    </row>
    <row r="664" spans="4:5" ht="15.75" customHeight="1" x14ac:dyDescent="0.2">
      <c r="D664" s="12"/>
      <c r="E664" s="13" t="str">
        <f>IFERROR(VLOOKUP($D664,'Data NEW'!$B$2:$K$210,2,FALSE),"")</f>
        <v/>
      </c>
    </row>
    <row r="665" spans="4:5" ht="15.75" customHeight="1" x14ac:dyDescent="0.2">
      <c r="D665" s="12"/>
      <c r="E665" s="13" t="str">
        <f>IFERROR(VLOOKUP($D665,'Data NEW'!$B$2:$K$210,2,FALSE),"")</f>
        <v/>
      </c>
    </row>
    <row r="666" spans="4:5" ht="15.75" customHeight="1" x14ac:dyDescent="0.2">
      <c r="D666" s="12"/>
      <c r="E666" s="13" t="str">
        <f>IFERROR(VLOOKUP($D666,'Data NEW'!$B$2:$K$210,2,FALSE),"")</f>
        <v/>
      </c>
    </row>
    <row r="667" spans="4:5" ht="15.75" customHeight="1" x14ac:dyDescent="0.2">
      <c r="D667" s="12"/>
      <c r="E667" s="13" t="str">
        <f>IFERROR(VLOOKUP($D667,'Data NEW'!$B$2:$K$210,2,FALSE),"")</f>
        <v/>
      </c>
    </row>
    <row r="668" spans="4:5" ht="15.75" customHeight="1" x14ac:dyDescent="0.2">
      <c r="D668" s="12"/>
      <c r="E668" s="13" t="str">
        <f>IFERROR(VLOOKUP($D668,'Data NEW'!$B$2:$K$210,2,FALSE),"")</f>
        <v/>
      </c>
    </row>
    <row r="669" spans="4:5" ht="15.75" customHeight="1" x14ac:dyDescent="0.2">
      <c r="D669" s="12"/>
      <c r="E669" s="13" t="str">
        <f>IFERROR(VLOOKUP($D669,'Data NEW'!$B$2:$K$210,2,FALSE),"")</f>
        <v/>
      </c>
    </row>
    <row r="670" spans="4:5" ht="15.75" customHeight="1" x14ac:dyDescent="0.2">
      <c r="D670" s="12"/>
      <c r="E670" s="13" t="str">
        <f>IFERROR(VLOOKUP($D670,'Data NEW'!$B$2:$K$210,2,FALSE),"")</f>
        <v/>
      </c>
    </row>
    <row r="671" spans="4:5" ht="15.75" customHeight="1" x14ac:dyDescent="0.2">
      <c r="D671" s="12"/>
      <c r="E671" s="13" t="str">
        <f>IFERROR(VLOOKUP($D671,'Data NEW'!$B$2:$K$210,2,FALSE),"")</f>
        <v/>
      </c>
    </row>
    <row r="672" spans="4:5" ht="15.75" customHeight="1" x14ac:dyDescent="0.2">
      <c r="D672" s="12"/>
      <c r="E672" s="13" t="str">
        <f>IFERROR(VLOOKUP($D672,'Data NEW'!$B$2:$K$210,2,FALSE),"")</f>
        <v/>
      </c>
    </row>
    <row r="673" spans="4:5" ht="15.75" customHeight="1" x14ac:dyDescent="0.2">
      <c r="D673" s="12"/>
      <c r="E673" s="13" t="str">
        <f>IFERROR(VLOOKUP($D673,'Data NEW'!$B$2:$K$210,2,FALSE),"")</f>
        <v/>
      </c>
    </row>
    <row r="674" spans="4:5" ht="15.75" customHeight="1" x14ac:dyDescent="0.2">
      <c r="D674" s="12"/>
      <c r="E674" s="13" t="str">
        <f>IFERROR(VLOOKUP($D674,'Data NEW'!$B$2:$K$210,2,FALSE),"")</f>
        <v/>
      </c>
    </row>
    <row r="675" spans="4:5" ht="15.75" customHeight="1" x14ac:dyDescent="0.2">
      <c r="D675" s="12"/>
      <c r="E675" s="13" t="str">
        <f>IFERROR(VLOOKUP($D675,'Data NEW'!$B$2:$K$210,2,FALSE),"")</f>
        <v/>
      </c>
    </row>
    <row r="676" spans="4:5" ht="15.75" customHeight="1" x14ac:dyDescent="0.2">
      <c r="D676" s="12"/>
      <c r="E676" s="13" t="str">
        <f>IFERROR(VLOOKUP($D676,'Data NEW'!$B$2:$K$210,2,FALSE),"")</f>
        <v/>
      </c>
    </row>
    <row r="677" spans="4:5" ht="15.75" customHeight="1" x14ac:dyDescent="0.2">
      <c r="D677" s="12"/>
      <c r="E677" s="13" t="str">
        <f>IFERROR(VLOOKUP($D677,'Data NEW'!$B$2:$K$210,2,FALSE),"")</f>
        <v/>
      </c>
    </row>
    <row r="678" spans="4:5" ht="15.75" customHeight="1" x14ac:dyDescent="0.2">
      <c r="D678" s="12"/>
      <c r="E678" s="13" t="str">
        <f>IFERROR(VLOOKUP($D678,'Data NEW'!$B$2:$K$210,2,FALSE),"")</f>
        <v/>
      </c>
    </row>
    <row r="679" spans="4:5" ht="15.75" customHeight="1" x14ac:dyDescent="0.2">
      <c r="D679" s="12"/>
      <c r="E679" s="13" t="str">
        <f>IFERROR(VLOOKUP($D679,'Data NEW'!$B$2:$K$210,2,FALSE),"")</f>
        <v/>
      </c>
    </row>
    <row r="680" spans="4:5" ht="15.75" customHeight="1" x14ac:dyDescent="0.2">
      <c r="D680" s="12"/>
      <c r="E680" s="13" t="str">
        <f>IFERROR(VLOOKUP($D680,'Data NEW'!$B$2:$K$210,2,FALSE),"")</f>
        <v/>
      </c>
    </row>
    <row r="681" spans="4:5" ht="15.75" customHeight="1" x14ac:dyDescent="0.2">
      <c r="D681" s="12"/>
      <c r="E681" s="13" t="str">
        <f>IFERROR(VLOOKUP($D681,'Data NEW'!$B$2:$K$210,2,FALSE),"")</f>
        <v/>
      </c>
    </row>
    <row r="682" spans="4:5" ht="15.75" customHeight="1" x14ac:dyDescent="0.2">
      <c r="D682" s="12"/>
      <c r="E682" s="13" t="str">
        <f>IFERROR(VLOOKUP($D682,'Data NEW'!$B$2:$K$210,2,FALSE),"")</f>
        <v/>
      </c>
    </row>
    <row r="683" spans="4:5" ht="15.75" customHeight="1" x14ac:dyDescent="0.2">
      <c r="D683" s="12"/>
      <c r="E683" s="13" t="str">
        <f>IFERROR(VLOOKUP($D683,'Data NEW'!$B$2:$K$210,2,FALSE),"")</f>
        <v/>
      </c>
    </row>
    <row r="684" spans="4:5" ht="15.75" customHeight="1" x14ac:dyDescent="0.2">
      <c r="D684" s="12"/>
      <c r="E684" s="13" t="str">
        <f>IFERROR(VLOOKUP($D684,'Data NEW'!$B$2:$K$210,2,FALSE),"")</f>
        <v/>
      </c>
    </row>
    <row r="685" spans="4:5" ht="15.75" customHeight="1" x14ac:dyDescent="0.2">
      <c r="D685" s="12"/>
      <c r="E685" s="13" t="str">
        <f>IFERROR(VLOOKUP($D685,'Data NEW'!$B$2:$K$210,2,FALSE),"")</f>
        <v/>
      </c>
    </row>
    <row r="686" spans="4:5" ht="15.75" customHeight="1" x14ac:dyDescent="0.2">
      <c r="D686" s="12"/>
      <c r="E686" s="13" t="str">
        <f>IFERROR(VLOOKUP($D686,'Data NEW'!$B$2:$K$210,2,FALSE),"")</f>
        <v/>
      </c>
    </row>
    <row r="687" spans="4:5" ht="15.75" customHeight="1" x14ac:dyDescent="0.2">
      <c r="D687" s="12"/>
      <c r="E687" s="13" t="str">
        <f>IFERROR(VLOOKUP($D687,'Data NEW'!$B$2:$K$210,2,FALSE),"")</f>
        <v/>
      </c>
    </row>
    <row r="688" spans="4:5" ht="15.75" customHeight="1" x14ac:dyDescent="0.2">
      <c r="D688" s="12"/>
      <c r="E688" s="13" t="str">
        <f>IFERROR(VLOOKUP($D688,'Data NEW'!$B$2:$K$210,2,FALSE),"")</f>
        <v/>
      </c>
    </row>
    <row r="689" spans="4:5" ht="15.75" customHeight="1" x14ac:dyDescent="0.2">
      <c r="D689" s="12"/>
      <c r="E689" s="13" t="str">
        <f>IFERROR(VLOOKUP($D689,'Data NEW'!$B$2:$K$210,2,FALSE),"")</f>
        <v/>
      </c>
    </row>
    <row r="690" spans="4:5" ht="15.75" customHeight="1" x14ac:dyDescent="0.2">
      <c r="D690" s="12"/>
      <c r="E690" s="13" t="str">
        <f>IFERROR(VLOOKUP($D690,'Data NEW'!$B$2:$K$210,2,FALSE),"")</f>
        <v/>
      </c>
    </row>
    <row r="691" spans="4:5" ht="15.75" customHeight="1" x14ac:dyDescent="0.2">
      <c r="D691" s="12"/>
      <c r="E691" s="13" t="str">
        <f>IFERROR(VLOOKUP($D691,'Data NEW'!$B$2:$K$210,2,FALSE),"")</f>
        <v/>
      </c>
    </row>
    <row r="692" spans="4:5" ht="15.75" customHeight="1" x14ac:dyDescent="0.2">
      <c r="D692" s="12"/>
      <c r="E692" s="13" t="str">
        <f>IFERROR(VLOOKUP($D692,'Data NEW'!$B$2:$K$210,2,FALSE),"")</f>
        <v/>
      </c>
    </row>
    <row r="693" spans="4:5" ht="15.75" customHeight="1" x14ac:dyDescent="0.2">
      <c r="D693" s="12"/>
      <c r="E693" s="13" t="str">
        <f>IFERROR(VLOOKUP($D693,'Data NEW'!$B$2:$K$210,2,FALSE),"")</f>
        <v/>
      </c>
    </row>
    <row r="694" spans="4:5" ht="15.75" customHeight="1" x14ac:dyDescent="0.2">
      <c r="D694" s="12"/>
      <c r="E694" s="13" t="str">
        <f>IFERROR(VLOOKUP($D694,'Data NEW'!$B$2:$K$210,2,FALSE),"")</f>
        <v/>
      </c>
    </row>
    <row r="695" spans="4:5" ht="15.75" customHeight="1" x14ac:dyDescent="0.2">
      <c r="D695" s="12"/>
      <c r="E695" s="13" t="str">
        <f>IFERROR(VLOOKUP($D695,'Data NEW'!$B$2:$K$210,2,FALSE),"")</f>
        <v/>
      </c>
    </row>
    <row r="696" spans="4:5" ht="15.75" customHeight="1" x14ac:dyDescent="0.2">
      <c r="D696" s="12"/>
      <c r="E696" s="13" t="str">
        <f>IFERROR(VLOOKUP($D696,'Data NEW'!$B$2:$K$210,2,FALSE),"")</f>
        <v/>
      </c>
    </row>
    <row r="697" spans="4:5" ht="15.75" customHeight="1" x14ac:dyDescent="0.2">
      <c r="D697" s="12"/>
      <c r="E697" s="13" t="str">
        <f>IFERROR(VLOOKUP($D697,'Data NEW'!$B$2:$K$210,2,FALSE),"")</f>
        <v/>
      </c>
    </row>
    <row r="698" spans="4:5" ht="15.75" customHeight="1" x14ac:dyDescent="0.2">
      <c r="D698" s="12"/>
      <c r="E698" s="13" t="str">
        <f>IFERROR(VLOOKUP($D698,'Data NEW'!$B$2:$K$210,2,FALSE),"")</f>
        <v/>
      </c>
    </row>
    <row r="699" spans="4:5" ht="15.75" customHeight="1" x14ac:dyDescent="0.2">
      <c r="D699" s="12"/>
      <c r="E699" s="13" t="str">
        <f>IFERROR(VLOOKUP($D699,'Data NEW'!$B$2:$K$210,2,FALSE),"")</f>
        <v/>
      </c>
    </row>
    <row r="700" spans="4:5" ht="15.75" customHeight="1" x14ac:dyDescent="0.2">
      <c r="D700" s="12"/>
      <c r="E700" s="13" t="str">
        <f>IFERROR(VLOOKUP($D700,'Data NEW'!$B$2:$K$210,2,FALSE),"")</f>
        <v/>
      </c>
    </row>
    <row r="701" spans="4:5" ht="15.75" customHeight="1" x14ac:dyDescent="0.2">
      <c r="D701" s="12"/>
      <c r="E701" s="13" t="str">
        <f>IFERROR(VLOOKUP($D701,'Data NEW'!$B$2:$K$210,2,FALSE),"")</f>
        <v/>
      </c>
    </row>
    <row r="702" spans="4:5" ht="15.75" customHeight="1" x14ac:dyDescent="0.2">
      <c r="D702" s="12"/>
      <c r="E702" s="13" t="str">
        <f>IFERROR(VLOOKUP($D702,'Data NEW'!$B$2:$K$210,2,FALSE),"")</f>
        <v/>
      </c>
    </row>
    <row r="703" spans="4:5" ht="15.75" customHeight="1" x14ac:dyDescent="0.2">
      <c r="D703" s="12"/>
      <c r="E703" s="13" t="str">
        <f>IFERROR(VLOOKUP($D703,'Data NEW'!$B$2:$K$210,2,FALSE),"")</f>
        <v/>
      </c>
    </row>
    <row r="704" spans="4:5" ht="15.75" customHeight="1" x14ac:dyDescent="0.2">
      <c r="D704" s="12"/>
      <c r="E704" s="13" t="str">
        <f>IFERROR(VLOOKUP($D704,'Data NEW'!$B$2:$K$210,2,FALSE),"")</f>
        <v/>
      </c>
    </row>
    <row r="705" spans="4:5" ht="15.75" customHeight="1" x14ac:dyDescent="0.2">
      <c r="D705" s="12"/>
      <c r="E705" s="13" t="str">
        <f>IFERROR(VLOOKUP($D705,'Data NEW'!$B$2:$K$210,2,FALSE),"")</f>
        <v/>
      </c>
    </row>
    <row r="706" spans="4:5" ht="15.75" customHeight="1" x14ac:dyDescent="0.2">
      <c r="D706" s="12"/>
      <c r="E706" s="13" t="str">
        <f>IFERROR(VLOOKUP($D706,'Data NEW'!$B$2:$K$210,2,FALSE),"")</f>
        <v/>
      </c>
    </row>
    <row r="707" spans="4:5" ht="15.75" customHeight="1" x14ac:dyDescent="0.2">
      <c r="D707" s="12"/>
      <c r="E707" s="13" t="str">
        <f>IFERROR(VLOOKUP($D707,'Data NEW'!$B$2:$K$210,2,FALSE),"")</f>
        <v/>
      </c>
    </row>
    <row r="708" spans="4:5" ht="15.75" customHeight="1" x14ac:dyDescent="0.2">
      <c r="D708" s="12"/>
      <c r="E708" s="13" t="str">
        <f>IFERROR(VLOOKUP($D708,'Data NEW'!$B$2:$K$210,2,FALSE),"")</f>
        <v/>
      </c>
    </row>
    <row r="709" spans="4:5" ht="15.75" customHeight="1" x14ac:dyDescent="0.2">
      <c r="D709" s="12"/>
      <c r="E709" s="13" t="str">
        <f>IFERROR(VLOOKUP($D709,'Data NEW'!$B$2:$K$210,2,FALSE),"")</f>
        <v/>
      </c>
    </row>
    <row r="710" spans="4:5" ht="15.75" customHeight="1" x14ac:dyDescent="0.2">
      <c r="D710" s="12"/>
      <c r="E710" s="13" t="str">
        <f>IFERROR(VLOOKUP($D710,'Data NEW'!$B$2:$K$210,2,FALSE),"")</f>
        <v/>
      </c>
    </row>
    <row r="711" spans="4:5" ht="15.75" customHeight="1" x14ac:dyDescent="0.2">
      <c r="D711" s="12"/>
      <c r="E711" s="13" t="str">
        <f>IFERROR(VLOOKUP($D711,'Data NEW'!$B$2:$K$210,2,FALSE),"")</f>
        <v/>
      </c>
    </row>
    <row r="712" spans="4:5" ht="15.75" customHeight="1" x14ac:dyDescent="0.2">
      <c r="D712" s="12"/>
      <c r="E712" s="13" t="str">
        <f>IFERROR(VLOOKUP($D712,'Data NEW'!$B$2:$K$210,2,FALSE),"")</f>
        <v/>
      </c>
    </row>
    <row r="713" spans="4:5" ht="15.75" customHeight="1" x14ac:dyDescent="0.2">
      <c r="D713" s="12"/>
      <c r="E713" s="13" t="str">
        <f>IFERROR(VLOOKUP($D713,'Data NEW'!$B$2:$K$210,2,FALSE),"")</f>
        <v/>
      </c>
    </row>
    <row r="714" spans="4:5" ht="15.75" customHeight="1" x14ac:dyDescent="0.2">
      <c r="D714" s="12"/>
      <c r="E714" s="13" t="str">
        <f>IFERROR(VLOOKUP($D714,'Data NEW'!$B$2:$K$210,2,FALSE),"")</f>
        <v/>
      </c>
    </row>
    <row r="715" spans="4:5" ht="15.75" customHeight="1" x14ac:dyDescent="0.2">
      <c r="D715" s="12"/>
      <c r="E715" s="13" t="str">
        <f>IFERROR(VLOOKUP($D715,'Data NEW'!$B$2:$K$210,2,FALSE),"")</f>
        <v/>
      </c>
    </row>
    <row r="716" spans="4:5" ht="15.75" customHeight="1" x14ac:dyDescent="0.2">
      <c r="D716" s="12"/>
      <c r="E716" s="13" t="str">
        <f>IFERROR(VLOOKUP($D716,'Data NEW'!$B$2:$K$210,2,FALSE),"")</f>
        <v/>
      </c>
    </row>
    <row r="717" spans="4:5" ht="15.75" customHeight="1" x14ac:dyDescent="0.2">
      <c r="D717" s="12"/>
      <c r="E717" s="13" t="str">
        <f>IFERROR(VLOOKUP($D717,'Data NEW'!$B$2:$K$210,2,FALSE),"")</f>
        <v/>
      </c>
    </row>
    <row r="718" spans="4:5" ht="15.75" customHeight="1" x14ac:dyDescent="0.2">
      <c r="D718" s="12"/>
      <c r="E718" s="13" t="str">
        <f>IFERROR(VLOOKUP($D718,'Data NEW'!$B$2:$K$210,2,FALSE),"")</f>
        <v/>
      </c>
    </row>
    <row r="719" spans="4:5" ht="15.75" customHeight="1" x14ac:dyDescent="0.2">
      <c r="D719" s="12"/>
      <c r="E719" s="13" t="str">
        <f>IFERROR(VLOOKUP($D719,'Data NEW'!$B$2:$K$210,2,FALSE),"")</f>
        <v/>
      </c>
    </row>
    <row r="720" spans="4:5" ht="15.75" customHeight="1" x14ac:dyDescent="0.2">
      <c r="D720" s="12"/>
      <c r="E720" s="13" t="str">
        <f>IFERROR(VLOOKUP($D720,'Data NEW'!$B$2:$K$210,2,FALSE),"")</f>
        <v/>
      </c>
    </row>
    <row r="721" spans="4:5" ht="15.75" customHeight="1" x14ac:dyDescent="0.2">
      <c r="D721" s="12"/>
      <c r="E721" s="13" t="str">
        <f>IFERROR(VLOOKUP($D721,'Data NEW'!$B$2:$K$210,2,FALSE),"")</f>
        <v/>
      </c>
    </row>
    <row r="722" spans="4:5" ht="15.75" customHeight="1" x14ac:dyDescent="0.2">
      <c r="D722" s="12"/>
      <c r="E722" s="13" t="str">
        <f>IFERROR(VLOOKUP($D722,'Data NEW'!$B$2:$K$210,2,FALSE),"")</f>
        <v/>
      </c>
    </row>
    <row r="723" spans="4:5" ht="15.75" customHeight="1" x14ac:dyDescent="0.2">
      <c r="D723" s="12"/>
      <c r="E723" s="13" t="str">
        <f>IFERROR(VLOOKUP($D723,'Data NEW'!$B$2:$K$210,2,FALSE),"")</f>
        <v/>
      </c>
    </row>
    <row r="724" spans="4:5" ht="15.75" customHeight="1" x14ac:dyDescent="0.2">
      <c r="D724" s="12"/>
      <c r="E724" s="13" t="str">
        <f>IFERROR(VLOOKUP($D724,'Data NEW'!$B$2:$K$210,2,FALSE),"")</f>
        <v/>
      </c>
    </row>
    <row r="725" spans="4:5" ht="15.75" customHeight="1" x14ac:dyDescent="0.2">
      <c r="D725" s="12"/>
      <c r="E725" s="13" t="str">
        <f>IFERROR(VLOOKUP($D725,'Data NEW'!$B$2:$K$210,2,FALSE),"")</f>
        <v/>
      </c>
    </row>
    <row r="726" spans="4:5" ht="15.75" customHeight="1" x14ac:dyDescent="0.2">
      <c r="D726" s="12"/>
      <c r="E726" s="13" t="str">
        <f>IFERROR(VLOOKUP($D726,'Data NEW'!$B$2:$K$210,2,FALSE),"")</f>
        <v/>
      </c>
    </row>
    <row r="727" spans="4:5" ht="15.75" customHeight="1" x14ac:dyDescent="0.2">
      <c r="D727" s="12"/>
      <c r="E727" s="13" t="str">
        <f>IFERROR(VLOOKUP($D727,'Data NEW'!$B$2:$K$210,2,FALSE),"")</f>
        <v/>
      </c>
    </row>
    <row r="728" spans="4:5" ht="15.75" customHeight="1" x14ac:dyDescent="0.2">
      <c r="D728" s="12"/>
      <c r="E728" s="13" t="str">
        <f>IFERROR(VLOOKUP($D728,'Data NEW'!$B$2:$K$210,2,FALSE),"")</f>
        <v/>
      </c>
    </row>
    <row r="729" spans="4:5" ht="15.75" customHeight="1" x14ac:dyDescent="0.2">
      <c r="D729" s="12"/>
      <c r="E729" s="13" t="str">
        <f>IFERROR(VLOOKUP($D729,'Data NEW'!$B$2:$K$210,2,FALSE),"")</f>
        <v/>
      </c>
    </row>
    <row r="730" spans="4:5" ht="15.75" customHeight="1" x14ac:dyDescent="0.2">
      <c r="D730" s="12"/>
      <c r="E730" s="13" t="str">
        <f>IFERROR(VLOOKUP($D730,'Data NEW'!$B$2:$K$210,2,FALSE),"")</f>
        <v/>
      </c>
    </row>
    <row r="731" spans="4:5" ht="15.75" customHeight="1" x14ac:dyDescent="0.2">
      <c r="D731" s="12"/>
      <c r="E731" s="13" t="str">
        <f>IFERROR(VLOOKUP($D731,'Data NEW'!$B$2:$K$210,2,FALSE),"")</f>
        <v/>
      </c>
    </row>
    <row r="732" spans="4:5" ht="15.75" customHeight="1" x14ac:dyDescent="0.2">
      <c r="D732" s="12"/>
      <c r="E732" s="13" t="str">
        <f>IFERROR(VLOOKUP($D732,'Data NEW'!$B$2:$K$210,2,FALSE),"")</f>
        <v/>
      </c>
    </row>
    <row r="733" spans="4:5" ht="15.75" customHeight="1" x14ac:dyDescent="0.2">
      <c r="D733" s="12"/>
      <c r="E733" s="13" t="str">
        <f>IFERROR(VLOOKUP($D733,'Data NEW'!$B$2:$K$210,2,FALSE),"")</f>
        <v/>
      </c>
    </row>
    <row r="734" spans="4:5" ht="15.75" customHeight="1" x14ac:dyDescent="0.2">
      <c r="D734" s="12"/>
      <c r="E734" s="13" t="str">
        <f>IFERROR(VLOOKUP($D734,'Data NEW'!$B$2:$K$210,2,FALSE),"")</f>
        <v/>
      </c>
    </row>
    <row r="735" spans="4:5" ht="15.75" customHeight="1" x14ac:dyDescent="0.2">
      <c r="D735" s="12"/>
      <c r="E735" s="13" t="str">
        <f>IFERROR(VLOOKUP($D735,'Data NEW'!$B$2:$K$210,2,FALSE),"")</f>
        <v/>
      </c>
    </row>
    <row r="736" spans="4:5" ht="15.75" customHeight="1" x14ac:dyDescent="0.2">
      <c r="D736" s="12"/>
      <c r="E736" s="13" t="str">
        <f>IFERROR(VLOOKUP($D736,'Data NEW'!$B$2:$K$210,2,FALSE),"")</f>
        <v/>
      </c>
    </row>
    <row r="737" spans="4:5" ht="15.75" customHeight="1" x14ac:dyDescent="0.2">
      <c r="D737" s="12"/>
      <c r="E737" s="13" t="str">
        <f>IFERROR(VLOOKUP($D737,'Data NEW'!$B$2:$K$210,2,FALSE),"")</f>
        <v/>
      </c>
    </row>
    <row r="738" spans="4:5" ht="15.75" customHeight="1" x14ac:dyDescent="0.2">
      <c r="D738" s="12"/>
      <c r="E738" s="13" t="str">
        <f>IFERROR(VLOOKUP($D738,'Data NEW'!$B$2:$K$210,2,FALSE),"")</f>
        <v/>
      </c>
    </row>
    <row r="739" spans="4:5" ht="15.75" customHeight="1" x14ac:dyDescent="0.2">
      <c r="D739" s="12"/>
      <c r="E739" s="13" t="str">
        <f>IFERROR(VLOOKUP($D739,'Data NEW'!$B$2:$K$210,2,FALSE),"")</f>
        <v/>
      </c>
    </row>
    <row r="740" spans="4:5" ht="15.75" customHeight="1" x14ac:dyDescent="0.2">
      <c r="D740" s="12"/>
      <c r="E740" s="13" t="str">
        <f>IFERROR(VLOOKUP($D740,'Data NEW'!$B$2:$K$210,2,FALSE),"")</f>
        <v/>
      </c>
    </row>
    <row r="741" spans="4:5" ht="15.75" customHeight="1" x14ac:dyDescent="0.2">
      <c r="D741" s="12"/>
      <c r="E741" s="13" t="str">
        <f>IFERROR(VLOOKUP($D741,'Data NEW'!$B$2:$K$210,2,FALSE),"")</f>
        <v/>
      </c>
    </row>
    <row r="742" spans="4:5" ht="15.75" customHeight="1" x14ac:dyDescent="0.2">
      <c r="D742" s="12"/>
      <c r="E742" s="13" t="str">
        <f>IFERROR(VLOOKUP($D742,'Data NEW'!$B$2:$K$210,2,FALSE),"")</f>
        <v/>
      </c>
    </row>
    <row r="743" spans="4:5" ht="15.75" customHeight="1" x14ac:dyDescent="0.2">
      <c r="D743" s="12"/>
      <c r="E743" s="13" t="str">
        <f>IFERROR(VLOOKUP($D743,'Data NEW'!$B$2:$K$210,2,FALSE),"")</f>
        <v/>
      </c>
    </row>
    <row r="744" spans="4:5" ht="15.75" customHeight="1" x14ac:dyDescent="0.2">
      <c r="D744" s="12"/>
      <c r="E744" s="13" t="str">
        <f>IFERROR(VLOOKUP($D744,'Data NEW'!$B$2:$K$210,2,FALSE),"")</f>
        <v/>
      </c>
    </row>
    <row r="745" spans="4:5" ht="15.75" customHeight="1" x14ac:dyDescent="0.2">
      <c r="D745" s="12"/>
      <c r="E745" s="13" t="str">
        <f>IFERROR(VLOOKUP($D745,'Data NEW'!$B$2:$K$210,2,FALSE),"")</f>
        <v/>
      </c>
    </row>
    <row r="746" spans="4:5" ht="15.75" customHeight="1" x14ac:dyDescent="0.2">
      <c r="D746" s="12"/>
      <c r="E746" s="13" t="str">
        <f>IFERROR(VLOOKUP($D746,'Data NEW'!$B$2:$K$210,2,FALSE),"")</f>
        <v/>
      </c>
    </row>
    <row r="747" spans="4:5" ht="15.75" customHeight="1" x14ac:dyDescent="0.2">
      <c r="D747" s="12"/>
      <c r="E747" s="13" t="str">
        <f>IFERROR(VLOOKUP($D747,'Data NEW'!$B$2:$K$210,2,FALSE),"")</f>
        <v/>
      </c>
    </row>
    <row r="748" spans="4:5" ht="15.75" customHeight="1" x14ac:dyDescent="0.2">
      <c r="D748" s="12"/>
      <c r="E748" s="13" t="str">
        <f>IFERROR(VLOOKUP($D748,'Data NEW'!$B$2:$K$210,2,FALSE),"")</f>
        <v/>
      </c>
    </row>
    <row r="749" spans="4:5" ht="15.75" customHeight="1" x14ac:dyDescent="0.2">
      <c r="D749" s="12"/>
      <c r="E749" s="13" t="str">
        <f>IFERROR(VLOOKUP($D749,'Data NEW'!$B$2:$K$210,2,FALSE),"")</f>
        <v/>
      </c>
    </row>
    <row r="750" spans="4:5" ht="15.75" customHeight="1" x14ac:dyDescent="0.2">
      <c r="D750" s="12"/>
      <c r="E750" s="13" t="str">
        <f>IFERROR(VLOOKUP($D750,'Data NEW'!$B$2:$K$210,2,FALSE),"")</f>
        <v/>
      </c>
    </row>
    <row r="751" spans="4:5" ht="15.75" customHeight="1" x14ac:dyDescent="0.2">
      <c r="D751" s="12"/>
      <c r="E751" s="13" t="str">
        <f>IFERROR(VLOOKUP($D751,'Data NEW'!$B$2:$K$210,2,FALSE),"")</f>
        <v/>
      </c>
    </row>
    <row r="752" spans="4:5" ht="15.75" customHeight="1" x14ac:dyDescent="0.2">
      <c r="D752" s="12"/>
      <c r="E752" s="13" t="str">
        <f>IFERROR(VLOOKUP($D752,'Data NEW'!$B$2:$K$210,2,FALSE),"")</f>
        <v/>
      </c>
    </row>
    <row r="753" spans="4:5" ht="15.75" customHeight="1" x14ac:dyDescent="0.2">
      <c r="D753" s="12"/>
      <c r="E753" s="13" t="str">
        <f>IFERROR(VLOOKUP($D753,'Data NEW'!$B$2:$K$210,2,FALSE),"")</f>
        <v/>
      </c>
    </row>
    <row r="754" spans="4:5" ht="15.75" customHeight="1" x14ac:dyDescent="0.2">
      <c r="D754" s="12"/>
      <c r="E754" s="13" t="str">
        <f>IFERROR(VLOOKUP($D754,'Data NEW'!$B$2:$K$210,2,FALSE),"")</f>
        <v/>
      </c>
    </row>
    <row r="755" spans="4:5" ht="15.75" customHeight="1" x14ac:dyDescent="0.2">
      <c r="D755" s="12"/>
      <c r="E755" s="13" t="str">
        <f>IFERROR(VLOOKUP($D755,'Data NEW'!$B$2:$K$210,2,FALSE),"")</f>
        <v/>
      </c>
    </row>
    <row r="756" spans="4:5" ht="15.75" customHeight="1" x14ac:dyDescent="0.2">
      <c r="D756" s="12"/>
      <c r="E756" s="13" t="str">
        <f>IFERROR(VLOOKUP($D756,'Data NEW'!$B$2:$K$210,2,FALSE),"")</f>
        <v/>
      </c>
    </row>
    <row r="757" spans="4:5" ht="15.75" customHeight="1" x14ac:dyDescent="0.2">
      <c r="D757" s="12"/>
      <c r="E757" s="13" t="str">
        <f>IFERROR(VLOOKUP($D757,'Data NEW'!$B$2:$K$210,2,FALSE),"")</f>
        <v/>
      </c>
    </row>
    <row r="758" spans="4:5" ht="15.75" customHeight="1" x14ac:dyDescent="0.2">
      <c r="D758" s="12"/>
      <c r="E758" s="13" t="str">
        <f>IFERROR(VLOOKUP($D758,'Data NEW'!$B$2:$K$210,2,FALSE),"")</f>
        <v/>
      </c>
    </row>
    <row r="759" spans="4:5" ht="15.75" customHeight="1" x14ac:dyDescent="0.2">
      <c r="D759" s="12"/>
      <c r="E759" s="13" t="str">
        <f>IFERROR(VLOOKUP($D759,'Data NEW'!$B$2:$K$210,2,FALSE),"")</f>
        <v/>
      </c>
    </row>
    <row r="760" spans="4:5" ht="15.75" customHeight="1" x14ac:dyDescent="0.2">
      <c r="D760" s="12"/>
      <c r="E760" s="13" t="str">
        <f>IFERROR(VLOOKUP($D760,'Data NEW'!$B$2:$K$210,2,FALSE),"")</f>
        <v/>
      </c>
    </row>
    <row r="761" spans="4:5" ht="15.75" customHeight="1" x14ac:dyDescent="0.2">
      <c r="D761" s="12"/>
      <c r="E761" s="13" t="str">
        <f>IFERROR(VLOOKUP($D761,'Data NEW'!$B$2:$K$210,2,FALSE),"")</f>
        <v/>
      </c>
    </row>
    <row r="762" spans="4:5" ht="15.75" customHeight="1" x14ac:dyDescent="0.2">
      <c r="D762" s="12"/>
      <c r="E762" s="13" t="str">
        <f>IFERROR(VLOOKUP($D762,'Data NEW'!$B$2:$K$210,2,FALSE),"")</f>
        <v/>
      </c>
    </row>
    <row r="763" spans="4:5" ht="15.75" customHeight="1" x14ac:dyDescent="0.2">
      <c r="D763" s="12"/>
      <c r="E763" s="13" t="str">
        <f>IFERROR(VLOOKUP($D763,'Data NEW'!$B$2:$K$210,2,FALSE),"")</f>
        <v/>
      </c>
    </row>
    <row r="764" spans="4:5" ht="15.75" customHeight="1" x14ac:dyDescent="0.2">
      <c r="D764" s="12"/>
      <c r="E764" s="13" t="str">
        <f>IFERROR(VLOOKUP($D764,'Data NEW'!$B$2:$K$210,2,FALSE),"")</f>
        <v/>
      </c>
    </row>
    <row r="765" spans="4:5" ht="15.75" customHeight="1" x14ac:dyDescent="0.2">
      <c r="D765" s="12"/>
      <c r="E765" s="13" t="str">
        <f>IFERROR(VLOOKUP($D765,'Data NEW'!$B$2:$K$210,2,FALSE),"")</f>
        <v/>
      </c>
    </row>
    <row r="766" spans="4:5" ht="15.75" customHeight="1" x14ac:dyDescent="0.2">
      <c r="D766" s="12"/>
      <c r="E766" s="13" t="str">
        <f>IFERROR(VLOOKUP($D766,'Data NEW'!$B$2:$K$210,2,FALSE),"")</f>
        <v/>
      </c>
    </row>
    <row r="767" spans="4:5" ht="15.75" customHeight="1" x14ac:dyDescent="0.2">
      <c r="D767" s="12"/>
      <c r="E767" s="13" t="str">
        <f>IFERROR(VLOOKUP($D767,'Data NEW'!$B$2:$K$210,2,FALSE),"")</f>
        <v/>
      </c>
    </row>
    <row r="768" spans="4:5" ht="15.75" customHeight="1" x14ac:dyDescent="0.2">
      <c r="D768" s="12"/>
      <c r="E768" s="13" t="str">
        <f>IFERROR(VLOOKUP($D768,'Data NEW'!$B$2:$K$210,2,FALSE),"")</f>
        <v/>
      </c>
    </row>
    <row r="769" spans="4:5" ht="15.75" customHeight="1" x14ac:dyDescent="0.2">
      <c r="D769" s="12"/>
      <c r="E769" s="13" t="str">
        <f>IFERROR(VLOOKUP($D769,'Data NEW'!$B$2:$K$210,2,FALSE),"")</f>
        <v/>
      </c>
    </row>
    <row r="770" spans="4:5" ht="15.75" customHeight="1" x14ac:dyDescent="0.2">
      <c r="D770" s="12"/>
      <c r="E770" s="13" t="str">
        <f>IFERROR(VLOOKUP($D770,'Data NEW'!$B$2:$K$210,2,FALSE),"")</f>
        <v/>
      </c>
    </row>
    <row r="771" spans="4:5" ht="15.75" customHeight="1" x14ac:dyDescent="0.2">
      <c r="D771" s="12"/>
      <c r="E771" s="13" t="str">
        <f>IFERROR(VLOOKUP($D771,'Data NEW'!$B$2:$K$210,2,FALSE),"")</f>
        <v/>
      </c>
    </row>
    <row r="772" spans="4:5" ht="15.75" customHeight="1" x14ac:dyDescent="0.2">
      <c r="D772" s="12"/>
      <c r="E772" s="13" t="str">
        <f>IFERROR(VLOOKUP($D772,'Data NEW'!$B$2:$K$210,2,FALSE),"")</f>
        <v/>
      </c>
    </row>
    <row r="773" spans="4:5" ht="15.75" customHeight="1" x14ac:dyDescent="0.2">
      <c r="D773" s="12"/>
      <c r="E773" s="13" t="str">
        <f>IFERROR(VLOOKUP($D773,'Data NEW'!$B$2:$K$210,2,FALSE),"")</f>
        <v/>
      </c>
    </row>
    <row r="774" spans="4:5" ht="15.75" customHeight="1" x14ac:dyDescent="0.2">
      <c r="D774" s="12"/>
      <c r="E774" s="13" t="str">
        <f>IFERROR(VLOOKUP($D774,'Data NEW'!$B$2:$K$210,2,FALSE),"")</f>
        <v/>
      </c>
    </row>
    <row r="775" spans="4:5" ht="15.75" customHeight="1" x14ac:dyDescent="0.2">
      <c r="D775" s="12"/>
      <c r="E775" s="13" t="str">
        <f>IFERROR(VLOOKUP($D775,'Data NEW'!$B$2:$K$210,2,FALSE),"")</f>
        <v/>
      </c>
    </row>
    <row r="776" spans="4:5" ht="15.75" customHeight="1" x14ac:dyDescent="0.2">
      <c r="D776" s="12"/>
      <c r="E776" s="13" t="str">
        <f>IFERROR(VLOOKUP($D776,'Data NEW'!$B$2:$K$210,2,FALSE),"")</f>
        <v/>
      </c>
    </row>
    <row r="777" spans="4:5" ht="15.75" customHeight="1" x14ac:dyDescent="0.2">
      <c r="D777" s="12"/>
      <c r="E777" s="13" t="str">
        <f>IFERROR(VLOOKUP($D777,'Data NEW'!$B$2:$K$210,2,FALSE),"")</f>
        <v/>
      </c>
    </row>
    <row r="778" spans="4:5" ht="15.75" customHeight="1" x14ac:dyDescent="0.2">
      <c r="D778" s="12"/>
      <c r="E778" s="13" t="str">
        <f>IFERROR(VLOOKUP($D778,'Data NEW'!$B$2:$K$210,2,FALSE),"")</f>
        <v/>
      </c>
    </row>
    <row r="779" spans="4:5" ht="15.75" customHeight="1" x14ac:dyDescent="0.2">
      <c r="D779" s="12"/>
      <c r="E779" s="13" t="str">
        <f>IFERROR(VLOOKUP($D779,'Data NEW'!$B$2:$K$210,2,FALSE),"")</f>
        <v/>
      </c>
    </row>
    <row r="780" spans="4:5" ht="15.75" customHeight="1" x14ac:dyDescent="0.2">
      <c r="D780" s="12"/>
      <c r="E780" s="13" t="str">
        <f>IFERROR(VLOOKUP($D780,'Data NEW'!$B$2:$K$210,2,FALSE),"")</f>
        <v/>
      </c>
    </row>
    <row r="781" spans="4:5" ht="15.75" customHeight="1" x14ac:dyDescent="0.2">
      <c r="D781" s="12"/>
      <c r="E781" s="13" t="str">
        <f>IFERROR(VLOOKUP($D781,'Data NEW'!$B$2:$K$210,2,FALSE),"")</f>
        <v/>
      </c>
    </row>
    <row r="782" spans="4:5" ht="15.75" customHeight="1" x14ac:dyDescent="0.2">
      <c r="D782" s="12"/>
      <c r="E782" s="13" t="str">
        <f>IFERROR(VLOOKUP($D782,'Data NEW'!$B$2:$K$210,2,FALSE),"")</f>
        <v/>
      </c>
    </row>
    <row r="783" spans="4:5" ht="15.75" customHeight="1" x14ac:dyDescent="0.2">
      <c r="D783" s="12"/>
      <c r="E783" s="13" t="str">
        <f>IFERROR(VLOOKUP($D783,'Data NEW'!$B$2:$K$210,2,FALSE),"")</f>
        <v/>
      </c>
    </row>
    <row r="784" spans="4:5" ht="15.75" customHeight="1" x14ac:dyDescent="0.2">
      <c r="D784" s="12"/>
      <c r="E784" s="13" t="str">
        <f>IFERROR(VLOOKUP($D784,'Data NEW'!$B$2:$K$210,2,FALSE),"")</f>
        <v/>
      </c>
    </row>
    <row r="785" spans="4:5" ht="15.75" customHeight="1" x14ac:dyDescent="0.2">
      <c r="D785" s="12"/>
      <c r="E785" s="13" t="str">
        <f>IFERROR(VLOOKUP($D785,'Data NEW'!$B$2:$K$210,2,FALSE),"")</f>
        <v/>
      </c>
    </row>
    <row r="786" spans="4:5" ht="15.75" customHeight="1" x14ac:dyDescent="0.2">
      <c r="D786" s="12"/>
      <c r="E786" s="13" t="str">
        <f>IFERROR(VLOOKUP($D786,'Data NEW'!$B$2:$K$210,2,FALSE),"")</f>
        <v/>
      </c>
    </row>
    <row r="787" spans="4:5" ht="15.75" customHeight="1" x14ac:dyDescent="0.2">
      <c r="D787" s="12"/>
      <c r="E787" s="13" t="str">
        <f>IFERROR(VLOOKUP($D787,'Data NEW'!$B$2:$K$210,2,FALSE),"")</f>
        <v/>
      </c>
    </row>
    <row r="788" spans="4:5" ht="15.75" customHeight="1" x14ac:dyDescent="0.2">
      <c r="D788" s="12"/>
      <c r="E788" s="13" t="str">
        <f>IFERROR(VLOOKUP($D788,'Data NEW'!$B$2:$K$210,2,FALSE),"")</f>
        <v/>
      </c>
    </row>
    <row r="789" spans="4:5" ht="15.75" customHeight="1" x14ac:dyDescent="0.2">
      <c r="D789" s="12"/>
      <c r="E789" s="13" t="str">
        <f>IFERROR(VLOOKUP($D789,'Data NEW'!$B$2:$K$210,2,FALSE),"")</f>
        <v/>
      </c>
    </row>
    <row r="790" spans="4:5" ht="15.75" customHeight="1" x14ac:dyDescent="0.2">
      <c r="D790" s="12"/>
      <c r="E790" s="13" t="str">
        <f>IFERROR(VLOOKUP($D790,'Data NEW'!$B$2:$K$210,2,FALSE),"")</f>
        <v/>
      </c>
    </row>
    <row r="791" spans="4:5" ht="15.75" customHeight="1" x14ac:dyDescent="0.2">
      <c r="D791" s="12"/>
      <c r="E791" s="13" t="str">
        <f>IFERROR(VLOOKUP($D791,'Data NEW'!$B$2:$K$210,2,FALSE),"")</f>
        <v/>
      </c>
    </row>
    <row r="792" spans="4:5" ht="15.75" customHeight="1" x14ac:dyDescent="0.2">
      <c r="D792" s="12"/>
      <c r="E792" s="13" t="str">
        <f>IFERROR(VLOOKUP($D792,'Data NEW'!$B$2:$K$210,2,FALSE),"")</f>
        <v/>
      </c>
    </row>
    <row r="793" spans="4:5" ht="15.75" customHeight="1" x14ac:dyDescent="0.2">
      <c r="D793" s="12"/>
      <c r="E793" s="13" t="str">
        <f>IFERROR(VLOOKUP($D793,'Data NEW'!$B$2:$K$210,2,FALSE),"")</f>
        <v/>
      </c>
    </row>
    <row r="794" spans="4:5" ht="15.75" customHeight="1" x14ac:dyDescent="0.2">
      <c r="D794" s="12"/>
      <c r="E794" s="13" t="str">
        <f>IFERROR(VLOOKUP($D794,'Data NEW'!$B$2:$K$210,2,FALSE),"")</f>
        <v/>
      </c>
    </row>
    <row r="795" spans="4:5" ht="15.75" customHeight="1" x14ac:dyDescent="0.2">
      <c r="D795" s="12"/>
      <c r="E795" s="13" t="str">
        <f>IFERROR(VLOOKUP($D795,'Data NEW'!$B$2:$K$210,2,FALSE),"")</f>
        <v/>
      </c>
    </row>
    <row r="796" spans="4:5" ht="15.75" customHeight="1" x14ac:dyDescent="0.2">
      <c r="D796" s="12"/>
      <c r="E796" s="13" t="str">
        <f>IFERROR(VLOOKUP($D796,'Data NEW'!$B$2:$K$210,2,FALSE),"")</f>
        <v/>
      </c>
    </row>
    <row r="797" spans="4:5" ht="15.75" customHeight="1" x14ac:dyDescent="0.2">
      <c r="D797" s="12"/>
      <c r="E797" s="13" t="str">
        <f>IFERROR(VLOOKUP($D797,'Data NEW'!$B$2:$K$210,2,FALSE),"")</f>
        <v/>
      </c>
    </row>
    <row r="798" spans="4:5" ht="15.75" customHeight="1" x14ac:dyDescent="0.2">
      <c r="D798" s="12"/>
      <c r="E798" s="13" t="str">
        <f>IFERROR(VLOOKUP($D798,'Data NEW'!$B$2:$K$210,2,FALSE),"")</f>
        <v/>
      </c>
    </row>
    <row r="799" spans="4:5" ht="15.75" customHeight="1" x14ac:dyDescent="0.2">
      <c r="D799" s="12"/>
      <c r="E799" s="13" t="str">
        <f>IFERROR(VLOOKUP($D799,'Data NEW'!$B$2:$K$210,2,FALSE),"")</f>
        <v/>
      </c>
    </row>
    <row r="800" spans="4:5" ht="15.75" customHeight="1" x14ac:dyDescent="0.2">
      <c r="D800" s="12"/>
      <c r="E800" s="13" t="str">
        <f>IFERROR(VLOOKUP($D800,'Data NEW'!$B$2:$K$210,2,FALSE),"")</f>
        <v/>
      </c>
    </row>
    <row r="801" spans="4:5" ht="15.75" customHeight="1" x14ac:dyDescent="0.2">
      <c r="D801" s="12"/>
      <c r="E801" s="13" t="str">
        <f>IFERROR(VLOOKUP($D801,'Data NEW'!$B$2:$K$210,2,FALSE),"")</f>
        <v/>
      </c>
    </row>
    <row r="802" spans="4:5" ht="15.75" customHeight="1" x14ac:dyDescent="0.2">
      <c r="D802" s="12"/>
      <c r="E802" s="13" t="str">
        <f>IFERROR(VLOOKUP($D802,'Data NEW'!$B$2:$K$210,2,FALSE),"")</f>
        <v/>
      </c>
    </row>
    <row r="803" spans="4:5" ht="15.75" customHeight="1" x14ac:dyDescent="0.2">
      <c r="D803" s="12"/>
      <c r="E803" s="13" t="str">
        <f>IFERROR(VLOOKUP($D803,'Data NEW'!$B$2:$K$210,2,FALSE),"")</f>
        <v/>
      </c>
    </row>
    <row r="804" spans="4:5" ht="15.75" customHeight="1" x14ac:dyDescent="0.2">
      <c r="D804" s="12"/>
      <c r="E804" s="13" t="str">
        <f>IFERROR(VLOOKUP($D804,'Data NEW'!$B$2:$K$210,2,FALSE),"")</f>
        <v/>
      </c>
    </row>
    <row r="805" spans="4:5" ht="15.75" customHeight="1" x14ac:dyDescent="0.2">
      <c r="D805" s="12"/>
      <c r="E805" s="13" t="str">
        <f>IFERROR(VLOOKUP($D805,'Data NEW'!$B$2:$K$210,2,FALSE),"")</f>
        <v/>
      </c>
    </row>
    <row r="806" spans="4:5" ht="15.75" customHeight="1" x14ac:dyDescent="0.2">
      <c r="D806" s="12"/>
      <c r="E806" s="13" t="str">
        <f>IFERROR(VLOOKUP($D806,'Data NEW'!$B$2:$K$210,2,FALSE),"")</f>
        <v/>
      </c>
    </row>
    <row r="807" spans="4:5" ht="15.75" customHeight="1" x14ac:dyDescent="0.2">
      <c r="D807" s="12"/>
      <c r="E807" s="13" t="str">
        <f>IFERROR(VLOOKUP($D807,'Data NEW'!$B$2:$K$210,2,FALSE),"")</f>
        <v/>
      </c>
    </row>
    <row r="808" spans="4:5" ht="15.75" customHeight="1" x14ac:dyDescent="0.2">
      <c r="D808" s="12"/>
      <c r="E808" s="13" t="str">
        <f>IFERROR(VLOOKUP($D808,'Data NEW'!$B$2:$K$210,2,FALSE),"")</f>
        <v/>
      </c>
    </row>
    <row r="809" spans="4:5" ht="15.75" customHeight="1" x14ac:dyDescent="0.2">
      <c r="D809" s="12"/>
      <c r="E809" s="13" t="str">
        <f>IFERROR(VLOOKUP($D809,'Data NEW'!$B$2:$K$210,2,FALSE),"")</f>
        <v/>
      </c>
    </row>
    <row r="810" spans="4:5" ht="15.75" customHeight="1" x14ac:dyDescent="0.2">
      <c r="D810" s="12"/>
      <c r="E810" s="13" t="str">
        <f>IFERROR(VLOOKUP($D810,'Data NEW'!$B$2:$K$210,2,FALSE),"")</f>
        <v/>
      </c>
    </row>
    <row r="811" spans="4:5" ht="15.75" customHeight="1" x14ac:dyDescent="0.2">
      <c r="D811" s="12"/>
      <c r="E811" s="13" t="str">
        <f>IFERROR(VLOOKUP($D811,'Data NEW'!$B$2:$K$210,2,FALSE),"")</f>
        <v/>
      </c>
    </row>
    <row r="812" spans="4:5" ht="15.75" customHeight="1" x14ac:dyDescent="0.2">
      <c r="D812" s="12"/>
      <c r="E812" s="13" t="str">
        <f>IFERROR(VLOOKUP($D812,'Data NEW'!$B$2:$K$210,2,FALSE),"")</f>
        <v/>
      </c>
    </row>
    <row r="813" spans="4:5" ht="15.75" customHeight="1" x14ac:dyDescent="0.2">
      <c r="D813" s="12"/>
      <c r="E813" s="13" t="str">
        <f>IFERROR(VLOOKUP($D813,'Data NEW'!$B$2:$K$210,2,FALSE),"")</f>
        <v/>
      </c>
    </row>
    <row r="814" spans="4:5" ht="15.75" customHeight="1" x14ac:dyDescent="0.2">
      <c r="D814" s="12"/>
      <c r="E814" s="13" t="str">
        <f>IFERROR(VLOOKUP($D814,'Data NEW'!$B$2:$K$210,2,FALSE),"")</f>
        <v/>
      </c>
    </row>
    <row r="815" spans="4:5" ht="15.75" customHeight="1" x14ac:dyDescent="0.2">
      <c r="D815" s="12"/>
      <c r="E815" s="13" t="str">
        <f>IFERROR(VLOOKUP($D815,'Data NEW'!$B$2:$K$210,2,FALSE),"")</f>
        <v/>
      </c>
    </row>
    <row r="816" spans="4:5" ht="15.75" customHeight="1" x14ac:dyDescent="0.2">
      <c r="D816" s="12"/>
      <c r="E816" s="13" t="str">
        <f>IFERROR(VLOOKUP($D816,'Data NEW'!$B$2:$K$210,2,FALSE),"")</f>
        <v/>
      </c>
    </row>
    <row r="817" spans="4:5" ht="15.75" customHeight="1" x14ac:dyDescent="0.2">
      <c r="D817" s="12"/>
      <c r="E817" s="13" t="str">
        <f>IFERROR(VLOOKUP($D817,'Data NEW'!$B$2:$K$210,2,FALSE),"")</f>
        <v/>
      </c>
    </row>
    <row r="818" spans="4:5" ht="15.75" customHeight="1" x14ac:dyDescent="0.2">
      <c r="D818" s="12"/>
      <c r="E818" s="13" t="str">
        <f>IFERROR(VLOOKUP($D818,'Data NEW'!$B$2:$K$210,2,FALSE),"")</f>
        <v/>
      </c>
    </row>
    <row r="819" spans="4:5" ht="15.75" customHeight="1" x14ac:dyDescent="0.2">
      <c r="D819" s="12"/>
      <c r="E819" s="13" t="str">
        <f>IFERROR(VLOOKUP($D819,'Data NEW'!$B$2:$K$210,2,FALSE),"")</f>
        <v/>
      </c>
    </row>
    <row r="820" spans="4:5" ht="15.75" customHeight="1" x14ac:dyDescent="0.2">
      <c r="D820" s="12"/>
      <c r="E820" s="13" t="str">
        <f>IFERROR(VLOOKUP($D820,'Data NEW'!$B$2:$K$210,2,FALSE),"")</f>
        <v/>
      </c>
    </row>
    <row r="821" spans="4:5" ht="15.75" customHeight="1" x14ac:dyDescent="0.2">
      <c r="D821" s="12"/>
      <c r="E821" s="13" t="str">
        <f>IFERROR(VLOOKUP($D821,'Data NEW'!$B$2:$K$210,2,FALSE),"")</f>
        <v/>
      </c>
    </row>
    <row r="822" spans="4:5" ht="15.75" customHeight="1" x14ac:dyDescent="0.2">
      <c r="D822" s="12"/>
      <c r="E822" s="13" t="str">
        <f>IFERROR(VLOOKUP($D822,'Data NEW'!$B$2:$K$210,2,FALSE),"")</f>
        <v/>
      </c>
    </row>
    <row r="823" spans="4:5" ht="15.75" customHeight="1" x14ac:dyDescent="0.2">
      <c r="D823" s="12"/>
      <c r="E823" s="13" t="str">
        <f>IFERROR(VLOOKUP($D823,'Data NEW'!$B$2:$K$210,2,FALSE),"")</f>
        <v/>
      </c>
    </row>
    <row r="824" spans="4:5" ht="15.75" customHeight="1" x14ac:dyDescent="0.2">
      <c r="D824" s="12"/>
      <c r="E824" s="13" t="str">
        <f>IFERROR(VLOOKUP($D824,'Data NEW'!$B$2:$K$210,2,FALSE),"")</f>
        <v/>
      </c>
    </row>
    <row r="825" spans="4:5" ht="15.75" customHeight="1" x14ac:dyDescent="0.2">
      <c r="D825" s="12"/>
      <c r="E825" s="13" t="str">
        <f>IFERROR(VLOOKUP($D825,'Data NEW'!$B$2:$K$210,2,FALSE),"")</f>
        <v/>
      </c>
    </row>
    <row r="826" spans="4:5" ht="15.75" customHeight="1" x14ac:dyDescent="0.2">
      <c r="D826" s="12"/>
      <c r="E826" s="13" t="str">
        <f>IFERROR(VLOOKUP($D826,'Data NEW'!$B$2:$K$210,2,FALSE),"")</f>
        <v/>
      </c>
    </row>
    <row r="827" spans="4:5" ht="15.75" customHeight="1" x14ac:dyDescent="0.2">
      <c r="D827" s="12"/>
      <c r="E827" s="13" t="str">
        <f>IFERROR(VLOOKUP($D827,'Data NEW'!$B$2:$K$210,2,FALSE),"")</f>
        <v/>
      </c>
    </row>
    <row r="828" spans="4:5" ht="15.75" customHeight="1" x14ac:dyDescent="0.2">
      <c r="D828" s="12"/>
      <c r="E828" s="13" t="str">
        <f>IFERROR(VLOOKUP($D828,'Data NEW'!$B$2:$K$210,2,FALSE),"")</f>
        <v/>
      </c>
    </row>
    <row r="829" spans="4:5" ht="15.75" customHeight="1" x14ac:dyDescent="0.2">
      <c r="D829" s="12"/>
      <c r="E829" s="13" t="str">
        <f>IFERROR(VLOOKUP($D829,'Data NEW'!$B$2:$K$210,2,FALSE),"")</f>
        <v/>
      </c>
    </row>
    <row r="830" spans="4:5" ht="15.75" customHeight="1" x14ac:dyDescent="0.2">
      <c r="D830" s="12"/>
      <c r="E830" s="13" t="str">
        <f>IFERROR(VLOOKUP($D830,'Data NEW'!$B$2:$K$210,2,FALSE),"")</f>
        <v/>
      </c>
    </row>
    <row r="831" spans="4:5" ht="15.75" customHeight="1" x14ac:dyDescent="0.2">
      <c r="D831" s="12"/>
      <c r="E831" s="13" t="str">
        <f>IFERROR(VLOOKUP($D831,'Data NEW'!$B$2:$K$210,2,FALSE),"")</f>
        <v/>
      </c>
    </row>
    <row r="832" spans="4:5" ht="15.75" customHeight="1" x14ac:dyDescent="0.2">
      <c r="D832" s="12"/>
      <c r="E832" s="13" t="str">
        <f>IFERROR(VLOOKUP($D832,'Data NEW'!$B$2:$K$210,2,FALSE),"")</f>
        <v/>
      </c>
    </row>
    <row r="833" spans="4:5" ht="15.75" customHeight="1" x14ac:dyDescent="0.2">
      <c r="D833" s="12"/>
      <c r="E833" s="13" t="str">
        <f>IFERROR(VLOOKUP($D833,'Data NEW'!$B$2:$K$210,2,FALSE),"")</f>
        <v/>
      </c>
    </row>
    <row r="834" spans="4:5" ht="15.75" customHeight="1" x14ac:dyDescent="0.2">
      <c r="D834" s="12"/>
      <c r="E834" s="13" t="str">
        <f>IFERROR(VLOOKUP($D834,'Data NEW'!$B$2:$K$210,2,FALSE),"")</f>
        <v/>
      </c>
    </row>
    <row r="835" spans="4:5" ht="15.75" customHeight="1" x14ac:dyDescent="0.2">
      <c r="D835" s="12"/>
      <c r="E835" s="13" t="str">
        <f>IFERROR(VLOOKUP($D835,'Data NEW'!$B$2:$K$210,2,FALSE),"")</f>
        <v/>
      </c>
    </row>
    <row r="836" spans="4:5" ht="15.75" customHeight="1" x14ac:dyDescent="0.2">
      <c r="D836" s="12"/>
      <c r="E836" s="13" t="str">
        <f>IFERROR(VLOOKUP($D836,'Data NEW'!$B$2:$K$210,2,FALSE),"")</f>
        <v/>
      </c>
    </row>
    <row r="837" spans="4:5" ht="15.75" customHeight="1" x14ac:dyDescent="0.2">
      <c r="D837" s="12"/>
      <c r="E837" s="13" t="str">
        <f>IFERROR(VLOOKUP($D837,'Data NEW'!$B$2:$K$210,2,FALSE),"")</f>
        <v/>
      </c>
    </row>
    <row r="838" spans="4:5" ht="15.75" customHeight="1" x14ac:dyDescent="0.2">
      <c r="D838" s="12"/>
      <c r="E838" s="13" t="str">
        <f>IFERROR(VLOOKUP($D838,'Data NEW'!$B$2:$K$210,2,FALSE),"")</f>
        <v/>
      </c>
    </row>
    <row r="839" spans="4:5" ht="15.75" customHeight="1" x14ac:dyDescent="0.2">
      <c r="D839" s="12"/>
      <c r="E839" s="13" t="str">
        <f>IFERROR(VLOOKUP($D839,'Data NEW'!$B$2:$K$210,2,FALSE),"")</f>
        <v/>
      </c>
    </row>
    <row r="840" spans="4:5" ht="15.75" customHeight="1" x14ac:dyDescent="0.2">
      <c r="D840" s="12"/>
      <c r="E840" s="13" t="str">
        <f>IFERROR(VLOOKUP($D840,'Data NEW'!$B$2:$K$210,2,FALSE),"")</f>
        <v/>
      </c>
    </row>
    <row r="841" spans="4:5" ht="15.75" customHeight="1" x14ac:dyDescent="0.2">
      <c r="D841" s="12"/>
      <c r="E841" s="13" t="str">
        <f>IFERROR(VLOOKUP($D841,'Data NEW'!$B$2:$K$210,2,FALSE),"")</f>
        <v/>
      </c>
    </row>
    <row r="842" spans="4:5" ht="15.75" customHeight="1" x14ac:dyDescent="0.2">
      <c r="D842" s="12"/>
      <c r="E842" s="13" t="str">
        <f>IFERROR(VLOOKUP($D842,'Data NEW'!$B$2:$K$210,2,FALSE),"")</f>
        <v/>
      </c>
    </row>
    <row r="843" spans="4:5" ht="15.75" customHeight="1" x14ac:dyDescent="0.2">
      <c r="D843" s="12"/>
      <c r="E843" s="13" t="str">
        <f>IFERROR(VLOOKUP($D843,'Data NEW'!$B$2:$K$210,2,FALSE),"")</f>
        <v/>
      </c>
    </row>
    <row r="844" spans="4:5" ht="15.75" customHeight="1" x14ac:dyDescent="0.2">
      <c r="D844" s="12"/>
      <c r="E844" s="13" t="str">
        <f>IFERROR(VLOOKUP($D844,'Data NEW'!$B$2:$K$210,2,FALSE),"")</f>
        <v/>
      </c>
    </row>
    <row r="845" spans="4:5" ht="15.75" customHeight="1" x14ac:dyDescent="0.2">
      <c r="D845" s="12"/>
      <c r="E845" s="13" t="str">
        <f>IFERROR(VLOOKUP($D845,'Data NEW'!$B$2:$K$210,2,FALSE),"")</f>
        <v/>
      </c>
    </row>
    <row r="846" spans="4:5" ht="15.75" customHeight="1" x14ac:dyDescent="0.2">
      <c r="D846" s="12"/>
      <c r="E846" s="13" t="str">
        <f>IFERROR(VLOOKUP($D846,'Data NEW'!$B$2:$K$210,2,FALSE),"")</f>
        <v/>
      </c>
    </row>
    <row r="847" spans="4:5" ht="15.75" customHeight="1" x14ac:dyDescent="0.2">
      <c r="D847" s="12"/>
      <c r="E847" s="13" t="str">
        <f>IFERROR(VLOOKUP($D847,'Data NEW'!$B$2:$K$210,2,FALSE),"")</f>
        <v/>
      </c>
    </row>
    <row r="848" spans="4:5" ht="15.75" customHeight="1" x14ac:dyDescent="0.2">
      <c r="D848" s="12"/>
      <c r="E848" s="13" t="str">
        <f>IFERROR(VLOOKUP($D848,'Data NEW'!$B$2:$K$210,2,FALSE),"")</f>
        <v/>
      </c>
    </row>
    <row r="849" spans="4:5" ht="15.75" customHeight="1" x14ac:dyDescent="0.2">
      <c r="D849" s="12"/>
      <c r="E849" s="13" t="str">
        <f>IFERROR(VLOOKUP($D849,'Data NEW'!$B$2:$K$210,2,FALSE),"")</f>
        <v/>
      </c>
    </row>
    <row r="850" spans="4:5" ht="15.75" customHeight="1" x14ac:dyDescent="0.2">
      <c r="D850" s="12"/>
      <c r="E850" s="13" t="str">
        <f>IFERROR(VLOOKUP($D850,'Data NEW'!$B$2:$K$210,2,FALSE),"")</f>
        <v/>
      </c>
    </row>
    <row r="851" spans="4:5" ht="15.75" customHeight="1" x14ac:dyDescent="0.2">
      <c r="D851" s="12"/>
      <c r="E851" s="13" t="str">
        <f>IFERROR(VLOOKUP($D851,'Data NEW'!$B$2:$K$210,2,FALSE),"")</f>
        <v/>
      </c>
    </row>
    <row r="852" spans="4:5" ht="15.75" customHeight="1" x14ac:dyDescent="0.2">
      <c r="D852" s="12"/>
      <c r="E852" s="13" t="str">
        <f>IFERROR(VLOOKUP($D852,'Data NEW'!$B$2:$K$210,2,FALSE),"")</f>
        <v/>
      </c>
    </row>
    <row r="853" spans="4:5" ht="15.75" customHeight="1" x14ac:dyDescent="0.2">
      <c r="D853" s="12"/>
      <c r="E853" s="13" t="str">
        <f>IFERROR(VLOOKUP($D853,'Data NEW'!$B$2:$K$210,2,FALSE),"")</f>
        <v/>
      </c>
    </row>
    <row r="854" spans="4:5" ht="15.75" customHeight="1" x14ac:dyDescent="0.2">
      <c r="D854" s="12"/>
      <c r="E854" s="13" t="str">
        <f>IFERROR(VLOOKUP($D854,'Data NEW'!$B$2:$K$210,2,FALSE),"")</f>
        <v/>
      </c>
    </row>
    <row r="855" spans="4:5" ht="15.75" customHeight="1" x14ac:dyDescent="0.2">
      <c r="D855" s="12"/>
      <c r="E855" s="13" t="str">
        <f>IFERROR(VLOOKUP($D855,'Data NEW'!$B$2:$K$210,2,FALSE),"")</f>
        <v/>
      </c>
    </row>
    <row r="856" spans="4:5" ht="15.75" customHeight="1" x14ac:dyDescent="0.2">
      <c r="D856" s="12"/>
      <c r="E856" s="13" t="str">
        <f>IFERROR(VLOOKUP($D856,'Data NEW'!$B$2:$K$210,2,FALSE),"")</f>
        <v/>
      </c>
    </row>
    <row r="857" spans="4:5" ht="15.75" customHeight="1" x14ac:dyDescent="0.2">
      <c r="D857" s="12"/>
      <c r="E857" s="13" t="str">
        <f>IFERROR(VLOOKUP($D857,'Data NEW'!$B$2:$K$210,2,FALSE),"")</f>
        <v/>
      </c>
    </row>
    <row r="858" spans="4:5" ht="15.75" customHeight="1" x14ac:dyDescent="0.2">
      <c r="D858" s="12"/>
      <c r="E858" s="13" t="str">
        <f>IFERROR(VLOOKUP($D858,'Data NEW'!$B$2:$K$210,2,FALSE),"")</f>
        <v/>
      </c>
    </row>
    <row r="859" spans="4:5" ht="15.75" customHeight="1" x14ac:dyDescent="0.2">
      <c r="D859" s="12"/>
      <c r="E859" s="13" t="str">
        <f>IFERROR(VLOOKUP($D859,'Data NEW'!$B$2:$K$210,2,FALSE),"")</f>
        <v/>
      </c>
    </row>
    <row r="860" spans="4:5" ht="15.75" customHeight="1" x14ac:dyDescent="0.2">
      <c r="D860" s="12"/>
      <c r="E860" s="13" t="str">
        <f>IFERROR(VLOOKUP($D860,'Data NEW'!$B$2:$K$210,2,FALSE),"")</f>
        <v/>
      </c>
    </row>
    <row r="861" spans="4:5" ht="15.75" customHeight="1" x14ac:dyDescent="0.2">
      <c r="D861" s="12"/>
      <c r="E861" s="13" t="str">
        <f>IFERROR(VLOOKUP($D861,'Data NEW'!$B$2:$K$210,2,FALSE),"")</f>
        <v/>
      </c>
    </row>
    <row r="862" spans="4:5" ht="15.75" customHeight="1" x14ac:dyDescent="0.2">
      <c r="D862" s="12"/>
      <c r="E862" s="13" t="str">
        <f>IFERROR(VLOOKUP($D862,'Data NEW'!$B$2:$K$210,2,FALSE),"")</f>
        <v/>
      </c>
    </row>
    <row r="863" spans="4:5" ht="15.75" customHeight="1" x14ac:dyDescent="0.2">
      <c r="D863" s="12"/>
      <c r="E863" s="13" t="str">
        <f>IFERROR(VLOOKUP($D863,'Data NEW'!$B$2:$K$210,2,FALSE),"")</f>
        <v/>
      </c>
    </row>
    <row r="864" spans="4:5" ht="15.75" customHeight="1" x14ac:dyDescent="0.2">
      <c r="D864" s="12"/>
      <c r="E864" s="13" t="str">
        <f>IFERROR(VLOOKUP($D864,'Data NEW'!$B$2:$K$210,2,FALSE),"")</f>
        <v/>
      </c>
    </row>
    <row r="865" spans="4:5" ht="15.75" customHeight="1" x14ac:dyDescent="0.2">
      <c r="D865" s="12"/>
      <c r="E865" s="13" t="str">
        <f>IFERROR(VLOOKUP($D865,'Data NEW'!$B$2:$K$210,2,FALSE),"")</f>
        <v/>
      </c>
    </row>
    <row r="866" spans="4:5" ht="15.75" customHeight="1" x14ac:dyDescent="0.2">
      <c r="D866" s="12"/>
      <c r="E866" s="13" t="str">
        <f>IFERROR(VLOOKUP($D866,'Data NEW'!$B$2:$K$210,2,FALSE),"")</f>
        <v/>
      </c>
    </row>
    <row r="867" spans="4:5" ht="15.75" customHeight="1" x14ac:dyDescent="0.2">
      <c r="D867" s="12"/>
      <c r="E867" s="13" t="str">
        <f>IFERROR(VLOOKUP($D867,'Data NEW'!$B$2:$K$210,2,FALSE),"")</f>
        <v/>
      </c>
    </row>
    <row r="868" spans="4:5" ht="15.75" customHeight="1" x14ac:dyDescent="0.2">
      <c r="D868" s="12"/>
      <c r="E868" s="13" t="str">
        <f>IFERROR(VLOOKUP($D868,'Data NEW'!$B$2:$K$210,2,FALSE),"")</f>
        <v/>
      </c>
    </row>
    <row r="869" spans="4:5" ht="15.75" customHeight="1" x14ac:dyDescent="0.2">
      <c r="D869" s="12"/>
      <c r="E869" s="13" t="str">
        <f>IFERROR(VLOOKUP($D869,'Data NEW'!$B$2:$K$210,2,FALSE),"")</f>
        <v/>
      </c>
    </row>
    <row r="870" spans="4:5" ht="15.75" customHeight="1" x14ac:dyDescent="0.2">
      <c r="D870" s="12"/>
      <c r="E870" s="13" t="str">
        <f>IFERROR(VLOOKUP($D870,'Data NEW'!$B$2:$K$210,2,FALSE),"")</f>
        <v/>
      </c>
    </row>
    <row r="871" spans="4:5" ht="15.75" customHeight="1" x14ac:dyDescent="0.2">
      <c r="D871" s="12"/>
      <c r="E871" s="13" t="str">
        <f>IFERROR(VLOOKUP($D871,'Data NEW'!$B$2:$K$210,2,FALSE),"")</f>
        <v/>
      </c>
    </row>
    <row r="872" spans="4:5" ht="15.75" customHeight="1" x14ac:dyDescent="0.2">
      <c r="D872" s="12"/>
      <c r="E872" s="13" t="str">
        <f>IFERROR(VLOOKUP($D872,'Data NEW'!$B$2:$K$210,2,FALSE),"")</f>
        <v/>
      </c>
    </row>
    <row r="873" spans="4:5" ht="15.75" customHeight="1" x14ac:dyDescent="0.2">
      <c r="D873" s="12"/>
      <c r="E873" s="13" t="str">
        <f>IFERROR(VLOOKUP($D873,'Data NEW'!$B$2:$K$210,2,FALSE),"")</f>
        <v/>
      </c>
    </row>
    <row r="874" spans="4:5" ht="15.75" customHeight="1" x14ac:dyDescent="0.2">
      <c r="D874" s="12"/>
      <c r="E874" s="13" t="str">
        <f>IFERROR(VLOOKUP($D874,'Data NEW'!$B$2:$K$210,2,FALSE),"")</f>
        <v/>
      </c>
    </row>
    <row r="875" spans="4:5" ht="15.75" customHeight="1" x14ac:dyDescent="0.2">
      <c r="D875" s="12"/>
      <c r="E875" s="13" t="str">
        <f>IFERROR(VLOOKUP($D875,'Data NEW'!$B$2:$K$210,2,FALSE),"")</f>
        <v/>
      </c>
    </row>
    <row r="876" spans="4:5" ht="15.75" customHeight="1" x14ac:dyDescent="0.2">
      <c r="D876" s="12"/>
      <c r="E876" s="13" t="str">
        <f>IFERROR(VLOOKUP($D876,'Data NEW'!$B$2:$K$210,2,FALSE),"")</f>
        <v/>
      </c>
    </row>
    <row r="877" spans="4:5" ht="15.75" customHeight="1" x14ac:dyDescent="0.2">
      <c r="D877" s="12"/>
      <c r="E877" s="13" t="str">
        <f>IFERROR(VLOOKUP($D877,'Data NEW'!$B$2:$K$210,2,FALSE),"")</f>
        <v/>
      </c>
    </row>
    <row r="878" spans="4:5" ht="15.75" customHeight="1" x14ac:dyDescent="0.2">
      <c r="D878" s="12"/>
      <c r="E878" s="13" t="str">
        <f>IFERROR(VLOOKUP($D878,'Data NEW'!$B$2:$K$210,2,FALSE),"")</f>
        <v/>
      </c>
    </row>
    <row r="879" spans="4:5" ht="15.75" customHeight="1" x14ac:dyDescent="0.2">
      <c r="D879" s="12"/>
      <c r="E879" s="13" t="str">
        <f>IFERROR(VLOOKUP($D879,'Data NEW'!$B$2:$K$210,2,FALSE),"")</f>
        <v/>
      </c>
    </row>
    <row r="880" spans="4:5" ht="15.75" customHeight="1" x14ac:dyDescent="0.2">
      <c r="D880" s="12"/>
      <c r="E880" s="13" t="str">
        <f>IFERROR(VLOOKUP($D880,'Data NEW'!$B$2:$K$210,2,FALSE),"")</f>
        <v/>
      </c>
    </row>
    <row r="881" spans="4:5" ht="15.75" customHeight="1" x14ac:dyDescent="0.2">
      <c r="D881" s="12"/>
      <c r="E881" s="13" t="str">
        <f>IFERROR(VLOOKUP($D881,'Data NEW'!$B$2:$K$210,2,FALSE),"")</f>
        <v/>
      </c>
    </row>
    <row r="882" spans="4:5" ht="15.75" customHeight="1" x14ac:dyDescent="0.2">
      <c r="D882" s="12"/>
      <c r="E882" s="13" t="str">
        <f>IFERROR(VLOOKUP($D882,'Data NEW'!$B$2:$K$210,2,FALSE),"")</f>
        <v/>
      </c>
    </row>
    <row r="883" spans="4:5" ht="15.75" customHeight="1" x14ac:dyDescent="0.2">
      <c r="D883" s="12"/>
      <c r="E883" s="13" t="str">
        <f>IFERROR(VLOOKUP($D883,'Data NEW'!$B$2:$K$210,2,FALSE),"")</f>
        <v/>
      </c>
    </row>
    <row r="884" spans="4:5" ht="15.75" customHeight="1" x14ac:dyDescent="0.2">
      <c r="D884" s="12"/>
      <c r="E884" s="13" t="str">
        <f>IFERROR(VLOOKUP($D884,'Data NEW'!$B$2:$K$210,2,FALSE),"")</f>
        <v/>
      </c>
    </row>
    <row r="885" spans="4:5" ht="15.75" customHeight="1" x14ac:dyDescent="0.2">
      <c r="D885" s="12"/>
      <c r="E885" s="13" t="str">
        <f>IFERROR(VLOOKUP($D885,'Data NEW'!$B$2:$K$210,2,FALSE),"")</f>
        <v/>
      </c>
    </row>
    <row r="886" spans="4:5" ht="15.75" customHeight="1" x14ac:dyDescent="0.2">
      <c r="D886" s="12"/>
      <c r="E886" s="13" t="str">
        <f>IFERROR(VLOOKUP($D886,'Data NEW'!$B$2:$K$210,2,FALSE),"")</f>
        <v/>
      </c>
    </row>
    <row r="887" spans="4:5" ht="15.75" customHeight="1" x14ac:dyDescent="0.2">
      <c r="D887" s="12"/>
      <c r="E887" s="13" t="str">
        <f>IFERROR(VLOOKUP($D887,'Data NEW'!$B$2:$K$210,2,FALSE),"")</f>
        <v/>
      </c>
    </row>
    <row r="888" spans="4:5" ht="15.75" customHeight="1" x14ac:dyDescent="0.2">
      <c r="D888" s="12"/>
      <c r="E888" s="13" t="str">
        <f>IFERROR(VLOOKUP($D888,'Data NEW'!$B$2:$K$210,2,FALSE),"")</f>
        <v/>
      </c>
    </row>
    <row r="889" spans="4:5" ht="15.75" customHeight="1" x14ac:dyDescent="0.2">
      <c r="D889" s="12"/>
      <c r="E889" s="13" t="str">
        <f>IFERROR(VLOOKUP($D889,'Data NEW'!$B$2:$K$210,2,FALSE),"")</f>
        <v/>
      </c>
    </row>
    <row r="890" spans="4:5" ht="15.75" customHeight="1" x14ac:dyDescent="0.2">
      <c r="D890" s="12"/>
      <c r="E890" s="13" t="str">
        <f>IFERROR(VLOOKUP($D890,'Data NEW'!$B$2:$K$210,2,FALSE),"")</f>
        <v/>
      </c>
    </row>
    <row r="891" spans="4:5" ht="15.75" customHeight="1" x14ac:dyDescent="0.2">
      <c r="D891" s="12"/>
      <c r="E891" s="13" t="str">
        <f>IFERROR(VLOOKUP($D891,'Data NEW'!$B$2:$K$210,2,FALSE),"")</f>
        <v/>
      </c>
    </row>
    <row r="892" spans="4:5" ht="15.75" customHeight="1" x14ac:dyDescent="0.2">
      <c r="D892" s="12"/>
      <c r="E892" s="13" t="str">
        <f>IFERROR(VLOOKUP($D892,'Data NEW'!$B$2:$K$210,2,FALSE),"")</f>
        <v/>
      </c>
    </row>
    <row r="893" spans="4:5" ht="15.75" customHeight="1" x14ac:dyDescent="0.2">
      <c r="D893" s="12"/>
      <c r="E893" s="13" t="str">
        <f>IFERROR(VLOOKUP($D893,'Data NEW'!$B$2:$K$210,2,FALSE),"")</f>
        <v/>
      </c>
    </row>
    <row r="894" spans="4:5" ht="15.75" customHeight="1" x14ac:dyDescent="0.2">
      <c r="D894" s="12"/>
      <c r="E894" s="13" t="str">
        <f>IFERROR(VLOOKUP($D894,'Data NEW'!$B$2:$K$210,2,FALSE),"")</f>
        <v/>
      </c>
    </row>
    <row r="895" spans="4:5" ht="15.75" customHeight="1" x14ac:dyDescent="0.2">
      <c r="D895" s="12"/>
      <c r="E895" s="13" t="str">
        <f>IFERROR(VLOOKUP($D895,'Data NEW'!$B$2:$K$210,2,FALSE),"")</f>
        <v/>
      </c>
    </row>
    <row r="896" spans="4:5" ht="15.75" customHeight="1" x14ac:dyDescent="0.2">
      <c r="D896" s="12"/>
      <c r="E896" s="13" t="str">
        <f>IFERROR(VLOOKUP($D896,'Data NEW'!$B$2:$K$210,2,FALSE),"")</f>
        <v/>
      </c>
    </row>
    <row r="897" spans="4:5" ht="15.75" customHeight="1" x14ac:dyDescent="0.2">
      <c r="D897" s="12"/>
      <c r="E897" s="13" t="str">
        <f>IFERROR(VLOOKUP($D897,'Data NEW'!$B$2:$K$210,2,FALSE),"")</f>
        <v/>
      </c>
    </row>
    <row r="898" spans="4:5" ht="15.75" customHeight="1" x14ac:dyDescent="0.2">
      <c r="D898" s="12"/>
      <c r="E898" s="13" t="str">
        <f>IFERROR(VLOOKUP($D898,'Data NEW'!$B$2:$K$210,2,FALSE),"")</f>
        <v/>
      </c>
    </row>
    <row r="899" spans="4:5" ht="15.75" customHeight="1" x14ac:dyDescent="0.2">
      <c r="D899" s="12"/>
      <c r="E899" s="13" t="str">
        <f>IFERROR(VLOOKUP($D899,'Data NEW'!$B$2:$K$210,2,FALSE),"")</f>
        <v/>
      </c>
    </row>
    <row r="900" spans="4:5" ht="15.75" customHeight="1" x14ac:dyDescent="0.2">
      <c r="D900" s="12"/>
      <c r="E900" s="13" t="str">
        <f>IFERROR(VLOOKUP($D900,'Data NEW'!$B$2:$K$210,2,FALSE),"")</f>
        <v/>
      </c>
    </row>
    <row r="901" spans="4:5" ht="15.75" customHeight="1" x14ac:dyDescent="0.2">
      <c r="D901" s="12"/>
      <c r="E901" s="13" t="str">
        <f>IFERROR(VLOOKUP($D901,'Data NEW'!$B$2:$K$210,2,FALSE),"")</f>
        <v/>
      </c>
    </row>
    <row r="902" spans="4:5" ht="15.75" customHeight="1" x14ac:dyDescent="0.2">
      <c r="D902" s="12"/>
      <c r="E902" s="13" t="str">
        <f>IFERROR(VLOOKUP($D902,'Data NEW'!$B$2:$K$210,2,FALSE),"")</f>
        <v/>
      </c>
    </row>
    <row r="903" spans="4:5" ht="15.75" customHeight="1" x14ac:dyDescent="0.2">
      <c r="D903" s="12"/>
      <c r="E903" s="13" t="str">
        <f>IFERROR(VLOOKUP($D903,'Data NEW'!$B$2:$K$210,2,FALSE),"")</f>
        <v/>
      </c>
    </row>
    <row r="904" spans="4:5" ht="15.75" customHeight="1" x14ac:dyDescent="0.2">
      <c r="D904" s="12"/>
      <c r="E904" s="13" t="str">
        <f>IFERROR(VLOOKUP($D904,'Data NEW'!$B$2:$K$210,2,FALSE),"")</f>
        <v/>
      </c>
    </row>
    <row r="905" spans="4:5" ht="15.75" customHeight="1" x14ac:dyDescent="0.2">
      <c r="D905" s="12"/>
      <c r="E905" s="13" t="str">
        <f>IFERROR(VLOOKUP($D905,'Data NEW'!$B$2:$K$210,2,FALSE),"")</f>
        <v/>
      </c>
    </row>
    <row r="906" spans="4:5" ht="15.75" customHeight="1" x14ac:dyDescent="0.2">
      <c r="D906" s="12"/>
      <c r="E906" s="13" t="str">
        <f>IFERROR(VLOOKUP($D906,'Data NEW'!$B$2:$K$210,2,FALSE),"")</f>
        <v/>
      </c>
    </row>
    <row r="907" spans="4:5" ht="15.75" customHeight="1" x14ac:dyDescent="0.2">
      <c r="D907" s="12"/>
      <c r="E907" s="13" t="str">
        <f>IFERROR(VLOOKUP($D907,'Data NEW'!$B$2:$K$210,2,FALSE),"")</f>
        <v/>
      </c>
    </row>
    <row r="908" spans="4:5" ht="15.75" customHeight="1" x14ac:dyDescent="0.2">
      <c r="D908" s="12"/>
      <c r="E908" s="13" t="str">
        <f>IFERROR(VLOOKUP($D908,'Data NEW'!$B$2:$K$210,2,FALSE),"")</f>
        <v/>
      </c>
    </row>
    <row r="909" spans="4:5" ht="15.75" customHeight="1" x14ac:dyDescent="0.2">
      <c r="D909" s="12"/>
      <c r="E909" s="13" t="str">
        <f>IFERROR(VLOOKUP($D909,'Data NEW'!$B$2:$K$210,2,FALSE),"")</f>
        <v/>
      </c>
    </row>
    <row r="910" spans="4:5" ht="15.75" customHeight="1" x14ac:dyDescent="0.2">
      <c r="D910" s="12"/>
      <c r="E910" s="13" t="str">
        <f>IFERROR(VLOOKUP($D910,'Data NEW'!$B$2:$K$210,2,FALSE),"")</f>
        <v/>
      </c>
    </row>
    <row r="911" spans="4:5" ht="15.75" customHeight="1" x14ac:dyDescent="0.2">
      <c r="D911" s="12"/>
      <c r="E911" s="13" t="str">
        <f>IFERROR(VLOOKUP($D911,'Data NEW'!$B$2:$K$210,2,FALSE),"")</f>
        <v/>
      </c>
    </row>
    <row r="912" spans="4:5" ht="15.75" customHeight="1" x14ac:dyDescent="0.2">
      <c r="D912" s="12"/>
      <c r="E912" s="13" t="str">
        <f>IFERROR(VLOOKUP($D912,'Data NEW'!$B$2:$K$210,2,FALSE),"")</f>
        <v/>
      </c>
    </row>
    <row r="913" spans="4:5" ht="15.75" customHeight="1" x14ac:dyDescent="0.2">
      <c r="D913" s="12"/>
      <c r="E913" s="13" t="str">
        <f>IFERROR(VLOOKUP($D913,'Data NEW'!$B$2:$K$210,2,FALSE),"")</f>
        <v/>
      </c>
    </row>
    <row r="914" spans="4:5" ht="15.75" customHeight="1" x14ac:dyDescent="0.2">
      <c r="D914" s="12"/>
      <c r="E914" s="13" t="str">
        <f>IFERROR(VLOOKUP($D914,'Data NEW'!$B$2:$K$210,2,FALSE),"")</f>
        <v/>
      </c>
    </row>
    <row r="915" spans="4:5" ht="15.75" customHeight="1" x14ac:dyDescent="0.2">
      <c r="D915" s="12"/>
      <c r="E915" s="13" t="str">
        <f>IFERROR(VLOOKUP($D915,'Data NEW'!$B$2:$K$210,2,FALSE),"")</f>
        <v/>
      </c>
    </row>
    <row r="916" spans="4:5" ht="15.75" customHeight="1" x14ac:dyDescent="0.2">
      <c r="D916" s="12"/>
      <c r="E916" s="13" t="str">
        <f>IFERROR(VLOOKUP($D916,'Data NEW'!$B$2:$K$210,2,FALSE),"")</f>
        <v/>
      </c>
    </row>
    <row r="917" spans="4:5" ht="15.75" customHeight="1" x14ac:dyDescent="0.2">
      <c r="D917" s="12"/>
      <c r="E917" s="13" t="str">
        <f>IFERROR(VLOOKUP($D917,'Data NEW'!$B$2:$K$210,2,FALSE),"")</f>
        <v/>
      </c>
    </row>
    <row r="918" spans="4:5" ht="15.75" customHeight="1" x14ac:dyDescent="0.2">
      <c r="D918" s="12"/>
      <c r="E918" s="13" t="str">
        <f>IFERROR(VLOOKUP($D918,'Data NEW'!$B$2:$K$210,2,FALSE),"")</f>
        <v/>
      </c>
    </row>
    <row r="919" spans="4:5" ht="15.75" customHeight="1" x14ac:dyDescent="0.2">
      <c r="D919" s="12"/>
      <c r="E919" s="13" t="str">
        <f>IFERROR(VLOOKUP($D919,'Data NEW'!$B$2:$K$210,2,FALSE),"")</f>
        <v/>
      </c>
    </row>
    <row r="920" spans="4:5" ht="15.75" customHeight="1" x14ac:dyDescent="0.2">
      <c r="D920" s="12"/>
      <c r="E920" s="13" t="str">
        <f>IFERROR(VLOOKUP($D920,'Data NEW'!$B$2:$K$210,2,FALSE),"")</f>
        <v/>
      </c>
    </row>
    <row r="921" spans="4:5" ht="15.75" customHeight="1" x14ac:dyDescent="0.2">
      <c r="D921" s="12"/>
      <c r="E921" s="13" t="str">
        <f>IFERROR(VLOOKUP($D921,'Data NEW'!$B$2:$K$210,2,FALSE),"")</f>
        <v/>
      </c>
    </row>
    <row r="922" spans="4:5" ht="15.75" customHeight="1" x14ac:dyDescent="0.2">
      <c r="D922" s="12"/>
      <c r="E922" s="13" t="str">
        <f>IFERROR(VLOOKUP($D922,'Data NEW'!$B$2:$K$210,2,FALSE),"")</f>
        <v/>
      </c>
    </row>
    <row r="923" spans="4:5" ht="15.75" customHeight="1" x14ac:dyDescent="0.2">
      <c r="D923" s="12"/>
      <c r="E923" s="13" t="str">
        <f>IFERROR(VLOOKUP($D923,'Data NEW'!$B$2:$K$210,2,FALSE),"")</f>
        <v/>
      </c>
    </row>
    <row r="924" spans="4:5" ht="15.75" customHeight="1" x14ac:dyDescent="0.2">
      <c r="D924" s="12"/>
      <c r="E924" s="13" t="str">
        <f>IFERROR(VLOOKUP($D924,'Data NEW'!$B$2:$K$210,2,FALSE),"")</f>
        <v/>
      </c>
    </row>
    <row r="925" spans="4:5" ht="15.75" customHeight="1" x14ac:dyDescent="0.2">
      <c r="D925" s="12"/>
      <c r="E925" s="13" t="str">
        <f>IFERROR(VLOOKUP($D925,'Data NEW'!$B$2:$K$210,2,FALSE),"")</f>
        <v/>
      </c>
    </row>
    <row r="926" spans="4:5" ht="15.75" customHeight="1" x14ac:dyDescent="0.2">
      <c r="D926" s="12"/>
      <c r="E926" s="13" t="str">
        <f>IFERROR(VLOOKUP($D926,'Data NEW'!$B$2:$K$210,2,FALSE),"")</f>
        <v/>
      </c>
    </row>
    <row r="927" spans="4:5" ht="15.75" customHeight="1" x14ac:dyDescent="0.2">
      <c r="D927" s="12"/>
      <c r="E927" s="13" t="str">
        <f>IFERROR(VLOOKUP($D927,'Data NEW'!$B$2:$K$210,2,FALSE),"")</f>
        <v/>
      </c>
    </row>
    <row r="928" spans="4:5" ht="15.75" customHeight="1" x14ac:dyDescent="0.2">
      <c r="D928" s="12"/>
      <c r="E928" s="13" t="str">
        <f>IFERROR(VLOOKUP($D928,'Data NEW'!$B$2:$K$210,2,FALSE),"")</f>
        <v/>
      </c>
    </row>
    <row r="929" spans="4:5" ht="15.75" customHeight="1" x14ac:dyDescent="0.2">
      <c r="D929" s="12"/>
      <c r="E929" s="13" t="str">
        <f>IFERROR(VLOOKUP($D929,'Data NEW'!$B$2:$K$210,2,FALSE),"")</f>
        <v/>
      </c>
    </row>
    <row r="930" spans="4:5" ht="15.75" customHeight="1" x14ac:dyDescent="0.2">
      <c r="D930" s="12"/>
      <c r="E930" s="13" t="str">
        <f>IFERROR(VLOOKUP($D930,'Data NEW'!$B$2:$K$210,2,FALSE),"")</f>
        <v/>
      </c>
    </row>
    <row r="931" spans="4:5" ht="15.75" customHeight="1" x14ac:dyDescent="0.2">
      <c r="D931" s="12"/>
      <c r="E931" s="13" t="str">
        <f>IFERROR(VLOOKUP($D931,'Data NEW'!$B$2:$K$210,2,FALSE),"")</f>
        <v/>
      </c>
    </row>
    <row r="932" spans="4:5" ht="15.75" customHeight="1" x14ac:dyDescent="0.2">
      <c r="D932" s="12"/>
      <c r="E932" s="13" t="str">
        <f>IFERROR(VLOOKUP($D932,'Data NEW'!$B$2:$K$210,2,FALSE),"")</f>
        <v/>
      </c>
    </row>
    <row r="933" spans="4:5" ht="15.75" customHeight="1" x14ac:dyDescent="0.2">
      <c r="D933" s="12"/>
      <c r="E933" s="13" t="str">
        <f>IFERROR(VLOOKUP($D933,'Data NEW'!$B$2:$K$210,2,FALSE),"")</f>
        <v/>
      </c>
    </row>
    <row r="934" spans="4:5" ht="15.75" customHeight="1" x14ac:dyDescent="0.2">
      <c r="D934" s="12"/>
      <c r="E934" s="13" t="str">
        <f>IFERROR(VLOOKUP($D934,'Data NEW'!$B$2:$K$210,2,FALSE),"")</f>
        <v/>
      </c>
    </row>
    <row r="935" spans="4:5" ht="15.75" customHeight="1" x14ac:dyDescent="0.2">
      <c r="D935" s="12"/>
      <c r="E935" s="13" t="str">
        <f>IFERROR(VLOOKUP($D935,'Data NEW'!$B$2:$K$210,2,FALSE),"")</f>
        <v/>
      </c>
    </row>
    <row r="936" spans="4:5" ht="15.75" customHeight="1" x14ac:dyDescent="0.2">
      <c r="D936" s="12"/>
      <c r="E936" s="13" t="str">
        <f>IFERROR(VLOOKUP($D936,'Data NEW'!$B$2:$K$210,2,FALSE),"")</f>
        <v/>
      </c>
    </row>
    <row r="937" spans="4:5" ht="15.75" customHeight="1" x14ac:dyDescent="0.2">
      <c r="D937" s="12"/>
      <c r="E937" s="13" t="str">
        <f>IFERROR(VLOOKUP($D937,'Data NEW'!$B$2:$K$210,2,FALSE),"")</f>
        <v/>
      </c>
    </row>
    <row r="938" spans="4:5" ht="15.75" customHeight="1" x14ac:dyDescent="0.2">
      <c r="D938" s="12"/>
      <c r="E938" s="13" t="str">
        <f>IFERROR(VLOOKUP($D938,'Data NEW'!$B$2:$K$210,2,FALSE),"")</f>
        <v/>
      </c>
    </row>
    <row r="939" spans="4:5" ht="15.75" customHeight="1" x14ac:dyDescent="0.2">
      <c r="D939" s="12"/>
      <c r="E939" s="13" t="str">
        <f>IFERROR(VLOOKUP($D939,'Data NEW'!$B$2:$K$210,2,FALSE),"")</f>
        <v/>
      </c>
    </row>
    <row r="940" spans="4:5" ht="15.75" customHeight="1" x14ac:dyDescent="0.2">
      <c r="D940" s="12"/>
      <c r="E940" s="13" t="str">
        <f>IFERROR(VLOOKUP($D940,'Data NEW'!$B$2:$K$210,2,FALSE),"")</f>
        <v/>
      </c>
    </row>
    <row r="941" spans="4:5" ht="15.75" customHeight="1" x14ac:dyDescent="0.2">
      <c r="D941" s="12"/>
      <c r="E941" s="13" t="str">
        <f>IFERROR(VLOOKUP($D941,'Data NEW'!$B$2:$K$210,2,FALSE),"")</f>
        <v/>
      </c>
    </row>
    <row r="942" spans="4:5" ht="15.75" customHeight="1" x14ac:dyDescent="0.2">
      <c r="D942" s="12"/>
      <c r="E942" s="13" t="str">
        <f>IFERROR(VLOOKUP($D942,'Data NEW'!$B$2:$K$210,2,FALSE),"")</f>
        <v/>
      </c>
    </row>
    <row r="943" spans="4:5" ht="15.75" customHeight="1" x14ac:dyDescent="0.2">
      <c r="D943" s="12"/>
      <c r="E943" s="13" t="str">
        <f>IFERROR(VLOOKUP($D943,'Data NEW'!$B$2:$K$210,2,FALSE),"")</f>
        <v/>
      </c>
    </row>
    <row r="944" spans="4:5" ht="15.75" customHeight="1" x14ac:dyDescent="0.2">
      <c r="D944" s="12"/>
      <c r="E944" s="13" t="str">
        <f>IFERROR(VLOOKUP($D944,'Data NEW'!$B$2:$K$210,2,FALSE),"")</f>
        <v/>
      </c>
    </row>
    <row r="945" spans="4:5" ht="15.75" customHeight="1" x14ac:dyDescent="0.2">
      <c r="D945" s="12"/>
      <c r="E945" s="13" t="str">
        <f>IFERROR(VLOOKUP($D945,'Data NEW'!$B$2:$K$210,2,FALSE),"")</f>
        <v/>
      </c>
    </row>
    <row r="946" spans="4:5" ht="15.75" customHeight="1" x14ac:dyDescent="0.2">
      <c r="D946" s="12"/>
      <c r="E946" s="13" t="str">
        <f>IFERROR(VLOOKUP($D946,'Data NEW'!$B$2:$K$210,2,FALSE),"")</f>
        <v/>
      </c>
    </row>
    <row r="947" spans="4:5" ht="15.75" customHeight="1" x14ac:dyDescent="0.2">
      <c r="D947" s="12"/>
      <c r="E947" s="13" t="str">
        <f>IFERROR(VLOOKUP($D947,'Data NEW'!$B$2:$K$210,2,FALSE),"")</f>
        <v/>
      </c>
    </row>
    <row r="948" spans="4:5" ht="15.75" customHeight="1" x14ac:dyDescent="0.2">
      <c r="D948" s="12"/>
      <c r="E948" s="13" t="str">
        <f>IFERROR(VLOOKUP($D948,'Data NEW'!$B$2:$K$210,2,FALSE),"")</f>
        <v/>
      </c>
    </row>
    <row r="949" spans="4:5" ht="15.75" customHeight="1" x14ac:dyDescent="0.2">
      <c r="D949" s="12"/>
      <c r="E949" s="13" t="str">
        <f>IFERROR(VLOOKUP($D949,'Data NEW'!$B$2:$K$210,2,FALSE),"")</f>
        <v/>
      </c>
    </row>
    <row r="950" spans="4:5" ht="15.75" customHeight="1" x14ac:dyDescent="0.2">
      <c r="D950" s="12"/>
      <c r="E950" s="13" t="str">
        <f>IFERROR(VLOOKUP($D950,'Data NEW'!$B$2:$K$210,2,FALSE),"")</f>
        <v/>
      </c>
    </row>
    <row r="951" spans="4:5" ht="15.75" customHeight="1" x14ac:dyDescent="0.2">
      <c r="D951" s="12"/>
      <c r="E951" s="13" t="str">
        <f>IFERROR(VLOOKUP($D951,'Data NEW'!$B$2:$K$210,2,FALSE),"")</f>
        <v/>
      </c>
    </row>
    <row r="952" spans="4:5" ht="15.75" customHeight="1" x14ac:dyDescent="0.2">
      <c r="D952" s="12"/>
      <c r="E952" s="13" t="str">
        <f>IFERROR(VLOOKUP($D952,'Data NEW'!$B$2:$K$210,2,FALSE),"")</f>
        <v/>
      </c>
    </row>
    <row r="953" spans="4:5" ht="15.75" customHeight="1" x14ac:dyDescent="0.2">
      <c r="D953" s="12"/>
      <c r="E953" s="13" t="str">
        <f>IFERROR(VLOOKUP($D953,'Data NEW'!$B$2:$K$210,2,FALSE),"")</f>
        <v/>
      </c>
    </row>
    <row r="954" spans="4:5" ht="15.75" customHeight="1" x14ac:dyDescent="0.2">
      <c r="D954" s="12"/>
      <c r="E954" s="13" t="str">
        <f>IFERROR(VLOOKUP($D954,'Data NEW'!$B$2:$K$210,2,FALSE),"")</f>
        <v/>
      </c>
    </row>
    <row r="955" spans="4:5" ht="15.75" customHeight="1" x14ac:dyDescent="0.2">
      <c r="D955" s="12"/>
      <c r="E955" s="13" t="str">
        <f>IFERROR(VLOOKUP($D955,'Data NEW'!$B$2:$K$210,2,FALSE),"")</f>
        <v/>
      </c>
    </row>
    <row r="956" spans="4:5" ht="15.75" customHeight="1" x14ac:dyDescent="0.2">
      <c r="D956" s="12"/>
      <c r="E956" s="13" t="str">
        <f>IFERROR(VLOOKUP($D956,'Data NEW'!$B$2:$K$210,2,FALSE),"")</f>
        <v/>
      </c>
    </row>
    <row r="957" spans="4:5" ht="15.75" customHeight="1" x14ac:dyDescent="0.2">
      <c r="D957" s="12"/>
      <c r="E957" s="13" t="str">
        <f>IFERROR(VLOOKUP($D957,'Data NEW'!$B$2:$K$210,2,FALSE),"")</f>
        <v/>
      </c>
    </row>
    <row r="958" spans="4:5" ht="15.75" customHeight="1" x14ac:dyDescent="0.2">
      <c r="D958" s="12"/>
      <c r="E958" s="13" t="str">
        <f>IFERROR(VLOOKUP($D958,'Data NEW'!$B$2:$K$210,2,FALSE),"")</f>
        <v/>
      </c>
    </row>
    <row r="959" spans="4:5" ht="15.75" customHeight="1" x14ac:dyDescent="0.2">
      <c r="D959" s="12"/>
      <c r="E959" s="13" t="str">
        <f>IFERROR(VLOOKUP($D959,'Data NEW'!$B$2:$K$210,2,FALSE),"")</f>
        <v/>
      </c>
    </row>
    <row r="960" spans="4:5" ht="15.75" customHeight="1" x14ac:dyDescent="0.2">
      <c r="D960" s="12"/>
      <c r="E960" s="13" t="str">
        <f>IFERROR(VLOOKUP($D960,'Data NEW'!$B$2:$K$210,2,FALSE),"")</f>
        <v/>
      </c>
    </row>
    <row r="961" spans="4:5" ht="15.75" customHeight="1" x14ac:dyDescent="0.2">
      <c r="D961" s="12"/>
      <c r="E961" s="13" t="str">
        <f>IFERROR(VLOOKUP($D961,'Data NEW'!$B$2:$K$210,2,FALSE),"")</f>
        <v/>
      </c>
    </row>
    <row r="962" spans="4:5" ht="15.75" customHeight="1" x14ac:dyDescent="0.2">
      <c r="D962" s="12"/>
      <c r="E962" s="13" t="str">
        <f>IFERROR(VLOOKUP($D962,'Data NEW'!$B$2:$K$210,2,FALSE),"")</f>
        <v/>
      </c>
    </row>
    <row r="963" spans="4:5" ht="15.75" customHeight="1" x14ac:dyDescent="0.2">
      <c r="D963" s="12"/>
      <c r="E963" s="13" t="str">
        <f>IFERROR(VLOOKUP($D963,'Data NEW'!$B$2:$K$210,2,FALSE),"")</f>
        <v/>
      </c>
    </row>
    <row r="964" spans="4:5" ht="15.75" customHeight="1" x14ac:dyDescent="0.2">
      <c r="D964" s="12"/>
      <c r="E964" s="13" t="str">
        <f>IFERROR(VLOOKUP($D964,'Data NEW'!$B$2:$K$210,2,FALSE),"")</f>
        <v/>
      </c>
    </row>
    <row r="965" spans="4:5" ht="15.75" customHeight="1" x14ac:dyDescent="0.2">
      <c r="D965" s="12"/>
      <c r="E965" s="13" t="str">
        <f>IFERROR(VLOOKUP($D965,'Data NEW'!$B$2:$K$210,2,FALSE),"")</f>
        <v/>
      </c>
    </row>
    <row r="966" spans="4:5" ht="15.75" customHeight="1" x14ac:dyDescent="0.2">
      <c r="D966" s="12"/>
      <c r="E966" s="13" t="str">
        <f>IFERROR(VLOOKUP($D966,'Data NEW'!$B$2:$K$210,2,FALSE),"")</f>
        <v/>
      </c>
    </row>
    <row r="967" spans="4:5" ht="15.75" customHeight="1" x14ac:dyDescent="0.2">
      <c r="D967" s="12"/>
      <c r="E967" s="13" t="str">
        <f>IFERROR(VLOOKUP($D967,'Data NEW'!$B$2:$K$210,2,FALSE),"")</f>
        <v/>
      </c>
    </row>
    <row r="968" spans="4:5" ht="15.75" customHeight="1" x14ac:dyDescent="0.2">
      <c r="D968" s="12"/>
      <c r="E968" s="13" t="str">
        <f>IFERROR(VLOOKUP($D968,'Data NEW'!$B$2:$K$210,2,FALSE),"")</f>
        <v/>
      </c>
    </row>
    <row r="969" spans="4:5" ht="15.75" customHeight="1" x14ac:dyDescent="0.2">
      <c r="D969" s="12"/>
      <c r="E969" s="13" t="str">
        <f>IFERROR(VLOOKUP($D969,'Data NEW'!$B$2:$K$210,2,FALSE),"")</f>
        <v/>
      </c>
    </row>
    <row r="970" spans="4:5" ht="15.75" customHeight="1" x14ac:dyDescent="0.2">
      <c r="D970" s="12"/>
      <c r="E970" s="13" t="str">
        <f>IFERROR(VLOOKUP($D970,'Data NEW'!$B$2:$K$210,2,FALSE),"")</f>
        <v/>
      </c>
    </row>
    <row r="971" spans="4:5" ht="15.75" customHeight="1" x14ac:dyDescent="0.2">
      <c r="D971" s="12"/>
      <c r="E971" s="13" t="str">
        <f>IFERROR(VLOOKUP($D971,'Data NEW'!$B$2:$K$210,2,FALSE),"")</f>
        <v/>
      </c>
    </row>
    <row r="972" spans="4:5" ht="15.75" customHeight="1" x14ac:dyDescent="0.2">
      <c r="D972" s="12"/>
      <c r="E972" s="13" t="str">
        <f>IFERROR(VLOOKUP($D972,'Data NEW'!$B$2:$K$210,2,FALSE),"")</f>
        <v/>
      </c>
    </row>
    <row r="973" spans="4:5" ht="15.75" customHeight="1" x14ac:dyDescent="0.2">
      <c r="D973" s="12"/>
      <c r="E973" s="13" t="str">
        <f>IFERROR(VLOOKUP($D973,'Data NEW'!$B$2:$K$210,2,FALSE),"")</f>
        <v/>
      </c>
    </row>
    <row r="974" spans="4:5" ht="15.75" customHeight="1" x14ac:dyDescent="0.2">
      <c r="D974" s="12"/>
      <c r="E974" s="13" t="str">
        <f>IFERROR(VLOOKUP($D974,'Data NEW'!$B$2:$K$210,2,FALSE),"")</f>
        <v/>
      </c>
    </row>
    <row r="975" spans="4:5" ht="15.75" customHeight="1" x14ac:dyDescent="0.2">
      <c r="D975" s="12"/>
      <c r="E975" s="13" t="str">
        <f>IFERROR(VLOOKUP($D975,'Data NEW'!$B$2:$K$210,2,FALSE),"")</f>
        <v/>
      </c>
    </row>
    <row r="976" spans="4:5" ht="15.75" customHeight="1" x14ac:dyDescent="0.2">
      <c r="D976" s="12"/>
      <c r="E976" s="13" t="str">
        <f>IFERROR(VLOOKUP($D976,'Data NEW'!$B$2:$K$210,2,FALSE),"")</f>
        <v/>
      </c>
    </row>
    <row r="977" spans="4:5" ht="15.75" customHeight="1" x14ac:dyDescent="0.2">
      <c r="D977" s="12"/>
      <c r="E977" s="13" t="str">
        <f>IFERROR(VLOOKUP($D977,'Data NEW'!$B$2:$K$210,2,FALSE),"")</f>
        <v/>
      </c>
    </row>
    <row r="978" spans="4:5" ht="15.75" customHeight="1" x14ac:dyDescent="0.2">
      <c r="D978" s="12"/>
      <c r="E978" s="13" t="str">
        <f>IFERROR(VLOOKUP($D978,'Data NEW'!$B$2:$K$210,2,FALSE),"")</f>
        <v/>
      </c>
    </row>
    <row r="979" spans="4:5" ht="15.75" customHeight="1" x14ac:dyDescent="0.2">
      <c r="D979" s="12"/>
      <c r="E979" s="13" t="str">
        <f>IFERROR(VLOOKUP($D979,'Data NEW'!$B$2:$K$210,2,FALSE),"")</f>
        <v/>
      </c>
    </row>
    <row r="980" spans="4:5" ht="15.75" customHeight="1" x14ac:dyDescent="0.2">
      <c r="D980" s="12"/>
      <c r="E980" s="13" t="str">
        <f>IFERROR(VLOOKUP($D980,'Data NEW'!$B$2:$K$210,2,FALSE),"")</f>
        <v/>
      </c>
    </row>
    <row r="981" spans="4:5" ht="15.75" customHeight="1" x14ac:dyDescent="0.2">
      <c r="D981" s="12"/>
      <c r="E981" s="13" t="str">
        <f>IFERROR(VLOOKUP($D981,'Data NEW'!$B$2:$K$210,2,FALSE),"")</f>
        <v/>
      </c>
    </row>
    <row r="982" spans="4:5" ht="15.75" customHeight="1" x14ac:dyDescent="0.2">
      <c r="D982" s="12"/>
      <c r="E982" s="13" t="str">
        <f>IFERROR(VLOOKUP($D982,'Data NEW'!$B$2:$K$210,2,FALSE),"")</f>
        <v/>
      </c>
    </row>
    <row r="983" spans="4:5" ht="15.75" customHeight="1" x14ac:dyDescent="0.2">
      <c r="D983" s="12"/>
      <c r="E983" s="13" t="str">
        <f>IFERROR(VLOOKUP($D983,'Data NEW'!$B$2:$K$210,2,FALSE),"")</f>
        <v/>
      </c>
    </row>
    <row r="984" spans="4:5" ht="15.75" customHeight="1" x14ac:dyDescent="0.2">
      <c r="D984" s="12"/>
      <c r="E984" s="13" t="str">
        <f>IFERROR(VLOOKUP($D984,'Data NEW'!$B$2:$K$210,2,FALSE),"")</f>
        <v/>
      </c>
    </row>
    <row r="985" spans="4:5" ht="15.75" customHeight="1" x14ac:dyDescent="0.2">
      <c r="D985" s="12"/>
      <c r="E985" s="13" t="str">
        <f>IFERROR(VLOOKUP($D985,'Data NEW'!$B$2:$K$210,2,FALSE),"")</f>
        <v/>
      </c>
    </row>
    <row r="986" spans="4:5" ht="15.75" customHeight="1" x14ac:dyDescent="0.2">
      <c r="D986" s="12"/>
      <c r="E986" s="13" t="str">
        <f>IFERROR(VLOOKUP($D986,'Data NEW'!$B$2:$K$210,2,FALSE),"")</f>
        <v/>
      </c>
    </row>
    <row r="987" spans="4:5" ht="15.75" customHeight="1" x14ac:dyDescent="0.2">
      <c r="D987" s="12"/>
      <c r="E987" s="13" t="str">
        <f>IFERROR(VLOOKUP($D987,'Data NEW'!$B$2:$K$210,2,FALSE),"")</f>
        <v/>
      </c>
    </row>
    <row r="988" spans="4:5" ht="15.75" customHeight="1" x14ac:dyDescent="0.2">
      <c r="D988" s="12"/>
      <c r="E988" s="13" t="str">
        <f>IFERROR(VLOOKUP($D988,'Data NEW'!$B$2:$K$210,2,FALSE),"")</f>
        <v/>
      </c>
    </row>
    <row r="989" spans="4:5" ht="15.75" customHeight="1" x14ac:dyDescent="0.2">
      <c r="D989" s="12"/>
      <c r="E989" s="13" t="str">
        <f>IFERROR(VLOOKUP($D989,'Data NEW'!$B$2:$K$210,2,FALSE),"")</f>
        <v/>
      </c>
    </row>
    <row r="990" spans="4:5" ht="15.75" customHeight="1" x14ac:dyDescent="0.2">
      <c r="D990" s="12"/>
      <c r="E990" s="13" t="str">
        <f>IFERROR(VLOOKUP($D990,'Data NEW'!$B$2:$K$210,2,FALSE),"")</f>
        <v/>
      </c>
    </row>
    <row r="991" spans="4:5" ht="15.75" customHeight="1" x14ac:dyDescent="0.2">
      <c r="D991" s="12"/>
      <c r="E991" s="13" t="str">
        <f>IFERROR(VLOOKUP($D991,'Data NEW'!$B$2:$K$210,2,FALSE),"")</f>
        <v/>
      </c>
    </row>
    <row r="992" spans="4:5" ht="15.75" customHeight="1" x14ac:dyDescent="0.2">
      <c r="D992" s="12"/>
      <c r="E992" s="13" t="str">
        <f>IFERROR(VLOOKUP($D992,'Data NEW'!$B$2:$K$210,2,FALSE),"")</f>
        <v/>
      </c>
    </row>
    <row r="993" spans="4:13" ht="15.75" customHeight="1" x14ac:dyDescent="0.2">
      <c r="D993" s="12"/>
      <c r="E993" s="13" t="str">
        <f>IFERROR(VLOOKUP($D993,'Data NEW'!$B$2:$K$210,2,FALSE),"")</f>
        <v/>
      </c>
    </row>
    <row r="994" spans="4:13" ht="15.75" customHeight="1" x14ac:dyDescent="0.2">
      <c r="D994" s="12"/>
      <c r="E994" s="13" t="str">
        <f>IFERROR(VLOOKUP($D994,'Data NEW'!$B$2:$K$210,2,FALSE),"")</f>
        <v/>
      </c>
    </row>
    <row r="995" spans="4:13" ht="15.75" customHeight="1" x14ac:dyDescent="0.2">
      <c r="D995" s="12"/>
      <c r="E995" s="13" t="str">
        <f>IFERROR(VLOOKUP($D995,'Data NEW'!$B$2:$K$210,2,FALSE),"")</f>
        <v/>
      </c>
    </row>
    <row r="996" spans="4:13" ht="15.75" customHeight="1" x14ac:dyDescent="0.2">
      <c r="D996" s="12"/>
      <c r="E996" s="13" t="str">
        <f>IFERROR(VLOOKUP($D996,'Data NEW'!$B$2:$K$210,2,FALSE),"")</f>
        <v/>
      </c>
    </row>
    <row r="997" spans="4:13" ht="15.75" customHeight="1" x14ac:dyDescent="0.2">
      <c r="D997" s="12"/>
      <c r="E997" s="13" t="str">
        <f>IFERROR(VLOOKUP($D997,'Data NEW'!$B$2:$K$210,2,FALSE),"")</f>
        <v/>
      </c>
    </row>
    <row r="998" spans="4:13" ht="15.75" customHeight="1" x14ac:dyDescent="0.2">
      <c r="D998" s="12"/>
      <c r="E998" s="13" t="str">
        <f>IFERROR(VLOOKUP($D998,'Data NEW'!$B$2:$K$210,2,FALSE),"")</f>
        <v/>
      </c>
    </row>
    <row r="999" spans="4:13" ht="15.75" customHeight="1" x14ac:dyDescent="0.2">
      <c r="D999" s="12"/>
      <c r="E999" s="13" t="str">
        <f>IFERROR(VLOOKUP($D999,'Data NEW'!$B$2:$K$210,2,FALSE),"")</f>
        <v/>
      </c>
    </row>
    <row r="1000" spans="4:13" ht="15.75" customHeight="1" x14ac:dyDescent="0.2">
      <c r="D1000" s="12"/>
      <c r="E1000" s="13" t="str">
        <f>IFERROR(VLOOKUP($D1000,'Data NEW'!$B$2:$K$210,2,FALSE),"")</f>
        <v/>
      </c>
    </row>
    <row r="1001" spans="4:13" ht="15.75" customHeight="1" x14ac:dyDescent="0.2">
      <c r="D1001" s="12"/>
      <c r="E1001" s="13"/>
      <c r="F1001" s="11"/>
      <c r="G1001" s="11"/>
      <c r="H1001" s="11"/>
      <c r="I1001" s="11"/>
      <c r="J1001" s="11"/>
      <c r="K1001" s="11"/>
      <c r="L1001" s="11"/>
      <c r="M1001" s="11"/>
    </row>
    <row r="1002" spans="4:13" ht="15.75" customHeight="1" x14ac:dyDescent="0.2">
      <c r="D1002" s="12"/>
      <c r="E1002" s="13"/>
      <c r="F1002" s="11"/>
      <c r="G1002" s="11"/>
      <c r="H1002" s="11"/>
      <c r="I1002" s="11"/>
      <c r="J1002" s="11"/>
      <c r="K1002" s="11"/>
      <c r="L1002" s="11"/>
      <c r="M1002" s="11"/>
    </row>
    <row r="1003" spans="4:13" ht="15.75" customHeight="1" x14ac:dyDescent="0.2">
      <c r="D1003" s="12"/>
      <c r="E1003" s="13"/>
      <c r="F1003" s="11"/>
      <c r="G1003" s="11"/>
      <c r="H1003" s="11"/>
      <c r="I1003" s="11"/>
      <c r="J1003" s="11"/>
      <c r="K1003" s="11"/>
      <c r="L1003" s="11"/>
      <c r="M1003" s="11"/>
    </row>
    <row r="1004" spans="4:13" ht="15.75" customHeight="1" x14ac:dyDescent="0.2">
      <c r="D1004" s="12"/>
      <c r="E1004" s="13"/>
      <c r="F1004" s="11"/>
      <c r="G1004" s="11"/>
      <c r="H1004" s="11"/>
      <c r="I1004" s="11"/>
      <c r="J1004" s="11"/>
      <c r="K1004" s="11"/>
      <c r="L1004" s="11"/>
      <c r="M1004" s="11"/>
    </row>
    <row r="1005" spans="4:13" ht="15.75" customHeight="1" x14ac:dyDescent="0.2">
      <c r="D1005" s="12"/>
      <c r="E1005" s="13"/>
      <c r="F1005" s="11"/>
      <c r="G1005" s="11"/>
      <c r="H1005" s="11"/>
      <c r="I1005" s="11"/>
      <c r="J1005" s="11"/>
      <c r="K1005" s="11"/>
      <c r="L1005" s="11"/>
      <c r="M1005" s="11"/>
    </row>
    <row r="1006" spans="4:13" ht="15.75" customHeight="1" x14ac:dyDescent="0.2">
      <c r="D1006" s="12"/>
      <c r="E1006" s="13"/>
      <c r="F1006" s="11"/>
      <c r="G1006" s="11"/>
      <c r="H1006" s="11"/>
      <c r="I1006" s="11"/>
      <c r="J1006" s="11"/>
      <c r="K1006" s="11"/>
      <c r="L1006" s="11"/>
      <c r="M1006" s="11"/>
    </row>
    <row r="1007" spans="4:13" ht="15.75" customHeight="1" x14ac:dyDescent="0.2">
      <c r="D1007" s="12"/>
      <c r="E1007" s="13"/>
      <c r="F1007" s="11"/>
      <c r="G1007" s="11"/>
      <c r="H1007" s="11"/>
      <c r="I1007" s="11"/>
      <c r="J1007" s="11"/>
      <c r="K1007" s="11"/>
      <c r="L1007" s="11"/>
      <c r="M1007" s="11"/>
    </row>
    <row r="1008" spans="4:13" ht="15.75" customHeight="1" x14ac:dyDescent="0.2">
      <c r="D1008" s="12"/>
      <c r="E1008" s="13"/>
      <c r="F1008" s="11"/>
      <c r="G1008" s="11"/>
      <c r="H1008" s="11"/>
      <c r="I1008" s="11"/>
      <c r="J1008" s="11"/>
      <c r="K1008" s="11"/>
      <c r="L1008" s="11"/>
      <c r="M1008" s="11"/>
    </row>
    <row r="1009" spans="4:13" ht="15.75" customHeight="1" x14ac:dyDescent="0.2">
      <c r="D1009" s="12"/>
      <c r="E1009" s="13"/>
      <c r="F1009" s="11"/>
      <c r="G1009" s="11"/>
      <c r="H1009" s="11"/>
      <c r="I1009" s="11"/>
      <c r="J1009" s="11"/>
      <c r="K1009" s="11"/>
      <c r="L1009" s="11"/>
      <c r="M1009" s="11"/>
    </row>
    <row r="1010" spans="4:13" ht="15.75" customHeight="1" x14ac:dyDescent="0.2">
      <c r="D1010" s="12"/>
      <c r="E1010" s="13"/>
      <c r="F1010" s="11"/>
      <c r="G1010" s="11"/>
      <c r="H1010" s="11"/>
      <c r="I1010" s="11"/>
      <c r="J1010" s="11"/>
      <c r="K1010" s="11"/>
      <c r="L1010" s="11"/>
      <c r="M1010" s="11"/>
    </row>
    <row r="1011" spans="4:13" ht="15.75" customHeight="1" x14ac:dyDescent="0.2">
      <c r="D1011" s="12"/>
      <c r="E1011" s="13"/>
      <c r="F1011" s="11"/>
      <c r="G1011" s="11"/>
      <c r="H1011" s="11"/>
      <c r="I1011" s="11"/>
      <c r="J1011" s="11"/>
      <c r="K1011" s="11"/>
      <c r="L1011" s="11"/>
      <c r="M1011" s="11"/>
    </row>
    <row r="1012" spans="4:13" ht="15.75" customHeight="1" x14ac:dyDescent="0.2">
      <c r="D1012" s="12"/>
      <c r="E1012" s="13"/>
      <c r="F1012" s="11"/>
      <c r="G1012" s="11"/>
      <c r="H1012" s="11"/>
      <c r="I1012" s="11"/>
      <c r="J1012" s="11"/>
      <c r="K1012" s="11"/>
      <c r="L1012" s="11"/>
      <c r="M1012" s="11"/>
    </row>
    <row r="1013" spans="4:13" ht="15.75" customHeight="1" x14ac:dyDescent="0.2">
      <c r="D1013" s="12"/>
      <c r="E1013" s="13"/>
      <c r="F1013" s="11"/>
      <c r="G1013" s="11"/>
      <c r="H1013" s="11"/>
      <c r="I1013" s="11"/>
      <c r="J1013" s="11"/>
      <c r="K1013" s="11"/>
      <c r="L1013" s="11"/>
      <c r="M1013" s="11"/>
    </row>
    <row r="1014" spans="4:13" ht="15.75" customHeight="1" x14ac:dyDescent="0.2">
      <c r="D1014" s="12"/>
      <c r="E1014" s="13"/>
      <c r="F1014" s="11"/>
      <c r="G1014" s="11"/>
      <c r="H1014" s="11"/>
      <c r="I1014" s="11"/>
      <c r="J1014" s="11"/>
      <c r="K1014" s="11"/>
      <c r="L1014" s="11"/>
      <c r="M1014" s="11"/>
    </row>
    <row r="1015" spans="4:13" ht="15.75" customHeight="1" x14ac:dyDescent="0.2">
      <c r="D1015" s="12"/>
      <c r="E1015" s="13"/>
      <c r="F1015" s="11"/>
      <c r="G1015" s="11"/>
      <c r="H1015" s="11"/>
      <c r="I1015" s="11"/>
      <c r="J1015" s="11"/>
      <c r="K1015" s="11"/>
      <c r="L1015" s="11"/>
      <c r="M1015" s="11"/>
    </row>
    <row r="1016" spans="4:13" ht="15.75" customHeight="1" x14ac:dyDescent="0.2">
      <c r="D1016" s="12"/>
      <c r="E1016" s="13"/>
      <c r="F1016" s="11"/>
      <c r="G1016" s="11"/>
      <c r="H1016" s="11"/>
      <c r="I1016" s="11"/>
      <c r="J1016" s="11"/>
      <c r="K1016" s="11"/>
      <c r="L1016" s="11"/>
      <c r="M1016" s="11"/>
    </row>
    <row r="1017" spans="4:13" ht="15.75" customHeight="1" x14ac:dyDescent="0.2">
      <c r="D1017" s="12"/>
      <c r="E1017" s="13"/>
      <c r="F1017" s="11"/>
      <c r="G1017" s="11"/>
      <c r="H1017" s="11"/>
      <c r="I1017" s="11"/>
      <c r="J1017" s="11"/>
      <c r="K1017" s="11"/>
      <c r="L1017" s="11"/>
      <c r="M1017" s="11"/>
    </row>
    <row r="1018" spans="4:13" ht="15.75" customHeight="1" x14ac:dyDescent="0.2">
      <c r="D1018" s="12"/>
      <c r="E1018" s="13"/>
      <c r="F1018" s="11"/>
      <c r="G1018" s="11"/>
      <c r="H1018" s="11"/>
      <c r="I1018" s="11"/>
      <c r="J1018" s="11"/>
      <c r="K1018" s="11"/>
      <c r="L1018" s="11"/>
      <c r="M1018" s="11"/>
    </row>
    <row r="1019" spans="4:13" ht="15.75" customHeight="1" x14ac:dyDescent="0.2">
      <c r="D1019" s="12"/>
      <c r="E1019" s="13"/>
      <c r="F1019" s="11"/>
      <c r="G1019" s="11"/>
      <c r="H1019" s="11"/>
      <c r="I1019" s="11"/>
      <c r="J1019" s="11"/>
      <c r="K1019" s="11"/>
      <c r="L1019" s="11"/>
      <c r="M1019" s="11"/>
    </row>
    <row r="1020" spans="4:13" ht="15.75" customHeight="1" x14ac:dyDescent="0.2">
      <c r="D1020" s="12"/>
      <c r="E1020" s="13"/>
      <c r="F1020" s="11"/>
      <c r="G1020" s="11"/>
      <c r="H1020" s="11"/>
      <c r="I1020" s="11"/>
      <c r="J1020" s="11"/>
      <c r="K1020" s="11"/>
      <c r="L1020" s="11"/>
      <c r="M1020" s="11"/>
    </row>
    <row r="1021" spans="4:13" ht="15.75" customHeight="1" x14ac:dyDescent="0.2">
      <c r="D1021" s="12"/>
      <c r="E1021" s="13"/>
      <c r="F1021" s="11"/>
      <c r="G1021" s="11"/>
      <c r="H1021" s="11"/>
      <c r="I1021" s="11"/>
      <c r="J1021" s="11"/>
      <c r="K1021" s="11"/>
      <c r="L1021" s="11"/>
      <c r="M1021" s="11"/>
    </row>
    <row r="1022" spans="4:13" ht="15.75" customHeight="1" x14ac:dyDescent="0.2">
      <c r="D1022" s="12"/>
      <c r="E1022" s="13"/>
      <c r="F1022" s="11"/>
      <c r="G1022" s="11"/>
      <c r="H1022" s="11"/>
      <c r="I1022" s="11"/>
      <c r="J1022" s="11"/>
      <c r="K1022" s="11"/>
      <c r="L1022" s="11"/>
      <c r="M1022" s="11"/>
    </row>
    <row r="1023" spans="4:13" ht="15.75" customHeight="1" x14ac:dyDescent="0.2">
      <c r="D1023" s="12"/>
      <c r="E1023" s="13"/>
      <c r="F1023" s="11"/>
      <c r="G1023" s="11"/>
      <c r="H1023" s="11"/>
      <c r="I1023" s="11"/>
      <c r="J1023" s="11"/>
      <c r="K1023" s="11"/>
      <c r="L1023" s="11"/>
      <c r="M1023" s="11"/>
    </row>
    <row r="1024" spans="4:13" ht="15.75" customHeight="1" x14ac:dyDescent="0.2">
      <c r="D1024" s="12"/>
      <c r="E1024" s="13"/>
      <c r="F1024" s="11"/>
      <c r="G1024" s="11"/>
      <c r="H1024" s="11"/>
      <c r="I1024" s="11"/>
      <c r="J1024" s="11"/>
      <c r="K1024" s="11"/>
      <c r="L1024" s="11"/>
      <c r="M1024" s="11"/>
    </row>
    <row r="1025" spans="4:13" ht="15.75" customHeight="1" x14ac:dyDescent="0.2">
      <c r="D1025" s="12"/>
      <c r="E1025" s="13"/>
      <c r="F1025" s="11"/>
      <c r="G1025" s="11"/>
      <c r="H1025" s="11"/>
      <c r="I1025" s="11"/>
      <c r="J1025" s="11"/>
      <c r="K1025" s="11"/>
      <c r="L1025" s="11"/>
      <c r="M1025" s="11"/>
    </row>
    <row r="1026" spans="4:13" ht="15.75" customHeight="1" x14ac:dyDescent="0.2">
      <c r="D1026" s="12"/>
      <c r="E1026" s="13"/>
      <c r="F1026" s="11"/>
      <c r="G1026" s="11"/>
      <c r="H1026" s="11"/>
      <c r="I1026" s="11"/>
      <c r="J1026" s="11"/>
      <c r="K1026" s="11"/>
      <c r="L1026" s="11"/>
      <c r="M1026" s="11"/>
    </row>
    <row r="1027" spans="4:13" ht="15.75" customHeight="1" x14ac:dyDescent="0.2">
      <c r="D1027" s="12"/>
      <c r="E1027" s="13"/>
      <c r="F1027" s="11"/>
      <c r="G1027" s="11"/>
      <c r="H1027" s="11"/>
      <c r="I1027" s="11"/>
      <c r="J1027" s="11"/>
      <c r="K1027" s="11"/>
      <c r="L1027" s="11"/>
      <c r="M1027" s="11"/>
    </row>
    <row r="1028" spans="4:13" ht="15.75" customHeight="1" x14ac:dyDescent="0.2">
      <c r="D1028" s="12"/>
      <c r="E1028" s="13"/>
      <c r="F1028" s="11"/>
      <c r="G1028" s="11"/>
      <c r="H1028" s="11"/>
      <c r="I1028" s="11"/>
      <c r="J1028" s="11"/>
      <c r="K1028" s="11"/>
      <c r="L1028" s="11"/>
      <c r="M1028" s="11"/>
    </row>
    <row r="1029" spans="4:13" ht="15.75" customHeight="1" x14ac:dyDescent="0.2">
      <c r="D1029" s="12"/>
      <c r="E1029" s="13"/>
      <c r="F1029" s="11"/>
      <c r="G1029" s="11"/>
      <c r="H1029" s="11"/>
      <c r="I1029" s="11"/>
      <c r="J1029" s="11"/>
      <c r="K1029" s="11"/>
      <c r="L1029" s="11"/>
      <c r="M1029" s="11"/>
    </row>
    <row r="1030" spans="4:13" ht="15.75" customHeight="1" x14ac:dyDescent="0.2">
      <c r="D1030" s="12"/>
      <c r="E1030" s="13"/>
      <c r="F1030" s="11"/>
      <c r="G1030" s="11"/>
      <c r="H1030" s="11"/>
      <c r="I1030" s="11"/>
      <c r="J1030" s="11"/>
      <c r="K1030" s="11"/>
      <c r="L1030" s="11"/>
      <c r="M1030" s="11"/>
    </row>
    <row r="1031" spans="4:13" ht="15.75" customHeight="1" x14ac:dyDescent="0.2">
      <c r="D1031" s="12"/>
      <c r="E1031" s="13"/>
      <c r="F1031" s="11"/>
      <c r="G1031" s="11"/>
      <c r="H1031" s="11"/>
      <c r="I1031" s="11"/>
      <c r="J1031" s="11"/>
      <c r="K1031" s="11"/>
      <c r="L1031" s="11"/>
      <c r="M1031" s="11"/>
    </row>
    <row r="1032" spans="4:13" ht="15.75" customHeight="1" x14ac:dyDescent="0.2">
      <c r="D1032" s="12"/>
      <c r="E1032" s="13"/>
      <c r="F1032" s="11"/>
      <c r="G1032" s="11"/>
      <c r="H1032" s="11"/>
      <c r="I1032" s="11"/>
      <c r="J1032" s="11"/>
      <c r="K1032" s="11"/>
      <c r="L1032" s="11"/>
      <c r="M1032" s="11"/>
    </row>
    <row r="1033" spans="4:13" ht="15.75" customHeight="1" x14ac:dyDescent="0.2">
      <c r="D1033" s="12"/>
      <c r="E1033" s="13"/>
      <c r="F1033" s="11"/>
      <c r="G1033" s="11"/>
      <c r="H1033" s="11"/>
      <c r="I1033" s="11"/>
      <c r="J1033" s="11"/>
      <c r="K1033" s="11"/>
      <c r="L1033" s="11"/>
      <c r="M1033" s="11"/>
    </row>
    <row r="1034" spans="4:13" ht="15.75" customHeight="1" x14ac:dyDescent="0.2">
      <c r="D1034" s="12"/>
      <c r="E1034" s="13"/>
      <c r="F1034" s="11"/>
      <c r="G1034" s="11"/>
      <c r="H1034" s="11"/>
      <c r="I1034" s="11"/>
      <c r="J1034" s="11"/>
      <c r="K1034" s="11"/>
      <c r="L1034" s="11"/>
      <c r="M1034" s="11"/>
    </row>
    <row r="1035" spans="4:13" ht="15.75" customHeight="1" x14ac:dyDescent="0.2">
      <c r="D1035" s="12"/>
      <c r="E1035" s="13"/>
      <c r="F1035" s="11"/>
      <c r="G1035" s="11"/>
      <c r="H1035" s="11"/>
      <c r="I1035" s="11"/>
      <c r="J1035" s="11"/>
      <c r="K1035" s="11"/>
      <c r="L1035" s="11"/>
      <c r="M1035" s="11"/>
    </row>
    <row r="1036" spans="4:13" ht="15.75" customHeight="1" x14ac:dyDescent="0.2">
      <c r="D1036" s="12"/>
      <c r="E1036" s="13"/>
      <c r="F1036" s="11"/>
      <c r="G1036" s="11"/>
      <c r="H1036" s="11"/>
      <c r="I1036" s="11"/>
      <c r="J1036" s="11"/>
      <c r="K1036" s="11"/>
      <c r="L1036" s="11"/>
      <c r="M1036" s="11"/>
    </row>
    <row r="1037" spans="4:13" ht="15.75" customHeight="1" x14ac:dyDescent="0.2">
      <c r="D1037" s="12"/>
      <c r="E1037" s="13"/>
      <c r="F1037" s="11"/>
      <c r="G1037" s="11"/>
      <c r="H1037" s="11"/>
      <c r="I1037" s="11"/>
      <c r="J1037" s="11"/>
      <c r="K1037" s="11"/>
      <c r="L1037" s="11"/>
      <c r="M1037" s="11"/>
    </row>
    <row r="1038" spans="4:13" ht="15.75" customHeight="1" x14ac:dyDescent="0.2">
      <c r="D1038" s="12"/>
      <c r="E1038" s="13"/>
      <c r="F1038" s="11"/>
      <c r="G1038" s="11"/>
      <c r="H1038" s="11"/>
      <c r="I1038" s="11"/>
      <c r="J1038" s="11"/>
      <c r="K1038" s="11"/>
      <c r="L1038" s="11"/>
      <c r="M1038" s="11"/>
    </row>
    <row r="1039" spans="4:13" ht="15.75" customHeight="1" x14ac:dyDescent="0.2">
      <c r="D1039" s="12"/>
      <c r="E1039" s="13"/>
      <c r="F1039" s="11"/>
      <c r="G1039" s="11"/>
      <c r="H1039" s="11"/>
      <c r="I1039" s="11"/>
      <c r="J1039" s="11"/>
      <c r="K1039" s="11"/>
      <c r="L1039" s="11"/>
      <c r="M1039" s="11"/>
    </row>
    <row r="1040" spans="4:13" ht="15.75" customHeight="1" x14ac:dyDescent="0.2">
      <c r="D1040" s="12"/>
      <c r="E1040" s="13"/>
      <c r="F1040" s="11"/>
      <c r="G1040" s="11"/>
      <c r="H1040" s="11"/>
      <c r="I1040" s="11"/>
      <c r="J1040" s="11"/>
      <c r="K1040" s="11"/>
      <c r="L1040" s="11"/>
      <c r="M1040" s="11"/>
    </row>
    <row r="1041" spans="4:13" ht="15.75" customHeight="1" x14ac:dyDescent="0.2">
      <c r="D1041" s="12"/>
      <c r="E1041" s="13"/>
      <c r="F1041" s="11"/>
      <c r="G1041" s="11"/>
      <c r="H1041" s="11"/>
      <c r="I1041" s="11"/>
      <c r="J1041" s="11"/>
      <c r="K1041" s="11"/>
      <c r="L1041" s="11"/>
      <c r="M1041" s="11"/>
    </row>
    <row r="1042" spans="4:13" ht="15.75" customHeight="1" x14ac:dyDescent="0.2">
      <c r="D1042" s="12"/>
      <c r="E1042" s="13"/>
      <c r="F1042" s="11"/>
      <c r="G1042" s="11"/>
      <c r="H1042" s="11"/>
      <c r="I1042" s="11"/>
      <c r="J1042" s="11"/>
      <c r="K1042" s="11"/>
      <c r="L1042" s="11"/>
      <c r="M1042" s="11"/>
    </row>
    <row r="1043" spans="4:13" ht="15.75" customHeight="1" x14ac:dyDescent="0.2">
      <c r="D1043" s="12"/>
      <c r="E1043" s="13"/>
      <c r="F1043" s="11"/>
      <c r="G1043" s="11"/>
      <c r="H1043" s="11"/>
      <c r="I1043" s="11"/>
      <c r="J1043" s="11"/>
      <c r="K1043" s="11"/>
      <c r="L1043" s="11"/>
      <c r="M1043" s="11"/>
    </row>
    <row r="1044" spans="4:13" ht="15.75" customHeight="1" x14ac:dyDescent="0.2">
      <c r="D1044" s="12"/>
      <c r="E1044" s="13"/>
      <c r="F1044" s="11"/>
      <c r="G1044" s="11"/>
      <c r="H1044" s="11"/>
      <c r="I1044" s="11"/>
      <c r="J1044" s="11"/>
      <c r="K1044" s="11"/>
      <c r="L1044" s="11"/>
      <c r="M1044" s="11"/>
    </row>
    <row r="1045" spans="4:13" ht="15.75" customHeight="1" x14ac:dyDescent="0.2">
      <c r="D1045" s="12"/>
      <c r="E1045" s="13"/>
      <c r="F1045" s="11"/>
      <c r="G1045" s="11"/>
      <c r="H1045" s="11"/>
      <c r="I1045" s="11"/>
      <c r="J1045" s="11"/>
      <c r="K1045" s="11"/>
      <c r="L1045" s="11"/>
      <c r="M1045" s="11"/>
    </row>
    <row r="1046" spans="4:13" ht="15.75" customHeight="1" x14ac:dyDescent="0.2">
      <c r="D1046" s="12"/>
      <c r="E1046" s="13"/>
      <c r="F1046" s="11"/>
      <c r="G1046" s="11"/>
      <c r="H1046" s="11"/>
      <c r="I1046" s="11"/>
      <c r="J1046" s="11"/>
      <c r="K1046" s="11"/>
      <c r="L1046" s="11"/>
      <c r="M1046" s="11"/>
    </row>
    <row r="1047" spans="4:13" ht="15.75" customHeight="1" x14ac:dyDescent="0.2">
      <c r="D1047" s="12"/>
      <c r="E1047" s="13"/>
      <c r="F1047" s="11"/>
      <c r="G1047" s="11"/>
      <c r="H1047" s="11"/>
      <c r="I1047" s="11"/>
      <c r="J1047" s="11"/>
      <c r="K1047" s="11"/>
      <c r="L1047" s="11"/>
      <c r="M1047" s="11"/>
    </row>
    <row r="1048" spans="4:13" ht="15.75" customHeight="1" x14ac:dyDescent="0.2">
      <c r="D1048" s="12"/>
      <c r="E1048" s="13"/>
      <c r="F1048" s="11"/>
      <c r="G1048" s="11"/>
      <c r="H1048" s="11"/>
      <c r="I1048" s="11"/>
      <c r="J1048" s="11"/>
      <c r="K1048" s="11"/>
      <c r="L1048" s="11"/>
      <c r="M1048" s="11"/>
    </row>
    <row r="1049" spans="4:13" ht="15.75" customHeight="1" x14ac:dyDescent="0.2">
      <c r="D1049" s="12"/>
      <c r="E1049" s="13"/>
      <c r="F1049" s="11"/>
      <c r="G1049" s="11"/>
      <c r="H1049" s="11"/>
      <c r="I1049" s="11"/>
      <c r="J1049" s="11"/>
      <c r="K1049" s="11"/>
      <c r="L1049" s="11"/>
      <c r="M1049" s="11"/>
    </row>
    <row r="1050" spans="4:13" ht="15.75" customHeight="1" x14ac:dyDescent="0.2">
      <c r="D1050" s="12"/>
      <c r="E1050" s="13"/>
      <c r="F1050" s="11"/>
      <c r="G1050" s="11"/>
      <c r="H1050" s="11"/>
      <c r="I1050" s="11"/>
      <c r="J1050" s="11"/>
      <c r="K1050" s="11"/>
      <c r="L1050" s="11"/>
      <c r="M1050" s="11"/>
    </row>
    <row r="1051" spans="4:13" ht="15.75" customHeight="1" x14ac:dyDescent="0.2">
      <c r="D1051" s="12"/>
      <c r="E1051" s="13"/>
      <c r="F1051" s="11"/>
      <c r="G1051" s="11"/>
      <c r="H1051" s="11"/>
      <c r="I1051" s="11"/>
      <c r="J1051" s="11"/>
      <c r="K1051" s="11"/>
      <c r="L1051" s="11"/>
      <c r="M1051" s="11"/>
    </row>
    <row r="1052" spans="4:13" ht="15.75" customHeight="1" x14ac:dyDescent="0.2">
      <c r="D1052" s="12"/>
      <c r="E1052" s="13"/>
      <c r="F1052" s="11"/>
      <c r="G1052" s="11"/>
      <c r="H1052" s="11"/>
      <c r="I1052" s="11"/>
      <c r="J1052" s="11"/>
      <c r="K1052" s="11"/>
      <c r="L1052" s="11"/>
      <c r="M1052" s="11"/>
    </row>
    <row r="1053" spans="4:13" ht="15.75" customHeight="1" x14ac:dyDescent="0.2">
      <c r="D1053" s="12"/>
      <c r="E1053" s="13"/>
      <c r="F1053" s="11"/>
      <c r="G1053" s="11"/>
      <c r="H1053" s="11"/>
      <c r="I1053" s="11"/>
      <c r="J1053" s="11"/>
      <c r="K1053" s="11"/>
      <c r="L1053" s="11"/>
      <c r="M1053" s="11"/>
    </row>
    <row r="1054" spans="4:13" ht="15.75" customHeight="1" x14ac:dyDescent="0.2">
      <c r="D1054" s="12"/>
      <c r="E1054" s="13"/>
      <c r="F1054" s="11"/>
      <c r="G1054" s="11"/>
      <c r="H1054" s="11"/>
      <c r="I1054" s="11"/>
      <c r="J1054" s="11"/>
      <c r="K1054" s="11"/>
      <c r="L1054" s="11"/>
      <c r="M1054" s="11"/>
    </row>
    <row r="1055" spans="4:13" ht="15.75" customHeight="1" x14ac:dyDescent="0.2">
      <c r="D1055" s="12"/>
      <c r="E1055" s="13"/>
      <c r="F1055" s="11"/>
      <c r="G1055" s="11"/>
      <c r="H1055" s="11"/>
      <c r="I1055" s="11"/>
      <c r="J1055" s="11"/>
      <c r="K1055" s="11"/>
      <c r="L1055" s="11"/>
      <c r="M1055" s="11"/>
    </row>
    <row r="1056" spans="4:13" ht="15.75" customHeight="1" x14ac:dyDescent="0.2">
      <c r="D1056" s="12"/>
      <c r="E1056" s="13"/>
      <c r="F1056" s="11"/>
      <c r="G1056" s="11"/>
      <c r="H1056" s="11"/>
      <c r="I1056" s="11"/>
      <c r="J1056" s="11"/>
      <c r="K1056" s="11"/>
      <c r="L1056" s="11"/>
      <c r="M1056" s="11"/>
    </row>
    <row r="1057" spans="4:13" ht="15.75" customHeight="1" x14ac:dyDescent="0.2">
      <c r="D1057" s="12"/>
      <c r="E1057" s="13"/>
      <c r="F1057" s="11"/>
      <c r="G1057" s="11"/>
      <c r="H1057" s="11"/>
      <c r="I1057" s="11"/>
      <c r="J1057" s="11"/>
      <c r="K1057" s="11"/>
      <c r="L1057" s="11"/>
      <c r="M1057" s="11"/>
    </row>
    <row r="1058" spans="4:13" ht="15.75" customHeight="1" x14ac:dyDescent="0.2">
      <c r="D1058" s="12"/>
      <c r="E1058" s="13"/>
      <c r="F1058" s="11"/>
      <c r="G1058" s="11"/>
      <c r="H1058" s="11"/>
      <c r="I1058" s="11"/>
      <c r="J1058" s="11"/>
      <c r="K1058" s="11"/>
      <c r="L1058" s="11"/>
      <c r="M1058" s="11"/>
    </row>
    <row r="1059" spans="4:13" ht="15.75" customHeight="1" x14ac:dyDescent="0.2">
      <c r="D1059" s="12"/>
      <c r="E1059" s="13"/>
      <c r="F1059" s="11"/>
      <c r="G1059" s="11"/>
      <c r="H1059" s="11"/>
      <c r="I1059" s="11"/>
      <c r="J1059" s="11"/>
      <c r="K1059" s="11"/>
      <c r="L1059" s="11"/>
      <c r="M1059" s="11"/>
    </row>
    <row r="1060" spans="4:13" ht="15.75" customHeight="1" x14ac:dyDescent="0.2">
      <c r="D1060" s="12"/>
      <c r="E1060" s="13"/>
      <c r="F1060" s="11"/>
      <c r="G1060" s="11"/>
      <c r="H1060" s="11"/>
      <c r="I1060" s="11"/>
      <c r="J1060" s="11"/>
      <c r="K1060" s="11"/>
      <c r="L1060" s="11"/>
      <c r="M1060" s="11"/>
    </row>
    <row r="1061" spans="4:13" ht="15.75" customHeight="1" x14ac:dyDescent="0.2">
      <c r="D1061" s="12"/>
      <c r="E1061" s="13"/>
      <c r="F1061" s="11"/>
      <c r="G1061" s="11"/>
      <c r="H1061" s="11"/>
      <c r="I1061" s="11"/>
      <c r="J1061" s="11"/>
      <c r="K1061" s="11"/>
      <c r="L1061" s="11"/>
      <c r="M1061" s="11"/>
    </row>
    <row r="1062" spans="4:13" ht="15.75" customHeight="1" x14ac:dyDescent="0.2">
      <c r="D1062" s="12"/>
      <c r="E1062" s="13"/>
      <c r="F1062" s="11"/>
      <c r="G1062" s="11"/>
      <c r="H1062" s="11"/>
      <c r="I1062" s="11"/>
      <c r="J1062" s="11"/>
      <c r="K1062" s="11"/>
      <c r="L1062" s="11"/>
      <c r="M1062" s="11"/>
    </row>
    <row r="1063" spans="4:13" ht="15.75" customHeight="1" x14ac:dyDescent="0.2">
      <c r="D1063" s="12"/>
      <c r="E1063" s="13"/>
      <c r="F1063" s="11"/>
      <c r="G1063" s="11"/>
      <c r="H1063" s="11"/>
      <c r="I1063" s="11"/>
      <c r="J1063" s="11"/>
      <c r="K1063" s="11"/>
      <c r="L1063" s="11"/>
      <c r="M1063" s="11"/>
    </row>
    <row r="1064" spans="4:13" ht="15.75" customHeight="1" x14ac:dyDescent="0.2">
      <c r="D1064" s="12"/>
      <c r="E1064" s="13"/>
      <c r="F1064" s="11"/>
      <c r="G1064" s="11"/>
      <c r="H1064" s="11"/>
      <c r="I1064" s="11"/>
      <c r="J1064" s="11"/>
      <c r="K1064" s="11"/>
      <c r="L1064" s="11"/>
      <c r="M1064" s="11"/>
    </row>
    <row r="1065" spans="4:13" ht="15.75" customHeight="1" x14ac:dyDescent="0.2">
      <c r="D1065" s="12"/>
      <c r="E1065" s="13"/>
      <c r="F1065" s="11"/>
      <c r="G1065" s="11"/>
      <c r="H1065" s="11"/>
      <c r="I1065" s="11"/>
      <c r="J1065" s="11"/>
      <c r="K1065" s="11"/>
      <c r="L1065" s="11"/>
      <c r="M1065" s="11"/>
    </row>
    <row r="1066" spans="4:13" ht="15.75" customHeight="1" x14ac:dyDescent="0.2">
      <c r="D1066" s="12"/>
      <c r="E1066" s="13"/>
      <c r="F1066" s="11"/>
      <c r="G1066" s="11"/>
      <c r="H1066" s="11"/>
      <c r="I1066" s="11"/>
      <c r="J1066" s="11"/>
      <c r="K1066" s="11"/>
      <c r="L1066" s="11"/>
      <c r="M1066" s="11"/>
    </row>
    <row r="1067" spans="4:13" ht="15.75" customHeight="1" x14ac:dyDescent="0.2">
      <c r="D1067" s="12"/>
      <c r="E1067" s="13"/>
      <c r="F1067" s="11"/>
      <c r="G1067" s="11"/>
      <c r="H1067" s="11"/>
      <c r="I1067" s="11"/>
      <c r="J1067" s="11"/>
      <c r="K1067" s="11"/>
      <c r="L1067" s="11"/>
      <c r="M1067" s="11"/>
    </row>
    <row r="1068" spans="4:13" ht="15.75" customHeight="1" x14ac:dyDescent="0.2">
      <c r="D1068" s="12"/>
      <c r="E1068" s="13"/>
      <c r="F1068" s="11"/>
      <c r="G1068" s="11"/>
      <c r="H1068" s="11"/>
      <c r="I1068" s="11"/>
      <c r="J1068" s="11"/>
      <c r="K1068" s="11"/>
      <c r="L1068" s="11"/>
      <c r="M1068" s="11"/>
    </row>
    <row r="1069" spans="4:13" ht="15.75" customHeight="1" x14ac:dyDescent="0.2">
      <c r="D1069" s="12"/>
      <c r="E1069" s="13"/>
      <c r="F1069" s="11"/>
      <c r="G1069" s="11"/>
      <c r="H1069" s="11"/>
      <c r="I1069" s="11"/>
      <c r="J1069" s="11"/>
      <c r="K1069" s="11"/>
      <c r="L1069" s="11"/>
      <c r="M1069" s="11"/>
    </row>
    <row r="1070" spans="4:13" ht="15.75" customHeight="1" x14ac:dyDescent="0.2">
      <c r="D1070" s="12"/>
      <c r="E1070" s="13"/>
      <c r="F1070" s="11"/>
      <c r="G1070" s="11"/>
      <c r="H1070" s="11"/>
      <c r="I1070" s="11"/>
      <c r="J1070" s="11"/>
      <c r="K1070" s="11"/>
      <c r="L1070" s="11"/>
      <c r="M1070" s="11"/>
    </row>
    <row r="1071" spans="4:13" ht="15.75" customHeight="1" x14ac:dyDescent="0.2">
      <c r="D1071" s="12"/>
      <c r="E1071" s="13"/>
      <c r="F1071" s="11"/>
      <c r="G1071" s="11"/>
      <c r="H1071" s="11"/>
      <c r="I1071" s="11"/>
      <c r="J1071" s="11"/>
      <c r="K1071" s="11"/>
      <c r="L1071" s="11"/>
      <c r="M1071" s="11"/>
    </row>
    <row r="1072" spans="4:13" ht="15.75" customHeight="1" x14ac:dyDescent="0.2">
      <c r="D1072" s="12"/>
      <c r="E1072" s="13"/>
      <c r="F1072" s="11"/>
      <c r="G1072" s="11"/>
      <c r="H1072" s="11"/>
      <c r="I1072" s="11"/>
      <c r="J1072" s="11"/>
      <c r="K1072" s="11"/>
      <c r="L1072" s="11"/>
      <c r="M1072" s="11"/>
    </row>
    <row r="1073" spans="4:13" ht="15.75" customHeight="1" x14ac:dyDescent="0.2">
      <c r="D1073" s="12"/>
      <c r="E1073" s="13"/>
      <c r="F1073" s="11"/>
      <c r="G1073" s="11"/>
      <c r="H1073" s="11"/>
      <c r="I1073" s="11"/>
      <c r="J1073" s="11"/>
      <c r="K1073" s="11"/>
      <c r="L1073" s="11"/>
      <c r="M1073" s="11"/>
    </row>
    <row r="1074" spans="4:13" ht="15.75" customHeight="1" x14ac:dyDescent="0.2">
      <c r="D1074" s="12"/>
      <c r="E1074" s="13"/>
      <c r="F1074" s="11"/>
      <c r="G1074" s="11"/>
      <c r="H1074" s="11"/>
      <c r="I1074" s="11"/>
      <c r="J1074" s="11"/>
      <c r="K1074" s="11"/>
      <c r="L1074" s="11"/>
      <c r="M1074" s="11"/>
    </row>
    <row r="1075" spans="4:13" ht="15.75" customHeight="1" x14ac:dyDescent="0.2">
      <c r="D1075" s="12"/>
      <c r="E1075" s="13"/>
      <c r="F1075" s="11"/>
      <c r="G1075" s="11"/>
      <c r="H1075" s="11"/>
      <c r="I1075" s="11"/>
      <c r="J1075" s="11"/>
      <c r="K1075" s="11"/>
      <c r="L1075" s="11"/>
      <c r="M1075" s="11"/>
    </row>
    <row r="1076" spans="4:13" ht="15.75" customHeight="1" x14ac:dyDescent="0.2">
      <c r="D1076" s="12"/>
      <c r="E1076" s="13"/>
      <c r="F1076" s="11"/>
      <c r="G1076" s="11"/>
      <c r="H1076" s="11"/>
      <c r="I1076" s="11"/>
      <c r="J1076" s="11"/>
      <c r="K1076" s="11"/>
      <c r="L1076" s="11"/>
      <c r="M1076" s="11"/>
    </row>
    <row r="1077" spans="4:13" ht="15.75" customHeight="1" x14ac:dyDescent="0.2">
      <c r="D1077" s="12"/>
      <c r="E1077" s="13"/>
      <c r="F1077" s="11"/>
      <c r="G1077" s="11"/>
      <c r="H1077" s="11"/>
      <c r="I1077" s="11"/>
      <c r="J1077" s="11"/>
      <c r="K1077" s="11"/>
      <c r="L1077" s="11"/>
      <c r="M1077" s="11"/>
    </row>
    <row r="1078" spans="4:13" ht="15.75" customHeight="1" x14ac:dyDescent="0.2">
      <c r="D1078" s="12"/>
      <c r="E1078" s="13"/>
      <c r="F1078" s="11"/>
      <c r="G1078" s="11"/>
      <c r="H1078" s="11"/>
      <c r="I1078" s="11"/>
      <c r="J1078" s="11"/>
      <c r="K1078" s="11"/>
      <c r="L1078" s="11"/>
      <c r="M1078" s="11"/>
    </row>
    <row r="1079" spans="4:13" ht="15.75" customHeight="1" x14ac:dyDescent="0.2">
      <c r="D1079" s="12"/>
      <c r="E1079" s="13"/>
      <c r="F1079" s="11"/>
      <c r="G1079" s="11"/>
      <c r="H1079" s="11"/>
      <c r="I1079" s="11"/>
      <c r="J1079" s="11"/>
      <c r="K1079" s="11"/>
      <c r="L1079" s="11"/>
      <c r="M1079" s="11"/>
    </row>
    <row r="1080" spans="4:13" ht="15.75" customHeight="1" x14ac:dyDescent="0.2">
      <c r="D1080" s="12"/>
      <c r="E1080" s="13"/>
      <c r="F1080" s="11"/>
      <c r="G1080" s="11"/>
      <c r="H1080" s="11"/>
      <c r="I1080" s="11"/>
      <c r="J1080" s="11"/>
      <c r="K1080" s="11"/>
      <c r="L1080" s="11"/>
      <c r="M1080" s="11"/>
    </row>
    <row r="1081" spans="4:13" ht="15.75" customHeight="1" x14ac:dyDescent="0.2">
      <c r="D1081" s="12"/>
      <c r="E1081" s="13"/>
      <c r="F1081" s="11"/>
      <c r="G1081" s="11"/>
      <c r="H1081" s="11"/>
      <c r="I1081" s="11"/>
      <c r="J1081" s="11"/>
      <c r="K1081" s="11"/>
      <c r="L1081" s="11"/>
      <c r="M1081" s="11"/>
    </row>
    <row r="1082" spans="4:13" ht="15.75" customHeight="1" x14ac:dyDescent="0.2">
      <c r="D1082" s="12"/>
      <c r="E1082" s="13"/>
      <c r="F1082" s="11"/>
      <c r="G1082" s="11"/>
      <c r="H1082" s="11"/>
      <c r="I1082" s="11"/>
      <c r="J1082" s="11"/>
      <c r="K1082" s="11"/>
      <c r="L1082" s="11"/>
      <c r="M1082" s="11"/>
    </row>
    <row r="1083" spans="4:13" ht="15.75" customHeight="1" x14ac:dyDescent="0.2">
      <c r="D1083" s="12"/>
      <c r="E1083" s="13"/>
      <c r="F1083" s="11"/>
      <c r="G1083" s="11"/>
      <c r="H1083" s="11"/>
      <c r="I1083" s="11"/>
      <c r="J1083" s="11"/>
      <c r="K1083" s="11"/>
      <c r="L1083" s="11"/>
      <c r="M1083" s="11"/>
    </row>
    <row r="1084" spans="4:13" ht="15.75" customHeight="1" x14ac:dyDescent="0.2">
      <c r="D1084" s="12"/>
      <c r="E1084" s="13"/>
      <c r="F1084" s="11"/>
      <c r="G1084" s="11"/>
      <c r="H1084" s="11"/>
      <c r="I1084" s="11"/>
      <c r="J1084" s="11"/>
      <c r="K1084" s="11"/>
      <c r="L1084" s="11"/>
      <c r="M1084" s="11"/>
    </row>
    <row r="1085" spans="4:13" ht="15.75" customHeight="1" x14ac:dyDescent="0.2">
      <c r="D1085" s="12"/>
      <c r="E1085" s="13"/>
      <c r="F1085" s="11"/>
      <c r="G1085" s="11"/>
      <c r="H1085" s="11"/>
      <c r="I1085" s="11"/>
      <c r="J1085" s="11"/>
      <c r="K1085" s="11"/>
      <c r="L1085" s="11"/>
      <c r="M1085" s="11"/>
    </row>
    <row r="1086" spans="4:13" ht="15.75" customHeight="1" x14ac:dyDescent="0.2">
      <c r="D1086" s="12"/>
      <c r="E1086" s="13"/>
      <c r="F1086" s="11"/>
      <c r="G1086" s="11"/>
      <c r="H1086" s="11"/>
      <c r="I1086" s="11"/>
      <c r="J1086" s="11"/>
      <c r="K1086" s="11"/>
      <c r="L1086" s="11"/>
      <c r="M1086" s="11"/>
    </row>
    <row r="1087" spans="4:13" ht="15.75" customHeight="1" x14ac:dyDescent="0.2">
      <c r="D1087" s="12"/>
      <c r="E1087" s="13"/>
      <c r="F1087" s="11"/>
      <c r="G1087" s="11"/>
      <c r="H1087" s="11"/>
      <c r="I1087" s="11"/>
      <c r="J1087" s="11"/>
      <c r="K1087" s="11"/>
      <c r="L1087" s="11"/>
      <c r="M1087" s="11"/>
    </row>
    <row r="1088" spans="4:13" ht="15.75" customHeight="1" x14ac:dyDescent="0.2">
      <c r="D1088" s="12"/>
      <c r="E1088" s="13"/>
      <c r="F1088" s="11"/>
      <c r="G1088" s="11"/>
      <c r="H1088" s="11"/>
      <c r="I1088" s="11"/>
      <c r="J1088" s="11"/>
      <c r="K1088" s="11"/>
      <c r="L1088" s="11"/>
      <c r="M1088" s="11"/>
    </row>
    <row r="1089" spans="4:13" ht="15.75" customHeight="1" x14ac:dyDescent="0.2">
      <c r="D1089" s="12"/>
      <c r="E1089" s="13"/>
      <c r="F1089" s="11"/>
      <c r="G1089" s="11"/>
      <c r="H1089" s="11"/>
      <c r="I1089" s="11"/>
      <c r="J1089" s="11"/>
      <c r="K1089" s="11"/>
      <c r="L1089" s="11"/>
      <c r="M1089" s="11"/>
    </row>
    <row r="1090" spans="4:13" ht="15.75" customHeight="1" x14ac:dyDescent="0.2">
      <c r="D1090" s="12"/>
      <c r="E1090" s="13"/>
      <c r="F1090" s="11"/>
      <c r="G1090" s="11"/>
      <c r="H1090" s="11"/>
      <c r="I1090" s="11"/>
      <c r="J1090" s="11"/>
      <c r="K1090" s="11"/>
      <c r="L1090" s="11"/>
      <c r="M1090" s="11"/>
    </row>
    <row r="1091" spans="4:13" ht="15.75" customHeight="1" x14ac:dyDescent="0.2">
      <c r="D1091" s="12"/>
      <c r="E1091" s="13"/>
      <c r="F1091" s="11"/>
      <c r="G1091" s="11"/>
      <c r="H1091" s="11"/>
      <c r="I1091" s="11"/>
      <c r="J1091" s="11"/>
      <c r="K1091" s="11"/>
      <c r="L1091" s="11"/>
      <c r="M1091" s="11"/>
    </row>
    <row r="1092" spans="4:13" ht="15.75" customHeight="1" x14ac:dyDescent="0.2">
      <c r="D1092" s="12"/>
      <c r="E1092" s="13"/>
      <c r="F1092" s="11"/>
      <c r="G1092" s="11"/>
      <c r="H1092" s="11"/>
      <c r="I1092" s="11"/>
      <c r="J1092" s="11"/>
      <c r="K1092" s="11"/>
      <c r="L1092" s="11"/>
      <c r="M1092" s="11"/>
    </row>
    <row r="1093" spans="4:13" ht="15.75" customHeight="1" x14ac:dyDescent="0.2">
      <c r="D1093" s="12"/>
      <c r="E1093" s="13"/>
      <c r="F1093" s="11"/>
      <c r="G1093" s="11"/>
      <c r="H1093" s="11"/>
      <c r="I1093" s="11"/>
      <c r="J1093" s="11"/>
      <c r="K1093" s="11"/>
      <c r="L1093" s="11"/>
      <c r="M1093" s="11"/>
    </row>
    <row r="1094" spans="4:13" ht="15.75" customHeight="1" x14ac:dyDescent="0.2">
      <c r="D1094" s="12"/>
      <c r="E1094" s="13"/>
      <c r="F1094" s="11"/>
      <c r="G1094" s="11"/>
      <c r="H1094" s="11"/>
      <c r="I1094" s="11"/>
      <c r="J1094" s="11"/>
      <c r="K1094" s="11"/>
      <c r="L1094" s="11"/>
      <c r="M1094" s="11"/>
    </row>
    <row r="1095" spans="4:13" ht="15.75" customHeight="1" x14ac:dyDescent="0.2">
      <c r="D1095" s="12"/>
      <c r="E1095" s="13"/>
      <c r="F1095" s="11"/>
      <c r="G1095" s="11"/>
      <c r="H1095" s="11"/>
      <c r="I1095" s="11"/>
      <c r="J1095" s="11"/>
      <c r="K1095" s="11"/>
      <c r="L1095" s="11"/>
      <c r="M1095" s="11"/>
    </row>
    <row r="1096" spans="4:13" ht="15.75" customHeight="1" x14ac:dyDescent="0.2">
      <c r="D1096" s="12"/>
      <c r="E1096" s="13"/>
      <c r="F1096" s="11"/>
      <c r="G1096" s="11"/>
      <c r="H1096" s="11"/>
      <c r="I1096" s="11"/>
      <c r="J1096" s="11"/>
      <c r="K1096" s="11"/>
      <c r="L1096" s="11"/>
      <c r="M1096" s="11"/>
    </row>
    <row r="1097" spans="4:13" ht="15.75" customHeight="1" x14ac:dyDescent="0.2">
      <c r="D1097" s="12"/>
      <c r="E1097" s="13"/>
      <c r="F1097" s="11"/>
      <c r="G1097" s="11"/>
      <c r="H1097" s="11"/>
      <c r="I1097" s="11"/>
      <c r="J1097" s="11"/>
      <c r="K1097" s="11"/>
      <c r="L1097" s="11"/>
      <c r="M1097" s="11"/>
    </row>
    <row r="1098" spans="4:13" ht="15.75" customHeight="1" x14ac:dyDescent="0.2">
      <c r="D1098" s="12"/>
      <c r="E1098" s="13"/>
      <c r="F1098" s="11"/>
      <c r="G1098" s="11"/>
      <c r="H1098" s="11"/>
      <c r="I1098" s="11"/>
      <c r="J1098" s="11"/>
      <c r="K1098" s="11"/>
      <c r="L1098" s="11"/>
      <c r="M1098" s="11"/>
    </row>
    <row r="1099" spans="4:13" ht="15.75" customHeight="1" x14ac:dyDescent="0.2">
      <c r="D1099" s="12"/>
      <c r="E1099" s="13"/>
      <c r="F1099" s="11"/>
      <c r="G1099" s="11"/>
      <c r="H1099" s="11"/>
      <c r="I1099" s="11"/>
      <c r="J1099" s="11"/>
      <c r="K1099" s="11"/>
      <c r="L1099" s="11"/>
      <c r="M1099" s="11"/>
    </row>
    <row r="1100" spans="4:13" ht="15.75" customHeight="1" x14ac:dyDescent="0.2">
      <c r="D1100" s="12"/>
      <c r="E1100" s="13"/>
      <c r="F1100" s="11"/>
      <c r="G1100" s="11"/>
      <c r="H1100" s="11"/>
      <c r="I1100" s="11"/>
      <c r="J1100" s="11"/>
      <c r="K1100" s="11"/>
      <c r="L1100" s="11"/>
      <c r="M1100" s="11"/>
    </row>
    <row r="1101" spans="4:13" ht="15.75" customHeight="1" x14ac:dyDescent="0.2">
      <c r="D1101" s="12"/>
      <c r="E1101" s="13"/>
      <c r="F1101" s="11"/>
      <c r="G1101" s="11"/>
      <c r="H1101" s="11"/>
      <c r="I1101" s="11"/>
      <c r="J1101" s="11"/>
      <c r="K1101" s="11"/>
      <c r="L1101" s="11"/>
      <c r="M1101" s="11"/>
    </row>
    <row r="1102" spans="4:13" ht="15.75" customHeight="1" x14ac:dyDescent="0.2">
      <c r="D1102" s="12"/>
      <c r="E1102" s="13"/>
      <c r="F1102" s="11"/>
      <c r="G1102" s="11"/>
      <c r="H1102" s="11"/>
      <c r="I1102" s="11"/>
      <c r="J1102" s="11"/>
      <c r="K1102" s="11"/>
      <c r="L1102" s="11"/>
      <c r="M1102" s="11"/>
    </row>
    <row r="1103" spans="4:13" ht="15.75" customHeight="1" x14ac:dyDescent="0.2">
      <c r="D1103" s="12"/>
      <c r="E1103" s="13"/>
      <c r="F1103" s="11"/>
      <c r="G1103" s="11"/>
      <c r="H1103" s="11"/>
      <c r="I1103" s="11"/>
      <c r="J1103" s="11"/>
      <c r="K1103" s="11"/>
      <c r="L1103" s="11"/>
      <c r="M1103" s="11"/>
    </row>
    <row r="1104" spans="4:13" ht="15.75" customHeight="1" x14ac:dyDescent="0.2">
      <c r="D1104" s="12"/>
      <c r="E1104" s="13"/>
      <c r="F1104" s="11"/>
      <c r="G1104" s="11"/>
      <c r="H1104" s="11"/>
      <c r="I1104" s="11"/>
      <c r="J1104" s="11"/>
      <c r="K1104" s="11"/>
      <c r="L1104" s="11"/>
      <c r="M1104" s="11"/>
    </row>
    <row r="1105" spans="4:13" ht="15.75" customHeight="1" x14ac:dyDescent="0.2">
      <c r="D1105" s="12"/>
      <c r="E1105" s="13"/>
      <c r="F1105" s="11"/>
      <c r="G1105" s="11"/>
      <c r="H1105" s="11"/>
      <c r="I1105" s="11"/>
      <c r="J1105" s="11"/>
      <c r="K1105" s="11"/>
      <c r="L1105" s="11"/>
      <c r="M1105" s="11"/>
    </row>
    <row r="1106" spans="4:13" ht="15.75" customHeight="1" x14ac:dyDescent="0.2">
      <c r="D1106" s="12"/>
      <c r="E1106" s="13"/>
      <c r="F1106" s="11"/>
      <c r="G1106" s="11"/>
      <c r="H1106" s="11"/>
      <c r="I1106" s="11"/>
      <c r="J1106" s="11"/>
      <c r="K1106" s="11"/>
      <c r="L1106" s="11"/>
      <c r="M1106" s="11"/>
    </row>
    <row r="1107" spans="4:13" ht="15.75" customHeight="1" x14ac:dyDescent="0.2">
      <c r="D1107" s="12"/>
      <c r="E1107" s="13"/>
      <c r="F1107" s="11"/>
      <c r="G1107" s="11"/>
      <c r="H1107" s="11"/>
      <c r="I1107" s="11"/>
      <c r="J1107" s="11"/>
      <c r="K1107" s="11"/>
      <c r="L1107" s="11"/>
      <c r="M1107" s="11"/>
    </row>
    <row r="1108" spans="4:13" ht="15.75" customHeight="1" x14ac:dyDescent="0.2">
      <c r="D1108" s="12"/>
      <c r="E1108" s="13"/>
      <c r="F1108" s="11"/>
      <c r="G1108" s="11"/>
      <c r="H1108" s="11"/>
      <c r="I1108" s="11"/>
      <c r="J1108" s="11"/>
      <c r="K1108" s="11"/>
      <c r="L1108" s="11"/>
      <c r="M1108" s="11"/>
    </row>
    <row r="1109" spans="4:13" ht="15.75" customHeight="1" x14ac:dyDescent="0.2">
      <c r="D1109" s="12"/>
      <c r="E1109" s="13"/>
      <c r="F1109" s="11"/>
      <c r="G1109" s="11"/>
      <c r="H1109" s="11"/>
      <c r="I1109" s="11"/>
      <c r="J1109" s="11"/>
      <c r="K1109" s="11"/>
      <c r="L1109" s="11"/>
      <c r="M1109" s="11"/>
    </row>
    <row r="1110" spans="4:13" ht="15.75" customHeight="1" x14ac:dyDescent="0.2">
      <c r="D1110" s="12"/>
      <c r="E1110" s="13"/>
      <c r="F1110" s="11"/>
      <c r="G1110" s="11"/>
      <c r="H1110" s="11"/>
      <c r="I1110" s="11"/>
      <c r="J1110" s="11"/>
      <c r="K1110" s="11"/>
      <c r="L1110" s="11"/>
      <c r="M1110" s="11"/>
    </row>
    <row r="1111" spans="4:13" ht="15.75" customHeight="1" x14ac:dyDescent="0.2">
      <c r="D1111" s="12"/>
      <c r="E1111" s="13"/>
      <c r="F1111" s="11"/>
      <c r="G1111" s="11"/>
      <c r="H1111" s="11"/>
      <c r="I1111" s="11"/>
      <c r="J1111" s="11"/>
      <c r="K1111" s="11"/>
      <c r="L1111" s="11"/>
      <c r="M1111" s="11"/>
    </row>
    <row r="1112" spans="4:13" ht="15.75" customHeight="1" x14ac:dyDescent="0.2">
      <c r="D1112" s="12"/>
      <c r="E1112" s="13"/>
      <c r="F1112" s="11"/>
      <c r="G1112" s="11"/>
      <c r="H1112" s="11"/>
      <c r="I1112" s="11"/>
      <c r="J1112" s="11"/>
      <c r="K1112" s="11"/>
      <c r="L1112" s="11"/>
      <c r="M1112" s="11"/>
    </row>
    <row r="1113" spans="4:13" ht="15.75" customHeight="1" x14ac:dyDescent="0.2">
      <c r="D1113" s="12"/>
      <c r="E1113" s="13"/>
      <c r="F1113" s="11"/>
      <c r="G1113" s="11"/>
      <c r="H1113" s="11"/>
      <c r="I1113" s="11"/>
      <c r="J1113" s="11"/>
      <c r="K1113" s="11"/>
      <c r="L1113" s="11"/>
      <c r="M1113" s="11"/>
    </row>
    <row r="1114" spans="4:13" ht="15.75" customHeight="1" x14ac:dyDescent="0.2">
      <c r="D1114" s="12"/>
      <c r="E1114" s="13"/>
      <c r="F1114" s="11"/>
      <c r="G1114" s="11"/>
      <c r="H1114" s="11"/>
      <c r="I1114" s="11"/>
      <c r="J1114" s="11"/>
      <c r="K1114" s="11"/>
      <c r="L1114" s="11"/>
      <c r="M1114" s="11"/>
    </row>
    <row r="1115" spans="4:13" ht="15.75" customHeight="1" x14ac:dyDescent="0.2">
      <c r="D1115" s="12"/>
      <c r="E1115" s="13"/>
      <c r="F1115" s="11"/>
      <c r="G1115" s="11"/>
      <c r="H1115" s="11"/>
      <c r="I1115" s="11"/>
      <c r="J1115" s="11"/>
      <c r="K1115" s="11"/>
      <c r="L1115" s="11"/>
      <c r="M1115" s="11"/>
    </row>
    <row r="1116" spans="4:13" ht="15.75" customHeight="1" x14ac:dyDescent="0.2">
      <c r="D1116" s="12"/>
      <c r="E1116" s="13"/>
      <c r="F1116" s="11"/>
      <c r="G1116" s="11"/>
      <c r="H1116" s="11"/>
      <c r="I1116" s="11"/>
      <c r="J1116" s="11"/>
      <c r="K1116" s="11"/>
      <c r="L1116" s="11"/>
      <c r="M1116" s="11"/>
    </row>
    <row r="1117" spans="4:13" ht="15.75" customHeight="1" x14ac:dyDescent="0.2">
      <c r="D1117" s="12"/>
      <c r="E1117" s="13"/>
      <c r="F1117" s="11"/>
      <c r="G1117" s="11"/>
      <c r="H1117" s="11"/>
      <c r="I1117" s="11"/>
      <c r="J1117" s="11"/>
      <c r="K1117" s="11"/>
      <c r="L1117" s="11"/>
      <c r="M1117" s="11"/>
    </row>
    <row r="1118" spans="4:13" ht="15.75" customHeight="1" x14ac:dyDescent="0.2">
      <c r="D1118" s="12"/>
      <c r="E1118" s="13"/>
      <c r="F1118" s="11"/>
      <c r="G1118" s="11"/>
      <c r="H1118" s="11"/>
      <c r="I1118" s="11"/>
      <c r="J1118" s="11"/>
      <c r="K1118" s="11"/>
      <c r="L1118" s="11"/>
      <c r="M1118" s="11"/>
    </row>
    <row r="1119" spans="4:13" ht="15.75" customHeight="1" x14ac:dyDescent="0.2">
      <c r="D1119" s="12"/>
      <c r="E1119" s="13"/>
      <c r="F1119" s="11"/>
      <c r="G1119" s="11"/>
      <c r="H1119" s="11"/>
      <c r="I1119" s="11"/>
      <c r="J1119" s="11"/>
      <c r="K1119" s="11"/>
      <c r="L1119" s="11"/>
      <c r="M1119" s="11"/>
    </row>
    <row r="1120" spans="4:13" ht="15.75" customHeight="1" x14ac:dyDescent="0.2">
      <c r="D1120" s="12"/>
      <c r="E1120" s="13"/>
      <c r="F1120" s="11"/>
      <c r="G1120" s="11"/>
      <c r="H1120" s="11"/>
      <c r="I1120" s="11"/>
      <c r="J1120" s="11"/>
      <c r="K1120" s="11"/>
      <c r="L1120" s="11"/>
      <c r="M1120" s="11"/>
    </row>
    <row r="1121" spans="4:13" ht="15.75" customHeight="1" x14ac:dyDescent="0.2">
      <c r="D1121" s="12"/>
      <c r="E1121" s="13"/>
      <c r="F1121" s="11"/>
      <c r="G1121" s="11"/>
      <c r="H1121" s="11"/>
      <c r="I1121" s="11"/>
      <c r="J1121" s="11"/>
      <c r="K1121" s="11"/>
      <c r="L1121" s="11"/>
      <c r="M1121" s="11"/>
    </row>
    <row r="1122" spans="4:13" ht="15.75" customHeight="1" x14ac:dyDescent="0.2">
      <c r="D1122" s="12"/>
      <c r="E1122" s="13"/>
      <c r="F1122" s="11"/>
      <c r="G1122" s="11"/>
      <c r="H1122" s="11"/>
      <c r="I1122" s="11"/>
      <c r="J1122" s="11"/>
      <c r="K1122" s="11"/>
      <c r="L1122" s="11"/>
      <c r="M1122" s="11"/>
    </row>
    <row r="1123" spans="4:13" ht="15.75" customHeight="1" x14ac:dyDescent="0.2">
      <c r="D1123" s="12"/>
      <c r="E1123" s="13"/>
      <c r="F1123" s="11"/>
      <c r="G1123" s="11"/>
      <c r="H1123" s="11"/>
      <c r="I1123" s="11"/>
      <c r="J1123" s="11"/>
      <c r="K1123" s="11"/>
      <c r="L1123" s="11"/>
      <c r="M1123" s="11"/>
    </row>
    <row r="1124" spans="4:13" ht="15.75" customHeight="1" x14ac:dyDescent="0.2">
      <c r="D1124" s="12"/>
      <c r="E1124" s="13"/>
      <c r="F1124" s="11"/>
      <c r="G1124" s="11"/>
      <c r="H1124" s="11"/>
      <c r="I1124" s="11"/>
      <c r="J1124" s="11"/>
      <c r="K1124" s="11"/>
      <c r="L1124" s="11"/>
      <c r="M1124" s="11"/>
    </row>
    <row r="1125" spans="4:13" ht="15.75" customHeight="1" x14ac:dyDescent="0.2">
      <c r="D1125" s="12"/>
      <c r="E1125" s="13"/>
      <c r="F1125" s="11"/>
      <c r="G1125" s="11"/>
      <c r="H1125" s="11"/>
      <c r="I1125" s="11"/>
      <c r="J1125" s="11"/>
      <c r="K1125" s="11"/>
      <c r="L1125" s="11"/>
      <c r="M1125" s="11"/>
    </row>
    <row r="1126" spans="4:13" ht="15.75" customHeight="1" x14ac:dyDescent="0.2">
      <c r="D1126" s="12"/>
      <c r="E1126" s="13"/>
      <c r="F1126" s="11"/>
      <c r="G1126" s="11"/>
      <c r="H1126" s="11"/>
      <c r="I1126" s="11"/>
      <c r="J1126" s="11"/>
      <c r="K1126" s="11"/>
      <c r="L1126" s="11"/>
      <c r="M1126" s="11"/>
    </row>
    <row r="1127" spans="4:13" ht="15.75" customHeight="1" x14ac:dyDescent="0.2">
      <c r="D1127" s="12"/>
      <c r="E1127" s="13"/>
      <c r="F1127" s="11"/>
      <c r="G1127" s="11"/>
      <c r="H1127" s="11"/>
      <c r="I1127" s="11"/>
      <c r="J1127" s="11"/>
      <c r="K1127" s="11"/>
      <c r="L1127" s="11"/>
      <c r="M1127" s="11"/>
    </row>
    <row r="1128" spans="4:13" ht="15.75" customHeight="1" x14ac:dyDescent="0.2">
      <c r="D1128" s="12"/>
      <c r="E1128" s="13"/>
      <c r="F1128" s="11"/>
      <c r="G1128" s="11"/>
      <c r="H1128" s="11"/>
      <c r="I1128" s="11"/>
      <c r="J1128" s="11"/>
      <c r="K1128" s="11"/>
      <c r="L1128" s="11"/>
      <c r="M1128" s="11"/>
    </row>
    <row r="1129" spans="4:13" ht="15.75" customHeight="1" x14ac:dyDescent="0.2">
      <c r="D1129" s="12"/>
      <c r="E1129" s="13"/>
      <c r="F1129" s="11"/>
      <c r="G1129" s="11"/>
      <c r="H1129" s="11"/>
      <c r="I1129" s="11"/>
      <c r="J1129" s="11"/>
      <c r="K1129" s="11"/>
      <c r="L1129" s="11"/>
      <c r="M1129" s="11"/>
    </row>
    <row r="1130" spans="4:13" ht="15.75" customHeight="1" x14ac:dyDescent="0.2">
      <c r="D1130" s="12"/>
      <c r="E1130" s="13"/>
      <c r="F1130" s="11"/>
      <c r="G1130" s="11"/>
      <c r="H1130" s="11"/>
      <c r="I1130" s="11"/>
      <c r="J1130" s="11"/>
      <c r="K1130" s="11"/>
      <c r="L1130" s="11"/>
      <c r="M1130" s="11"/>
    </row>
    <row r="1131" spans="4:13" ht="15.75" customHeight="1" x14ac:dyDescent="0.2">
      <c r="D1131" s="12"/>
      <c r="E1131" s="13"/>
      <c r="F1131" s="11"/>
      <c r="G1131" s="11"/>
      <c r="H1131" s="11"/>
      <c r="I1131" s="11"/>
      <c r="J1131" s="11"/>
      <c r="K1131" s="11"/>
      <c r="L1131" s="11"/>
      <c r="M1131" s="11"/>
    </row>
    <row r="1132" spans="4:13" ht="15.75" customHeight="1" x14ac:dyDescent="0.2">
      <c r="D1132" s="12"/>
      <c r="E1132" s="13"/>
      <c r="F1132" s="11"/>
      <c r="G1132" s="11"/>
      <c r="H1132" s="11"/>
      <c r="I1132" s="11"/>
      <c r="J1132" s="11"/>
      <c r="K1132" s="11"/>
      <c r="L1132" s="11"/>
      <c r="M1132" s="11"/>
    </row>
    <row r="1133" spans="4:13" ht="15.75" customHeight="1" x14ac:dyDescent="0.2">
      <c r="D1133" s="12"/>
      <c r="E1133" s="13"/>
      <c r="F1133" s="11"/>
      <c r="G1133" s="11"/>
      <c r="H1133" s="11"/>
      <c r="I1133" s="11"/>
      <c r="J1133" s="11"/>
      <c r="K1133" s="11"/>
      <c r="L1133" s="11"/>
      <c r="M1133" s="11"/>
    </row>
    <row r="1134" spans="4:13" ht="15.75" customHeight="1" x14ac:dyDescent="0.2">
      <c r="D1134" s="12"/>
      <c r="E1134" s="13"/>
      <c r="F1134" s="11"/>
      <c r="G1134" s="11"/>
      <c r="H1134" s="11"/>
      <c r="I1134" s="11"/>
      <c r="J1134" s="11"/>
      <c r="K1134" s="11"/>
      <c r="L1134" s="11"/>
      <c r="M1134" s="11"/>
    </row>
    <row r="1135" spans="4:13" ht="15.75" customHeight="1" x14ac:dyDescent="0.2">
      <c r="D1135" s="12"/>
      <c r="E1135" s="13"/>
      <c r="F1135" s="11"/>
      <c r="G1135" s="11"/>
      <c r="H1135" s="11"/>
      <c r="I1135" s="11"/>
      <c r="J1135" s="11"/>
      <c r="K1135" s="11"/>
      <c r="L1135" s="11"/>
      <c r="M1135" s="11"/>
    </row>
    <row r="1136" spans="4:13" ht="15.75" customHeight="1" x14ac:dyDescent="0.2">
      <c r="D1136" s="12"/>
      <c r="E1136" s="13"/>
      <c r="F1136" s="11"/>
      <c r="G1136" s="11"/>
      <c r="H1136" s="11"/>
      <c r="I1136" s="11"/>
      <c r="J1136" s="11"/>
      <c r="K1136" s="11"/>
      <c r="L1136" s="11"/>
      <c r="M1136" s="11"/>
    </row>
    <row r="1137" spans="4:13" ht="15.75" customHeight="1" x14ac:dyDescent="0.2">
      <c r="D1137" s="12"/>
      <c r="E1137" s="13"/>
      <c r="F1137" s="11"/>
      <c r="G1137" s="11"/>
      <c r="H1137" s="11"/>
      <c r="I1137" s="11"/>
      <c r="J1137" s="11"/>
      <c r="K1137" s="11"/>
      <c r="L1137" s="11"/>
      <c r="M1137" s="11"/>
    </row>
    <row r="1138" spans="4:13" ht="15.75" customHeight="1" x14ac:dyDescent="0.2">
      <c r="D1138" s="12"/>
      <c r="E1138" s="13"/>
      <c r="F1138" s="11"/>
      <c r="G1138" s="11"/>
      <c r="H1138" s="11"/>
      <c r="I1138" s="11"/>
      <c r="J1138" s="11"/>
      <c r="K1138" s="11"/>
      <c r="L1138" s="11"/>
      <c r="M1138" s="11"/>
    </row>
    <row r="1139" spans="4:13" ht="15.75" customHeight="1" x14ac:dyDescent="0.2">
      <c r="D1139" s="12"/>
      <c r="E1139" s="13"/>
      <c r="F1139" s="11"/>
      <c r="G1139" s="11"/>
      <c r="H1139" s="11"/>
      <c r="I1139" s="11"/>
      <c r="J1139" s="11"/>
      <c r="K1139" s="11"/>
      <c r="L1139" s="11"/>
      <c r="M1139" s="11"/>
    </row>
    <row r="1140" spans="4:13" ht="15.75" customHeight="1" x14ac:dyDescent="0.2">
      <c r="D1140" s="12"/>
      <c r="E1140" s="13"/>
      <c r="F1140" s="11"/>
      <c r="G1140" s="11"/>
      <c r="H1140" s="11"/>
      <c r="I1140" s="11"/>
      <c r="J1140" s="11"/>
      <c r="K1140" s="11"/>
      <c r="L1140" s="11"/>
      <c r="M1140" s="11"/>
    </row>
    <row r="1141" spans="4:13" ht="15.75" customHeight="1" x14ac:dyDescent="0.2">
      <c r="D1141" s="12"/>
      <c r="E1141" s="13"/>
      <c r="F1141" s="11"/>
      <c r="G1141" s="11"/>
      <c r="H1141" s="11"/>
      <c r="I1141" s="11"/>
      <c r="J1141" s="11"/>
      <c r="K1141" s="11"/>
      <c r="L1141" s="11"/>
      <c r="M1141" s="11"/>
    </row>
    <row r="1142" spans="4:13" ht="15.75" customHeight="1" x14ac:dyDescent="0.2">
      <c r="D1142" s="12"/>
      <c r="E1142" s="13"/>
      <c r="F1142" s="11"/>
      <c r="G1142" s="11"/>
      <c r="H1142" s="11"/>
      <c r="I1142" s="11"/>
      <c r="J1142" s="11"/>
      <c r="K1142" s="11"/>
      <c r="L1142" s="11"/>
      <c r="M1142" s="11"/>
    </row>
    <row r="1143" spans="4:13" ht="15.75" customHeight="1" x14ac:dyDescent="0.2">
      <c r="D1143" s="12"/>
      <c r="E1143" s="13"/>
      <c r="F1143" s="11"/>
      <c r="G1143" s="11"/>
      <c r="H1143" s="11"/>
      <c r="I1143" s="11"/>
      <c r="J1143" s="11"/>
      <c r="K1143" s="11"/>
      <c r="L1143" s="11"/>
      <c r="M1143" s="11"/>
    </row>
    <row r="1144" spans="4:13" ht="15.75" customHeight="1" x14ac:dyDescent="0.2">
      <c r="D1144" s="12"/>
      <c r="E1144" s="13"/>
      <c r="F1144" s="11"/>
      <c r="G1144" s="11"/>
      <c r="H1144" s="11"/>
      <c r="I1144" s="11"/>
      <c r="J1144" s="11"/>
      <c r="K1144" s="11"/>
      <c r="L1144" s="11"/>
      <c r="M1144" s="11"/>
    </row>
    <row r="1145" spans="4:13" ht="15.75" customHeight="1" x14ac:dyDescent="0.2">
      <c r="D1145" s="12"/>
      <c r="E1145" s="13"/>
      <c r="F1145" s="11"/>
      <c r="G1145" s="11"/>
      <c r="H1145" s="11"/>
      <c r="I1145" s="11"/>
      <c r="J1145" s="11"/>
      <c r="K1145" s="11"/>
      <c r="L1145" s="11"/>
      <c r="M1145" s="11"/>
    </row>
    <row r="1146" spans="4:13" ht="15.75" customHeight="1" x14ac:dyDescent="0.2">
      <c r="D1146" s="12"/>
      <c r="E1146" s="13"/>
      <c r="F1146" s="11"/>
      <c r="G1146" s="11"/>
      <c r="H1146" s="11"/>
      <c r="I1146" s="11"/>
      <c r="J1146" s="11"/>
      <c r="K1146" s="11"/>
      <c r="L1146" s="11"/>
      <c r="M1146" s="11"/>
    </row>
    <row r="1147" spans="4:13" ht="15.75" customHeight="1" x14ac:dyDescent="0.2">
      <c r="D1147" s="12"/>
      <c r="E1147" s="13"/>
      <c r="F1147" s="11"/>
      <c r="G1147" s="11"/>
      <c r="H1147" s="11"/>
      <c r="I1147" s="11"/>
      <c r="J1147" s="11"/>
      <c r="K1147" s="11"/>
      <c r="L1147" s="11"/>
      <c r="M1147" s="11"/>
    </row>
    <row r="1148" spans="4:13" ht="15.75" customHeight="1" x14ac:dyDescent="0.2">
      <c r="D1148" s="12"/>
      <c r="E1148" s="13"/>
      <c r="F1148" s="11"/>
      <c r="G1148" s="11"/>
      <c r="H1148" s="11"/>
      <c r="I1148" s="11"/>
      <c r="J1148" s="11"/>
      <c r="K1148" s="11"/>
      <c r="L1148" s="11"/>
      <c r="M1148" s="11"/>
    </row>
    <row r="1149" spans="4:13" ht="15.75" customHeight="1" x14ac:dyDescent="0.2">
      <c r="D1149" s="12"/>
      <c r="E1149" s="13"/>
      <c r="F1149" s="11"/>
      <c r="G1149" s="11"/>
      <c r="H1149" s="11"/>
      <c r="I1149" s="11"/>
      <c r="J1149" s="11"/>
      <c r="K1149" s="11"/>
      <c r="L1149" s="11"/>
      <c r="M1149" s="11"/>
    </row>
    <row r="1150" spans="4:13" ht="15.75" customHeight="1" x14ac:dyDescent="0.2">
      <c r="D1150" s="12"/>
      <c r="E1150" s="13"/>
      <c r="F1150" s="11"/>
      <c r="G1150" s="11"/>
      <c r="H1150" s="11"/>
      <c r="I1150" s="11"/>
      <c r="J1150" s="11"/>
      <c r="K1150" s="11"/>
      <c r="L1150" s="11"/>
      <c r="M1150" s="11"/>
    </row>
    <row r="1151" spans="4:13" ht="15.75" customHeight="1" x14ac:dyDescent="0.2">
      <c r="D1151" s="12"/>
      <c r="E1151" s="13"/>
      <c r="F1151" s="11"/>
      <c r="G1151" s="11"/>
      <c r="H1151" s="11"/>
      <c r="I1151" s="11"/>
      <c r="J1151" s="11"/>
      <c r="K1151" s="11"/>
      <c r="L1151" s="11"/>
      <c r="M1151" s="11"/>
    </row>
    <row r="1152" spans="4:13" ht="15.75" customHeight="1" x14ac:dyDescent="0.2">
      <c r="D1152" s="12"/>
      <c r="E1152" s="13"/>
      <c r="F1152" s="11"/>
      <c r="G1152" s="11"/>
      <c r="H1152" s="11"/>
      <c r="I1152" s="11"/>
      <c r="J1152" s="11"/>
      <c r="K1152" s="11"/>
      <c r="L1152" s="11"/>
      <c r="M1152" s="11"/>
    </row>
    <row r="1153" spans="4:13" ht="15.75" customHeight="1" x14ac:dyDescent="0.2">
      <c r="D1153" s="12"/>
      <c r="E1153" s="13"/>
      <c r="F1153" s="11"/>
      <c r="G1153" s="11"/>
      <c r="H1153" s="11"/>
      <c r="I1153" s="11"/>
      <c r="J1153" s="11"/>
      <c r="K1153" s="11"/>
      <c r="L1153" s="11"/>
      <c r="M1153" s="11"/>
    </row>
    <row r="1154" spans="4:13" ht="15.75" customHeight="1" x14ac:dyDescent="0.2">
      <c r="D1154" s="12"/>
      <c r="E1154" s="13"/>
      <c r="F1154" s="11"/>
      <c r="G1154" s="11"/>
      <c r="H1154" s="11"/>
      <c r="I1154" s="11"/>
      <c r="J1154" s="11"/>
      <c r="K1154" s="11"/>
      <c r="L1154" s="11"/>
      <c r="M1154" s="11"/>
    </row>
    <row r="1155" spans="4:13" ht="15.75" customHeight="1" x14ac:dyDescent="0.2">
      <c r="D1155" s="12"/>
      <c r="E1155" s="13"/>
      <c r="F1155" s="11"/>
      <c r="G1155" s="11"/>
      <c r="H1155" s="11"/>
      <c r="I1155" s="11"/>
      <c r="J1155" s="11"/>
      <c r="K1155" s="11"/>
      <c r="L1155" s="11"/>
      <c r="M1155" s="11"/>
    </row>
    <row r="1156" spans="4:13" ht="15.75" customHeight="1" x14ac:dyDescent="0.2">
      <c r="D1156" s="12"/>
      <c r="E1156" s="13"/>
      <c r="F1156" s="11"/>
      <c r="G1156" s="11"/>
      <c r="H1156" s="11"/>
      <c r="I1156" s="11"/>
      <c r="J1156" s="11"/>
      <c r="K1156" s="11"/>
      <c r="L1156" s="11"/>
      <c r="M1156" s="11"/>
    </row>
    <row r="1157" spans="4:13" ht="15.75" customHeight="1" x14ac:dyDescent="0.2">
      <c r="D1157" s="12"/>
      <c r="E1157" s="13"/>
      <c r="F1157" s="11"/>
      <c r="G1157" s="11"/>
      <c r="H1157" s="11"/>
      <c r="I1157" s="11"/>
      <c r="J1157" s="11"/>
      <c r="K1157" s="11"/>
      <c r="L1157" s="11"/>
      <c r="M1157" s="11"/>
    </row>
    <row r="1158" spans="4:13" ht="15.75" customHeight="1" x14ac:dyDescent="0.2">
      <c r="D1158" s="12"/>
      <c r="E1158" s="13"/>
      <c r="F1158" s="11"/>
      <c r="G1158" s="11"/>
      <c r="H1158" s="11"/>
      <c r="I1158" s="11"/>
      <c r="J1158" s="11"/>
      <c r="K1158" s="11"/>
      <c r="L1158" s="11"/>
      <c r="M1158" s="11"/>
    </row>
    <row r="1159" spans="4:13" ht="15.75" customHeight="1" x14ac:dyDescent="0.2">
      <c r="D1159" s="12"/>
      <c r="E1159" s="13"/>
      <c r="F1159" s="11"/>
      <c r="G1159" s="11"/>
      <c r="H1159" s="11"/>
      <c r="I1159" s="11"/>
      <c r="J1159" s="11"/>
      <c r="K1159" s="11"/>
      <c r="L1159" s="11"/>
      <c r="M1159" s="11"/>
    </row>
    <row r="1160" spans="4:13" ht="15.75" customHeight="1" x14ac:dyDescent="0.2">
      <c r="D1160" s="12"/>
      <c r="E1160" s="13"/>
      <c r="F1160" s="11"/>
      <c r="G1160" s="11"/>
      <c r="H1160" s="11"/>
      <c r="I1160" s="11"/>
      <c r="J1160" s="11"/>
      <c r="K1160" s="11"/>
      <c r="L1160" s="11"/>
      <c r="M1160" s="11"/>
    </row>
    <row r="1161" spans="4:13" ht="15.75" customHeight="1" x14ac:dyDescent="0.2">
      <c r="D1161" s="12"/>
      <c r="E1161" s="13"/>
      <c r="F1161" s="11"/>
      <c r="G1161" s="11"/>
      <c r="H1161" s="11"/>
      <c r="I1161" s="11"/>
      <c r="J1161" s="11"/>
      <c r="K1161" s="11"/>
      <c r="L1161" s="11"/>
      <c r="M1161" s="11"/>
    </row>
    <row r="1162" spans="4:13" ht="15.75" customHeight="1" x14ac:dyDescent="0.2">
      <c r="D1162" s="12"/>
      <c r="E1162" s="13"/>
      <c r="F1162" s="11"/>
      <c r="G1162" s="11"/>
      <c r="H1162" s="11"/>
      <c r="I1162" s="11"/>
      <c r="J1162" s="11"/>
      <c r="K1162" s="11"/>
      <c r="L1162" s="11"/>
      <c r="M1162" s="11"/>
    </row>
    <row r="1163" spans="4:13" ht="15.75" customHeight="1" x14ac:dyDescent="0.2">
      <c r="D1163" s="12"/>
      <c r="E1163" s="13"/>
      <c r="F1163" s="11"/>
      <c r="G1163" s="11"/>
      <c r="H1163" s="11"/>
      <c r="I1163" s="11"/>
      <c r="J1163" s="11"/>
      <c r="K1163" s="11"/>
      <c r="L1163" s="11"/>
      <c r="M1163" s="11"/>
    </row>
    <row r="1164" spans="4:13" ht="15.75" customHeight="1" x14ac:dyDescent="0.2">
      <c r="D1164" s="12"/>
      <c r="E1164" s="13"/>
      <c r="F1164" s="11"/>
      <c r="G1164" s="11"/>
      <c r="H1164" s="11"/>
      <c r="I1164" s="11"/>
      <c r="J1164" s="11"/>
      <c r="K1164" s="11"/>
      <c r="L1164" s="11"/>
      <c r="M1164" s="11"/>
    </row>
    <row r="1165" spans="4:13" ht="15.75" customHeight="1" x14ac:dyDescent="0.2">
      <c r="D1165" s="12"/>
      <c r="E1165" s="13"/>
      <c r="F1165" s="11"/>
      <c r="G1165" s="11"/>
      <c r="H1165" s="11"/>
      <c r="I1165" s="11"/>
      <c r="J1165" s="11"/>
      <c r="K1165" s="11"/>
      <c r="L1165" s="11"/>
      <c r="M1165" s="11"/>
    </row>
    <row r="1166" spans="4:13" ht="15.75" customHeight="1" x14ac:dyDescent="0.2">
      <c r="D1166" s="12"/>
      <c r="E1166" s="13"/>
      <c r="F1166" s="11"/>
      <c r="G1166" s="11"/>
      <c r="H1166" s="11"/>
      <c r="I1166" s="11"/>
      <c r="J1166" s="11"/>
      <c r="K1166" s="11"/>
      <c r="L1166" s="11"/>
      <c r="M1166" s="11"/>
    </row>
    <row r="1167" spans="4:13" ht="15.75" customHeight="1" x14ac:dyDescent="0.2">
      <c r="D1167" s="12"/>
      <c r="E1167" s="13"/>
      <c r="F1167" s="11"/>
      <c r="G1167" s="11"/>
      <c r="H1167" s="11"/>
      <c r="I1167" s="11"/>
      <c r="J1167" s="11"/>
      <c r="K1167" s="11"/>
      <c r="L1167" s="11"/>
      <c r="M1167" s="11"/>
    </row>
    <row r="1168" spans="4:13" ht="15.75" customHeight="1" x14ac:dyDescent="0.2">
      <c r="D1168" s="12"/>
      <c r="E1168" s="13"/>
      <c r="F1168" s="11"/>
      <c r="G1168" s="11"/>
      <c r="H1168" s="11"/>
      <c r="I1168" s="11"/>
      <c r="J1168" s="11"/>
      <c r="K1168" s="11"/>
      <c r="L1168" s="11"/>
      <c r="M1168" s="11"/>
    </row>
    <row r="1169" spans="4:13" ht="15.75" customHeight="1" x14ac:dyDescent="0.2">
      <c r="D1169" s="12"/>
      <c r="E1169" s="13"/>
      <c r="F1169" s="11"/>
      <c r="G1169" s="11"/>
      <c r="H1169" s="11"/>
      <c r="I1169" s="11"/>
      <c r="J1169" s="11"/>
      <c r="K1169" s="11"/>
      <c r="L1169" s="11"/>
      <c r="M1169" s="11"/>
    </row>
    <row r="1170" spans="4:13" ht="15.75" customHeight="1" x14ac:dyDescent="0.2">
      <c r="D1170" s="12"/>
      <c r="E1170" s="13"/>
      <c r="F1170" s="11"/>
      <c r="G1170" s="11"/>
      <c r="H1170" s="11"/>
      <c r="I1170" s="11"/>
      <c r="J1170" s="11"/>
      <c r="K1170" s="11"/>
      <c r="L1170" s="11"/>
      <c r="M1170" s="11"/>
    </row>
    <row r="1171" spans="4:13" ht="15.75" customHeight="1" x14ac:dyDescent="0.2">
      <c r="D1171" s="12"/>
      <c r="E1171" s="13"/>
      <c r="F1171" s="11"/>
      <c r="G1171" s="11"/>
      <c r="H1171" s="11"/>
      <c r="I1171" s="11"/>
      <c r="J1171" s="11"/>
      <c r="K1171" s="11"/>
      <c r="L1171" s="11"/>
      <c r="M1171" s="11"/>
    </row>
    <row r="1172" spans="4:13" ht="15.75" customHeight="1" x14ac:dyDescent="0.2">
      <c r="D1172" s="12"/>
      <c r="E1172" s="13"/>
      <c r="F1172" s="11"/>
      <c r="G1172" s="11"/>
      <c r="H1172" s="11"/>
      <c r="I1172" s="11"/>
      <c r="J1172" s="11"/>
      <c r="K1172" s="11"/>
      <c r="L1172" s="11"/>
      <c r="M1172" s="11"/>
    </row>
    <row r="1173" spans="4:13" ht="15.75" customHeight="1" x14ac:dyDescent="0.2">
      <c r="D1173" s="12"/>
      <c r="E1173" s="13"/>
      <c r="F1173" s="11"/>
      <c r="G1173" s="11"/>
      <c r="H1173" s="11"/>
      <c r="I1173" s="11"/>
      <c r="J1173" s="11"/>
      <c r="K1173" s="11"/>
      <c r="L1173" s="11"/>
      <c r="M1173" s="11"/>
    </row>
    <row r="1174" spans="4:13" ht="15.75" customHeight="1" x14ac:dyDescent="0.2">
      <c r="D1174" s="12"/>
      <c r="E1174" s="13"/>
      <c r="F1174" s="11"/>
      <c r="G1174" s="11"/>
      <c r="H1174" s="11"/>
      <c r="I1174" s="11"/>
      <c r="J1174" s="11"/>
      <c r="K1174" s="11"/>
      <c r="L1174" s="11"/>
      <c r="M1174" s="11"/>
    </row>
    <row r="1175" spans="4:13" ht="15.75" customHeight="1" x14ac:dyDescent="0.2">
      <c r="D1175" s="12"/>
      <c r="E1175" s="13"/>
      <c r="F1175" s="11"/>
      <c r="G1175" s="11"/>
      <c r="H1175" s="11"/>
      <c r="I1175" s="11"/>
      <c r="J1175" s="11"/>
      <c r="K1175" s="11"/>
      <c r="L1175" s="11"/>
      <c r="M1175" s="11"/>
    </row>
    <row r="1176" spans="4:13" ht="15.75" customHeight="1" x14ac:dyDescent="0.2">
      <c r="D1176" s="12"/>
      <c r="E1176" s="13"/>
      <c r="F1176" s="11"/>
      <c r="G1176" s="11"/>
      <c r="H1176" s="11"/>
      <c r="I1176" s="11"/>
      <c r="J1176" s="11"/>
      <c r="K1176" s="11"/>
      <c r="L1176" s="11"/>
      <c r="M1176" s="11"/>
    </row>
    <row r="1177" spans="4:13" ht="15.75" customHeight="1" x14ac:dyDescent="0.2">
      <c r="D1177" s="12"/>
      <c r="E1177" s="13"/>
      <c r="F1177" s="11"/>
      <c r="G1177" s="11"/>
      <c r="H1177" s="11"/>
      <c r="I1177" s="11"/>
      <c r="J1177" s="11"/>
      <c r="K1177" s="11"/>
      <c r="L1177" s="11"/>
      <c r="M1177" s="11"/>
    </row>
    <row r="1178" spans="4:13" ht="15.75" customHeight="1" x14ac:dyDescent="0.2">
      <c r="D1178" s="12"/>
      <c r="E1178" s="13"/>
      <c r="F1178" s="11"/>
      <c r="G1178" s="11"/>
      <c r="H1178" s="11"/>
      <c r="I1178" s="11"/>
      <c r="J1178" s="11"/>
      <c r="K1178" s="11"/>
      <c r="L1178" s="11"/>
      <c r="M1178" s="11"/>
    </row>
    <row r="1179" spans="4:13" ht="15.75" customHeight="1" x14ac:dyDescent="0.2">
      <c r="D1179" s="12"/>
      <c r="E1179" s="13"/>
      <c r="F1179" s="11"/>
      <c r="G1179" s="11"/>
      <c r="H1179" s="11"/>
      <c r="I1179" s="11"/>
      <c r="J1179" s="11"/>
      <c r="K1179" s="11"/>
      <c r="L1179" s="11"/>
      <c r="M1179" s="11"/>
    </row>
    <row r="1180" spans="4:13" ht="15.75" customHeight="1" x14ac:dyDescent="0.2">
      <c r="D1180" s="12"/>
      <c r="E1180" s="13"/>
      <c r="F1180" s="11"/>
      <c r="G1180" s="11"/>
      <c r="H1180" s="11"/>
      <c r="I1180" s="11"/>
      <c r="J1180" s="11"/>
      <c r="K1180" s="11"/>
      <c r="L1180" s="11"/>
      <c r="M1180" s="11"/>
    </row>
    <row r="1181" spans="4:13" ht="15.75" customHeight="1" x14ac:dyDescent="0.2">
      <c r="D1181" s="12"/>
      <c r="E1181" s="13"/>
      <c r="F1181" s="11"/>
      <c r="G1181" s="11"/>
      <c r="H1181" s="11"/>
      <c r="I1181" s="11"/>
      <c r="J1181" s="11"/>
      <c r="K1181" s="11"/>
      <c r="L1181" s="11"/>
      <c r="M1181" s="11"/>
    </row>
    <row r="1182" spans="4:13" ht="15.75" customHeight="1" x14ac:dyDescent="0.2">
      <c r="D1182" s="12"/>
      <c r="E1182" s="13"/>
      <c r="F1182" s="11"/>
      <c r="G1182" s="11"/>
      <c r="H1182" s="11"/>
      <c r="I1182" s="11"/>
      <c r="J1182" s="11"/>
      <c r="K1182" s="11"/>
      <c r="L1182" s="11"/>
      <c r="M1182" s="11"/>
    </row>
    <row r="1183" spans="4:13" ht="15.75" customHeight="1" x14ac:dyDescent="0.2">
      <c r="D1183" s="12"/>
      <c r="E1183" s="13"/>
      <c r="F1183" s="11"/>
      <c r="G1183" s="11"/>
      <c r="H1183" s="11"/>
      <c r="I1183" s="11"/>
      <c r="J1183" s="11"/>
      <c r="K1183" s="11"/>
      <c r="L1183" s="11"/>
      <c r="M1183" s="11"/>
    </row>
    <row r="1184" spans="4:13" ht="15.75" customHeight="1" x14ac:dyDescent="0.2">
      <c r="D1184" s="12"/>
      <c r="E1184" s="13"/>
      <c r="F1184" s="11"/>
      <c r="G1184" s="11"/>
      <c r="H1184" s="11"/>
      <c r="I1184" s="11"/>
      <c r="J1184" s="11"/>
      <c r="K1184" s="11"/>
      <c r="L1184" s="11"/>
      <c r="M1184" s="11"/>
    </row>
    <row r="1185" spans="4:13" ht="15.75" customHeight="1" x14ac:dyDescent="0.2">
      <c r="D1185" s="12"/>
      <c r="E1185" s="13"/>
      <c r="F1185" s="11"/>
      <c r="G1185" s="11"/>
      <c r="H1185" s="11"/>
      <c r="I1185" s="11"/>
      <c r="J1185" s="11"/>
      <c r="K1185" s="11"/>
      <c r="L1185" s="11"/>
      <c r="M1185" s="11"/>
    </row>
    <row r="1186" spans="4:13" ht="15.75" customHeight="1" x14ac:dyDescent="0.2">
      <c r="D1186" s="12"/>
      <c r="E1186" s="13"/>
      <c r="F1186" s="11"/>
      <c r="G1186" s="11"/>
      <c r="H1186" s="11"/>
      <c r="I1186" s="11"/>
      <c r="J1186" s="11"/>
      <c r="K1186" s="11"/>
      <c r="L1186" s="11"/>
      <c r="M1186" s="11"/>
    </row>
    <row r="1187" spans="4:13" ht="15.75" customHeight="1" x14ac:dyDescent="0.2">
      <c r="D1187" s="12"/>
      <c r="E1187" s="13"/>
      <c r="F1187" s="11"/>
      <c r="G1187" s="11"/>
      <c r="H1187" s="11"/>
      <c r="I1187" s="11"/>
      <c r="J1187" s="11"/>
      <c r="K1187" s="11"/>
      <c r="L1187" s="11"/>
      <c r="M1187" s="11"/>
    </row>
    <row r="1188" spans="4:13" ht="15.75" customHeight="1" x14ac:dyDescent="0.2">
      <c r="D1188" s="12"/>
      <c r="E1188" s="13"/>
      <c r="F1188" s="11"/>
      <c r="G1188" s="11"/>
      <c r="H1188" s="11"/>
      <c r="I1188" s="11"/>
      <c r="J1188" s="11"/>
      <c r="K1188" s="11"/>
      <c r="L1188" s="11"/>
      <c r="M1188" s="11"/>
    </row>
    <row r="1189" spans="4:13" ht="15.75" customHeight="1" x14ac:dyDescent="0.2">
      <c r="D1189" s="12"/>
      <c r="E1189" s="13"/>
      <c r="F1189" s="11"/>
      <c r="G1189" s="11"/>
      <c r="H1189" s="11"/>
      <c r="I1189" s="11"/>
      <c r="J1189" s="11"/>
      <c r="K1189" s="11"/>
      <c r="L1189" s="11"/>
      <c r="M1189" s="11"/>
    </row>
    <row r="1190" spans="4:13" ht="15.75" customHeight="1" x14ac:dyDescent="0.2">
      <c r="D1190" s="12"/>
      <c r="E1190" s="13"/>
      <c r="F1190" s="11"/>
      <c r="G1190" s="11"/>
      <c r="H1190" s="11"/>
      <c r="I1190" s="11"/>
      <c r="J1190" s="11"/>
      <c r="K1190" s="11"/>
      <c r="L1190" s="11"/>
      <c r="M1190" s="11"/>
    </row>
    <row r="1191" spans="4:13" ht="15.75" customHeight="1" x14ac:dyDescent="0.2">
      <c r="D1191" s="12"/>
      <c r="E1191" s="13"/>
      <c r="F1191" s="11"/>
      <c r="G1191" s="11"/>
      <c r="H1191" s="11"/>
      <c r="I1191" s="11"/>
      <c r="J1191" s="11"/>
      <c r="K1191" s="11"/>
      <c r="L1191" s="11"/>
      <c r="M1191" s="11"/>
    </row>
    <row r="1192" spans="4:13" ht="15.75" customHeight="1" x14ac:dyDescent="0.2">
      <c r="D1192" s="12"/>
      <c r="E1192" s="13"/>
      <c r="F1192" s="11"/>
      <c r="G1192" s="11"/>
      <c r="H1192" s="11"/>
      <c r="I1192" s="11"/>
      <c r="J1192" s="11"/>
      <c r="K1192" s="11"/>
      <c r="L1192" s="11"/>
      <c r="M1192" s="11"/>
    </row>
    <row r="1193" spans="4:13" ht="15.75" customHeight="1" x14ac:dyDescent="0.2">
      <c r="D1193" s="12"/>
      <c r="E1193" s="13"/>
      <c r="F1193" s="11"/>
      <c r="G1193" s="11"/>
      <c r="H1193" s="11"/>
      <c r="I1193" s="11"/>
      <c r="J1193" s="11"/>
      <c r="K1193" s="11"/>
      <c r="L1193" s="11"/>
      <c r="M1193" s="11"/>
    </row>
    <row r="1194" spans="4:13" ht="15.75" customHeight="1" x14ac:dyDescent="0.2">
      <c r="D1194" s="12"/>
      <c r="E1194" s="13"/>
      <c r="F1194" s="11"/>
      <c r="G1194" s="11"/>
      <c r="H1194" s="11"/>
      <c r="I1194" s="11"/>
      <c r="J1194" s="11"/>
      <c r="K1194" s="11"/>
      <c r="L1194" s="11"/>
      <c r="M1194" s="11"/>
    </row>
    <row r="1195" spans="4:13" ht="15.75" customHeight="1" x14ac:dyDescent="0.2">
      <c r="D1195" s="12"/>
      <c r="E1195" s="13"/>
      <c r="F1195" s="11"/>
      <c r="G1195" s="11"/>
      <c r="H1195" s="11"/>
      <c r="I1195" s="11"/>
      <c r="J1195" s="11"/>
      <c r="K1195" s="11"/>
      <c r="L1195" s="11"/>
      <c r="M1195" s="11"/>
    </row>
    <row r="1196" spans="4:13" ht="15.75" customHeight="1" x14ac:dyDescent="0.2">
      <c r="D1196" s="12"/>
      <c r="E1196" s="13"/>
      <c r="F1196" s="11"/>
      <c r="G1196" s="11"/>
      <c r="H1196" s="11"/>
      <c r="I1196" s="11"/>
      <c r="J1196" s="11"/>
      <c r="K1196" s="11"/>
      <c r="L1196" s="11"/>
      <c r="M1196" s="11"/>
    </row>
    <row r="1197" spans="4:13" ht="15.75" customHeight="1" x14ac:dyDescent="0.2">
      <c r="D1197" s="12"/>
      <c r="E1197" s="13"/>
      <c r="F1197" s="11"/>
      <c r="G1197" s="11"/>
      <c r="H1197" s="11"/>
      <c r="I1197" s="11"/>
      <c r="J1197" s="11"/>
      <c r="K1197" s="11"/>
      <c r="L1197" s="11"/>
      <c r="M1197" s="11"/>
    </row>
    <row r="1198" spans="4:13" ht="15.75" customHeight="1" x14ac:dyDescent="0.2">
      <c r="D1198" s="12"/>
      <c r="E1198" s="13"/>
      <c r="F1198" s="11"/>
      <c r="G1198" s="11"/>
      <c r="H1198" s="11"/>
      <c r="I1198" s="11"/>
      <c r="J1198" s="11"/>
      <c r="K1198" s="11"/>
      <c r="L1198" s="11"/>
      <c r="M1198" s="11"/>
    </row>
    <row r="1199" spans="4:13" ht="15.75" customHeight="1" x14ac:dyDescent="0.2">
      <c r="D1199" s="12"/>
      <c r="E1199" s="13"/>
      <c r="F1199" s="11"/>
      <c r="G1199" s="11"/>
      <c r="H1199" s="11"/>
      <c r="I1199" s="11"/>
      <c r="J1199" s="11"/>
      <c r="K1199" s="11"/>
      <c r="L1199" s="11"/>
      <c r="M1199" s="11"/>
    </row>
    <row r="1200" spans="4:13" ht="15.75" customHeight="1" x14ac:dyDescent="0.2">
      <c r="D1200" s="12"/>
      <c r="E1200" s="13"/>
      <c r="F1200" s="11"/>
      <c r="G1200" s="11"/>
      <c r="H1200" s="11"/>
      <c r="I1200" s="11"/>
      <c r="J1200" s="11"/>
      <c r="K1200" s="11"/>
      <c r="L1200" s="11"/>
      <c r="M1200" s="11"/>
    </row>
    <row r="1201" spans="4:13" ht="15.75" customHeight="1" x14ac:dyDescent="0.2">
      <c r="D1201" s="12"/>
      <c r="E1201" s="13"/>
      <c r="F1201" s="11"/>
      <c r="G1201" s="11"/>
      <c r="H1201" s="11"/>
      <c r="I1201" s="11"/>
      <c r="J1201" s="11"/>
      <c r="K1201" s="11"/>
      <c r="L1201" s="11"/>
      <c r="M1201" s="11"/>
    </row>
    <row r="1202" spans="4:13" ht="15.75" customHeight="1" x14ac:dyDescent="0.2">
      <c r="D1202" s="12"/>
      <c r="E1202" s="13"/>
      <c r="F1202" s="11"/>
      <c r="G1202" s="11"/>
      <c r="H1202" s="11"/>
      <c r="I1202" s="11"/>
      <c r="J1202" s="11"/>
      <c r="K1202" s="11"/>
      <c r="L1202" s="11"/>
      <c r="M1202" s="11"/>
    </row>
    <row r="1203" spans="4:13" ht="15.75" customHeight="1" x14ac:dyDescent="0.2">
      <c r="D1203" s="12"/>
      <c r="E1203" s="13"/>
      <c r="F1203" s="11"/>
      <c r="G1203" s="11"/>
      <c r="H1203" s="11"/>
      <c r="I1203" s="11"/>
      <c r="J1203" s="11"/>
      <c r="K1203" s="11"/>
      <c r="L1203" s="11"/>
      <c r="M1203" s="11"/>
    </row>
    <row r="1204" spans="4:13" ht="15.75" customHeight="1" x14ac:dyDescent="0.2">
      <c r="D1204" s="12"/>
      <c r="E1204" s="13"/>
      <c r="F1204" s="11"/>
      <c r="G1204" s="11"/>
      <c r="H1204" s="11"/>
      <c r="I1204" s="11"/>
      <c r="J1204" s="11"/>
      <c r="K1204" s="11"/>
      <c r="L1204" s="11"/>
      <c r="M1204" s="11"/>
    </row>
    <row r="1205" spans="4:13" ht="15.75" customHeight="1" x14ac:dyDescent="0.2">
      <c r="D1205" s="12"/>
      <c r="E1205" s="13"/>
      <c r="F1205" s="11"/>
      <c r="G1205" s="11"/>
      <c r="H1205" s="11"/>
      <c r="I1205" s="11"/>
      <c r="J1205" s="11"/>
      <c r="K1205" s="11"/>
      <c r="L1205" s="11"/>
      <c r="M1205" s="11"/>
    </row>
    <row r="1206" spans="4:13" ht="15.75" customHeight="1" x14ac:dyDescent="0.2">
      <c r="D1206" s="12"/>
      <c r="E1206" s="13"/>
      <c r="F1206" s="11"/>
      <c r="G1206" s="11"/>
      <c r="H1206" s="11"/>
      <c r="I1206" s="11"/>
      <c r="J1206" s="11"/>
      <c r="K1206" s="11"/>
      <c r="L1206" s="11"/>
      <c r="M1206" s="11"/>
    </row>
    <row r="1207" spans="4:13" ht="15.75" customHeight="1" x14ac:dyDescent="0.2">
      <c r="D1207" s="12"/>
      <c r="E1207" s="13"/>
      <c r="F1207" s="11"/>
      <c r="G1207" s="11"/>
      <c r="H1207" s="11"/>
      <c r="I1207" s="11"/>
      <c r="J1207" s="11"/>
      <c r="K1207" s="11"/>
      <c r="L1207" s="11"/>
      <c r="M1207" s="11"/>
    </row>
    <row r="1208" spans="4:13" ht="15.75" customHeight="1" x14ac:dyDescent="0.2">
      <c r="D1208" s="12"/>
      <c r="E1208" s="13"/>
      <c r="F1208" s="11"/>
      <c r="G1208" s="11"/>
      <c r="H1208" s="11"/>
      <c r="I1208" s="11"/>
      <c r="J1208" s="11"/>
      <c r="K1208" s="11"/>
      <c r="L1208" s="11"/>
      <c r="M1208" s="11"/>
    </row>
    <row r="1209" spans="4:13" ht="15.75" customHeight="1" x14ac:dyDescent="0.2">
      <c r="D1209" s="12"/>
      <c r="E1209" s="13"/>
      <c r="F1209" s="11"/>
      <c r="G1209" s="11"/>
      <c r="H1209" s="11"/>
      <c r="I1209" s="11"/>
      <c r="J1209" s="11"/>
      <c r="K1209" s="11"/>
      <c r="L1209" s="11"/>
      <c r="M1209" s="11"/>
    </row>
    <row r="1210" spans="4:13" ht="15.75" customHeight="1" x14ac:dyDescent="0.2">
      <c r="D1210" s="12"/>
      <c r="E1210" s="13"/>
      <c r="F1210" s="11"/>
      <c r="G1210" s="11"/>
      <c r="H1210" s="11"/>
      <c r="I1210" s="11"/>
      <c r="J1210" s="11"/>
      <c r="K1210" s="11"/>
      <c r="L1210" s="11"/>
      <c r="M1210" s="11"/>
    </row>
    <row r="1211" spans="4:13" ht="15.75" customHeight="1" x14ac:dyDescent="0.2">
      <c r="D1211" s="12"/>
      <c r="E1211" s="13"/>
      <c r="F1211" s="11"/>
      <c r="G1211" s="11"/>
      <c r="H1211" s="11"/>
      <c r="I1211" s="11"/>
      <c r="J1211" s="11"/>
      <c r="K1211" s="11"/>
      <c r="L1211" s="11"/>
      <c r="M1211" s="11"/>
    </row>
    <row r="1212" spans="4:13" ht="15.75" customHeight="1" x14ac:dyDescent="0.2">
      <c r="D1212" s="12"/>
      <c r="E1212" s="13"/>
      <c r="F1212" s="11"/>
      <c r="G1212" s="11"/>
      <c r="H1212" s="11"/>
      <c r="I1212" s="11"/>
      <c r="J1212" s="11"/>
      <c r="K1212" s="11"/>
      <c r="L1212" s="11"/>
      <c r="M1212" s="11"/>
    </row>
    <row r="1213" spans="4:13" ht="15.75" customHeight="1" x14ac:dyDescent="0.2">
      <c r="D1213" s="12"/>
      <c r="E1213" s="13"/>
      <c r="F1213" s="11"/>
      <c r="G1213" s="11"/>
      <c r="H1213" s="11"/>
      <c r="I1213" s="11"/>
      <c r="J1213" s="11"/>
      <c r="K1213" s="11"/>
      <c r="L1213" s="11"/>
      <c r="M1213" s="11"/>
    </row>
    <row r="1214" spans="4:13" ht="15.75" customHeight="1" x14ac:dyDescent="0.2">
      <c r="D1214" s="12"/>
      <c r="E1214" s="13"/>
      <c r="F1214" s="11"/>
      <c r="G1214" s="11"/>
      <c r="H1214" s="11"/>
      <c r="I1214" s="11"/>
      <c r="J1214" s="11"/>
      <c r="K1214" s="11"/>
      <c r="L1214" s="11"/>
      <c r="M1214" s="11"/>
    </row>
    <row r="1215" spans="4:13" ht="15.75" customHeight="1" x14ac:dyDescent="0.2">
      <c r="D1215" s="12"/>
      <c r="E1215" s="13"/>
      <c r="F1215" s="11"/>
      <c r="G1215" s="11"/>
      <c r="H1215" s="11"/>
      <c r="I1215" s="11"/>
      <c r="J1215" s="11"/>
      <c r="K1215" s="11"/>
      <c r="L1215" s="11"/>
      <c r="M1215" s="11"/>
    </row>
    <row r="1216" spans="4:13" ht="15.75" customHeight="1" x14ac:dyDescent="0.2">
      <c r="D1216" s="12"/>
      <c r="E1216" s="13"/>
      <c r="F1216" s="11"/>
      <c r="G1216" s="11"/>
      <c r="H1216" s="11"/>
      <c r="I1216" s="11"/>
      <c r="J1216" s="11"/>
      <c r="K1216" s="11"/>
      <c r="L1216" s="11"/>
      <c r="M1216" s="11"/>
    </row>
    <row r="1217" spans="4:13" ht="15.75" customHeight="1" x14ac:dyDescent="0.2">
      <c r="D1217" s="12"/>
      <c r="E1217" s="13"/>
      <c r="F1217" s="11"/>
      <c r="G1217" s="11"/>
      <c r="H1217" s="11"/>
      <c r="I1217" s="11"/>
      <c r="J1217" s="11"/>
      <c r="K1217" s="11"/>
      <c r="L1217" s="11"/>
      <c r="M1217" s="11"/>
    </row>
    <row r="1218" spans="4:13" ht="15.75" customHeight="1" x14ac:dyDescent="0.2">
      <c r="D1218" s="12"/>
      <c r="E1218" s="13"/>
      <c r="F1218" s="11"/>
      <c r="G1218" s="11"/>
      <c r="H1218" s="11"/>
      <c r="I1218" s="11"/>
      <c r="J1218" s="11"/>
      <c r="K1218" s="11"/>
      <c r="L1218" s="11"/>
      <c r="M1218" s="11"/>
    </row>
    <row r="1219" spans="4:13" ht="15.75" customHeight="1" x14ac:dyDescent="0.2">
      <c r="D1219" s="12"/>
      <c r="E1219" s="13"/>
      <c r="F1219" s="11"/>
      <c r="G1219" s="11"/>
      <c r="H1219" s="11"/>
      <c r="I1219" s="11"/>
      <c r="J1219" s="11"/>
      <c r="K1219" s="11"/>
      <c r="L1219" s="11"/>
      <c r="M1219" s="11"/>
    </row>
    <row r="1220" spans="4:13" ht="15.75" customHeight="1" x14ac:dyDescent="0.2">
      <c r="D1220" s="12"/>
      <c r="E1220" s="13"/>
      <c r="F1220" s="11"/>
      <c r="G1220" s="11"/>
      <c r="H1220" s="11"/>
      <c r="I1220" s="11"/>
      <c r="J1220" s="11"/>
      <c r="K1220" s="11"/>
      <c r="L1220" s="11"/>
      <c r="M1220" s="11"/>
    </row>
    <row r="1221" spans="4:13" ht="15.75" customHeight="1" x14ac:dyDescent="0.2">
      <c r="D1221" s="12"/>
      <c r="E1221" s="13"/>
      <c r="F1221" s="11"/>
      <c r="G1221" s="11"/>
      <c r="H1221" s="11"/>
      <c r="I1221" s="11"/>
      <c r="J1221" s="11"/>
      <c r="K1221" s="11"/>
      <c r="L1221" s="11"/>
      <c r="M1221" s="11"/>
    </row>
    <row r="1222" spans="4:13" ht="15.75" customHeight="1" x14ac:dyDescent="0.2">
      <c r="D1222" s="12"/>
      <c r="E1222" s="13"/>
      <c r="F1222" s="11"/>
      <c r="G1222" s="11"/>
      <c r="H1222" s="11"/>
      <c r="I1222" s="11"/>
      <c r="J1222" s="11"/>
      <c r="K1222" s="11"/>
      <c r="L1222" s="11"/>
      <c r="M1222" s="11"/>
    </row>
    <row r="1223" spans="4:13" ht="15.75" customHeight="1" x14ac:dyDescent="0.2">
      <c r="D1223" s="12"/>
      <c r="E1223" s="13"/>
      <c r="F1223" s="11"/>
      <c r="G1223" s="11"/>
      <c r="H1223" s="11"/>
      <c r="I1223" s="11"/>
      <c r="J1223" s="11"/>
      <c r="K1223" s="11"/>
      <c r="L1223" s="11"/>
      <c r="M1223" s="11"/>
    </row>
    <row r="1224" spans="4:13" ht="15.75" customHeight="1" x14ac:dyDescent="0.2">
      <c r="D1224" s="12"/>
      <c r="E1224" s="13"/>
      <c r="F1224" s="11"/>
      <c r="G1224" s="11"/>
      <c r="H1224" s="11"/>
      <c r="I1224" s="11"/>
      <c r="J1224" s="11"/>
      <c r="K1224" s="11"/>
      <c r="L1224" s="11"/>
      <c r="M1224" s="11"/>
    </row>
    <row r="1225" spans="4:13" ht="15.75" customHeight="1" x14ac:dyDescent="0.2">
      <c r="D1225" s="12"/>
      <c r="E1225" s="13"/>
      <c r="F1225" s="11"/>
      <c r="G1225" s="11"/>
      <c r="H1225" s="11"/>
      <c r="I1225" s="11"/>
      <c r="J1225" s="11"/>
      <c r="K1225" s="11"/>
      <c r="L1225" s="11"/>
      <c r="M1225" s="11"/>
    </row>
    <row r="1226" spans="4:13" ht="15.75" customHeight="1" x14ac:dyDescent="0.2">
      <c r="D1226" s="12"/>
      <c r="E1226" s="13"/>
      <c r="F1226" s="11"/>
      <c r="G1226" s="11"/>
      <c r="H1226" s="11"/>
      <c r="I1226" s="11"/>
      <c r="J1226" s="11"/>
      <c r="K1226" s="11"/>
      <c r="L1226" s="11"/>
      <c r="M1226" s="11"/>
    </row>
    <row r="1227" spans="4:13" ht="15.75" customHeight="1" x14ac:dyDescent="0.2">
      <c r="D1227" s="12"/>
      <c r="E1227" s="13"/>
      <c r="F1227" s="11"/>
      <c r="G1227" s="11"/>
      <c r="H1227" s="11"/>
      <c r="I1227" s="11"/>
      <c r="J1227" s="11"/>
      <c r="K1227" s="11"/>
      <c r="L1227" s="11"/>
      <c r="M1227" s="11"/>
    </row>
    <row r="1228" spans="4:13" ht="15.75" customHeight="1" x14ac:dyDescent="0.2">
      <c r="D1228" s="12"/>
      <c r="E1228" s="13"/>
      <c r="F1228" s="11"/>
      <c r="G1228" s="11"/>
      <c r="H1228" s="11"/>
      <c r="I1228" s="11"/>
      <c r="J1228" s="11"/>
      <c r="K1228" s="11"/>
      <c r="L1228" s="11"/>
      <c r="M1228" s="11"/>
    </row>
    <row r="1229" spans="4:13" ht="15.75" customHeight="1" x14ac:dyDescent="0.2">
      <c r="D1229" s="12"/>
      <c r="E1229" s="13"/>
      <c r="F1229" s="11"/>
      <c r="G1229" s="11"/>
      <c r="H1229" s="11"/>
      <c r="I1229" s="11"/>
      <c r="J1229" s="11"/>
      <c r="K1229" s="11"/>
      <c r="L1229" s="11"/>
      <c r="M1229" s="11"/>
    </row>
    <row r="1230" spans="4:13" ht="15.75" customHeight="1" x14ac:dyDescent="0.2">
      <c r="D1230" s="12"/>
      <c r="E1230" s="13"/>
      <c r="F1230" s="11"/>
      <c r="G1230" s="11"/>
      <c r="H1230" s="11"/>
      <c r="I1230" s="11"/>
      <c r="J1230" s="11"/>
      <c r="K1230" s="11"/>
      <c r="L1230" s="11"/>
      <c r="M1230" s="11"/>
    </row>
    <row r="1231" spans="4:13" ht="15.75" customHeight="1" x14ac:dyDescent="0.2">
      <c r="D1231" s="12"/>
      <c r="E1231" s="13"/>
      <c r="F1231" s="11"/>
      <c r="G1231" s="11"/>
      <c r="H1231" s="11"/>
      <c r="I1231" s="11"/>
      <c r="J1231" s="11"/>
      <c r="K1231" s="11"/>
      <c r="L1231" s="11"/>
      <c r="M1231" s="11"/>
    </row>
    <row r="1232" spans="4:13" ht="15.75" customHeight="1" x14ac:dyDescent="0.2">
      <c r="D1232" s="12"/>
      <c r="E1232" s="13"/>
      <c r="F1232" s="11"/>
      <c r="G1232" s="11"/>
      <c r="H1232" s="11"/>
      <c r="I1232" s="11"/>
      <c r="J1232" s="11"/>
      <c r="K1232" s="11"/>
      <c r="L1232" s="11"/>
      <c r="M1232" s="11"/>
    </row>
    <row r="1233" spans="4:13" ht="15.75" customHeight="1" x14ac:dyDescent="0.2">
      <c r="D1233" s="12"/>
      <c r="E1233" s="13"/>
      <c r="F1233" s="11"/>
      <c r="G1233" s="11"/>
      <c r="H1233" s="11"/>
      <c r="I1233" s="11"/>
      <c r="J1233" s="11"/>
      <c r="K1233" s="11"/>
      <c r="L1233" s="11"/>
      <c r="M1233" s="11"/>
    </row>
    <row r="1234" spans="4:13" ht="15.75" customHeight="1" x14ac:dyDescent="0.2">
      <c r="D1234" s="12"/>
      <c r="E1234" s="13"/>
      <c r="F1234" s="11"/>
      <c r="G1234" s="11"/>
      <c r="H1234" s="11"/>
      <c r="I1234" s="11"/>
      <c r="J1234" s="11"/>
      <c r="K1234" s="11"/>
      <c r="L1234" s="11"/>
      <c r="M1234" s="11"/>
    </row>
    <row r="1235" spans="4:13" ht="15.75" customHeight="1" x14ac:dyDescent="0.2">
      <c r="D1235" s="12"/>
      <c r="E1235" s="13"/>
      <c r="F1235" s="11"/>
      <c r="G1235" s="11"/>
      <c r="H1235" s="11"/>
      <c r="I1235" s="11"/>
      <c r="J1235" s="11"/>
      <c r="K1235" s="11"/>
      <c r="L1235" s="11"/>
      <c r="M1235" s="11"/>
    </row>
    <row r="1236" spans="4:13" ht="15.75" customHeight="1" x14ac:dyDescent="0.2">
      <c r="D1236" s="12"/>
      <c r="E1236" s="13"/>
      <c r="F1236" s="11"/>
      <c r="G1236" s="11"/>
      <c r="H1236" s="11"/>
      <c r="I1236" s="11"/>
      <c r="J1236" s="11"/>
      <c r="K1236" s="11"/>
      <c r="L1236" s="11"/>
      <c r="M1236" s="11"/>
    </row>
    <row r="1237" spans="4:13" ht="15.75" customHeight="1" x14ac:dyDescent="0.2">
      <c r="D1237" s="12"/>
      <c r="E1237" s="13"/>
      <c r="F1237" s="11"/>
      <c r="G1237" s="11"/>
      <c r="H1237" s="11"/>
      <c r="I1237" s="11"/>
      <c r="J1237" s="11"/>
      <c r="K1237" s="11"/>
      <c r="L1237" s="11"/>
      <c r="M1237" s="11"/>
    </row>
    <row r="1238" spans="4:13" ht="15.75" customHeight="1" x14ac:dyDescent="0.2">
      <c r="D1238" s="12"/>
      <c r="E1238" s="13"/>
      <c r="F1238" s="11"/>
      <c r="G1238" s="11"/>
      <c r="H1238" s="11"/>
      <c r="I1238" s="11"/>
      <c r="J1238" s="11"/>
      <c r="K1238" s="11"/>
      <c r="L1238" s="11"/>
      <c r="M1238" s="11"/>
    </row>
    <row r="1239" spans="4:13" ht="15.75" customHeight="1" x14ac:dyDescent="0.2">
      <c r="D1239" s="12"/>
      <c r="E1239" s="13"/>
      <c r="F1239" s="11"/>
      <c r="G1239" s="11"/>
      <c r="H1239" s="11"/>
      <c r="I1239" s="11"/>
      <c r="J1239" s="11"/>
      <c r="K1239" s="11"/>
      <c r="L1239" s="11"/>
      <c r="M1239" s="11"/>
    </row>
    <row r="1240" spans="4:13" ht="15.75" customHeight="1" x14ac:dyDescent="0.2">
      <c r="D1240" s="12"/>
      <c r="E1240" s="13"/>
      <c r="F1240" s="11"/>
      <c r="G1240" s="11"/>
      <c r="H1240" s="11"/>
      <c r="I1240" s="11"/>
      <c r="J1240" s="11"/>
      <c r="K1240" s="11"/>
      <c r="L1240" s="11"/>
      <c r="M1240" s="11"/>
    </row>
    <row r="1241" spans="4:13" ht="15.75" customHeight="1" x14ac:dyDescent="0.2">
      <c r="D1241" s="12"/>
      <c r="E1241" s="13"/>
      <c r="F1241" s="11"/>
      <c r="G1241" s="11"/>
      <c r="H1241" s="11"/>
      <c r="I1241" s="11"/>
      <c r="J1241" s="11"/>
      <c r="K1241" s="11"/>
      <c r="L1241" s="11"/>
      <c r="M1241" s="11"/>
    </row>
    <row r="1242" spans="4:13" ht="15.75" customHeight="1" x14ac:dyDescent="0.2">
      <c r="D1242" s="12"/>
      <c r="E1242" s="13"/>
      <c r="F1242" s="11"/>
      <c r="G1242" s="11"/>
      <c r="H1242" s="11"/>
      <c r="I1242" s="11"/>
      <c r="J1242" s="11"/>
      <c r="K1242" s="11"/>
      <c r="L1242" s="11"/>
      <c r="M1242" s="11"/>
    </row>
    <row r="1243" spans="4:13" ht="15.75" customHeight="1" x14ac:dyDescent="0.2">
      <c r="D1243" s="12"/>
      <c r="E1243" s="13"/>
      <c r="F1243" s="11"/>
      <c r="G1243" s="11"/>
      <c r="H1243" s="11"/>
      <c r="I1243" s="11"/>
      <c r="J1243" s="11"/>
      <c r="K1243" s="11"/>
      <c r="L1243" s="11"/>
      <c r="M1243" s="11"/>
    </row>
    <row r="1244" spans="4:13" ht="15.75" customHeight="1" x14ac:dyDescent="0.2">
      <c r="D1244" s="12"/>
      <c r="E1244" s="13"/>
      <c r="F1244" s="11"/>
      <c r="G1244" s="11"/>
      <c r="H1244" s="11"/>
      <c r="I1244" s="11"/>
      <c r="J1244" s="11"/>
      <c r="K1244" s="11"/>
      <c r="L1244" s="11"/>
      <c r="M1244" s="11"/>
    </row>
    <row r="1245" spans="4:13" ht="15.75" customHeight="1" x14ac:dyDescent="0.2">
      <c r="D1245" s="12"/>
      <c r="E1245" s="13"/>
      <c r="F1245" s="11"/>
      <c r="G1245" s="11"/>
      <c r="H1245" s="11"/>
      <c r="I1245" s="11"/>
      <c r="J1245" s="11"/>
      <c r="K1245" s="11"/>
      <c r="L1245" s="11"/>
      <c r="M1245" s="11"/>
    </row>
    <row r="1246" spans="4:13" ht="15.75" customHeight="1" x14ac:dyDescent="0.2">
      <c r="D1246" s="12"/>
      <c r="E1246" s="13"/>
      <c r="F1246" s="11"/>
      <c r="G1246" s="11"/>
      <c r="H1246" s="11"/>
      <c r="I1246" s="11"/>
      <c r="J1246" s="11"/>
      <c r="K1246" s="11"/>
      <c r="L1246" s="11"/>
      <c r="M1246" s="11"/>
    </row>
    <row r="1247" spans="4:13" ht="15.75" customHeight="1" x14ac:dyDescent="0.2">
      <c r="D1247" s="12"/>
      <c r="E1247" s="13"/>
      <c r="F1247" s="11"/>
      <c r="G1247" s="11"/>
      <c r="H1247" s="11"/>
      <c r="I1247" s="11"/>
      <c r="J1247" s="11"/>
      <c r="K1247" s="11"/>
      <c r="L1247" s="11"/>
      <c r="M1247" s="11"/>
    </row>
    <row r="1248" spans="4:13" ht="15.75" customHeight="1" x14ac:dyDescent="0.2">
      <c r="D1248" s="12"/>
      <c r="E1248" s="13"/>
      <c r="F1248" s="11"/>
      <c r="G1248" s="11"/>
      <c r="H1248" s="11"/>
      <c r="I1248" s="11"/>
      <c r="J1248" s="11"/>
      <c r="K1248" s="11"/>
      <c r="L1248" s="11"/>
      <c r="M1248" s="11"/>
    </row>
    <row r="1249" spans="4:13" ht="15.75" customHeight="1" x14ac:dyDescent="0.2">
      <c r="D1249" s="12"/>
      <c r="E1249" s="13"/>
      <c r="F1249" s="11"/>
      <c r="G1249" s="11"/>
      <c r="H1249" s="11"/>
      <c r="I1249" s="11"/>
      <c r="J1249" s="11"/>
      <c r="K1249" s="11"/>
      <c r="L1249" s="11"/>
      <c r="M1249" s="11"/>
    </row>
    <row r="1250" spans="4:13" ht="15.75" customHeight="1" x14ac:dyDescent="0.2">
      <c r="D1250" s="12"/>
      <c r="E1250" s="13"/>
      <c r="F1250" s="11"/>
      <c r="G1250" s="11"/>
      <c r="H1250" s="11"/>
      <c r="I1250" s="11"/>
      <c r="J1250" s="11"/>
      <c r="K1250" s="11"/>
      <c r="L1250" s="11"/>
      <c r="M1250" s="11"/>
    </row>
    <row r="1251" spans="4:13" ht="15.75" customHeight="1" x14ac:dyDescent="0.2">
      <c r="D1251" s="12"/>
      <c r="E1251" s="13"/>
      <c r="F1251" s="11"/>
      <c r="G1251" s="11"/>
      <c r="H1251" s="11"/>
      <c r="I1251" s="11"/>
      <c r="J1251" s="11"/>
      <c r="K1251" s="11"/>
      <c r="L1251" s="11"/>
      <c r="M1251" s="11"/>
    </row>
    <row r="1252" spans="4:13" ht="15.75" customHeight="1" x14ac:dyDescent="0.2">
      <c r="D1252" s="12"/>
      <c r="E1252" s="13"/>
      <c r="F1252" s="11"/>
      <c r="G1252" s="11"/>
      <c r="H1252" s="11"/>
      <c r="I1252" s="11"/>
      <c r="J1252" s="11"/>
      <c r="K1252" s="11"/>
      <c r="L1252" s="11"/>
      <c r="M1252" s="11"/>
    </row>
    <row r="1253" spans="4:13" ht="15.75" customHeight="1" x14ac:dyDescent="0.2">
      <c r="D1253" s="12"/>
      <c r="E1253" s="13"/>
      <c r="F1253" s="11"/>
      <c r="G1253" s="11"/>
      <c r="H1253" s="11"/>
      <c r="I1253" s="11"/>
      <c r="J1253" s="11"/>
      <c r="K1253" s="11"/>
      <c r="L1253" s="11"/>
      <c r="M1253" s="11"/>
    </row>
    <row r="1254" spans="4:13" ht="15.75" customHeight="1" x14ac:dyDescent="0.2">
      <c r="D1254" s="12"/>
      <c r="E1254" s="13"/>
      <c r="F1254" s="11"/>
      <c r="G1254" s="11"/>
      <c r="H1254" s="11"/>
      <c r="I1254" s="11"/>
      <c r="J1254" s="11"/>
      <c r="K1254" s="11"/>
      <c r="L1254" s="11"/>
      <c r="M1254" s="11"/>
    </row>
    <row r="1255" spans="4:13" ht="15.75" customHeight="1" x14ac:dyDescent="0.2">
      <c r="D1255" s="12"/>
      <c r="E1255" s="13"/>
      <c r="F1255" s="11"/>
      <c r="G1255" s="11"/>
      <c r="H1255" s="11"/>
      <c r="I1255" s="11"/>
      <c r="J1255" s="11"/>
      <c r="K1255" s="11"/>
      <c r="L1255" s="11"/>
      <c r="M1255" s="11"/>
    </row>
    <row r="1256" spans="4:13" ht="15.75" customHeight="1" x14ac:dyDescent="0.2">
      <c r="D1256" s="12"/>
      <c r="E1256" s="13"/>
      <c r="F1256" s="11"/>
      <c r="G1256" s="11"/>
      <c r="H1256" s="11"/>
      <c r="I1256" s="11"/>
      <c r="J1256" s="11"/>
      <c r="K1256" s="11"/>
      <c r="L1256" s="11"/>
      <c r="M1256" s="11"/>
    </row>
    <row r="1257" spans="4:13" ht="15.75" customHeight="1" x14ac:dyDescent="0.2">
      <c r="D1257" s="12"/>
      <c r="E1257" s="13"/>
      <c r="F1257" s="11"/>
      <c r="G1257" s="11"/>
      <c r="H1257" s="11"/>
      <c r="I1257" s="11"/>
      <c r="J1257" s="11"/>
      <c r="K1257" s="11"/>
      <c r="L1257" s="11"/>
      <c r="M1257" s="11"/>
    </row>
    <row r="1258" spans="4:13" ht="15.75" customHeight="1" x14ac:dyDescent="0.2">
      <c r="D1258" s="12"/>
      <c r="E1258" s="13"/>
      <c r="F1258" s="11"/>
      <c r="G1258" s="11"/>
      <c r="H1258" s="11"/>
      <c r="I1258" s="11"/>
      <c r="J1258" s="11"/>
      <c r="K1258" s="11"/>
      <c r="L1258" s="11"/>
      <c r="M1258" s="11"/>
    </row>
    <row r="1259" spans="4:13" ht="15.75" customHeight="1" x14ac:dyDescent="0.2">
      <c r="D1259" s="12"/>
      <c r="E1259" s="13"/>
      <c r="F1259" s="11"/>
      <c r="G1259" s="11"/>
      <c r="H1259" s="11"/>
      <c r="I1259" s="11"/>
      <c r="J1259" s="11"/>
      <c r="K1259" s="11"/>
      <c r="L1259" s="11"/>
      <c r="M1259" s="11"/>
    </row>
    <row r="1260" spans="4:13" ht="15.75" customHeight="1" x14ac:dyDescent="0.2">
      <c r="D1260" s="12"/>
      <c r="E1260" s="13"/>
      <c r="F1260" s="11"/>
      <c r="G1260" s="11"/>
      <c r="H1260" s="11"/>
      <c r="I1260" s="11"/>
      <c r="J1260" s="11"/>
      <c r="K1260" s="11"/>
      <c r="L1260" s="11"/>
      <c r="M1260" s="11"/>
    </row>
    <row r="1261" spans="4:13" ht="15.75" customHeight="1" x14ac:dyDescent="0.2">
      <c r="D1261" s="12"/>
      <c r="E1261" s="13"/>
      <c r="F1261" s="11"/>
      <c r="G1261" s="11"/>
      <c r="H1261" s="11"/>
      <c r="I1261" s="11"/>
      <c r="J1261" s="11"/>
      <c r="K1261" s="11"/>
      <c r="L1261" s="11"/>
      <c r="M1261" s="11"/>
    </row>
    <row r="1262" spans="4:13" ht="15.75" customHeight="1" x14ac:dyDescent="0.2">
      <c r="D1262" s="12"/>
      <c r="E1262" s="13"/>
      <c r="F1262" s="11"/>
      <c r="G1262" s="11"/>
      <c r="H1262" s="11"/>
      <c r="I1262" s="11"/>
      <c r="J1262" s="11"/>
      <c r="K1262" s="11"/>
      <c r="L1262" s="11"/>
      <c r="M1262" s="11"/>
    </row>
    <row r="1263" spans="4:13" ht="15.75" customHeight="1" x14ac:dyDescent="0.2">
      <c r="D1263" s="12"/>
      <c r="E1263" s="13"/>
      <c r="F1263" s="11"/>
      <c r="G1263" s="11"/>
      <c r="H1263" s="11"/>
      <c r="I1263" s="11"/>
      <c r="J1263" s="11"/>
      <c r="K1263" s="11"/>
      <c r="L1263" s="11"/>
      <c r="M1263" s="11"/>
    </row>
    <row r="1264" spans="4:13" ht="15.75" customHeight="1" x14ac:dyDescent="0.2">
      <c r="D1264" s="12"/>
      <c r="E1264" s="13"/>
      <c r="F1264" s="11"/>
      <c r="G1264" s="11"/>
      <c r="H1264" s="11"/>
      <c r="I1264" s="11"/>
      <c r="J1264" s="11"/>
      <c r="K1264" s="11"/>
      <c r="L1264" s="11"/>
      <c r="M1264" s="11"/>
    </row>
    <row r="1265" spans="4:13" ht="15.75" customHeight="1" x14ac:dyDescent="0.2">
      <c r="D1265" s="12"/>
      <c r="E1265" s="13"/>
      <c r="F1265" s="11"/>
      <c r="G1265" s="11"/>
      <c r="H1265" s="11"/>
      <c r="I1265" s="11"/>
      <c r="J1265" s="11"/>
      <c r="K1265" s="11"/>
      <c r="L1265" s="11"/>
      <c r="M1265" s="11"/>
    </row>
    <row r="1266" spans="4:13" ht="15.75" customHeight="1" x14ac:dyDescent="0.2">
      <c r="D1266" s="12"/>
      <c r="E1266" s="13"/>
      <c r="F1266" s="11"/>
      <c r="G1266" s="11"/>
      <c r="H1266" s="11"/>
      <c r="I1266" s="11"/>
      <c r="J1266" s="11"/>
      <c r="K1266" s="11"/>
      <c r="L1266" s="11"/>
      <c r="M1266" s="11"/>
    </row>
    <row r="1267" spans="4:13" ht="15.75" customHeight="1" x14ac:dyDescent="0.2">
      <c r="D1267" s="12"/>
      <c r="E1267" s="13"/>
      <c r="F1267" s="11"/>
      <c r="G1267" s="11"/>
      <c r="H1267" s="11"/>
      <c r="I1267" s="11"/>
      <c r="J1267" s="11"/>
      <c r="K1267" s="11"/>
      <c r="L1267" s="11"/>
      <c r="M1267" s="11"/>
    </row>
    <row r="1268" spans="4:13" ht="15.75" customHeight="1" x14ac:dyDescent="0.2">
      <c r="D1268" s="12"/>
      <c r="E1268" s="13"/>
      <c r="F1268" s="11"/>
      <c r="G1268" s="11"/>
      <c r="H1268" s="11"/>
      <c r="I1268" s="11"/>
      <c r="J1268" s="11"/>
      <c r="K1268" s="11"/>
      <c r="L1268" s="11"/>
      <c r="M1268" s="11"/>
    </row>
    <row r="1269" spans="4:13" ht="15.75" customHeight="1" x14ac:dyDescent="0.2">
      <c r="D1269" s="12"/>
      <c r="E1269" s="13"/>
      <c r="F1269" s="11"/>
      <c r="G1269" s="11"/>
      <c r="H1269" s="11"/>
      <c r="I1269" s="11"/>
      <c r="J1269" s="11"/>
      <c r="K1269" s="11"/>
      <c r="L1269" s="11"/>
      <c r="M1269" s="11"/>
    </row>
    <row r="1270" spans="4:13" ht="15.75" customHeight="1" x14ac:dyDescent="0.2">
      <c r="D1270" s="12"/>
      <c r="E1270" s="13"/>
      <c r="F1270" s="11"/>
      <c r="G1270" s="11"/>
      <c r="H1270" s="11"/>
      <c r="I1270" s="11"/>
      <c r="J1270" s="11"/>
      <c r="K1270" s="11"/>
      <c r="L1270" s="11"/>
      <c r="M1270" s="11"/>
    </row>
    <row r="1271" spans="4:13" ht="15.75" customHeight="1" x14ac:dyDescent="0.2">
      <c r="D1271" s="12"/>
      <c r="E1271" s="13"/>
      <c r="F1271" s="11"/>
      <c r="G1271" s="11"/>
      <c r="H1271" s="11"/>
      <c r="I1271" s="11"/>
      <c r="J1271" s="11"/>
      <c r="K1271" s="11"/>
      <c r="L1271" s="11"/>
      <c r="M1271" s="11"/>
    </row>
    <row r="1272" spans="4:13" ht="15.75" customHeight="1" x14ac:dyDescent="0.2">
      <c r="D1272" s="12"/>
      <c r="E1272" s="13"/>
      <c r="F1272" s="11"/>
      <c r="G1272" s="11"/>
      <c r="H1272" s="11"/>
      <c r="I1272" s="11"/>
      <c r="J1272" s="11"/>
      <c r="K1272" s="11"/>
      <c r="L1272" s="11"/>
      <c r="M1272" s="11"/>
    </row>
    <row r="1273" spans="4:13" ht="15.75" customHeight="1" x14ac:dyDescent="0.2">
      <c r="D1273" s="12"/>
      <c r="E1273" s="13"/>
      <c r="F1273" s="11"/>
      <c r="G1273" s="11"/>
      <c r="H1273" s="11"/>
      <c r="I1273" s="11"/>
      <c r="J1273" s="11"/>
      <c r="K1273" s="11"/>
      <c r="L1273" s="11"/>
      <c r="M1273" s="11"/>
    </row>
    <row r="1274" spans="4:13" ht="15.75" customHeight="1" x14ac:dyDescent="0.2">
      <c r="D1274" s="12"/>
      <c r="E1274" s="13"/>
      <c r="F1274" s="11"/>
      <c r="G1274" s="11"/>
      <c r="H1274" s="11"/>
      <c r="I1274" s="11"/>
      <c r="J1274" s="11"/>
      <c r="K1274" s="11"/>
      <c r="L1274" s="11"/>
      <c r="M1274" s="11"/>
    </row>
    <row r="1275" spans="4:13" ht="15.75" customHeight="1" x14ac:dyDescent="0.2">
      <c r="D1275" s="12"/>
      <c r="E1275" s="13"/>
      <c r="F1275" s="11"/>
      <c r="G1275" s="11"/>
      <c r="H1275" s="11"/>
      <c r="I1275" s="11"/>
      <c r="J1275" s="11"/>
      <c r="K1275" s="11"/>
      <c r="L1275" s="11"/>
      <c r="M1275" s="11"/>
    </row>
    <row r="1276" spans="4:13" ht="15.75" customHeight="1" x14ac:dyDescent="0.2">
      <c r="D1276" s="12"/>
      <c r="E1276" s="13"/>
      <c r="F1276" s="11"/>
      <c r="G1276" s="11"/>
      <c r="H1276" s="11"/>
      <c r="I1276" s="11"/>
      <c r="J1276" s="11"/>
      <c r="K1276" s="11"/>
      <c r="L1276" s="11"/>
      <c r="M1276" s="11"/>
    </row>
    <row r="1277" spans="4:13" ht="15.75" customHeight="1" x14ac:dyDescent="0.2">
      <c r="D1277" s="12"/>
      <c r="E1277" s="13"/>
      <c r="F1277" s="11"/>
      <c r="G1277" s="11"/>
      <c r="H1277" s="11"/>
      <c r="I1277" s="11"/>
      <c r="J1277" s="11"/>
      <c r="K1277" s="11"/>
      <c r="L1277" s="11"/>
      <c r="M1277" s="11"/>
    </row>
    <row r="1278" spans="4:13" ht="15.75" customHeight="1" x14ac:dyDescent="0.2">
      <c r="D1278" s="12"/>
      <c r="E1278" s="13"/>
      <c r="F1278" s="11"/>
      <c r="G1278" s="11"/>
      <c r="H1278" s="11"/>
      <c r="I1278" s="11"/>
      <c r="J1278" s="11"/>
      <c r="K1278" s="11"/>
      <c r="L1278" s="11"/>
      <c r="M1278" s="11"/>
    </row>
    <row r="1279" spans="4:13" ht="15.75" customHeight="1" x14ac:dyDescent="0.2">
      <c r="D1279" s="12"/>
      <c r="E1279" s="13"/>
      <c r="F1279" s="11"/>
      <c r="G1279" s="11"/>
      <c r="H1279" s="11"/>
      <c r="I1279" s="11"/>
      <c r="J1279" s="11"/>
      <c r="K1279" s="11"/>
      <c r="L1279" s="11"/>
      <c r="M1279" s="11"/>
    </row>
    <row r="1280" spans="4:13" ht="15.75" customHeight="1" x14ac:dyDescent="0.2">
      <c r="D1280" s="12"/>
      <c r="E1280" s="13"/>
      <c r="F1280" s="11"/>
      <c r="G1280" s="11"/>
      <c r="H1280" s="11"/>
      <c r="I1280" s="11"/>
      <c r="J1280" s="11"/>
      <c r="K1280" s="11"/>
      <c r="L1280" s="11"/>
      <c r="M1280" s="11"/>
    </row>
    <row r="1281" spans="4:13" ht="15.75" customHeight="1" x14ac:dyDescent="0.2">
      <c r="D1281" s="12"/>
      <c r="E1281" s="13"/>
      <c r="F1281" s="11"/>
      <c r="G1281" s="11"/>
      <c r="H1281" s="11"/>
      <c r="I1281" s="11"/>
      <c r="J1281" s="11"/>
      <c r="K1281" s="11"/>
      <c r="L1281" s="11"/>
      <c r="M1281" s="11"/>
    </row>
    <row r="1282" spans="4:13" ht="15.75" customHeight="1" x14ac:dyDescent="0.2">
      <c r="D1282" s="12"/>
      <c r="E1282" s="13"/>
      <c r="F1282" s="11"/>
      <c r="G1282" s="11"/>
      <c r="H1282" s="11"/>
      <c r="I1282" s="11"/>
      <c r="J1282" s="11"/>
      <c r="K1282" s="11"/>
      <c r="L1282" s="11"/>
      <c r="M1282" s="11"/>
    </row>
    <row r="1283" spans="4:13" ht="15.75" customHeight="1" x14ac:dyDescent="0.2">
      <c r="D1283" s="12"/>
      <c r="E1283" s="13"/>
      <c r="F1283" s="11"/>
      <c r="G1283" s="11"/>
      <c r="H1283" s="11"/>
      <c r="I1283" s="11"/>
      <c r="J1283" s="11"/>
      <c r="K1283" s="11"/>
      <c r="L1283" s="11"/>
      <c r="M1283" s="11"/>
    </row>
    <row r="1284" spans="4:13" ht="15.75" customHeight="1" x14ac:dyDescent="0.2">
      <c r="D1284" s="12"/>
      <c r="E1284" s="13"/>
      <c r="F1284" s="11"/>
      <c r="G1284" s="11"/>
      <c r="H1284" s="11"/>
      <c r="I1284" s="11"/>
      <c r="J1284" s="11"/>
      <c r="K1284" s="11"/>
      <c r="L1284" s="11"/>
      <c r="M1284" s="11"/>
    </row>
    <row r="1285" spans="4:13" ht="15.75" customHeight="1" x14ac:dyDescent="0.2">
      <c r="D1285" s="12"/>
      <c r="E1285" s="13"/>
      <c r="F1285" s="11"/>
      <c r="G1285" s="11"/>
      <c r="H1285" s="11"/>
      <c r="I1285" s="11"/>
      <c r="J1285" s="11"/>
      <c r="K1285" s="11"/>
      <c r="L1285" s="11"/>
      <c r="M1285" s="11"/>
    </row>
    <row r="1286" spans="4:13" ht="15.75" customHeight="1" x14ac:dyDescent="0.2">
      <c r="D1286" s="12"/>
      <c r="E1286" s="13"/>
      <c r="F1286" s="11"/>
      <c r="G1286" s="11"/>
      <c r="H1286" s="11"/>
      <c r="I1286" s="11"/>
      <c r="J1286" s="11"/>
      <c r="K1286" s="11"/>
      <c r="L1286" s="11"/>
      <c r="M1286" s="11"/>
    </row>
    <row r="1287" spans="4:13" ht="15.75" customHeight="1" x14ac:dyDescent="0.2">
      <c r="D1287" s="12"/>
      <c r="E1287" s="13"/>
      <c r="F1287" s="11"/>
      <c r="G1287" s="11"/>
      <c r="H1287" s="11"/>
      <c r="I1287" s="11"/>
      <c r="J1287" s="11"/>
      <c r="K1287" s="11"/>
      <c r="L1287" s="11"/>
      <c r="M1287" s="11"/>
    </row>
    <row r="1288" spans="4:13" ht="15.75" customHeight="1" x14ac:dyDescent="0.2">
      <c r="D1288" s="12"/>
      <c r="E1288" s="13"/>
      <c r="F1288" s="11"/>
      <c r="G1288" s="11"/>
      <c r="H1288" s="11"/>
      <c r="I1288" s="11"/>
      <c r="J1288" s="11"/>
      <c r="K1288" s="11"/>
      <c r="L1288" s="11"/>
      <c r="M1288" s="11"/>
    </row>
    <row r="1289" spans="4:13" ht="15.75" customHeight="1" x14ac:dyDescent="0.2">
      <c r="D1289" s="12"/>
      <c r="E1289" s="13"/>
      <c r="F1289" s="11"/>
      <c r="G1289" s="11"/>
      <c r="H1289" s="11"/>
      <c r="I1289" s="11"/>
      <c r="J1289" s="11"/>
      <c r="K1289" s="11"/>
      <c r="L1289" s="11"/>
      <c r="M1289" s="11"/>
    </row>
    <row r="1290" spans="4:13" ht="15.75" customHeight="1" x14ac:dyDescent="0.2">
      <c r="D1290" s="12"/>
      <c r="E1290" s="13"/>
      <c r="F1290" s="11"/>
      <c r="G1290" s="11"/>
      <c r="H1290" s="11"/>
      <c r="I1290" s="11"/>
      <c r="J1290" s="11"/>
      <c r="K1290" s="11"/>
      <c r="L1290" s="11"/>
      <c r="M1290" s="11"/>
    </row>
    <row r="1291" spans="4:13" ht="15.75" customHeight="1" x14ac:dyDescent="0.2">
      <c r="D1291" s="12"/>
      <c r="E1291" s="13"/>
      <c r="F1291" s="11"/>
      <c r="G1291" s="11"/>
      <c r="H1291" s="11"/>
      <c r="I1291" s="11"/>
      <c r="J1291" s="11"/>
      <c r="K1291" s="11"/>
      <c r="L1291" s="11"/>
      <c r="M1291" s="11"/>
    </row>
    <row r="1292" spans="4:13" ht="15.75" customHeight="1" x14ac:dyDescent="0.2">
      <c r="D1292" s="12"/>
      <c r="E1292" s="13"/>
      <c r="F1292" s="11"/>
      <c r="G1292" s="11"/>
      <c r="H1292" s="11"/>
      <c r="I1292" s="11"/>
      <c r="J1292" s="11"/>
      <c r="K1292" s="11"/>
      <c r="L1292" s="11"/>
      <c r="M1292" s="11"/>
    </row>
    <row r="1293" spans="4:13" ht="15.75" customHeight="1" x14ac:dyDescent="0.2">
      <c r="D1293" s="12"/>
      <c r="E1293" s="13"/>
      <c r="F1293" s="11"/>
      <c r="G1293" s="11"/>
      <c r="H1293" s="11"/>
      <c r="I1293" s="11"/>
      <c r="J1293" s="11"/>
      <c r="K1293" s="11"/>
      <c r="L1293" s="11"/>
      <c r="M1293" s="11"/>
    </row>
    <row r="1294" spans="4:13" ht="15.75" customHeight="1" x14ac:dyDescent="0.2">
      <c r="D1294" s="12"/>
      <c r="E1294" s="13"/>
      <c r="F1294" s="11"/>
      <c r="G1294" s="11"/>
      <c r="H1294" s="11"/>
      <c r="I1294" s="11"/>
      <c r="J1294" s="11"/>
      <c r="K1294" s="11"/>
      <c r="L1294" s="11"/>
      <c r="M1294" s="11"/>
    </row>
    <row r="1295" spans="4:13" ht="15.75" customHeight="1" x14ac:dyDescent="0.2">
      <c r="D1295" s="12"/>
      <c r="E1295" s="13"/>
      <c r="F1295" s="11"/>
      <c r="G1295" s="11"/>
      <c r="H1295" s="11"/>
      <c r="I1295" s="11"/>
      <c r="J1295" s="11"/>
      <c r="K1295" s="11"/>
      <c r="L1295" s="11"/>
      <c r="M1295" s="11"/>
    </row>
    <row r="1296" spans="4:13" ht="15.75" customHeight="1" x14ac:dyDescent="0.2">
      <c r="D1296" s="12"/>
      <c r="E1296" s="13"/>
      <c r="F1296" s="11"/>
      <c r="G1296" s="11"/>
      <c r="H1296" s="11"/>
      <c r="I1296" s="11"/>
      <c r="J1296" s="11"/>
      <c r="K1296" s="11"/>
      <c r="L1296" s="11"/>
      <c r="M1296" s="11"/>
    </row>
    <row r="1297" spans="4:13" ht="15.75" customHeight="1" x14ac:dyDescent="0.2">
      <c r="D1297" s="12"/>
      <c r="E1297" s="13"/>
      <c r="F1297" s="11"/>
      <c r="G1297" s="11"/>
      <c r="H1297" s="11"/>
      <c r="I1297" s="11"/>
      <c r="J1297" s="11"/>
      <c r="K1297" s="11"/>
      <c r="L1297" s="11"/>
      <c r="M1297" s="11"/>
    </row>
    <row r="1298" spans="4:13" ht="15.75" customHeight="1" x14ac:dyDescent="0.2">
      <c r="D1298" s="12"/>
      <c r="E1298" s="13"/>
      <c r="F1298" s="11"/>
      <c r="G1298" s="11"/>
      <c r="H1298" s="11"/>
      <c r="I1298" s="11"/>
      <c r="J1298" s="11"/>
      <c r="K1298" s="11"/>
      <c r="L1298" s="11"/>
      <c r="M1298" s="11"/>
    </row>
    <row r="1299" spans="4:13" ht="15.75" customHeight="1" x14ac:dyDescent="0.2">
      <c r="D1299" s="12"/>
      <c r="E1299" s="13"/>
      <c r="F1299" s="11"/>
      <c r="G1299" s="11"/>
      <c r="H1299" s="11"/>
      <c r="I1299" s="11"/>
      <c r="J1299" s="11"/>
      <c r="K1299" s="11"/>
      <c r="L1299" s="11"/>
      <c r="M1299" s="11"/>
    </row>
    <row r="1300" spans="4:13" ht="15.75" customHeight="1" x14ac:dyDescent="0.2">
      <c r="D1300" s="12"/>
      <c r="E1300" s="13"/>
      <c r="F1300" s="11"/>
      <c r="G1300" s="11"/>
      <c r="H1300" s="11"/>
      <c r="I1300" s="11"/>
      <c r="J1300" s="11"/>
      <c r="K1300" s="11"/>
      <c r="L1300" s="11"/>
      <c r="M1300" s="11"/>
    </row>
    <row r="1301" spans="4:13" ht="15.75" customHeight="1" x14ac:dyDescent="0.2">
      <c r="D1301" s="12"/>
      <c r="E1301" s="13"/>
      <c r="F1301" s="11"/>
      <c r="G1301" s="11"/>
      <c r="H1301" s="11"/>
      <c r="I1301" s="11"/>
      <c r="J1301" s="11"/>
      <c r="K1301" s="11"/>
      <c r="L1301" s="11"/>
      <c r="M1301" s="11"/>
    </row>
    <row r="1302" spans="4:13" ht="15.75" customHeight="1" x14ac:dyDescent="0.2">
      <c r="D1302" s="12"/>
      <c r="E1302" s="13"/>
      <c r="F1302" s="11"/>
      <c r="G1302" s="11"/>
      <c r="H1302" s="11"/>
      <c r="I1302" s="11"/>
      <c r="J1302" s="11"/>
      <c r="K1302" s="11"/>
      <c r="L1302" s="11"/>
      <c r="M1302" s="11"/>
    </row>
    <row r="1303" spans="4:13" ht="15.75" customHeight="1" x14ac:dyDescent="0.2">
      <c r="D1303" s="12"/>
      <c r="E1303" s="13"/>
      <c r="F1303" s="11"/>
      <c r="G1303" s="11"/>
      <c r="H1303" s="11"/>
      <c r="I1303" s="11"/>
      <c r="J1303" s="11"/>
      <c r="K1303" s="11"/>
      <c r="L1303" s="11"/>
      <c r="M1303" s="11"/>
    </row>
    <row r="1304" spans="4:13" ht="15.75" customHeight="1" x14ac:dyDescent="0.2">
      <c r="D1304" s="12"/>
      <c r="E1304" s="13"/>
      <c r="F1304" s="11"/>
      <c r="G1304" s="11"/>
      <c r="H1304" s="11"/>
      <c r="I1304" s="11"/>
      <c r="J1304" s="11"/>
      <c r="K1304" s="11"/>
      <c r="L1304" s="11"/>
      <c r="M1304" s="11"/>
    </row>
    <row r="1305" spans="4:13" ht="15.75" customHeight="1" x14ac:dyDescent="0.2">
      <c r="D1305" s="12"/>
      <c r="E1305" s="13"/>
      <c r="F1305" s="11"/>
      <c r="G1305" s="11"/>
      <c r="H1305" s="11"/>
      <c r="I1305" s="11"/>
      <c r="J1305" s="11"/>
      <c r="K1305" s="11"/>
      <c r="L1305" s="11"/>
      <c r="M1305" s="11"/>
    </row>
    <row r="1306" spans="4:13" ht="15.75" customHeight="1" x14ac:dyDescent="0.2">
      <c r="D1306" s="12"/>
      <c r="E1306" s="13"/>
      <c r="F1306" s="11"/>
      <c r="G1306" s="11"/>
      <c r="H1306" s="11"/>
      <c r="I1306" s="11"/>
      <c r="J1306" s="11"/>
      <c r="K1306" s="11"/>
      <c r="L1306" s="11"/>
      <c r="M1306" s="11"/>
    </row>
    <row r="1307" spans="4:13" ht="15.75" customHeight="1" x14ac:dyDescent="0.2">
      <c r="D1307" s="12"/>
      <c r="E1307" s="13"/>
      <c r="F1307" s="11"/>
      <c r="G1307" s="11"/>
      <c r="H1307" s="11"/>
      <c r="I1307" s="11"/>
      <c r="J1307" s="11"/>
      <c r="K1307" s="11"/>
      <c r="L1307" s="11"/>
      <c r="M1307" s="11"/>
    </row>
    <row r="1308" spans="4:13" ht="15.75" customHeight="1" x14ac:dyDescent="0.2">
      <c r="D1308" s="12"/>
      <c r="E1308" s="13"/>
      <c r="F1308" s="11"/>
      <c r="G1308" s="11"/>
      <c r="H1308" s="11"/>
      <c r="I1308" s="11"/>
      <c r="J1308" s="11"/>
      <c r="K1308" s="11"/>
      <c r="L1308" s="11"/>
      <c r="M1308" s="11"/>
    </row>
    <row r="1309" spans="4:13" ht="15.75" customHeight="1" x14ac:dyDescent="0.2">
      <c r="D1309" s="12"/>
      <c r="E1309" s="13"/>
      <c r="F1309" s="11"/>
      <c r="G1309" s="11"/>
      <c r="H1309" s="11"/>
      <c r="I1309" s="11"/>
      <c r="J1309" s="11"/>
      <c r="K1309" s="11"/>
      <c r="L1309" s="11"/>
      <c r="M1309" s="11"/>
    </row>
    <row r="1310" spans="4:13" ht="15.75" customHeight="1" x14ac:dyDescent="0.2">
      <c r="D1310" s="12"/>
      <c r="E1310" s="13"/>
      <c r="F1310" s="11"/>
      <c r="G1310" s="11"/>
      <c r="H1310" s="11"/>
      <c r="I1310" s="11"/>
      <c r="J1310" s="11"/>
      <c r="K1310" s="11"/>
      <c r="L1310" s="11"/>
      <c r="M1310" s="11"/>
    </row>
    <row r="1311" spans="4:13" ht="15.75" customHeight="1" x14ac:dyDescent="0.2">
      <c r="D1311" s="12"/>
      <c r="E1311" s="13"/>
      <c r="F1311" s="11"/>
      <c r="G1311" s="11"/>
      <c r="H1311" s="11"/>
      <c r="I1311" s="11"/>
      <c r="J1311" s="11"/>
      <c r="K1311" s="11"/>
      <c r="L1311" s="11"/>
      <c r="M1311" s="11"/>
    </row>
    <row r="1312" spans="4:13" ht="15.75" customHeight="1" x14ac:dyDescent="0.2">
      <c r="D1312" s="12"/>
      <c r="E1312" s="13"/>
      <c r="F1312" s="11"/>
      <c r="G1312" s="11"/>
      <c r="H1312" s="11"/>
      <c r="I1312" s="11"/>
      <c r="J1312" s="11"/>
      <c r="K1312" s="11"/>
      <c r="L1312" s="11"/>
      <c r="M1312" s="11"/>
    </row>
    <row r="1313" spans="4:13" ht="15.75" customHeight="1" x14ac:dyDescent="0.2">
      <c r="D1313" s="12"/>
      <c r="E1313" s="13"/>
      <c r="F1313" s="11"/>
      <c r="G1313" s="11"/>
      <c r="H1313" s="11"/>
      <c r="I1313" s="11"/>
      <c r="J1313" s="11"/>
      <c r="K1313" s="11"/>
      <c r="L1313" s="11"/>
      <c r="M1313" s="11"/>
    </row>
    <row r="1314" spans="4:13" ht="15.75" customHeight="1" x14ac:dyDescent="0.2">
      <c r="D1314" s="12"/>
      <c r="E1314" s="13"/>
      <c r="F1314" s="11"/>
      <c r="G1314" s="11"/>
      <c r="H1314" s="11"/>
      <c r="I1314" s="11"/>
      <c r="J1314" s="11"/>
      <c r="K1314" s="11"/>
      <c r="L1314" s="11"/>
      <c r="M1314" s="11"/>
    </row>
    <row r="1315" spans="4:13" ht="15.75" customHeight="1" x14ac:dyDescent="0.2">
      <c r="D1315" s="12"/>
      <c r="E1315" s="13"/>
      <c r="F1315" s="11"/>
      <c r="G1315" s="11"/>
      <c r="H1315" s="11"/>
      <c r="I1315" s="11"/>
      <c r="J1315" s="11"/>
      <c r="K1315" s="11"/>
      <c r="L1315" s="11"/>
      <c r="M1315" s="11"/>
    </row>
    <row r="1316" spans="4:13" ht="15.75" customHeight="1" x14ac:dyDescent="0.2">
      <c r="D1316" s="12"/>
      <c r="E1316" s="13"/>
      <c r="F1316" s="11"/>
      <c r="G1316" s="11"/>
      <c r="H1316" s="11"/>
      <c r="I1316" s="11"/>
      <c r="J1316" s="11"/>
      <c r="K1316" s="11"/>
      <c r="L1316" s="11"/>
      <c r="M1316" s="11"/>
    </row>
    <row r="1317" spans="4:13" ht="15.75" customHeight="1" x14ac:dyDescent="0.2">
      <c r="D1317" s="12"/>
      <c r="E1317" s="13"/>
      <c r="F1317" s="11"/>
      <c r="G1317" s="11"/>
      <c r="H1317" s="11"/>
      <c r="I1317" s="11"/>
      <c r="J1317" s="11"/>
      <c r="K1317" s="11"/>
      <c r="L1317" s="11"/>
      <c r="M1317" s="11"/>
    </row>
    <row r="1318" spans="4:13" ht="15.75" customHeight="1" x14ac:dyDescent="0.2">
      <c r="D1318" s="12"/>
      <c r="E1318" s="13"/>
      <c r="F1318" s="11"/>
      <c r="G1318" s="11"/>
      <c r="H1318" s="11"/>
      <c r="I1318" s="11"/>
      <c r="J1318" s="11"/>
      <c r="K1318" s="11"/>
      <c r="L1318" s="11"/>
      <c r="M1318" s="11"/>
    </row>
    <row r="1319" spans="4:13" ht="15.75" customHeight="1" x14ac:dyDescent="0.2">
      <c r="D1319" s="12"/>
      <c r="E1319" s="13"/>
      <c r="F1319" s="11"/>
      <c r="G1319" s="11"/>
      <c r="H1319" s="11"/>
      <c r="I1319" s="11"/>
      <c r="J1319" s="11"/>
      <c r="K1319" s="11"/>
      <c r="L1319" s="11"/>
      <c r="M1319" s="11"/>
    </row>
    <row r="1320" spans="4:13" ht="15.75" customHeight="1" x14ac:dyDescent="0.2">
      <c r="D1320" s="12"/>
      <c r="E1320" s="13"/>
      <c r="F1320" s="11"/>
      <c r="G1320" s="11"/>
      <c r="H1320" s="11"/>
      <c r="I1320" s="11"/>
      <c r="J1320" s="11"/>
      <c r="K1320" s="11"/>
      <c r="L1320" s="11"/>
      <c r="M1320" s="11"/>
    </row>
    <row r="1321" spans="4:13" ht="15.75" customHeight="1" x14ac:dyDescent="0.2">
      <c r="D1321" s="12"/>
      <c r="E1321" s="13"/>
      <c r="F1321" s="11"/>
      <c r="G1321" s="11"/>
      <c r="H1321" s="11"/>
      <c r="I1321" s="11"/>
      <c r="J1321" s="11"/>
      <c r="K1321" s="11"/>
      <c r="L1321" s="11"/>
      <c r="M1321" s="11"/>
    </row>
    <row r="1322" spans="4:13" ht="15.75" customHeight="1" x14ac:dyDescent="0.2">
      <c r="D1322" s="12"/>
      <c r="E1322" s="13"/>
      <c r="F1322" s="11"/>
      <c r="G1322" s="11"/>
      <c r="H1322" s="11"/>
      <c r="I1322" s="11"/>
      <c r="J1322" s="11"/>
      <c r="K1322" s="11"/>
      <c r="L1322" s="11"/>
      <c r="M1322" s="11"/>
    </row>
    <row r="1323" spans="4:13" ht="15.75" customHeight="1" x14ac:dyDescent="0.2">
      <c r="D1323" s="12"/>
      <c r="E1323" s="13"/>
      <c r="F1323" s="11"/>
      <c r="G1323" s="11"/>
      <c r="H1323" s="11"/>
      <c r="I1323" s="11"/>
      <c r="J1323" s="11"/>
      <c r="K1323" s="11"/>
      <c r="L1323" s="11"/>
      <c r="M1323" s="11"/>
    </row>
    <row r="1324" spans="4:13" ht="15.75" customHeight="1" x14ac:dyDescent="0.2">
      <c r="D1324" s="12"/>
      <c r="E1324" s="13"/>
      <c r="F1324" s="11"/>
      <c r="G1324" s="11"/>
      <c r="H1324" s="11"/>
      <c r="I1324" s="11"/>
      <c r="J1324" s="11"/>
      <c r="K1324" s="11"/>
      <c r="L1324" s="11"/>
      <c r="M1324" s="11"/>
    </row>
    <row r="1325" spans="4:13" ht="15.75" customHeight="1" x14ac:dyDescent="0.2">
      <c r="D1325" s="12"/>
      <c r="E1325" s="13"/>
      <c r="F1325" s="11"/>
      <c r="G1325" s="11"/>
      <c r="H1325" s="11"/>
      <c r="I1325" s="11"/>
      <c r="J1325" s="11"/>
      <c r="K1325" s="11"/>
      <c r="L1325" s="11"/>
      <c r="M1325" s="11"/>
    </row>
    <row r="1326" spans="4:13" ht="15.75" customHeight="1" x14ac:dyDescent="0.2">
      <c r="D1326" s="12"/>
      <c r="E1326" s="13"/>
      <c r="F1326" s="11"/>
      <c r="G1326" s="11"/>
      <c r="H1326" s="11"/>
      <c r="I1326" s="11"/>
      <c r="J1326" s="11"/>
      <c r="K1326" s="11"/>
      <c r="L1326" s="11"/>
      <c r="M1326" s="11"/>
    </row>
    <row r="1327" spans="4:13" ht="15.75" customHeight="1" x14ac:dyDescent="0.2">
      <c r="D1327" s="12"/>
      <c r="E1327" s="13"/>
      <c r="F1327" s="11"/>
      <c r="G1327" s="11"/>
      <c r="H1327" s="11"/>
      <c r="I1327" s="11"/>
      <c r="J1327" s="11"/>
      <c r="K1327" s="11"/>
      <c r="L1327" s="11"/>
      <c r="M1327" s="11"/>
    </row>
    <row r="1328" spans="4:13" ht="15.75" customHeight="1" x14ac:dyDescent="0.2">
      <c r="D1328" s="12"/>
      <c r="E1328" s="13"/>
      <c r="F1328" s="11"/>
      <c r="G1328" s="11"/>
      <c r="H1328" s="11"/>
      <c r="I1328" s="11"/>
      <c r="J1328" s="11"/>
      <c r="K1328" s="11"/>
      <c r="L1328" s="11"/>
      <c r="M1328" s="11"/>
    </row>
    <row r="1329" spans="4:13" ht="15.75" customHeight="1" x14ac:dyDescent="0.2">
      <c r="D1329" s="12"/>
      <c r="E1329" s="13"/>
      <c r="F1329" s="11"/>
      <c r="G1329" s="11"/>
      <c r="H1329" s="11"/>
      <c r="I1329" s="11"/>
      <c r="J1329" s="11"/>
      <c r="K1329" s="11"/>
      <c r="L1329" s="11"/>
      <c r="M1329" s="11"/>
    </row>
    <row r="1330" spans="4:13" ht="15.75" customHeight="1" x14ac:dyDescent="0.2">
      <c r="D1330" s="12"/>
      <c r="E1330" s="13"/>
      <c r="F1330" s="11"/>
      <c r="G1330" s="11"/>
      <c r="H1330" s="11"/>
      <c r="I1330" s="11"/>
      <c r="J1330" s="11"/>
      <c r="K1330" s="11"/>
      <c r="L1330" s="11"/>
      <c r="M1330" s="11"/>
    </row>
    <row r="1331" spans="4:13" ht="15.75" customHeight="1" x14ac:dyDescent="0.2">
      <c r="D1331" s="12"/>
      <c r="E1331" s="13"/>
      <c r="F1331" s="11"/>
      <c r="G1331" s="11"/>
      <c r="H1331" s="11"/>
      <c r="I1331" s="11"/>
      <c r="J1331" s="11"/>
      <c r="K1331" s="11"/>
      <c r="L1331" s="11"/>
      <c r="M1331" s="11"/>
    </row>
    <row r="1332" spans="4:13" ht="15.75" customHeight="1" x14ac:dyDescent="0.2">
      <c r="D1332" s="12"/>
      <c r="E1332" s="13"/>
      <c r="F1332" s="11"/>
      <c r="G1332" s="11"/>
      <c r="H1332" s="11"/>
      <c r="I1332" s="11"/>
      <c r="J1332" s="11"/>
      <c r="K1332" s="11"/>
      <c r="L1332" s="11"/>
      <c r="M1332" s="11"/>
    </row>
    <row r="1333" spans="4:13" ht="15.75" customHeight="1" x14ac:dyDescent="0.2">
      <c r="D1333" s="12"/>
      <c r="E1333" s="13"/>
      <c r="F1333" s="11"/>
      <c r="G1333" s="11"/>
      <c r="H1333" s="11"/>
      <c r="I1333" s="11"/>
      <c r="J1333" s="11"/>
      <c r="K1333" s="11"/>
      <c r="L1333" s="11"/>
      <c r="M1333" s="11"/>
    </row>
    <row r="1334" spans="4:13" ht="15.75" customHeight="1" x14ac:dyDescent="0.2">
      <c r="D1334" s="12"/>
      <c r="E1334" s="13"/>
      <c r="F1334" s="11"/>
      <c r="G1334" s="11"/>
      <c r="H1334" s="11"/>
      <c r="I1334" s="11"/>
      <c r="J1334" s="11"/>
      <c r="K1334" s="11"/>
      <c r="L1334" s="11"/>
      <c r="M1334" s="11"/>
    </row>
    <row r="1335" spans="4:13" ht="15.75" customHeight="1" x14ac:dyDescent="0.2">
      <c r="D1335" s="12"/>
      <c r="E1335" s="13"/>
      <c r="F1335" s="11"/>
      <c r="G1335" s="11"/>
      <c r="H1335" s="11"/>
      <c r="I1335" s="11"/>
      <c r="J1335" s="11"/>
      <c r="K1335" s="11"/>
      <c r="L1335" s="11"/>
      <c r="M1335" s="11"/>
    </row>
    <row r="1336" spans="4:13" ht="15.75" customHeight="1" x14ac:dyDescent="0.2">
      <c r="D1336" s="12"/>
      <c r="E1336" s="13"/>
      <c r="F1336" s="11"/>
      <c r="G1336" s="11"/>
      <c r="H1336" s="11"/>
      <c r="I1336" s="11"/>
      <c r="J1336" s="11"/>
      <c r="K1336" s="11"/>
      <c r="L1336" s="11"/>
      <c r="M1336" s="11"/>
    </row>
    <row r="1337" spans="4:13" ht="15.75" customHeight="1" x14ac:dyDescent="0.2">
      <c r="D1337" s="12"/>
      <c r="E1337" s="13"/>
      <c r="F1337" s="11"/>
      <c r="G1337" s="11"/>
      <c r="H1337" s="11"/>
      <c r="I1337" s="11"/>
      <c r="J1337" s="11"/>
      <c r="K1337" s="11"/>
      <c r="L1337" s="11"/>
      <c r="M1337" s="11"/>
    </row>
    <row r="1338" spans="4:13" ht="15.75" customHeight="1" x14ac:dyDescent="0.2">
      <c r="D1338" s="12"/>
      <c r="E1338" s="13"/>
      <c r="F1338" s="11"/>
      <c r="G1338" s="11"/>
      <c r="H1338" s="11"/>
      <c r="I1338" s="11"/>
      <c r="J1338" s="11"/>
      <c r="K1338" s="11"/>
      <c r="L1338" s="11"/>
      <c r="M1338" s="11"/>
    </row>
    <row r="1339" spans="4:13" ht="15.75" customHeight="1" x14ac:dyDescent="0.2">
      <c r="D1339" s="12"/>
      <c r="E1339" s="13"/>
      <c r="F1339" s="11"/>
      <c r="G1339" s="11"/>
      <c r="H1339" s="11"/>
      <c r="I1339" s="11"/>
      <c r="J1339" s="11"/>
      <c r="K1339" s="11"/>
      <c r="L1339" s="11"/>
      <c r="M1339" s="11"/>
    </row>
    <row r="1340" spans="4:13" ht="15.75" customHeight="1" x14ac:dyDescent="0.2">
      <c r="D1340" s="12"/>
      <c r="E1340" s="13"/>
      <c r="F1340" s="11"/>
      <c r="G1340" s="11"/>
      <c r="H1340" s="11"/>
      <c r="I1340" s="11"/>
      <c r="J1340" s="11"/>
      <c r="K1340" s="11"/>
      <c r="L1340" s="11"/>
      <c r="M1340" s="11"/>
    </row>
    <row r="1341" spans="4:13" ht="15.75" customHeight="1" x14ac:dyDescent="0.2">
      <c r="D1341" s="12"/>
      <c r="E1341" s="13"/>
      <c r="F1341" s="11"/>
      <c r="G1341" s="11"/>
      <c r="H1341" s="11"/>
      <c r="I1341" s="11"/>
      <c r="J1341" s="11"/>
      <c r="K1341" s="11"/>
      <c r="L1341" s="11"/>
      <c r="M1341" s="11"/>
    </row>
    <row r="1342" spans="4:13" ht="15.75" customHeight="1" x14ac:dyDescent="0.2">
      <c r="D1342" s="12"/>
      <c r="E1342" s="13"/>
      <c r="F1342" s="11"/>
      <c r="G1342" s="11"/>
      <c r="H1342" s="11"/>
      <c r="I1342" s="11"/>
      <c r="J1342" s="11"/>
      <c r="K1342" s="11"/>
      <c r="L1342" s="11"/>
      <c r="M1342" s="11"/>
    </row>
    <row r="1343" spans="4:13" ht="15.75" customHeight="1" x14ac:dyDescent="0.2">
      <c r="D1343" s="12"/>
      <c r="E1343" s="13"/>
      <c r="F1343" s="11"/>
      <c r="G1343" s="11"/>
      <c r="H1343" s="11"/>
      <c r="I1343" s="11"/>
      <c r="J1343" s="11"/>
      <c r="K1343" s="11"/>
      <c r="L1343" s="11"/>
      <c r="M1343" s="11"/>
    </row>
    <row r="1344" spans="4:13" ht="15.75" customHeight="1" x14ac:dyDescent="0.2">
      <c r="D1344" s="12"/>
      <c r="E1344" s="13"/>
      <c r="F1344" s="11"/>
      <c r="G1344" s="11"/>
      <c r="H1344" s="11"/>
      <c r="I1344" s="11"/>
      <c r="J1344" s="11"/>
      <c r="K1344" s="11"/>
      <c r="L1344" s="11"/>
      <c r="M1344" s="11"/>
    </row>
    <row r="1345" spans="4:13" ht="15.75" customHeight="1" x14ac:dyDescent="0.2">
      <c r="D1345" s="12"/>
      <c r="E1345" s="13"/>
      <c r="F1345" s="11"/>
      <c r="G1345" s="11"/>
      <c r="H1345" s="11"/>
      <c r="I1345" s="11"/>
      <c r="J1345" s="11"/>
      <c r="K1345" s="11"/>
      <c r="L1345" s="11"/>
      <c r="M1345" s="11"/>
    </row>
    <row r="1346" spans="4:13" ht="15.75" customHeight="1" x14ac:dyDescent="0.2">
      <c r="D1346" s="12"/>
      <c r="E1346" s="13"/>
      <c r="F1346" s="11"/>
      <c r="G1346" s="11"/>
      <c r="H1346" s="11"/>
      <c r="I1346" s="11"/>
      <c r="J1346" s="11"/>
      <c r="K1346" s="11"/>
      <c r="L1346" s="11"/>
      <c r="M1346" s="11"/>
    </row>
    <row r="1347" spans="4:13" ht="15.75" customHeight="1" x14ac:dyDescent="0.2">
      <c r="D1347" s="12"/>
      <c r="E1347" s="13"/>
      <c r="F1347" s="11"/>
      <c r="G1347" s="11"/>
      <c r="H1347" s="11"/>
      <c r="I1347" s="11"/>
      <c r="J1347" s="11"/>
      <c r="K1347" s="11"/>
      <c r="L1347" s="11"/>
      <c r="M1347" s="11"/>
    </row>
    <row r="1348" spans="4:13" ht="15.75" customHeight="1" x14ac:dyDescent="0.2">
      <c r="D1348" s="12"/>
      <c r="E1348" s="13"/>
      <c r="F1348" s="11"/>
      <c r="G1348" s="11"/>
      <c r="H1348" s="11"/>
      <c r="I1348" s="11"/>
      <c r="J1348" s="11"/>
      <c r="K1348" s="11"/>
      <c r="L1348" s="11"/>
      <c r="M1348" s="11"/>
    </row>
    <row r="1349" spans="4:13" ht="15.75" customHeight="1" x14ac:dyDescent="0.2">
      <c r="D1349" s="12"/>
      <c r="E1349" s="13"/>
      <c r="F1349" s="11"/>
      <c r="G1349" s="11"/>
      <c r="H1349" s="11"/>
      <c r="I1349" s="11"/>
      <c r="J1349" s="11"/>
      <c r="K1349" s="11"/>
      <c r="L1349" s="11"/>
      <c r="M1349" s="11"/>
    </row>
    <row r="1350" spans="4:13" ht="15.75" customHeight="1" x14ac:dyDescent="0.2">
      <c r="D1350" s="12"/>
      <c r="E1350" s="13"/>
      <c r="F1350" s="11"/>
      <c r="G1350" s="11"/>
      <c r="H1350" s="11"/>
      <c r="I1350" s="11"/>
      <c r="J1350" s="11"/>
      <c r="K1350" s="11"/>
      <c r="L1350" s="11"/>
      <c r="M1350" s="11"/>
    </row>
    <row r="1351" spans="4:13" ht="15.75" customHeight="1" x14ac:dyDescent="0.2">
      <c r="D1351" s="12"/>
      <c r="E1351" s="13"/>
      <c r="F1351" s="11"/>
      <c r="G1351" s="11"/>
      <c r="H1351" s="11"/>
      <c r="I1351" s="11"/>
      <c r="J1351" s="11"/>
      <c r="K1351" s="11"/>
      <c r="L1351" s="11"/>
      <c r="M1351" s="11"/>
    </row>
    <row r="1352" spans="4:13" ht="15.75" customHeight="1" x14ac:dyDescent="0.2">
      <c r="D1352" s="12"/>
      <c r="E1352" s="13"/>
      <c r="F1352" s="11"/>
      <c r="G1352" s="11"/>
      <c r="H1352" s="11"/>
      <c r="I1352" s="11"/>
      <c r="J1352" s="11"/>
      <c r="K1352" s="11"/>
      <c r="L1352" s="11"/>
      <c r="M1352" s="11"/>
    </row>
    <row r="1353" spans="4:13" ht="15.75" customHeight="1" x14ac:dyDescent="0.2">
      <c r="D1353" s="12"/>
      <c r="E1353" s="13"/>
      <c r="F1353" s="11"/>
      <c r="G1353" s="11"/>
      <c r="H1353" s="11"/>
      <c r="I1353" s="11"/>
      <c r="J1353" s="11"/>
      <c r="K1353" s="11"/>
      <c r="L1353" s="11"/>
      <c r="M1353" s="11"/>
    </row>
    <row r="1354" spans="4:13" ht="15.75" customHeight="1" x14ac:dyDescent="0.2">
      <c r="D1354" s="12"/>
      <c r="E1354" s="13"/>
      <c r="F1354" s="11"/>
      <c r="G1354" s="11"/>
      <c r="H1354" s="11"/>
      <c r="I1354" s="11"/>
      <c r="J1354" s="11"/>
      <c r="K1354" s="11"/>
      <c r="L1354" s="11"/>
      <c r="M1354" s="11"/>
    </row>
    <row r="1355" spans="4:13" ht="15.75" customHeight="1" x14ac:dyDescent="0.2">
      <c r="D1355" s="12"/>
      <c r="E1355" s="13"/>
      <c r="F1355" s="11"/>
      <c r="G1355" s="11"/>
      <c r="H1355" s="11"/>
      <c r="I1355" s="11"/>
      <c r="J1355" s="11"/>
      <c r="K1355" s="11"/>
      <c r="L1355" s="11"/>
      <c r="M1355" s="11"/>
    </row>
    <row r="1356" spans="4:13" ht="15.75" customHeight="1" x14ac:dyDescent="0.2">
      <c r="D1356" s="12"/>
      <c r="E1356" s="13"/>
      <c r="F1356" s="11"/>
      <c r="G1356" s="11"/>
      <c r="H1356" s="11"/>
      <c r="I1356" s="11"/>
      <c r="J1356" s="11"/>
      <c r="K1356" s="11"/>
      <c r="L1356" s="11"/>
      <c r="M1356" s="11"/>
    </row>
    <row r="1357" spans="4:13" ht="15.75" customHeight="1" x14ac:dyDescent="0.2">
      <c r="D1357" s="12"/>
      <c r="E1357" s="13"/>
      <c r="F1357" s="11"/>
      <c r="G1357" s="11"/>
      <c r="H1357" s="11"/>
      <c r="I1357" s="11"/>
      <c r="J1357" s="11"/>
      <c r="K1357" s="11"/>
      <c r="L1357" s="11"/>
      <c r="M1357" s="11"/>
    </row>
    <row r="1358" spans="4:13" ht="15.75" customHeight="1" x14ac:dyDescent="0.2">
      <c r="D1358" s="12"/>
      <c r="E1358" s="13"/>
      <c r="F1358" s="11"/>
      <c r="G1358" s="11"/>
      <c r="H1358" s="11"/>
      <c r="I1358" s="11"/>
      <c r="J1358" s="11"/>
      <c r="K1358" s="11"/>
      <c r="L1358" s="11"/>
      <c r="M1358" s="11"/>
    </row>
    <row r="1359" spans="4:13" ht="15.75" customHeight="1" x14ac:dyDescent="0.2">
      <c r="D1359" s="12"/>
      <c r="E1359" s="13"/>
      <c r="F1359" s="11"/>
      <c r="G1359" s="11"/>
      <c r="H1359" s="11"/>
      <c r="I1359" s="11"/>
      <c r="J1359" s="11"/>
      <c r="K1359" s="11"/>
      <c r="L1359" s="11"/>
      <c r="M1359" s="11"/>
    </row>
    <row r="1360" spans="4:13" ht="15.75" customHeight="1" x14ac:dyDescent="0.2">
      <c r="D1360" s="12"/>
      <c r="E1360" s="13"/>
      <c r="F1360" s="11"/>
      <c r="G1360" s="11"/>
      <c r="H1360" s="11"/>
      <c r="I1360" s="11"/>
      <c r="J1360" s="11"/>
      <c r="K1360" s="11"/>
      <c r="L1360" s="11"/>
      <c r="M1360" s="11"/>
    </row>
    <row r="1361" spans="4:13" ht="15.75" customHeight="1" x14ac:dyDescent="0.2">
      <c r="D1361" s="12"/>
      <c r="E1361" s="13"/>
      <c r="F1361" s="11"/>
      <c r="G1361" s="11"/>
      <c r="H1361" s="11"/>
      <c r="I1361" s="11"/>
      <c r="J1361" s="11"/>
      <c r="K1361" s="11"/>
      <c r="L1361" s="11"/>
      <c r="M1361" s="11"/>
    </row>
    <row r="1362" spans="4:13" ht="15.75" customHeight="1" x14ac:dyDescent="0.2">
      <c r="D1362" s="12"/>
      <c r="E1362" s="13"/>
      <c r="F1362" s="11"/>
      <c r="G1362" s="11"/>
      <c r="H1362" s="11"/>
      <c r="I1362" s="11"/>
      <c r="J1362" s="11"/>
      <c r="K1362" s="11"/>
      <c r="L1362" s="11"/>
      <c r="M1362" s="11"/>
    </row>
    <row r="1363" spans="4:13" ht="15.75" customHeight="1" x14ac:dyDescent="0.2">
      <c r="D1363" s="12"/>
      <c r="E1363" s="13"/>
      <c r="F1363" s="11"/>
      <c r="G1363" s="11"/>
      <c r="H1363" s="11"/>
      <c r="I1363" s="11"/>
      <c r="J1363" s="11"/>
      <c r="K1363" s="11"/>
      <c r="L1363" s="11"/>
      <c r="M1363" s="11"/>
    </row>
    <row r="1364" spans="4:13" ht="15.75" customHeight="1" x14ac:dyDescent="0.2">
      <c r="D1364" s="12"/>
      <c r="E1364" s="13"/>
      <c r="F1364" s="11"/>
      <c r="G1364" s="11"/>
      <c r="H1364" s="11"/>
      <c r="I1364" s="11"/>
      <c r="J1364" s="11"/>
      <c r="K1364" s="11"/>
      <c r="L1364" s="11"/>
      <c r="M1364" s="11"/>
    </row>
    <row r="1365" spans="4:13" ht="15.75" customHeight="1" x14ac:dyDescent="0.2">
      <c r="D1365" s="12"/>
      <c r="E1365" s="13"/>
      <c r="F1365" s="11"/>
      <c r="G1365" s="11"/>
      <c r="H1365" s="11"/>
      <c r="I1365" s="11"/>
      <c r="J1365" s="11"/>
      <c r="K1365" s="11"/>
      <c r="L1365" s="11"/>
      <c r="M1365" s="11"/>
    </row>
    <row r="1366" spans="4:13" ht="15.75" customHeight="1" x14ac:dyDescent="0.2">
      <c r="D1366" s="12"/>
      <c r="E1366" s="13"/>
      <c r="F1366" s="11"/>
      <c r="G1366" s="11"/>
      <c r="H1366" s="11"/>
      <c r="I1366" s="11"/>
      <c r="J1366" s="11"/>
      <c r="K1366" s="11"/>
      <c r="L1366" s="11"/>
      <c r="M1366" s="11"/>
    </row>
    <row r="1367" spans="4:13" ht="15.75" customHeight="1" x14ac:dyDescent="0.2">
      <c r="D1367" s="12"/>
      <c r="E1367" s="13"/>
      <c r="F1367" s="11"/>
      <c r="G1367" s="11"/>
      <c r="H1367" s="11"/>
      <c r="I1367" s="11"/>
      <c r="J1367" s="11"/>
      <c r="K1367" s="11"/>
      <c r="L1367" s="11"/>
      <c r="M1367" s="11"/>
    </row>
    <row r="1368" spans="4:13" ht="15.75" customHeight="1" x14ac:dyDescent="0.2">
      <c r="D1368" s="12"/>
      <c r="E1368" s="13"/>
      <c r="F1368" s="11"/>
      <c r="G1368" s="11"/>
      <c r="H1368" s="11"/>
      <c r="I1368" s="11"/>
      <c r="J1368" s="11"/>
      <c r="K1368" s="11"/>
      <c r="L1368" s="11"/>
      <c r="M1368" s="11"/>
    </row>
    <row r="1369" spans="4:13" ht="15.75" customHeight="1" x14ac:dyDescent="0.2">
      <c r="D1369" s="12"/>
      <c r="E1369" s="13"/>
      <c r="F1369" s="11"/>
      <c r="G1369" s="11"/>
      <c r="H1369" s="11"/>
      <c r="I1369" s="11"/>
      <c r="J1369" s="11"/>
      <c r="K1369" s="11"/>
      <c r="L1369" s="11"/>
      <c r="M1369" s="11"/>
    </row>
    <row r="1370" spans="4:13" ht="15.75" customHeight="1" x14ac:dyDescent="0.2">
      <c r="D1370" s="12"/>
      <c r="E1370" s="13"/>
      <c r="F1370" s="11"/>
      <c r="G1370" s="11"/>
      <c r="H1370" s="11"/>
      <c r="I1370" s="11"/>
      <c r="J1370" s="11"/>
      <c r="K1370" s="11"/>
      <c r="L1370" s="11"/>
      <c r="M1370" s="11"/>
    </row>
    <row r="1371" spans="4:13" ht="15.75" customHeight="1" x14ac:dyDescent="0.2">
      <c r="D1371" s="12"/>
      <c r="E1371" s="13"/>
      <c r="F1371" s="11"/>
      <c r="G1371" s="11"/>
      <c r="H1371" s="11"/>
      <c r="I1371" s="11"/>
      <c r="J1371" s="11"/>
      <c r="K1371" s="11"/>
      <c r="L1371" s="11"/>
      <c r="M1371" s="11"/>
    </row>
    <row r="1372" spans="4:13" ht="15.75" customHeight="1" x14ac:dyDescent="0.2">
      <c r="D1372" s="12"/>
      <c r="E1372" s="13"/>
      <c r="F1372" s="11"/>
      <c r="G1372" s="11"/>
      <c r="H1372" s="11"/>
      <c r="I1372" s="11"/>
      <c r="J1372" s="11"/>
      <c r="K1372" s="11"/>
      <c r="L1372" s="11"/>
      <c r="M1372" s="11"/>
    </row>
    <row r="1373" spans="4:13" ht="15.75" customHeight="1" x14ac:dyDescent="0.2">
      <c r="D1373" s="12"/>
      <c r="E1373" s="13"/>
      <c r="F1373" s="11"/>
      <c r="G1373" s="11"/>
      <c r="H1373" s="11"/>
      <c r="I1373" s="11"/>
      <c r="J1373" s="11"/>
      <c r="K1373" s="11"/>
      <c r="L1373" s="11"/>
      <c r="M1373" s="11"/>
    </row>
    <row r="1374" spans="4:13" ht="15.75" customHeight="1" x14ac:dyDescent="0.2">
      <c r="D1374" s="12"/>
      <c r="E1374" s="13"/>
      <c r="F1374" s="11"/>
      <c r="G1374" s="11"/>
      <c r="H1374" s="11"/>
      <c r="I1374" s="11"/>
      <c r="J1374" s="11"/>
      <c r="K1374" s="11"/>
      <c r="L1374" s="11"/>
      <c r="M1374" s="11"/>
    </row>
    <row r="1375" spans="4:13" ht="15.75" customHeight="1" x14ac:dyDescent="0.2">
      <c r="D1375" s="12"/>
      <c r="E1375" s="13"/>
      <c r="F1375" s="11"/>
      <c r="G1375" s="11"/>
      <c r="H1375" s="11"/>
      <c r="I1375" s="11"/>
      <c r="J1375" s="11"/>
      <c r="K1375" s="11"/>
      <c r="L1375" s="11"/>
      <c r="M1375" s="11"/>
    </row>
    <row r="1376" spans="4:13" ht="15.75" customHeight="1" x14ac:dyDescent="0.2">
      <c r="D1376" s="12"/>
      <c r="E1376" s="13"/>
      <c r="F1376" s="11"/>
      <c r="G1376" s="11"/>
      <c r="H1376" s="11"/>
      <c r="I1376" s="11"/>
      <c r="J1376" s="11"/>
      <c r="K1376" s="11"/>
      <c r="L1376" s="11"/>
      <c r="M1376" s="11"/>
    </row>
    <row r="1377" spans="4:13" ht="15.75" customHeight="1" x14ac:dyDescent="0.2">
      <c r="D1377" s="12"/>
      <c r="E1377" s="13"/>
      <c r="F1377" s="11"/>
      <c r="G1377" s="11"/>
      <c r="H1377" s="11"/>
      <c r="I1377" s="11"/>
      <c r="J1377" s="11"/>
      <c r="K1377" s="11"/>
      <c r="L1377" s="11"/>
      <c r="M1377" s="11"/>
    </row>
    <row r="1378" spans="4:13" ht="15.75" customHeight="1" x14ac:dyDescent="0.2">
      <c r="D1378" s="12"/>
      <c r="E1378" s="13"/>
      <c r="F1378" s="11"/>
      <c r="G1378" s="11"/>
      <c r="H1378" s="11"/>
      <c r="I1378" s="11"/>
      <c r="J1378" s="11"/>
      <c r="K1378" s="11"/>
      <c r="L1378" s="11"/>
      <c r="M1378" s="11"/>
    </row>
    <row r="1379" spans="4:13" ht="15.75" customHeight="1" x14ac:dyDescent="0.2">
      <c r="D1379" s="12"/>
      <c r="E1379" s="13"/>
      <c r="F1379" s="11"/>
      <c r="G1379" s="11"/>
      <c r="H1379" s="11"/>
      <c r="I1379" s="11"/>
      <c r="J1379" s="11"/>
      <c r="K1379" s="11"/>
      <c r="L1379" s="11"/>
      <c r="M1379" s="11"/>
    </row>
    <row r="1380" spans="4:13" ht="15.75" customHeight="1" x14ac:dyDescent="0.2">
      <c r="D1380" s="12"/>
      <c r="E1380" s="13"/>
      <c r="F1380" s="11"/>
      <c r="G1380" s="11"/>
      <c r="H1380" s="11"/>
      <c r="I1380" s="11"/>
      <c r="J1380" s="11"/>
      <c r="K1380" s="11"/>
      <c r="L1380" s="11"/>
      <c r="M1380" s="11"/>
    </row>
    <row r="1381" spans="4:13" ht="15.75" customHeight="1" x14ac:dyDescent="0.2">
      <c r="D1381" s="12"/>
      <c r="E1381" s="13"/>
      <c r="F1381" s="11"/>
      <c r="G1381" s="11"/>
      <c r="H1381" s="11"/>
      <c r="I1381" s="11"/>
      <c r="J1381" s="11"/>
      <c r="K1381" s="11"/>
      <c r="L1381" s="11"/>
      <c r="M1381" s="11"/>
    </row>
    <row r="1382" spans="4:13" ht="15.75" customHeight="1" x14ac:dyDescent="0.2">
      <c r="D1382" s="12"/>
      <c r="E1382" s="13"/>
      <c r="F1382" s="11"/>
      <c r="G1382" s="11"/>
      <c r="H1382" s="11"/>
      <c r="I1382" s="11"/>
      <c r="J1382" s="11"/>
      <c r="K1382" s="11"/>
      <c r="L1382" s="11"/>
      <c r="M1382" s="11"/>
    </row>
    <row r="1383" spans="4:13" ht="15.75" customHeight="1" x14ac:dyDescent="0.2">
      <c r="D1383" s="12"/>
      <c r="E1383" s="13"/>
      <c r="F1383" s="11"/>
      <c r="G1383" s="11"/>
      <c r="H1383" s="11"/>
      <c r="I1383" s="11"/>
      <c r="J1383" s="11"/>
      <c r="K1383" s="11"/>
      <c r="L1383" s="11"/>
      <c r="M1383" s="11"/>
    </row>
    <row r="1384" spans="4:13" ht="15.75" customHeight="1" x14ac:dyDescent="0.2">
      <c r="D1384" s="12"/>
      <c r="E1384" s="13"/>
      <c r="F1384" s="11"/>
      <c r="G1384" s="11"/>
      <c r="H1384" s="11"/>
      <c r="I1384" s="11"/>
      <c r="J1384" s="11"/>
      <c r="K1384" s="11"/>
      <c r="L1384" s="11"/>
      <c r="M1384" s="11"/>
    </row>
    <row r="1385" spans="4:13" ht="15.75" customHeight="1" x14ac:dyDescent="0.2">
      <c r="D1385" s="12"/>
      <c r="E1385" s="13"/>
      <c r="F1385" s="11"/>
      <c r="G1385" s="11"/>
      <c r="H1385" s="11"/>
      <c r="I1385" s="11"/>
      <c r="J1385" s="11"/>
      <c r="K1385" s="11"/>
      <c r="L1385" s="11"/>
      <c r="M1385" s="11"/>
    </row>
    <row r="1386" spans="4:13" ht="15.75" customHeight="1" x14ac:dyDescent="0.2">
      <c r="D1386" s="12"/>
      <c r="E1386" s="13"/>
      <c r="F1386" s="11"/>
      <c r="G1386" s="11"/>
      <c r="H1386" s="11"/>
      <c r="I1386" s="11"/>
      <c r="J1386" s="11"/>
      <c r="K1386" s="11"/>
      <c r="L1386" s="11"/>
      <c r="M1386" s="11"/>
    </row>
    <row r="1387" spans="4:13" ht="15.75" customHeight="1" x14ac:dyDescent="0.2">
      <c r="D1387" s="12"/>
      <c r="E1387" s="13"/>
      <c r="F1387" s="11"/>
      <c r="G1387" s="11"/>
      <c r="H1387" s="11"/>
      <c r="I1387" s="11"/>
      <c r="J1387" s="11"/>
      <c r="K1387" s="11"/>
      <c r="L1387" s="11"/>
      <c r="M1387" s="11"/>
    </row>
    <row r="1388" spans="4:13" ht="15.75" customHeight="1" x14ac:dyDescent="0.2">
      <c r="D1388" s="12"/>
      <c r="E1388" s="13"/>
      <c r="F1388" s="11"/>
      <c r="G1388" s="11"/>
      <c r="H1388" s="11"/>
      <c r="I1388" s="11"/>
      <c r="J1388" s="11"/>
      <c r="K1388" s="11"/>
      <c r="L1388" s="11"/>
      <c r="M1388" s="11"/>
    </row>
    <row r="1389" spans="4:13" ht="15.75" customHeight="1" x14ac:dyDescent="0.2">
      <c r="D1389" s="12"/>
      <c r="E1389" s="13"/>
      <c r="F1389" s="11"/>
      <c r="G1389" s="11"/>
      <c r="H1389" s="11"/>
      <c r="I1389" s="11"/>
      <c r="J1389" s="11"/>
      <c r="K1389" s="11"/>
      <c r="L1389" s="11"/>
      <c r="M1389" s="11"/>
    </row>
    <row r="1390" spans="4:13" ht="15.75" customHeight="1" x14ac:dyDescent="0.2">
      <c r="D1390" s="12"/>
      <c r="E1390" s="13"/>
      <c r="F1390" s="11"/>
      <c r="G1390" s="11"/>
      <c r="H1390" s="11"/>
      <c r="I1390" s="11"/>
      <c r="J1390" s="11"/>
      <c r="K1390" s="11"/>
      <c r="L1390" s="11"/>
      <c r="M1390" s="11"/>
    </row>
    <row r="1391" spans="4:13" ht="15.75" customHeight="1" x14ac:dyDescent="0.2">
      <c r="D1391" s="12"/>
      <c r="E1391" s="13"/>
      <c r="F1391" s="11"/>
      <c r="G1391" s="11"/>
      <c r="H1391" s="11"/>
      <c r="I1391" s="11"/>
      <c r="J1391" s="11"/>
      <c r="K1391" s="11"/>
      <c r="L1391" s="11"/>
      <c r="M1391" s="11"/>
    </row>
    <row r="1392" spans="4:13" ht="15.75" customHeight="1" x14ac:dyDescent="0.2">
      <c r="D1392" s="12"/>
      <c r="E1392" s="13"/>
      <c r="F1392" s="11"/>
      <c r="G1392" s="11"/>
      <c r="H1392" s="11"/>
      <c r="I1392" s="11"/>
      <c r="J1392" s="11"/>
      <c r="K1392" s="11"/>
      <c r="L1392" s="11"/>
      <c r="M1392" s="11"/>
    </row>
    <row r="1393" spans="4:13" ht="15.75" customHeight="1" x14ac:dyDescent="0.2">
      <c r="D1393" s="12"/>
      <c r="E1393" s="13"/>
      <c r="F1393" s="11"/>
      <c r="G1393" s="11"/>
      <c r="H1393" s="11"/>
      <c r="I1393" s="11"/>
      <c r="J1393" s="11"/>
      <c r="K1393" s="11"/>
      <c r="L1393" s="11"/>
      <c r="M1393" s="11"/>
    </row>
    <row r="1394" spans="4:13" ht="15.75" customHeight="1" x14ac:dyDescent="0.2">
      <c r="D1394" s="12"/>
      <c r="E1394" s="13"/>
      <c r="F1394" s="11"/>
      <c r="G1394" s="11"/>
      <c r="H1394" s="11"/>
      <c r="I1394" s="11"/>
      <c r="J1394" s="11"/>
      <c r="K1394" s="11"/>
      <c r="L1394" s="11"/>
      <c r="M1394" s="11"/>
    </row>
    <row r="1395" spans="4:13" ht="15.75" customHeight="1" x14ac:dyDescent="0.2">
      <c r="D1395" s="12"/>
      <c r="E1395" s="13"/>
      <c r="F1395" s="11"/>
      <c r="G1395" s="11"/>
      <c r="H1395" s="11"/>
      <c r="I1395" s="11"/>
      <c r="J1395" s="11"/>
      <c r="K1395" s="11"/>
      <c r="L1395" s="11"/>
      <c r="M1395" s="11"/>
    </row>
    <row r="1396" spans="4:13" ht="15.75" customHeight="1" x14ac:dyDescent="0.2">
      <c r="D1396" s="12"/>
      <c r="E1396" s="13"/>
      <c r="F1396" s="11"/>
      <c r="G1396" s="11"/>
      <c r="H1396" s="11"/>
      <c r="I1396" s="11"/>
      <c r="J1396" s="11"/>
      <c r="K1396" s="11"/>
      <c r="L1396" s="11"/>
      <c r="M1396" s="11"/>
    </row>
    <row r="1397" spans="4:13" ht="15.75" customHeight="1" x14ac:dyDescent="0.2">
      <c r="D1397" s="12"/>
      <c r="E1397" s="13"/>
      <c r="F1397" s="11"/>
      <c r="G1397" s="11"/>
      <c r="H1397" s="11"/>
      <c r="I1397" s="11"/>
      <c r="J1397" s="11"/>
      <c r="K1397" s="11"/>
      <c r="L1397" s="11"/>
      <c r="M1397" s="11"/>
    </row>
    <row r="1398" spans="4:13" ht="15.75" customHeight="1" x14ac:dyDescent="0.2">
      <c r="D1398" s="12"/>
      <c r="E1398" s="13"/>
      <c r="F1398" s="11"/>
      <c r="G1398" s="11"/>
      <c r="H1398" s="11"/>
      <c r="I1398" s="11"/>
      <c r="J1398" s="11"/>
      <c r="K1398" s="11"/>
      <c r="L1398" s="11"/>
      <c r="M1398" s="11"/>
    </row>
    <row r="1399" spans="4:13" ht="15.75" customHeight="1" x14ac:dyDescent="0.2">
      <c r="D1399" s="12"/>
      <c r="E1399" s="13"/>
      <c r="F1399" s="11"/>
      <c r="G1399" s="11"/>
      <c r="H1399" s="11"/>
      <c r="I1399" s="11"/>
      <c r="J1399" s="11"/>
      <c r="K1399" s="11"/>
      <c r="L1399" s="11"/>
      <c r="M1399" s="11"/>
    </row>
    <row r="1400" spans="4:13" ht="15.75" customHeight="1" x14ac:dyDescent="0.2">
      <c r="D1400" s="12"/>
      <c r="E1400" s="13"/>
      <c r="F1400" s="11"/>
      <c r="G1400" s="11"/>
      <c r="H1400" s="11"/>
      <c r="I1400" s="11"/>
      <c r="J1400" s="11"/>
      <c r="K1400" s="11"/>
      <c r="L1400" s="11"/>
      <c r="M1400" s="11"/>
    </row>
    <row r="1401" spans="4:13" ht="15.75" customHeight="1" x14ac:dyDescent="0.2">
      <c r="D1401" s="12"/>
      <c r="E1401" s="13"/>
      <c r="F1401" s="11"/>
      <c r="G1401" s="11"/>
      <c r="H1401" s="11"/>
      <c r="I1401" s="11"/>
      <c r="J1401" s="11"/>
      <c r="K1401" s="11"/>
      <c r="L1401" s="11"/>
      <c r="M1401" s="11"/>
    </row>
    <row r="1402" spans="4:13" ht="15.75" customHeight="1" x14ac:dyDescent="0.2">
      <c r="D1402" s="12"/>
      <c r="E1402" s="13"/>
      <c r="F1402" s="11"/>
      <c r="G1402" s="11"/>
      <c r="H1402" s="11"/>
      <c r="I1402" s="11"/>
      <c r="J1402" s="11"/>
      <c r="K1402" s="11"/>
      <c r="L1402" s="11"/>
      <c r="M1402" s="11"/>
    </row>
    <row r="1403" spans="4:13" ht="15.75" customHeight="1" x14ac:dyDescent="0.2">
      <c r="D1403" s="12"/>
      <c r="E1403" s="13"/>
      <c r="F1403" s="11"/>
      <c r="G1403" s="11"/>
      <c r="H1403" s="11"/>
      <c r="I1403" s="11"/>
      <c r="J1403" s="11"/>
      <c r="K1403" s="11"/>
      <c r="L1403" s="11"/>
      <c r="M1403" s="11"/>
    </row>
    <row r="1404" spans="4:13" ht="15.75" customHeight="1" x14ac:dyDescent="0.2">
      <c r="D1404" s="12"/>
      <c r="E1404" s="13"/>
      <c r="F1404" s="11"/>
      <c r="G1404" s="11"/>
      <c r="H1404" s="11"/>
      <c r="I1404" s="11"/>
      <c r="J1404" s="11"/>
      <c r="K1404" s="11"/>
      <c r="L1404" s="11"/>
      <c r="M1404" s="11"/>
    </row>
    <row r="1405" spans="4:13" ht="15.75" customHeight="1" x14ac:dyDescent="0.2">
      <c r="D1405" s="12"/>
      <c r="E1405" s="13"/>
      <c r="F1405" s="11"/>
      <c r="G1405" s="11"/>
      <c r="H1405" s="11"/>
      <c r="I1405" s="11"/>
      <c r="J1405" s="11"/>
      <c r="K1405" s="11"/>
      <c r="L1405" s="11"/>
      <c r="M1405" s="11"/>
    </row>
    <row r="1406" spans="4:13" ht="15.75" customHeight="1" x14ac:dyDescent="0.2">
      <c r="D1406" s="12"/>
      <c r="E1406" s="13"/>
      <c r="F1406" s="11"/>
      <c r="G1406" s="11"/>
      <c r="H1406" s="11"/>
      <c r="I1406" s="11"/>
      <c r="J1406" s="11"/>
      <c r="K1406" s="11"/>
      <c r="L1406" s="11"/>
      <c r="M1406" s="11"/>
    </row>
    <row r="1407" spans="4:13" ht="15.75" customHeight="1" x14ac:dyDescent="0.2">
      <c r="D1407" s="12"/>
      <c r="E1407" s="13"/>
      <c r="F1407" s="11"/>
      <c r="G1407" s="11"/>
      <c r="H1407" s="11"/>
      <c r="I1407" s="11"/>
      <c r="J1407" s="11"/>
      <c r="K1407" s="11"/>
      <c r="L1407" s="11"/>
      <c r="M1407" s="11"/>
    </row>
    <row r="1408" spans="4:13" ht="15.75" customHeight="1" x14ac:dyDescent="0.2">
      <c r="D1408" s="12"/>
      <c r="E1408" s="13"/>
      <c r="F1408" s="11"/>
      <c r="G1408" s="11"/>
      <c r="H1408" s="11"/>
      <c r="I1408" s="11"/>
      <c r="J1408" s="11"/>
      <c r="K1408" s="11"/>
      <c r="L1408" s="11"/>
      <c r="M1408" s="11"/>
    </row>
    <row r="1409" spans="4:13" ht="15.75" customHeight="1" x14ac:dyDescent="0.2">
      <c r="D1409" s="12"/>
      <c r="E1409" s="13"/>
      <c r="F1409" s="11"/>
      <c r="G1409" s="11"/>
      <c r="H1409" s="11"/>
      <c r="I1409" s="11"/>
      <c r="J1409" s="11"/>
      <c r="K1409" s="11"/>
      <c r="L1409" s="11"/>
      <c r="M1409" s="11"/>
    </row>
    <row r="1410" spans="4:13" ht="15.75" customHeight="1" x14ac:dyDescent="0.2">
      <c r="D1410" s="12"/>
      <c r="E1410" s="13"/>
      <c r="F1410" s="11"/>
      <c r="G1410" s="11"/>
      <c r="H1410" s="11"/>
      <c r="I1410" s="11"/>
      <c r="J1410" s="11"/>
      <c r="K1410" s="11"/>
      <c r="L1410" s="11"/>
      <c r="M1410" s="11"/>
    </row>
    <row r="1411" spans="4:13" ht="15.75" customHeight="1" x14ac:dyDescent="0.2">
      <c r="D1411" s="12"/>
      <c r="E1411" s="13"/>
      <c r="F1411" s="11"/>
      <c r="G1411" s="11"/>
      <c r="H1411" s="11"/>
      <c r="I1411" s="11"/>
      <c r="J1411" s="11"/>
      <c r="K1411" s="11"/>
      <c r="L1411" s="11"/>
      <c r="M1411" s="11"/>
    </row>
    <row r="1412" spans="4:13" ht="15.75" customHeight="1" x14ac:dyDescent="0.2">
      <c r="D1412" s="12"/>
      <c r="E1412" s="13"/>
      <c r="F1412" s="11"/>
      <c r="G1412" s="11"/>
      <c r="H1412" s="11"/>
      <c r="I1412" s="11"/>
      <c r="J1412" s="11"/>
      <c r="K1412" s="11"/>
      <c r="L1412" s="11"/>
      <c r="M1412" s="11"/>
    </row>
    <row r="1413" spans="4:13" ht="15.75" customHeight="1" x14ac:dyDescent="0.2">
      <c r="D1413" s="12"/>
      <c r="E1413" s="13"/>
      <c r="F1413" s="11"/>
      <c r="G1413" s="11"/>
      <c r="H1413" s="11"/>
      <c r="I1413" s="11"/>
      <c r="J1413" s="11"/>
      <c r="K1413" s="11"/>
      <c r="L1413" s="11"/>
      <c r="M1413" s="11"/>
    </row>
    <row r="1414" spans="4:13" ht="15.75" customHeight="1" x14ac:dyDescent="0.2">
      <c r="D1414" s="12"/>
      <c r="E1414" s="13"/>
      <c r="F1414" s="11"/>
      <c r="G1414" s="11"/>
      <c r="H1414" s="11"/>
      <c r="I1414" s="11"/>
      <c r="J1414" s="11"/>
      <c r="K1414" s="11"/>
      <c r="L1414" s="11"/>
      <c r="M1414" s="11"/>
    </row>
    <row r="1415" spans="4:13" ht="15.75" customHeight="1" x14ac:dyDescent="0.2">
      <c r="D1415" s="12"/>
      <c r="E1415" s="13"/>
      <c r="F1415" s="11"/>
      <c r="G1415" s="11"/>
      <c r="H1415" s="11"/>
      <c r="I1415" s="11"/>
      <c r="J1415" s="11"/>
      <c r="K1415" s="11"/>
      <c r="L1415" s="11"/>
      <c r="M1415" s="11"/>
    </row>
    <row r="1416" spans="4:13" ht="15.75" customHeight="1" x14ac:dyDescent="0.2">
      <c r="D1416" s="12"/>
      <c r="E1416" s="13"/>
      <c r="F1416" s="11"/>
      <c r="G1416" s="11"/>
      <c r="H1416" s="11"/>
      <c r="I1416" s="11"/>
      <c r="J1416" s="11"/>
      <c r="K1416" s="11"/>
      <c r="L1416" s="11"/>
      <c r="M1416" s="11"/>
    </row>
    <row r="1417" spans="4:13" ht="15.75" customHeight="1" x14ac:dyDescent="0.2">
      <c r="D1417" s="12"/>
      <c r="E1417" s="13"/>
      <c r="F1417" s="11"/>
      <c r="G1417" s="11"/>
      <c r="H1417" s="11"/>
      <c r="I1417" s="11"/>
      <c r="J1417" s="11"/>
      <c r="K1417" s="11"/>
      <c r="L1417" s="11"/>
      <c r="M1417" s="11"/>
    </row>
    <row r="1418" spans="4:13" ht="15.75" customHeight="1" x14ac:dyDescent="0.2">
      <c r="D1418" s="12"/>
      <c r="E1418" s="13"/>
      <c r="F1418" s="11"/>
      <c r="G1418" s="11"/>
      <c r="H1418" s="11"/>
      <c r="I1418" s="11"/>
      <c r="J1418" s="11"/>
      <c r="K1418" s="11"/>
      <c r="L1418" s="11"/>
      <c r="M1418" s="11"/>
    </row>
    <row r="1419" spans="4:13" ht="15.75" customHeight="1" x14ac:dyDescent="0.2">
      <c r="D1419" s="12"/>
      <c r="E1419" s="13"/>
      <c r="F1419" s="11"/>
      <c r="G1419" s="11"/>
      <c r="H1419" s="11"/>
      <c r="I1419" s="11"/>
      <c r="J1419" s="11"/>
      <c r="K1419" s="11"/>
      <c r="L1419" s="11"/>
      <c r="M1419" s="11"/>
    </row>
    <row r="1420" spans="4:13" ht="15.75" customHeight="1" x14ac:dyDescent="0.2">
      <c r="D1420" s="12"/>
      <c r="E1420" s="13"/>
      <c r="F1420" s="11"/>
      <c r="G1420" s="11"/>
      <c r="H1420" s="11"/>
      <c r="I1420" s="11"/>
      <c r="J1420" s="11"/>
      <c r="K1420" s="11"/>
      <c r="L1420" s="11"/>
      <c r="M1420" s="11"/>
    </row>
    <row r="1421" spans="4:13" ht="15.75" customHeight="1" x14ac:dyDescent="0.2">
      <c r="D1421" s="12"/>
      <c r="E1421" s="13"/>
      <c r="F1421" s="11"/>
      <c r="G1421" s="11"/>
      <c r="H1421" s="11"/>
      <c r="I1421" s="11"/>
      <c r="J1421" s="11"/>
      <c r="K1421" s="11"/>
      <c r="L1421" s="11"/>
      <c r="M1421" s="11"/>
    </row>
    <row r="1422" spans="4:13" ht="15.75" customHeight="1" x14ac:dyDescent="0.2">
      <c r="D1422" s="12"/>
      <c r="E1422" s="13"/>
      <c r="F1422" s="11"/>
      <c r="G1422" s="11"/>
      <c r="H1422" s="11"/>
      <c r="I1422" s="11"/>
      <c r="J1422" s="11"/>
      <c r="K1422" s="11"/>
      <c r="L1422" s="11"/>
      <c r="M1422" s="11"/>
    </row>
    <row r="1423" spans="4:13" ht="15.75" customHeight="1" x14ac:dyDescent="0.2">
      <c r="D1423" s="12"/>
      <c r="E1423" s="13"/>
      <c r="F1423" s="11"/>
      <c r="G1423" s="11"/>
      <c r="H1423" s="11"/>
      <c r="I1423" s="11"/>
      <c r="J1423" s="11"/>
      <c r="K1423" s="11"/>
      <c r="L1423" s="11"/>
      <c r="M1423" s="11"/>
    </row>
    <row r="1424" spans="4:13" ht="15.75" customHeight="1" x14ac:dyDescent="0.2">
      <c r="D1424" s="12"/>
      <c r="E1424" s="13"/>
      <c r="F1424" s="11"/>
      <c r="G1424" s="11"/>
      <c r="H1424" s="11"/>
      <c r="I1424" s="11"/>
      <c r="J1424" s="11"/>
      <c r="K1424" s="11"/>
      <c r="L1424" s="11"/>
      <c r="M1424" s="11"/>
    </row>
    <row r="1425" spans="4:13" ht="15.75" customHeight="1" x14ac:dyDescent="0.2">
      <c r="D1425" s="12"/>
      <c r="E1425" s="13"/>
      <c r="F1425" s="11"/>
      <c r="G1425" s="11"/>
      <c r="H1425" s="11"/>
      <c r="I1425" s="11"/>
      <c r="J1425" s="11"/>
      <c r="K1425" s="11"/>
      <c r="L1425" s="11"/>
      <c r="M1425" s="11"/>
    </row>
    <row r="1426" spans="4:13" ht="15.75" customHeight="1" x14ac:dyDescent="0.2">
      <c r="D1426" s="12"/>
      <c r="E1426" s="13"/>
      <c r="F1426" s="11"/>
      <c r="G1426" s="11"/>
      <c r="H1426" s="11"/>
      <c r="I1426" s="11"/>
      <c r="J1426" s="11"/>
      <c r="K1426" s="11"/>
      <c r="L1426" s="11"/>
      <c r="M1426" s="11"/>
    </row>
    <row r="1427" spans="4:13" ht="15.75" customHeight="1" x14ac:dyDescent="0.2">
      <c r="D1427" s="12"/>
      <c r="E1427" s="13"/>
      <c r="F1427" s="11"/>
      <c r="G1427" s="11"/>
      <c r="H1427" s="11"/>
      <c r="I1427" s="11"/>
      <c r="J1427" s="11"/>
      <c r="K1427" s="11"/>
      <c r="L1427" s="11"/>
      <c r="M1427" s="11"/>
    </row>
    <row r="1428" spans="4:13" ht="15.75" customHeight="1" x14ac:dyDescent="0.2">
      <c r="D1428" s="12"/>
      <c r="E1428" s="13"/>
      <c r="F1428" s="11"/>
      <c r="G1428" s="11"/>
      <c r="H1428" s="11"/>
      <c r="I1428" s="11"/>
      <c r="J1428" s="11"/>
      <c r="K1428" s="11"/>
      <c r="L1428" s="11"/>
      <c r="M1428" s="11"/>
    </row>
    <row r="1429" spans="4:13" ht="15.75" customHeight="1" x14ac:dyDescent="0.2">
      <c r="D1429" s="12"/>
      <c r="E1429" s="13"/>
      <c r="F1429" s="11"/>
      <c r="G1429" s="11"/>
      <c r="H1429" s="11"/>
      <c r="I1429" s="11"/>
      <c r="J1429" s="11"/>
      <c r="K1429" s="11"/>
      <c r="L1429" s="11"/>
      <c r="M1429" s="11"/>
    </row>
    <row r="1430" spans="4:13" ht="15.75" customHeight="1" x14ac:dyDescent="0.2">
      <c r="D1430" s="12"/>
      <c r="E1430" s="13"/>
      <c r="F1430" s="11"/>
      <c r="G1430" s="11"/>
      <c r="H1430" s="11"/>
      <c r="I1430" s="11"/>
      <c r="J1430" s="11"/>
      <c r="K1430" s="11"/>
      <c r="L1430" s="11"/>
      <c r="M1430" s="11"/>
    </row>
    <row r="1431" spans="4:13" ht="15.75" customHeight="1" x14ac:dyDescent="0.2">
      <c r="D1431" s="12"/>
      <c r="E1431" s="13"/>
      <c r="F1431" s="11"/>
      <c r="G1431" s="11"/>
      <c r="H1431" s="11"/>
      <c r="I1431" s="11"/>
      <c r="J1431" s="11"/>
      <c r="K1431" s="11"/>
      <c r="L1431" s="11"/>
      <c r="M1431" s="11"/>
    </row>
    <row r="1432" spans="4:13" ht="15.75" customHeight="1" x14ac:dyDescent="0.2">
      <c r="D1432" s="12"/>
      <c r="E1432" s="13"/>
      <c r="F1432" s="11"/>
      <c r="G1432" s="11"/>
      <c r="H1432" s="11"/>
      <c r="I1432" s="11"/>
      <c r="J1432" s="11"/>
      <c r="K1432" s="11"/>
      <c r="L1432" s="11"/>
      <c r="M1432" s="11"/>
    </row>
    <row r="1433" spans="4:13" ht="15.75" customHeight="1" x14ac:dyDescent="0.2">
      <c r="D1433" s="12"/>
      <c r="E1433" s="13"/>
      <c r="F1433" s="11"/>
      <c r="G1433" s="11"/>
      <c r="H1433" s="11"/>
      <c r="I1433" s="11"/>
      <c r="J1433" s="11"/>
      <c r="K1433" s="11"/>
      <c r="L1433" s="11"/>
      <c r="M1433" s="11"/>
    </row>
    <row r="1434" spans="4:13" ht="15.75" customHeight="1" x14ac:dyDescent="0.2">
      <c r="D1434" s="12"/>
      <c r="E1434" s="13"/>
      <c r="F1434" s="11"/>
      <c r="G1434" s="11"/>
      <c r="H1434" s="11"/>
      <c r="I1434" s="11"/>
      <c r="J1434" s="11"/>
      <c r="K1434" s="11"/>
      <c r="L1434" s="11"/>
      <c r="M1434" s="11"/>
    </row>
    <row r="1435" spans="4:13" ht="15.75" customHeight="1" x14ac:dyDescent="0.2">
      <c r="D1435" s="12"/>
      <c r="E1435" s="13"/>
      <c r="F1435" s="11"/>
      <c r="G1435" s="11"/>
      <c r="H1435" s="11"/>
      <c r="I1435" s="11"/>
      <c r="J1435" s="11"/>
      <c r="K1435" s="11"/>
      <c r="L1435" s="11"/>
      <c r="M1435" s="11"/>
    </row>
    <row r="1436" spans="4:13" ht="15.75" customHeight="1" x14ac:dyDescent="0.2">
      <c r="D1436" s="12"/>
      <c r="E1436" s="13"/>
      <c r="F1436" s="11"/>
      <c r="G1436" s="11"/>
      <c r="H1436" s="11"/>
      <c r="I1436" s="11"/>
      <c r="J1436" s="11"/>
      <c r="K1436" s="11"/>
      <c r="L1436" s="11"/>
      <c r="M1436" s="11"/>
    </row>
    <row r="1437" spans="4:13" ht="15.75" customHeight="1" x14ac:dyDescent="0.2">
      <c r="D1437" s="12"/>
      <c r="E1437" s="13"/>
      <c r="F1437" s="11"/>
      <c r="G1437" s="11"/>
      <c r="H1437" s="11"/>
      <c r="I1437" s="11"/>
      <c r="J1437" s="11"/>
      <c r="K1437" s="11"/>
      <c r="L1437" s="11"/>
      <c r="M1437" s="11"/>
    </row>
    <row r="1438" spans="4:13" ht="15.75" customHeight="1" x14ac:dyDescent="0.2">
      <c r="D1438" s="12"/>
      <c r="E1438" s="13"/>
      <c r="F1438" s="11"/>
      <c r="G1438" s="11"/>
      <c r="H1438" s="11"/>
      <c r="I1438" s="11"/>
      <c r="J1438" s="11"/>
      <c r="K1438" s="11"/>
      <c r="L1438" s="11"/>
      <c r="M1438" s="11"/>
    </row>
    <row r="1439" spans="4:13" ht="15.75" customHeight="1" x14ac:dyDescent="0.2">
      <c r="D1439" s="12"/>
      <c r="E1439" s="13"/>
      <c r="F1439" s="11"/>
      <c r="G1439" s="11"/>
      <c r="H1439" s="11"/>
      <c r="I1439" s="11"/>
      <c r="J1439" s="11"/>
      <c r="K1439" s="11"/>
      <c r="L1439" s="11"/>
      <c r="M1439" s="11"/>
    </row>
    <row r="1440" spans="4:13" ht="15.75" customHeight="1" x14ac:dyDescent="0.2">
      <c r="D1440" s="12"/>
      <c r="E1440" s="13"/>
      <c r="F1440" s="11"/>
      <c r="G1440" s="11"/>
      <c r="H1440" s="11"/>
      <c r="I1440" s="11"/>
      <c r="J1440" s="11"/>
      <c r="K1440" s="11"/>
      <c r="L1440" s="11"/>
      <c r="M1440" s="11"/>
    </row>
    <row r="1441" spans="4:13" ht="15.75" customHeight="1" x14ac:dyDescent="0.2">
      <c r="D1441" s="12"/>
      <c r="E1441" s="13"/>
      <c r="F1441" s="11"/>
      <c r="G1441" s="11"/>
      <c r="H1441" s="11"/>
      <c r="I1441" s="11"/>
      <c r="J1441" s="11"/>
      <c r="K1441" s="11"/>
      <c r="L1441" s="11"/>
      <c r="M1441" s="11"/>
    </row>
    <row r="1442" spans="4:13" ht="15.75" customHeight="1" x14ac:dyDescent="0.2">
      <c r="D1442" s="12"/>
      <c r="E1442" s="13"/>
      <c r="F1442" s="11"/>
      <c r="G1442" s="11"/>
      <c r="H1442" s="11"/>
      <c r="I1442" s="11"/>
      <c r="J1442" s="11"/>
      <c r="K1442" s="11"/>
      <c r="L1442" s="11"/>
      <c r="M1442" s="11"/>
    </row>
    <row r="1443" spans="4:13" ht="15.75" customHeight="1" x14ac:dyDescent="0.2">
      <c r="D1443" s="12"/>
      <c r="E1443" s="13"/>
      <c r="F1443" s="11"/>
      <c r="G1443" s="11"/>
      <c r="H1443" s="11"/>
      <c r="I1443" s="11"/>
      <c r="J1443" s="11"/>
      <c r="K1443" s="11"/>
      <c r="L1443" s="11"/>
      <c r="M1443" s="11"/>
    </row>
    <row r="1444" spans="4:13" ht="15.75" customHeight="1" x14ac:dyDescent="0.2">
      <c r="D1444" s="12"/>
      <c r="E1444" s="13"/>
      <c r="F1444" s="11"/>
      <c r="G1444" s="11"/>
      <c r="H1444" s="11"/>
      <c r="I1444" s="11"/>
      <c r="J1444" s="11"/>
      <c r="K1444" s="11"/>
      <c r="L1444" s="11"/>
      <c r="M1444" s="11"/>
    </row>
    <row r="1445" spans="4:13" ht="15.75" customHeight="1" x14ac:dyDescent="0.2">
      <c r="D1445" s="12"/>
      <c r="E1445" s="13"/>
      <c r="F1445" s="11"/>
      <c r="G1445" s="11"/>
      <c r="H1445" s="11"/>
      <c r="I1445" s="11"/>
      <c r="J1445" s="11"/>
      <c r="K1445" s="11"/>
      <c r="L1445" s="11"/>
      <c r="M1445" s="11"/>
    </row>
    <row r="1446" spans="4:13" ht="15.75" customHeight="1" x14ac:dyDescent="0.2">
      <c r="D1446" s="12"/>
      <c r="E1446" s="13"/>
      <c r="F1446" s="11"/>
      <c r="G1446" s="11"/>
      <c r="H1446" s="11"/>
      <c r="I1446" s="11"/>
      <c r="J1446" s="11"/>
      <c r="K1446" s="11"/>
      <c r="L1446" s="11"/>
      <c r="M1446" s="11"/>
    </row>
    <row r="1447" spans="4:13" ht="15.75" customHeight="1" x14ac:dyDescent="0.2">
      <c r="D1447" s="12"/>
      <c r="E1447" s="13"/>
      <c r="F1447" s="11"/>
      <c r="G1447" s="11"/>
      <c r="H1447" s="11"/>
      <c r="I1447" s="11"/>
      <c r="J1447" s="11"/>
      <c r="K1447" s="11"/>
      <c r="L1447" s="11"/>
      <c r="M1447" s="11"/>
    </row>
    <row r="1448" spans="4:13" ht="15.75" customHeight="1" x14ac:dyDescent="0.2">
      <c r="D1448" s="12"/>
      <c r="E1448" s="13"/>
      <c r="F1448" s="11"/>
      <c r="G1448" s="11"/>
      <c r="H1448" s="11"/>
      <c r="I1448" s="11"/>
      <c r="J1448" s="11"/>
      <c r="K1448" s="11"/>
      <c r="L1448" s="11"/>
      <c r="M1448" s="11"/>
    </row>
    <row r="1449" spans="4:13" ht="15.75" customHeight="1" x14ac:dyDescent="0.2">
      <c r="D1449" s="12"/>
      <c r="E1449" s="13"/>
      <c r="F1449" s="11"/>
      <c r="G1449" s="11"/>
      <c r="H1449" s="11"/>
      <c r="I1449" s="11"/>
      <c r="J1449" s="11"/>
      <c r="K1449" s="11"/>
      <c r="L1449" s="11"/>
      <c r="M1449" s="11"/>
    </row>
    <row r="1450" spans="4:13" ht="15.75" customHeight="1" x14ac:dyDescent="0.2">
      <c r="D1450" s="12"/>
      <c r="E1450" s="13"/>
      <c r="F1450" s="11"/>
      <c r="G1450" s="11"/>
      <c r="H1450" s="11"/>
      <c r="I1450" s="11"/>
      <c r="J1450" s="11"/>
      <c r="K1450" s="11"/>
      <c r="L1450" s="11"/>
      <c r="M1450" s="11"/>
    </row>
    <row r="1451" spans="4:13" ht="15.75" customHeight="1" x14ac:dyDescent="0.2">
      <c r="D1451" s="12"/>
      <c r="E1451" s="13"/>
      <c r="F1451" s="11"/>
      <c r="G1451" s="11"/>
      <c r="H1451" s="11"/>
      <c r="I1451" s="11"/>
      <c r="J1451" s="11"/>
      <c r="K1451" s="11"/>
      <c r="L1451" s="11"/>
      <c r="M1451" s="11"/>
    </row>
    <row r="1452" spans="4:13" ht="15.75" customHeight="1" x14ac:dyDescent="0.2">
      <c r="D1452" s="12"/>
      <c r="E1452" s="13"/>
      <c r="F1452" s="11"/>
      <c r="G1452" s="11"/>
      <c r="H1452" s="11"/>
      <c r="I1452" s="11"/>
      <c r="J1452" s="11"/>
      <c r="K1452" s="11"/>
      <c r="L1452" s="11"/>
      <c r="M1452" s="11"/>
    </row>
    <row r="1453" spans="4:13" ht="15.75" customHeight="1" x14ac:dyDescent="0.2">
      <c r="D1453" s="12"/>
      <c r="E1453" s="13"/>
      <c r="F1453" s="11"/>
      <c r="G1453" s="11"/>
      <c r="H1453" s="11"/>
      <c r="I1453" s="11"/>
      <c r="J1453" s="11"/>
      <c r="K1453" s="11"/>
      <c r="L1453" s="11"/>
      <c r="M1453" s="11"/>
    </row>
    <row r="1454" spans="4:13" ht="15.75" customHeight="1" x14ac:dyDescent="0.2">
      <c r="D1454" s="12"/>
      <c r="E1454" s="13"/>
      <c r="F1454" s="11"/>
      <c r="G1454" s="11"/>
      <c r="H1454" s="11"/>
      <c r="I1454" s="11"/>
      <c r="J1454" s="11"/>
      <c r="K1454" s="11"/>
      <c r="L1454" s="11"/>
      <c r="M1454" s="11"/>
    </row>
    <row r="1455" spans="4:13" ht="15.75" customHeight="1" x14ac:dyDescent="0.2">
      <c r="D1455" s="12"/>
      <c r="E1455" s="13"/>
      <c r="F1455" s="11"/>
      <c r="G1455" s="11"/>
      <c r="H1455" s="11"/>
      <c r="I1455" s="11"/>
      <c r="J1455" s="11"/>
      <c r="K1455" s="11"/>
      <c r="L1455" s="11"/>
      <c r="M1455" s="11"/>
    </row>
    <row r="1456" spans="4:13" ht="15.75" customHeight="1" x14ac:dyDescent="0.2">
      <c r="D1456" s="12"/>
      <c r="E1456" s="13"/>
      <c r="F1456" s="11"/>
      <c r="G1456" s="11"/>
      <c r="H1456" s="11"/>
      <c r="I1456" s="11"/>
      <c r="J1456" s="11"/>
      <c r="K1456" s="11"/>
      <c r="L1456" s="11"/>
      <c r="M1456" s="11"/>
    </row>
    <row r="1457" spans="4:13" ht="15.75" customHeight="1" x14ac:dyDescent="0.2">
      <c r="D1457" s="12"/>
      <c r="E1457" s="13"/>
      <c r="F1457" s="11"/>
      <c r="G1457" s="11"/>
      <c r="H1457" s="11"/>
      <c r="I1457" s="11"/>
      <c r="J1457" s="11"/>
      <c r="K1457" s="11"/>
      <c r="L1457" s="11"/>
      <c r="M1457" s="11"/>
    </row>
    <row r="1458" spans="4:13" ht="15.75" customHeight="1" x14ac:dyDescent="0.2">
      <c r="D1458" s="12"/>
      <c r="E1458" s="13"/>
      <c r="F1458" s="11"/>
      <c r="G1458" s="11"/>
      <c r="H1458" s="11"/>
      <c r="I1458" s="11"/>
      <c r="J1458" s="11"/>
      <c r="K1458" s="11"/>
      <c r="L1458" s="11"/>
      <c r="M1458" s="11"/>
    </row>
    <row r="1459" spans="4:13" ht="15.75" customHeight="1" x14ac:dyDescent="0.2">
      <c r="D1459" s="12"/>
      <c r="E1459" s="13"/>
      <c r="F1459" s="11"/>
      <c r="G1459" s="11"/>
      <c r="H1459" s="11"/>
      <c r="I1459" s="11"/>
      <c r="J1459" s="11"/>
      <c r="K1459" s="11"/>
      <c r="L1459" s="11"/>
      <c r="M1459" s="11"/>
    </row>
    <row r="1460" spans="4:13" ht="15.75" customHeight="1" x14ac:dyDescent="0.2">
      <c r="D1460" s="12"/>
      <c r="E1460" s="13"/>
      <c r="F1460" s="11"/>
      <c r="G1460" s="11"/>
      <c r="H1460" s="11"/>
      <c r="I1460" s="11"/>
      <c r="J1460" s="11"/>
      <c r="K1460" s="11"/>
      <c r="L1460" s="11"/>
      <c r="M1460" s="11"/>
    </row>
    <row r="1461" spans="4:13" ht="15.75" customHeight="1" x14ac:dyDescent="0.2">
      <c r="D1461" s="12"/>
      <c r="E1461" s="13"/>
      <c r="F1461" s="11"/>
      <c r="G1461" s="11"/>
      <c r="H1461" s="11"/>
      <c r="I1461" s="11"/>
      <c r="J1461" s="11"/>
      <c r="K1461" s="11"/>
      <c r="L1461" s="11"/>
      <c r="M1461" s="11"/>
    </row>
    <row r="1462" spans="4:13" ht="15.75" customHeight="1" x14ac:dyDescent="0.2">
      <c r="D1462" s="12"/>
      <c r="E1462" s="13"/>
      <c r="F1462" s="11"/>
      <c r="G1462" s="11"/>
      <c r="H1462" s="11"/>
      <c r="I1462" s="11"/>
      <c r="J1462" s="11"/>
      <c r="K1462" s="11"/>
      <c r="L1462" s="11"/>
      <c r="M1462" s="11"/>
    </row>
    <row r="1463" spans="4:13" ht="15.75" customHeight="1" x14ac:dyDescent="0.2">
      <c r="D1463" s="12"/>
      <c r="E1463" s="13"/>
      <c r="F1463" s="11"/>
      <c r="G1463" s="11"/>
      <c r="H1463" s="11"/>
      <c r="I1463" s="11"/>
      <c r="J1463" s="11"/>
      <c r="K1463" s="11"/>
      <c r="L1463" s="11"/>
      <c r="M1463" s="11"/>
    </row>
    <row r="1464" spans="4:13" ht="15.75" customHeight="1" x14ac:dyDescent="0.2">
      <c r="D1464" s="12"/>
      <c r="E1464" s="13"/>
      <c r="F1464" s="11"/>
      <c r="G1464" s="11"/>
      <c r="H1464" s="11"/>
      <c r="I1464" s="11"/>
      <c r="J1464" s="11"/>
      <c r="K1464" s="11"/>
      <c r="L1464" s="11"/>
      <c r="M1464" s="11"/>
    </row>
    <row r="1465" spans="4:13" ht="15.75" customHeight="1" x14ac:dyDescent="0.2">
      <c r="D1465" s="12"/>
      <c r="E1465" s="13"/>
      <c r="F1465" s="11"/>
      <c r="G1465" s="11"/>
      <c r="H1465" s="11"/>
      <c r="I1465" s="11"/>
      <c r="J1465" s="11"/>
      <c r="K1465" s="11"/>
      <c r="L1465" s="11"/>
      <c r="M1465" s="11"/>
    </row>
    <row r="1466" spans="4:13" ht="15.75" customHeight="1" x14ac:dyDescent="0.2">
      <c r="D1466" s="12"/>
      <c r="E1466" s="13"/>
      <c r="F1466" s="11"/>
      <c r="G1466" s="11"/>
      <c r="H1466" s="11"/>
      <c r="I1466" s="11"/>
      <c r="J1466" s="11"/>
      <c r="K1466" s="11"/>
      <c r="L1466" s="11"/>
      <c r="M1466" s="11"/>
    </row>
    <row r="1467" spans="4:13" ht="15.75" customHeight="1" x14ac:dyDescent="0.2">
      <c r="D1467" s="12"/>
      <c r="E1467" s="13"/>
      <c r="F1467" s="11"/>
      <c r="G1467" s="11"/>
      <c r="H1467" s="11"/>
      <c r="I1467" s="11"/>
      <c r="J1467" s="11"/>
      <c r="K1467" s="11"/>
      <c r="L1467" s="11"/>
      <c r="M1467" s="11"/>
    </row>
    <row r="1468" spans="4:13" ht="15.75" customHeight="1" x14ac:dyDescent="0.2">
      <c r="D1468" s="12"/>
      <c r="E1468" s="13"/>
      <c r="F1468" s="11"/>
      <c r="G1468" s="11"/>
      <c r="H1468" s="11"/>
      <c r="I1468" s="11"/>
      <c r="J1468" s="11"/>
      <c r="K1468" s="11"/>
      <c r="L1468" s="11"/>
      <c r="M1468" s="11"/>
    </row>
    <row r="1469" spans="4:13" ht="15.75" customHeight="1" x14ac:dyDescent="0.2">
      <c r="D1469" s="12"/>
      <c r="E1469" s="13"/>
      <c r="F1469" s="11"/>
      <c r="G1469" s="11"/>
      <c r="H1469" s="11"/>
      <c r="I1469" s="11"/>
      <c r="J1469" s="11"/>
      <c r="K1469" s="11"/>
      <c r="L1469" s="11"/>
      <c r="M1469" s="11"/>
    </row>
    <row r="1470" spans="4:13" ht="15.75" customHeight="1" x14ac:dyDescent="0.2">
      <c r="D1470" s="12"/>
      <c r="E1470" s="13"/>
      <c r="F1470" s="11"/>
      <c r="G1470" s="11"/>
      <c r="H1470" s="11"/>
      <c r="I1470" s="11"/>
      <c r="J1470" s="11"/>
      <c r="K1470" s="11"/>
      <c r="L1470" s="11"/>
      <c r="M1470" s="11"/>
    </row>
    <row r="1471" spans="4:13" ht="15.75" customHeight="1" x14ac:dyDescent="0.2">
      <c r="D1471" s="12"/>
      <c r="E1471" s="13"/>
      <c r="F1471" s="11"/>
      <c r="G1471" s="11"/>
      <c r="H1471" s="11"/>
      <c r="I1471" s="11"/>
      <c r="J1471" s="11"/>
      <c r="K1471" s="11"/>
      <c r="L1471" s="11"/>
      <c r="M1471" s="11"/>
    </row>
    <row r="1472" spans="4:13" ht="15.75" customHeight="1" x14ac:dyDescent="0.2">
      <c r="D1472" s="12"/>
      <c r="E1472" s="13"/>
      <c r="F1472" s="11"/>
      <c r="G1472" s="11"/>
      <c r="H1472" s="11"/>
      <c r="I1472" s="11"/>
      <c r="J1472" s="11"/>
      <c r="K1472" s="11"/>
      <c r="L1472" s="11"/>
      <c r="M1472" s="11"/>
    </row>
    <row r="1473" spans="4:13" ht="15.75" customHeight="1" x14ac:dyDescent="0.2">
      <c r="D1473" s="12"/>
      <c r="E1473" s="13"/>
      <c r="F1473" s="11"/>
      <c r="G1473" s="11"/>
      <c r="H1473" s="11"/>
      <c r="I1473" s="11"/>
      <c r="J1473" s="11"/>
      <c r="K1473" s="11"/>
      <c r="L1473" s="11"/>
      <c r="M1473" s="11"/>
    </row>
    <row r="1474" spans="4:13" ht="15.75" customHeight="1" x14ac:dyDescent="0.2">
      <c r="D1474" s="12"/>
      <c r="E1474" s="13"/>
      <c r="F1474" s="11"/>
      <c r="G1474" s="11"/>
      <c r="H1474" s="11"/>
      <c r="I1474" s="11"/>
      <c r="J1474" s="11"/>
      <c r="K1474" s="11"/>
      <c r="L1474" s="11"/>
      <c r="M1474" s="11"/>
    </row>
    <row r="1475" spans="4:13" ht="15.75" customHeight="1" x14ac:dyDescent="0.2">
      <c r="D1475" s="12"/>
      <c r="E1475" s="13"/>
      <c r="F1475" s="11"/>
      <c r="G1475" s="11"/>
      <c r="H1475" s="11"/>
      <c r="I1475" s="11"/>
      <c r="J1475" s="11"/>
      <c r="K1475" s="11"/>
      <c r="L1475" s="11"/>
      <c r="M1475" s="11"/>
    </row>
    <row r="1476" spans="4:13" ht="15.75" customHeight="1" x14ac:dyDescent="0.2">
      <c r="D1476" s="12"/>
      <c r="E1476" s="13"/>
      <c r="F1476" s="11"/>
      <c r="G1476" s="11"/>
      <c r="H1476" s="11"/>
      <c r="I1476" s="11"/>
      <c r="J1476" s="11"/>
      <c r="K1476" s="11"/>
      <c r="L1476" s="11"/>
      <c r="M1476" s="11"/>
    </row>
    <row r="1477" spans="4:13" ht="15.75" customHeight="1" x14ac:dyDescent="0.2">
      <c r="D1477" s="12"/>
      <c r="E1477" s="13"/>
      <c r="F1477" s="11"/>
      <c r="G1477" s="11"/>
      <c r="H1477" s="11"/>
      <c r="I1477" s="11"/>
      <c r="J1477" s="11"/>
      <c r="K1477" s="11"/>
      <c r="L1477" s="11"/>
      <c r="M1477" s="11"/>
    </row>
    <row r="1478" spans="4:13" ht="15.75" customHeight="1" x14ac:dyDescent="0.2">
      <c r="D1478" s="12"/>
      <c r="E1478" s="13"/>
      <c r="F1478" s="11"/>
      <c r="G1478" s="11"/>
      <c r="H1478" s="11"/>
      <c r="I1478" s="11"/>
      <c r="J1478" s="11"/>
      <c r="K1478" s="11"/>
      <c r="L1478" s="11"/>
      <c r="M1478" s="11"/>
    </row>
    <row r="1479" spans="4:13" ht="15.75" customHeight="1" x14ac:dyDescent="0.2">
      <c r="D1479" s="12"/>
      <c r="E1479" s="13"/>
      <c r="F1479" s="11"/>
      <c r="G1479" s="11"/>
      <c r="H1479" s="11"/>
      <c r="I1479" s="11"/>
      <c r="J1479" s="11"/>
      <c r="K1479" s="11"/>
      <c r="L1479" s="11"/>
      <c r="M1479" s="11"/>
    </row>
    <row r="1480" spans="4:13" ht="15.75" customHeight="1" x14ac:dyDescent="0.2">
      <c r="D1480" s="12"/>
      <c r="E1480" s="13"/>
      <c r="F1480" s="11"/>
      <c r="G1480" s="11"/>
      <c r="H1480" s="11"/>
      <c r="I1480" s="11"/>
      <c r="J1480" s="11"/>
      <c r="K1480" s="11"/>
      <c r="L1480" s="11"/>
      <c r="M1480" s="11"/>
    </row>
    <row r="1481" spans="4:13" ht="15.75" customHeight="1" x14ac:dyDescent="0.2">
      <c r="D1481" s="12"/>
      <c r="E1481" s="13"/>
      <c r="F1481" s="11"/>
      <c r="G1481" s="11"/>
      <c r="H1481" s="11"/>
      <c r="I1481" s="11"/>
      <c r="J1481" s="11"/>
      <c r="K1481" s="11"/>
      <c r="L1481" s="11"/>
      <c r="M1481" s="11"/>
    </row>
    <row r="1482" spans="4:13" ht="15.75" customHeight="1" x14ac:dyDescent="0.2">
      <c r="D1482" s="12"/>
      <c r="E1482" s="13"/>
      <c r="F1482" s="11"/>
      <c r="G1482" s="11"/>
      <c r="H1482" s="11"/>
      <c r="I1482" s="11"/>
      <c r="J1482" s="11"/>
      <c r="K1482" s="11"/>
      <c r="L1482" s="11"/>
      <c r="M1482" s="11"/>
    </row>
    <row r="1483" spans="4:13" ht="15.75" customHeight="1" x14ac:dyDescent="0.2">
      <c r="D1483" s="12"/>
      <c r="E1483" s="13"/>
      <c r="F1483" s="11"/>
      <c r="G1483" s="11"/>
      <c r="H1483" s="11"/>
      <c r="I1483" s="11"/>
      <c r="J1483" s="11"/>
      <c r="K1483" s="11"/>
      <c r="L1483" s="11"/>
      <c r="M1483" s="11"/>
    </row>
    <row r="1484" spans="4:13" ht="15.75" customHeight="1" x14ac:dyDescent="0.2">
      <c r="D1484" s="12"/>
      <c r="E1484" s="13"/>
      <c r="F1484" s="11"/>
      <c r="G1484" s="11"/>
      <c r="H1484" s="11"/>
      <c r="I1484" s="11"/>
      <c r="J1484" s="11"/>
      <c r="K1484" s="11"/>
      <c r="L1484" s="11"/>
      <c r="M1484" s="11"/>
    </row>
    <row r="1485" spans="4:13" ht="15.75" customHeight="1" x14ac:dyDescent="0.2">
      <c r="D1485" s="12"/>
      <c r="E1485" s="13"/>
      <c r="F1485" s="11"/>
      <c r="G1485" s="11"/>
      <c r="H1485" s="11"/>
      <c r="I1485" s="11"/>
      <c r="J1485" s="11"/>
      <c r="K1485" s="11"/>
      <c r="L1485" s="11"/>
      <c r="M1485" s="11"/>
    </row>
    <row r="1486" spans="4:13" ht="15.75" customHeight="1" x14ac:dyDescent="0.2">
      <c r="D1486" s="12"/>
      <c r="E1486" s="13"/>
      <c r="F1486" s="11"/>
      <c r="G1486" s="11"/>
      <c r="H1486" s="11"/>
      <c r="I1486" s="11"/>
      <c r="J1486" s="11"/>
      <c r="K1486" s="11"/>
      <c r="L1486" s="11"/>
      <c r="M1486" s="11"/>
    </row>
    <row r="1487" spans="4:13" ht="15.75" customHeight="1" x14ac:dyDescent="0.2">
      <c r="D1487" s="12"/>
      <c r="E1487" s="13"/>
      <c r="F1487" s="11"/>
      <c r="G1487" s="11"/>
      <c r="H1487" s="11"/>
      <c r="I1487" s="11"/>
      <c r="J1487" s="11"/>
      <c r="K1487" s="11"/>
      <c r="L1487" s="11"/>
      <c r="M1487" s="11"/>
    </row>
    <row r="1488" spans="4:13" ht="15.75" customHeight="1" x14ac:dyDescent="0.2">
      <c r="D1488" s="12"/>
      <c r="E1488" s="13"/>
      <c r="F1488" s="11"/>
      <c r="G1488" s="11"/>
      <c r="H1488" s="11"/>
      <c r="I1488" s="11"/>
      <c r="J1488" s="11"/>
      <c r="K1488" s="11"/>
      <c r="L1488" s="11"/>
      <c r="M1488" s="11"/>
    </row>
    <row r="1489" spans="4:13" ht="15.75" customHeight="1" x14ac:dyDescent="0.2">
      <c r="D1489" s="12"/>
      <c r="E1489" s="13"/>
      <c r="F1489" s="11"/>
      <c r="G1489" s="11"/>
      <c r="H1489" s="11"/>
      <c r="I1489" s="11"/>
      <c r="J1489" s="11"/>
      <c r="K1489" s="11"/>
      <c r="L1489" s="11"/>
      <c r="M1489" s="11"/>
    </row>
    <row r="1490" spans="4:13" ht="15.75" customHeight="1" x14ac:dyDescent="0.2">
      <c r="D1490" s="12"/>
      <c r="E1490" s="13"/>
      <c r="F1490" s="11"/>
      <c r="G1490" s="11"/>
      <c r="H1490" s="11"/>
      <c r="I1490" s="11"/>
      <c r="J1490" s="11"/>
      <c r="K1490" s="11"/>
      <c r="L1490" s="11"/>
      <c r="M1490" s="11"/>
    </row>
    <row r="1491" spans="4:13" ht="15.75" customHeight="1" x14ac:dyDescent="0.2">
      <c r="D1491" s="12"/>
      <c r="E1491" s="13"/>
      <c r="F1491" s="11"/>
      <c r="G1491" s="11"/>
      <c r="H1491" s="11"/>
      <c r="I1491" s="11"/>
      <c r="J1491" s="11"/>
      <c r="K1491" s="11"/>
      <c r="L1491" s="11"/>
      <c r="M1491" s="11"/>
    </row>
    <row r="1492" spans="4:13" ht="15.75" customHeight="1" x14ac:dyDescent="0.2">
      <c r="D1492" s="12"/>
      <c r="E1492" s="13"/>
      <c r="F1492" s="11"/>
      <c r="G1492" s="11"/>
      <c r="H1492" s="11"/>
      <c r="I1492" s="11"/>
      <c r="J1492" s="11"/>
      <c r="K1492" s="11"/>
      <c r="L1492" s="11"/>
      <c r="M1492" s="11"/>
    </row>
    <row r="1493" spans="4:13" ht="15.75" customHeight="1" x14ac:dyDescent="0.2">
      <c r="D1493" s="12"/>
      <c r="E1493" s="13"/>
      <c r="F1493" s="11"/>
      <c r="G1493" s="11"/>
      <c r="H1493" s="11"/>
      <c r="I1493" s="11"/>
      <c r="J1493" s="11"/>
      <c r="K1493" s="11"/>
      <c r="L1493" s="11"/>
      <c r="M1493" s="11"/>
    </row>
    <row r="1494" spans="4:13" ht="15.75" customHeight="1" x14ac:dyDescent="0.2">
      <c r="D1494" s="12"/>
      <c r="E1494" s="13"/>
      <c r="F1494" s="11"/>
      <c r="G1494" s="11"/>
      <c r="H1494" s="11"/>
      <c r="I1494" s="11"/>
      <c r="J1494" s="11"/>
      <c r="K1494" s="11"/>
      <c r="L1494" s="11"/>
      <c r="M1494" s="11"/>
    </row>
    <row r="1495" spans="4:13" ht="15.75" customHeight="1" x14ac:dyDescent="0.2">
      <c r="D1495" s="12"/>
      <c r="E1495" s="13"/>
      <c r="F1495" s="11"/>
      <c r="G1495" s="11"/>
      <c r="H1495" s="11"/>
      <c r="I1495" s="11"/>
      <c r="J1495" s="11"/>
      <c r="K1495" s="11"/>
      <c r="L1495" s="11"/>
      <c r="M1495" s="11"/>
    </row>
    <row r="1496" spans="4:13" ht="15.75" customHeight="1" x14ac:dyDescent="0.2">
      <c r="D1496" s="12"/>
      <c r="E1496" s="13"/>
      <c r="F1496" s="11"/>
      <c r="G1496" s="11"/>
      <c r="H1496" s="11"/>
      <c r="I1496" s="11"/>
      <c r="J1496" s="11"/>
      <c r="K1496" s="11"/>
      <c r="L1496" s="11"/>
      <c r="M1496" s="11"/>
    </row>
    <row r="1497" spans="4:13" ht="15.75" customHeight="1" x14ac:dyDescent="0.2">
      <c r="D1497" s="12"/>
      <c r="E1497" s="13"/>
      <c r="F1497" s="11"/>
      <c r="G1497" s="11"/>
      <c r="H1497" s="11"/>
      <c r="I1497" s="11"/>
      <c r="J1497" s="11"/>
      <c r="K1497" s="11"/>
      <c r="L1497" s="11"/>
      <c r="M1497" s="11"/>
    </row>
    <row r="1498" spans="4:13" ht="15.75" customHeight="1" x14ac:dyDescent="0.2">
      <c r="D1498" s="12"/>
      <c r="E1498" s="13"/>
      <c r="F1498" s="11"/>
      <c r="G1498" s="11"/>
      <c r="H1498" s="11"/>
      <c r="I1498" s="11"/>
      <c r="J1498" s="11"/>
      <c r="K1498" s="11"/>
      <c r="L1498" s="11"/>
      <c r="M1498" s="11"/>
    </row>
    <row r="1499" spans="4:13" ht="15.75" customHeight="1" x14ac:dyDescent="0.2">
      <c r="D1499" s="12"/>
      <c r="E1499" s="13"/>
      <c r="F1499" s="11"/>
      <c r="G1499" s="11"/>
      <c r="H1499" s="11"/>
      <c r="I1499" s="11"/>
      <c r="J1499" s="11"/>
      <c r="K1499" s="11"/>
      <c r="L1499" s="11"/>
      <c r="M1499" s="11"/>
    </row>
    <row r="1500" spans="4:13" ht="15.75" customHeight="1" x14ac:dyDescent="0.2">
      <c r="D1500" s="12"/>
      <c r="E1500" s="13"/>
      <c r="F1500" s="11"/>
      <c r="G1500" s="11"/>
      <c r="H1500" s="11"/>
      <c r="I1500" s="11"/>
      <c r="J1500" s="11"/>
      <c r="K1500" s="11"/>
      <c r="L1500" s="11"/>
      <c r="M1500" s="11"/>
    </row>
    <row r="1501" spans="4:13" ht="15.75" customHeight="1" x14ac:dyDescent="0.2">
      <c r="D1501" s="12"/>
      <c r="E1501" s="13"/>
      <c r="F1501" s="11"/>
      <c r="G1501" s="11"/>
      <c r="H1501" s="11"/>
      <c r="I1501" s="11"/>
      <c r="J1501" s="11"/>
      <c r="K1501" s="11"/>
      <c r="L1501" s="11"/>
      <c r="M1501" s="11"/>
    </row>
    <row r="1502" spans="4:13" ht="15.75" customHeight="1" x14ac:dyDescent="0.2">
      <c r="D1502" s="12"/>
      <c r="E1502" s="13"/>
      <c r="F1502" s="11"/>
      <c r="G1502" s="11"/>
      <c r="H1502" s="11"/>
      <c r="I1502" s="11"/>
      <c r="J1502" s="11"/>
      <c r="K1502" s="11"/>
      <c r="L1502" s="11"/>
      <c r="M1502" s="11"/>
    </row>
    <row r="1503" spans="4:13" ht="15.75" customHeight="1" x14ac:dyDescent="0.2">
      <c r="D1503" s="12"/>
      <c r="E1503" s="13"/>
      <c r="F1503" s="11"/>
      <c r="G1503" s="11"/>
      <c r="H1503" s="11"/>
      <c r="I1503" s="11"/>
      <c r="J1503" s="11"/>
      <c r="K1503" s="11"/>
      <c r="L1503" s="11"/>
      <c r="M1503" s="11"/>
    </row>
    <row r="1504" spans="4:13" ht="15.75" customHeight="1" x14ac:dyDescent="0.2">
      <c r="D1504" s="12"/>
      <c r="E1504" s="13"/>
      <c r="F1504" s="11"/>
      <c r="G1504" s="11"/>
      <c r="H1504" s="11"/>
      <c r="I1504" s="11"/>
      <c r="J1504" s="11"/>
      <c r="K1504" s="11"/>
      <c r="L1504" s="11"/>
      <c r="M1504" s="11"/>
    </row>
    <row r="1505" spans="4:13" ht="15.75" customHeight="1" x14ac:dyDescent="0.2">
      <c r="D1505" s="12"/>
      <c r="E1505" s="13"/>
      <c r="F1505" s="11"/>
      <c r="G1505" s="11"/>
      <c r="H1505" s="11"/>
      <c r="I1505" s="11"/>
      <c r="J1505" s="11"/>
      <c r="K1505" s="11"/>
      <c r="L1505" s="11"/>
      <c r="M1505" s="11"/>
    </row>
    <row r="1506" spans="4:13" ht="15.75" customHeight="1" x14ac:dyDescent="0.2">
      <c r="D1506" s="12"/>
      <c r="E1506" s="13"/>
      <c r="F1506" s="11"/>
      <c r="G1506" s="11"/>
      <c r="H1506" s="11"/>
      <c r="I1506" s="11"/>
      <c r="J1506" s="11"/>
      <c r="K1506" s="11"/>
      <c r="L1506" s="11"/>
      <c r="M1506" s="11"/>
    </row>
    <row r="1507" spans="4:13" ht="15.75" customHeight="1" x14ac:dyDescent="0.2">
      <c r="D1507" s="12"/>
      <c r="E1507" s="13"/>
      <c r="F1507" s="11"/>
      <c r="G1507" s="11"/>
      <c r="H1507" s="11"/>
      <c r="I1507" s="11"/>
      <c r="J1507" s="11"/>
      <c r="K1507" s="11"/>
      <c r="L1507" s="11"/>
      <c r="M1507" s="11"/>
    </row>
    <row r="1508" spans="4:13" ht="15.75" customHeight="1" x14ac:dyDescent="0.2">
      <c r="D1508" s="12"/>
      <c r="E1508" s="13"/>
      <c r="F1508" s="11"/>
      <c r="G1508" s="11"/>
      <c r="H1508" s="11"/>
      <c r="I1508" s="11"/>
      <c r="J1508" s="11"/>
      <c r="K1508" s="11"/>
      <c r="L1508" s="11"/>
      <c r="M1508" s="11"/>
    </row>
    <row r="1509" spans="4:13" ht="15.75" customHeight="1" x14ac:dyDescent="0.2">
      <c r="D1509" s="12"/>
      <c r="E1509" s="13"/>
      <c r="F1509" s="11"/>
      <c r="G1509" s="11"/>
      <c r="H1509" s="11"/>
      <c r="I1509" s="11"/>
      <c r="J1509" s="11"/>
      <c r="K1509" s="11"/>
      <c r="L1509" s="11"/>
      <c r="M1509" s="11"/>
    </row>
    <row r="1510" spans="4:13" ht="15.75" customHeight="1" x14ac:dyDescent="0.2">
      <c r="D1510" s="12"/>
      <c r="E1510" s="13"/>
      <c r="F1510" s="11"/>
      <c r="G1510" s="11"/>
      <c r="H1510" s="11"/>
      <c r="I1510" s="11"/>
      <c r="J1510" s="11"/>
      <c r="K1510" s="11"/>
      <c r="L1510" s="11"/>
      <c r="M1510" s="1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000-000000000000}">
          <x14:formula1>
            <xm:f>Dropdown!$B:$B</xm:f>
          </x14:formula1>
          <xm:sqref>B7</xm:sqref>
        </x14:dataValidation>
        <x14:dataValidation type="list" allowBlank="1" xr:uid="{00000000-0002-0000-0000-000001000000}">
          <x14:formula1>
            <xm:f>'Data NEW'!$C$1:$C$210</xm:f>
          </x14:formula1>
          <xm:sqref>B2</xm:sqref>
        </x14:dataValidation>
        <x14:dataValidation type="list" allowBlank="1" xr:uid="{00000000-0002-0000-0000-000002000000}">
          <x14:formula1>
            <xm:f>Dropdown!$F:$F</xm:f>
          </x14:formula1>
          <xm:sqref>B6</xm:sqref>
        </x14:dataValidation>
        <x14:dataValidation type="list" allowBlank="1" xr:uid="{00000000-0002-0000-0000-000003000000}">
          <x14:formula1>
            <xm:f>Dropdown!$G:$G</xm:f>
          </x14:formula1>
          <xm:sqref>B8</xm:sqref>
        </x14:dataValidation>
        <x14:dataValidation type="list" allowBlank="1" xr:uid="{00000000-0002-0000-0000-000004000000}">
          <x14:formula1>
            <xm:f>Dropdown!$H:$H</xm:f>
          </x14:formula1>
          <xm:sqref>B9</xm:sqref>
        </x14:dataValidation>
        <x14:dataValidation type="list" allowBlank="1" xr:uid="{00000000-0002-0000-0000-000005000000}">
          <x14:formula1>
            <xm:f>Dropdown!$E:$E</xm:f>
          </x14:formula1>
          <xm:sqref>B3</xm:sqref>
        </x14:dataValidation>
        <x14:dataValidation type="list" allowBlank="1" xr:uid="{00000000-0002-0000-0000-000006000000}">
          <x14:formula1>
            <xm:f>Dropdown!$D:$D</xm:f>
          </x14:formula1>
          <xm:sqref>B4</xm:sqref>
        </x14:dataValidation>
        <x14:dataValidation type="list" allowBlank="1" xr:uid="{00000000-0002-0000-0000-000007000000}">
          <x14:formula1>
            <xm:f>Dropdown!$C:$C</xm:f>
          </x14:formula1>
          <xm:sqref>B5</xm:sqref>
        </x14:dataValidation>
        <x14:dataValidation type="list" allowBlank="1" xr:uid="{00000000-0002-0000-0000-000008000000}">
          <x14:formula1>
            <xm:f>Dropdown!$I:$I</xm:f>
          </x14:formula1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T211"/>
  <sheetViews>
    <sheetView workbookViewId="0"/>
  </sheetViews>
  <sheetFormatPr baseColWidth="10" defaultColWidth="14.5" defaultRowHeight="15" customHeight="1" x14ac:dyDescent="0.2"/>
  <sheetData>
    <row r="1" spans="1:46" x14ac:dyDescent="0.2">
      <c r="A1" s="31"/>
      <c r="B1" s="31"/>
      <c r="C1" s="32"/>
      <c r="D1" s="32"/>
      <c r="E1" s="32"/>
      <c r="F1" s="32"/>
      <c r="G1" s="32"/>
      <c r="H1" s="31"/>
      <c r="J1" s="11">
        <v>2</v>
      </c>
      <c r="K1" s="11">
        <v>3</v>
      </c>
      <c r="L1" s="11">
        <v>4</v>
      </c>
      <c r="M1" s="11">
        <v>5</v>
      </c>
      <c r="N1" s="11">
        <v>6</v>
      </c>
      <c r="O1" s="11">
        <v>7</v>
      </c>
      <c r="P1" s="11">
        <v>8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2</v>
      </c>
      <c r="Y1" s="11">
        <v>3</v>
      </c>
      <c r="Z1" s="11">
        <v>4</v>
      </c>
      <c r="AA1" s="11">
        <v>5</v>
      </c>
      <c r="AB1" s="11">
        <v>6</v>
      </c>
      <c r="AC1" s="11">
        <v>7</v>
      </c>
      <c r="AD1" s="11">
        <v>8</v>
      </c>
      <c r="AE1" s="11">
        <v>2</v>
      </c>
      <c r="AF1" s="11">
        <v>3</v>
      </c>
      <c r="AG1" s="11">
        <v>4</v>
      </c>
      <c r="AH1" s="11">
        <v>5</v>
      </c>
      <c r="AI1" s="11">
        <v>6</v>
      </c>
      <c r="AJ1" s="11">
        <v>7</v>
      </c>
      <c r="AK1" s="11">
        <v>8</v>
      </c>
      <c r="AL1" s="11">
        <v>2</v>
      </c>
      <c r="AM1" s="11">
        <v>3</v>
      </c>
      <c r="AN1" s="11">
        <v>4</v>
      </c>
      <c r="AO1" s="11">
        <v>5</v>
      </c>
      <c r="AP1" s="11">
        <v>6</v>
      </c>
      <c r="AQ1" s="11">
        <v>7</v>
      </c>
      <c r="AR1" s="11">
        <v>8</v>
      </c>
    </row>
    <row r="2" spans="1:46" x14ac:dyDescent="0.2">
      <c r="A2" s="16" t="s">
        <v>11</v>
      </c>
      <c r="B2" s="16" t="s">
        <v>1</v>
      </c>
      <c r="C2" s="17" t="s">
        <v>12</v>
      </c>
      <c r="D2" s="17" t="s">
        <v>13</v>
      </c>
      <c r="E2" s="17" t="s">
        <v>14</v>
      </c>
      <c r="F2" s="17" t="s">
        <v>15</v>
      </c>
      <c r="G2" s="17" t="s">
        <v>16</v>
      </c>
      <c r="H2" s="16" t="s">
        <v>11</v>
      </c>
      <c r="I2" s="11"/>
      <c r="J2" s="11" t="s">
        <v>6</v>
      </c>
      <c r="K2" s="11" t="s">
        <v>4</v>
      </c>
      <c r="L2" s="11" t="s">
        <v>3</v>
      </c>
      <c r="M2" s="11" t="s">
        <v>2</v>
      </c>
      <c r="N2" s="11" t="s">
        <v>5</v>
      </c>
      <c r="O2" s="11" t="s">
        <v>7</v>
      </c>
      <c r="P2" s="11" t="s">
        <v>8</v>
      </c>
      <c r="Q2" s="11" t="s">
        <v>6</v>
      </c>
      <c r="R2" s="11" t="s">
        <v>4</v>
      </c>
      <c r="S2" s="11" t="s">
        <v>3</v>
      </c>
      <c r="T2" s="11" t="s">
        <v>2</v>
      </c>
      <c r="U2" s="11" t="s">
        <v>5</v>
      </c>
      <c r="V2" s="11" t="s">
        <v>7</v>
      </c>
      <c r="W2" s="11" t="s">
        <v>8</v>
      </c>
      <c r="X2" s="11" t="s">
        <v>6</v>
      </c>
      <c r="Y2" s="11" t="s">
        <v>4</v>
      </c>
      <c r="Z2" s="11" t="s">
        <v>3</v>
      </c>
      <c r="AA2" s="11" t="s">
        <v>2</v>
      </c>
      <c r="AB2" s="11" t="s">
        <v>5</v>
      </c>
      <c r="AC2" s="11" t="s">
        <v>7</v>
      </c>
      <c r="AD2" s="11" t="s">
        <v>8</v>
      </c>
      <c r="AE2" s="11" t="s">
        <v>6</v>
      </c>
      <c r="AF2" s="11" t="s">
        <v>4</v>
      </c>
      <c r="AG2" s="11" t="s">
        <v>3</v>
      </c>
      <c r="AH2" s="11" t="s">
        <v>2</v>
      </c>
      <c r="AI2" s="11" t="s">
        <v>5</v>
      </c>
      <c r="AJ2" s="11" t="s">
        <v>7</v>
      </c>
      <c r="AK2" s="11" t="s">
        <v>8</v>
      </c>
      <c r="AL2" s="11" t="s">
        <v>6</v>
      </c>
      <c r="AM2" s="11" t="s">
        <v>4</v>
      </c>
      <c r="AN2" s="11" t="s">
        <v>3</v>
      </c>
      <c r="AO2" s="11" t="s">
        <v>2</v>
      </c>
      <c r="AP2" s="11" t="s">
        <v>5</v>
      </c>
      <c r="AQ2" s="11" t="s">
        <v>7</v>
      </c>
      <c r="AR2" s="11" t="s">
        <v>8</v>
      </c>
      <c r="AT2" s="11" t="s">
        <v>517</v>
      </c>
    </row>
    <row r="3" spans="1:46" x14ac:dyDescent="0.2">
      <c r="A3" s="19" t="s">
        <v>29</v>
      </c>
      <c r="B3" s="19" t="s">
        <v>30</v>
      </c>
      <c r="C3" s="19" t="s">
        <v>31</v>
      </c>
      <c r="D3" s="19"/>
      <c r="E3" s="19" t="s">
        <v>32</v>
      </c>
      <c r="F3" s="19"/>
      <c r="G3" s="19"/>
      <c r="H3" s="19" t="s">
        <v>29</v>
      </c>
      <c r="I3" s="15">
        <f t="shared" ref="I3:I211" si="0">COUNTIF(C3:G3,"&lt;&gt;"&amp;"")</f>
        <v>2</v>
      </c>
      <c r="M3" s="15" t="str">
        <f>IFERROR(VLOOKUP($C3,Sheet3!$H$2:$O$200,M$1,FALSE),IFERROR(VLOOKUP($D3,Sheet3!$H$2:$O$200,M$1,FALSE),VLOOKUP($E3,Sheet3!$H$2:$O$200,M$1,FALSE)))</f>
        <v>white crème de cacao</v>
      </c>
      <c r="N3" s="15">
        <f>IFERROR(VLOOKUP($C3,Sheet3!$H$2:$O$200,N$1,FALSE),IFERROR(VLOOKUP($D3,Sheet3!$H$2:$O$200,N$1,FALSE),VLOOKUP($E3,Sheet3!$H$2:$O$200,N$1,FALSE)))</f>
        <v>0</v>
      </c>
      <c r="O3" s="15">
        <f>IFERROR(VLOOKUP($C3,Sheet3!$H$2:$O$200,O$1,FALSE),IFERROR(VLOOKUP($D3,Sheet3!$H$2:$O$200,O$1,FALSE),VLOOKUP($E3,Sheet3!$H$2:$O$200,O$1,FALSE)))</f>
        <v>0</v>
      </c>
      <c r="P3" s="15">
        <f>IFERROR(VLOOKUP($C3,Sheet3!$H$2:$O$200,P$1,FALSE),IFERROR(VLOOKUP($D3,Sheet3!$H$2:$O$200,P$1,FALSE),VLOOKUP($E3,Sheet3!$H$2:$O$200,P$1,FALSE)))</f>
        <v>0</v>
      </c>
      <c r="Q3" s="15">
        <f>IFERROR(IF(ISBLANK(J3),IFERROR(VLOOKUP($D3,Sheet3!$H$2:$O$200,Q$1,FALSE),IFERROR(VLOOKUP($E3,Sheet3!$H$2:$O$200,Q$1,FALSE),VLOOKUP($F3,Sheet3!$H$2:$O$200,Q$1,FALSE))),$I$1),$I$1)</f>
        <v>0</v>
      </c>
      <c r="R3" s="15" t="str">
        <f>IFERROR(IF(ISBLANK(K3),IFERROR(VLOOKUP($D3,Sheet3!$H$2:$O$200,R$1,FALSE),IFERROR(VLOOKUP($E3,Sheet3!$H$2:$O$200,R$1,FALSE),VLOOKUP($F3,Sheet3!$H$2:$O$200,R$1,FALSE))),$I$1),$I$1)</f>
        <v>cream</v>
      </c>
      <c r="S3" s="15">
        <f>IFERROR(IF(ISBLANK(L3),IFERROR(VLOOKUP($D3,Sheet3!$H$2:$O$200,S$1,FALSE),IFERROR(VLOOKUP($E3,Sheet3!$H$2:$O$200,S$1,FALSE),VLOOKUP($F3,Sheet3!$H$2:$O$200,S$1,FALSE))),$I$1),$I$1)</f>
        <v>0</v>
      </c>
      <c r="T3" s="15">
        <f>IFERROR(IF(ISBLANK(M3),IFERROR(VLOOKUP($D3,Sheet3!$H$2:$O$200,T$1,FALSE),IFERROR(VLOOKUP($E3,Sheet3!$H$2:$O$200,T$1,FALSE),VLOOKUP($F3,Sheet3!$H$2:$O$200,T$1,FALSE))),$I$1),$I$1)</f>
        <v>0</v>
      </c>
      <c r="U3" s="15">
        <f>IFERROR(IF(ISBLANK(N3),IFERROR(VLOOKUP($D3,Sheet3!$H$2:$O$200,U$1,FALSE),IFERROR(VLOOKUP($E3,Sheet3!$H$2:$O$200,U$1,FALSE),VLOOKUP($F3,Sheet3!$H$2:$O$200,U$1,FALSE))),$I$1),$I$1)</f>
        <v>0</v>
      </c>
      <c r="V3" s="15">
        <f>IFERROR(IF(ISBLANK(O3),IFERROR(VLOOKUP($D3,Sheet3!$H$2:$O$200,V$1,FALSE),IFERROR(VLOOKUP($E3,Sheet3!$H$2:$O$200,V$1,FALSE),VLOOKUP($F3,Sheet3!$H$2:$O$200,V$1,FALSE))),$I$1),$I$1)</f>
        <v>0</v>
      </c>
      <c r="W3" s="15">
        <f>IFERROR(IF(ISBLANK(P3),IFERROR(VLOOKUP($D3,Sheet3!$H$2:$O$200,W$1,FALSE),IFERROR(VLOOKUP($E3,Sheet3!$H$2:$O$200,W$1,FALSE),VLOOKUP($F3,Sheet3!$H$2:$O$200,W$1,FALSE))),$I$1),$I$1)</f>
        <v>0</v>
      </c>
      <c r="X3" s="15">
        <f>IFERROR(IF(ISBLANK(Q3),IFERROR(VLOOKUP($E3,Sheet3!$H$2:$O$200,X$1,FALSE),IFERROR(VLOOKUP($F3,Sheet3!$H$2:$O$200,X$1,FALSE),VLOOKUP($G3,Sheet3!$H$2:$O$200,X$1,FALSE))),$I$1),$I$1)</f>
        <v>0</v>
      </c>
      <c r="Y3" s="15">
        <f>IFERROR(IF(ISBLANK(R3),IFERROR(VLOOKUP($E3,Sheet3!$H$2:$O$200,Y$1,FALSE),IFERROR(VLOOKUP($F3,Sheet3!$H$2:$O$200,Y$1,FALSE),VLOOKUP($G3,Sheet3!$H$2:$O$200,Y$1,FALSE))),$I$1),$I$1)</f>
        <v>0</v>
      </c>
      <c r="Z3" s="15">
        <f>IFERROR(IF(ISBLANK(S3),IFERROR(VLOOKUP($E3,Sheet3!$H$2:$O$200,Z$1,FALSE),IFERROR(VLOOKUP($F3,Sheet3!$H$2:$O$200,Z$1,FALSE),VLOOKUP($G3,Sheet3!$H$2:$O$200,Z$1,FALSE))),$I$1),$I$1)</f>
        <v>0</v>
      </c>
      <c r="AA3" s="15">
        <f>IFERROR(IF(ISBLANK(T3),IFERROR(VLOOKUP($E3,Sheet3!$H$2:$O$200,AA$1,FALSE),IFERROR(VLOOKUP($F3,Sheet3!$H$2:$O$200,AA$1,FALSE),VLOOKUP($G3,Sheet3!$H$2:$O$200,AA$1,FALSE))),$I$1),$I$1)</f>
        <v>0</v>
      </c>
      <c r="AB3" s="15">
        <f>IFERROR(IF(ISBLANK(U3),IFERROR(VLOOKUP($E3,Sheet3!$H$2:$O$200,AB$1,FALSE),IFERROR(VLOOKUP($F3,Sheet3!$H$2:$O$200,AB$1,FALSE),VLOOKUP($G3,Sheet3!$H$2:$O$200,AB$1,FALSE))),$I$1),$I$1)</f>
        <v>0</v>
      </c>
      <c r="AC3" s="15">
        <f>IFERROR(IF(ISBLANK(V3),IFERROR(VLOOKUP($E3,Sheet3!$H$2:$O$200,AC$1,FALSE),IFERROR(VLOOKUP($F3,Sheet3!$H$2:$O$200,AC$1,FALSE),VLOOKUP($G3,Sheet3!$H$2:$O$200,AC$1,FALSE))),$I$1),$I$1)</f>
        <v>0</v>
      </c>
      <c r="AD3" s="15">
        <f>IFERROR(IF(ISBLANK(W3),IFERROR(VLOOKUP($E3,Sheet3!$H$2:$O$200,AD$1,FALSE),IFERROR(VLOOKUP($F3,Sheet3!$H$2:$O$200,AD$1,FALSE),VLOOKUP($G3,Sheet3!$H$2:$O$200,AD$1,FALSE))),$I$1),$I$1)</f>
        <v>0</v>
      </c>
      <c r="AE3" s="15">
        <f>IFERROR(IF(ISBLANK(X3),IFERROR(VLOOKUP($F3,Sheet3!$H$2:$O$200,AE$1,FALSE),VLOOKUP($G3,Sheet3!$H$2:$O$200,AE$1,FALSE)),$I$1),$I$1)</f>
        <v>0</v>
      </c>
      <c r="AF3" s="15">
        <f>IFERROR(IF(ISBLANK(Y3),IFERROR(VLOOKUP($F3,Sheet3!$H$2:$O$200,AF$1,FALSE),VLOOKUP($G3,Sheet3!$H$2:$O$200,AF$1,FALSE)),$I$1),$I$1)</f>
        <v>0</v>
      </c>
      <c r="AG3" s="15">
        <f>IFERROR(IF(ISBLANK(Z3),IFERROR(VLOOKUP($F3,Sheet3!$H$2:$O$200,AG$1,FALSE),VLOOKUP($G3,Sheet3!$H$2:$O$200,AG$1,FALSE)),$I$1),$I$1)</f>
        <v>0</v>
      </c>
      <c r="AH3" s="15">
        <f>IFERROR(IF(ISBLANK(AA3),IFERROR(VLOOKUP($F3,Sheet3!$H$2:$O$200,AH$1,FALSE),VLOOKUP($G3,Sheet3!$H$2:$O$200,AH$1,FALSE)),$I$1),$I$1)</f>
        <v>0</v>
      </c>
      <c r="AI3" s="15">
        <f>IFERROR(IF(ISBLANK(AB3),IFERROR(VLOOKUP($F3,Sheet3!$H$2:$O$200,AI$1,FALSE),VLOOKUP($G3,Sheet3!$H$2:$O$200,AI$1,FALSE)),$I$1),$I$1)</f>
        <v>0</v>
      </c>
      <c r="AJ3" s="15">
        <f>IFERROR(IF(ISBLANK(AC3),IFERROR(VLOOKUP($F3,Sheet3!$H$2:$O$200,AJ$1,FALSE),VLOOKUP($G3,Sheet3!$H$2:$O$200,AJ$1,FALSE)),$I$1),$I$1)</f>
        <v>0</v>
      </c>
      <c r="AK3" s="15">
        <f>IFERROR(IF(ISBLANK(AD3),IFERROR(VLOOKUP($F3,Sheet3!$H$2:$O$200,AK$1,FALSE),VLOOKUP($G3,Sheet3!$H$2:$O$200,AK$1,FALSE)),$I$1),$I$1)</f>
        <v>0</v>
      </c>
      <c r="AL3" s="15">
        <f>IFERROR(IF(ISBLANK(AE3),VLOOKUP($G3,Sheet3!$H$2:$O$200,AL$1,FALSE),$I$1),$I$1)</f>
        <v>0</v>
      </c>
      <c r="AM3" s="15">
        <f>IFERROR(IF(ISBLANK(AF3),VLOOKUP($G3,Sheet3!$H$2:$O$200,AM$1,FALSE),$I$1),$I$1)</f>
        <v>0</v>
      </c>
      <c r="AN3" s="15">
        <f>IFERROR(IF(ISBLANK(AG3),VLOOKUP($G3,Sheet3!$H$2:$O$200,AN$1,FALSE),$I$1),$I$1)</f>
        <v>0</v>
      </c>
      <c r="AO3" s="15">
        <f>IFERROR(IF(ISBLANK(AH3),VLOOKUP($G3,Sheet3!$H$2:$O$200,AO$1,FALSE),$I$1),$I$1)</f>
        <v>0</v>
      </c>
      <c r="AP3" s="15">
        <f>IFERROR(IF(ISBLANK(AI3),VLOOKUP($G3,Sheet3!$H$2:$O$200,AP$1,FALSE),$I$1),$I$1)</f>
        <v>0</v>
      </c>
      <c r="AQ3" s="15">
        <f>IFERROR(IF(ISBLANK(AJ3),VLOOKUP($G3,Sheet3!$H$2:$O$200,AQ$1,FALSE),$I$1),$I$1)</f>
        <v>0</v>
      </c>
      <c r="AR3" s="15">
        <f>IFERROR(IF(ISBLANK(AK3),VLOOKUP($G3,Sheet3!$H$2:$O$200,AR$1,FALSE),$I$1),$I$1)</f>
        <v>0</v>
      </c>
      <c r="AS3" s="15">
        <f t="shared" ref="AS3:AS211" si="1">COUNTIF(J3:AK3,"&lt;&gt;"&amp;"")</f>
        <v>25</v>
      </c>
      <c r="AT3" s="15" t="b">
        <f t="shared" ref="AT3:AT211" si="2">AS3=I3</f>
        <v>0</v>
      </c>
    </row>
    <row r="4" spans="1:46" x14ac:dyDescent="0.2">
      <c r="A4" s="19" t="s">
        <v>35</v>
      </c>
      <c r="B4" s="19" t="s">
        <v>30</v>
      </c>
      <c r="C4" s="19" t="s">
        <v>36</v>
      </c>
      <c r="D4" s="19"/>
      <c r="E4" s="19" t="s">
        <v>32</v>
      </c>
      <c r="F4" s="19"/>
      <c r="G4" s="19"/>
      <c r="H4" s="19" t="s">
        <v>35</v>
      </c>
      <c r="I4" s="15">
        <f t="shared" si="0"/>
        <v>2</v>
      </c>
      <c r="J4" s="15">
        <f>IFERROR(VLOOKUP($C4,Sheet3!$H$2:$O$200,J$1,FALSE),IFERROR(VLOOKUP($D4,Sheet3!$H$2:$O$200,J$1,FALSE),VLOOKUP($E4,Sheet3!$H$2:$O$200,J$1,FALSE)))</f>
        <v>0</v>
      </c>
      <c r="K4" s="15">
        <f>IFERROR(VLOOKUP($C4,Sheet3!$H$2:$O$200,K$1,FALSE),IFERROR(VLOOKUP($D4,Sheet3!$H$2:$O$200,K$1,FALSE),VLOOKUP($E4,Sheet3!$H$2:$O$200,K$1,FALSE)))</f>
        <v>0</v>
      </c>
      <c r="L4" s="15">
        <f>IFERROR(VLOOKUP($C4,Sheet3!$H$2:$O$200,L$1,FALSE),IFERROR(VLOOKUP($D4,Sheet3!$H$2:$O$200,L$1,FALSE),VLOOKUP($E4,Sheet3!$H$2:$O$200,L$1,FALSE)))</f>
        <v>0</v>
      </c>
      <c r="M4" s="15" t="str">
        <f>IFERROR(VLOOKUP($C4,Sheet3!$H$2:$O$200,M$1,FALSE),IFERROR(VLOOKUP($D4,Sheet3!$H$2:$O$200,M$1,FALSE),VLOOKUP($E4,Sheet3!$H$2:$O$200,M$1,FALSE)))</f>
        <v>Kahlua</v>
      </c>
      <c r="N4" s="15">
        <f>IFERROR(VLOOKUP($C4,Sheet3!$H$2:$O$200,N$1,FALSE),IFERROR(VLOOKUP($D4,Sheet3!$H$2:$O$200,N$1,FALSE),VLOOKUP($E4,Sheet3!$H$2:$O$200,N$1,FALSE)))</f>
        <v>0</v>
      </c>
      <c r="O4" s="15">
        <f>IFERROR(VLOOKUP($C4,Sheet3!$H$2:$O$200,O$1,FALSE),IFERROR(VLOOKUP($D4,Sheet3!$H$2:$O$200,O$1,FALSE),VLOOKUP($E4,Sheet3!$H$2:$O$200,O$1,FALSE)))</f>
        <v>0</v>
      </c>
      <c r="P4" s="15">
        <f>IFERROR(VLOOKUP($C4,Sheet3!$H$2:$O$200,P$1,FALSE),IFERROR(VLOOKUP($D4,Sheet3!$H$2:$O$200,P$1,FALSE),VLOOKUP($E4,Sheet3!$H$2:$O$200,P$1,FALSE)))</f>
        <v>0</v>
      </c>
      <c r="Q4" s="15">
        <f>IFERROR(IF(ISBLANK(J4),IFERROR(VLOOKUP($D4,Sheet3!$H$2:$O$200,Q$1,FALSE),IFERROR(VLOOKUP($E4,Sheet3!$H$2:$O$200,Q$1,FALSE),VLOOKUP($F4,Sheet3!$H$2:$O$200,Q$1,FALSE))),$I$1),$I$1)</f>
        <v>0</v>
      </c>
      <c r="R4" s="15">
        <f>IFERROR(IF(ISBLANK(K4),IFERROR(VLOOKUP($D4,Sheet3!$H$2:$O$200,R$1,FALSE),IFERROR(VLOOKUP($E4,Sheet3!$H$2:$O$200,R$1,FALSE),VLOOKUP($F4,Sheet3!$H$2:$O$200,R$1,FALSE))),$I$1),$I$1)</f>
        <v>0</v>
      </c>
      <c r="S4" s="15">
        <f>IFERROR(IF(ISBLANK(L4),IFERROR(VLOOKUP($D4,Sheet3!$H$2:$O$200,S$1,FALSE),IFERROR(VLOOKUP($E4,Sheet3!$H$2:$O$200,S$1,FALSE),VLOOKUP($F4,Sheet3!$H$2:$O$200,S$1,FALSE))),$I$1),$I$1)</f>
        <v>0</v>
      </c>
      <c r="T4" s="15">
        <f>IFERROR(IF(ISBLANK(M4),IFERROR(VLOOKUP($D4,Sheet3!$H$2:$O$200,T$1,FALSE),IFERROR(VLOOKUP($E4,Sheet3!$H$2:$O$200,T$1,FALSE),VLOOKUP($F4,Sheet3!$H$2:$O$200,T$1,FALSE))),$I$1),$I$1)</f>
        <v>0</v>
      </c>
      <c r="U4" s="15">
        <f>IFERROR(IF(ISBLANK(N4),IFERROR(VLOOKUP($D4,Sheet3!$H$2:$O$200,U$1,FALSE),IFERROR(VLOOKUP($E4,Sheet3!$H$2:$O$200,U$1,FALSE),VLOOKUP($F4,Sheet3!$H$2:$O$200,U$1,FALSE))),$I$1),$I$1)</f>
        <v>0</v>
      </c>
      <c r="V4" s="15">
        <f>IFERROR(IF(ISBLANK(O4),IFERROR(VLOOKUP($D4,Sheet3!$H$2:$O$200,V$1,FALSE),IFERROR(VLOOKUP($E4,Sheet3!$H$2:$O$200,V$1,FALSE),VLOOKUP($F4,Sheet3!$H$2:$O$200,V$1,FALSE))),$I$1),$I$1)</f>
        <v>0</v>
      </c>
      <c r="W4" s="15">
        <f>IFERROR(IF(ISBLANK(P4),IFERROR(VLOOKUP($D4,Sheet3!$H$2:$O$200,W$1,FALSE),IFERROR(VLOOKUP($E4,Sheet3!$H$2:$O$200,W$1,FALSE),VLOOKUP($F4,Sheet3!$H$2:$O$200,W$1,FALSE))),$I$1),$I$1)</f>
        <v>0</v>
      </c>
      <c r="X4" s="15">
        <f>IFERROR(IF(ISBLANK(Q4),IFERROR(VLOOKUP($E4,Sheet3!$H$2:$O$200,X$1,FALSE),IFERROR(VLOOKUP($F4,Sheet3!$H$2:$O$200,X$1,FALSE),VLOOKUP($G4,Sheet3!$H$2:$O$200,X$1,FALSE))),$I$1),$I$1)</f>
        <v>0</v>
      </c>
      <c r="Y4" s="15">
        <f>IFERROR(IF(ISBLANK(R4),IFERROR(VLOOKUP($E4,Sheet3!$H$2:$O$200,Y$1,FALSE),IFERROR(VLOOKUP($F4,Sheet3!$H$2:$O$200,Y$1,FALSE),VLOOKUP($G4,Sheet3!$H$2:$O$200,Y$1,FALSE))),$I$1),$I$1)</f>
        <v>0</v>
      </c>
      <c r="Z4" s="15">
        <f>IFERROR(IF(ISBLANK(S4),IFERROR(VLOOKUP($E4,Sheet3!$H$2:$O$200,Z$1,FALSE),IFERROR(VLOOKUP($F4,Sheet3!$H$2:$O$200,Z$1,FALSE),VLOOKUP($G4,Sheet3!$H$2:$O$200,Z$1,FALSE))),$I$1),$I$1)</f>
        <v>0</v>
      </c>
      <c r="AA4" s="15">
        <f>IFERROR(IF(ISBLANK(T4),IFERROR(VLOOKUP($E4,Sheet3!$H$2:$O$200,AA$1,FALSE),IFERROR(VLOOKUP($F4,Sheet3!$H$2:$O$200,AA$1,FALSE),VLOOKUP($G4,Sheet3!$H$2:$O$200,AA$1,FALSE))),$I$1),$I$1)</f>
        <v>0</v>
      </c>
      <c r="AB4" s="15">
        <f>IFERROR(IF(ISBLANK(U4),IFERROR(VLOOKUP($E4,Sheet3!$H$2:$O$200,AB$1,FALSE),IFERROR(VLOOKUP($F4,Sheet3!$H$2:$O$200,AB$1,FALSE),VLOOKUP($G4,Sheet3!$H$2:$O$200,AB$1,FALSE))),$I$1),$I$1)</f>
        <v>0</v>
      </c>
      <c r="AC4" s="15">
        <f>IFERROR(IF(ISBLANK(V4),IFERROR(VLOOKUP($E4,Sheet3!$H$2:$O$200,AC$1,FALSE),IFERROR(VLOOKUP($F4,Sheet3!$H$2:$O$200,AC$1,FALSE),VLOOKUP($G4,Sheet3!$H$2:$O$200,AC$1,FALSE))),$I$1),$I$1)</f>
        <v>0</v>
      </c>
      <c r="AD4" s="15">
        <f>IFERROR(IF(ISBLANK(W4),IFERROR(VLOOKUP($E4,Sheet3!$H$2:$O$200,AD$1,FALSE),IFERROR(VLOOKUP($F4,Sheet3!$H$2:$O$200,AD$1,FALSE),VLOOKUP($G4,Sheet3!$H$2:$O$200,AD$1,FALSE))),$I$1),$I$1)</f>
        <v>0</v>
      </c>
      <c r="AE4" s="15">
        <f>IFERROR(IF(ISBLANK(X4),IFERROR(VLOOKUP($F4,Sheet3!$H$2:$O$200,AE$1,FALSE),VLOOKUP($G4,Sheet3!$H$2:$O$200,AE$1,FALSE)),$I$1),$I$1)</f>
        <v>0</v>
      </c>
      <c r="AF4" s="15">
        <f>IFERROR(IF(ISBLANK(Y4),IFERROR(VLOOKUP($F4,Sheet3!$H$2:$O$200,AF$1,FALSE),VLOOKUP($G4,Sheet3!$H$2:$O$200,AF$1,FALSE)),$I$1),$I$1)</f>
        <v>0</v>
      </c>
      <c r="AG4" s="15">
        <f>IFERROR(IF(ISBLANK(Z4),IFERROR(VLOOKUP($F4,Sheet3!$H$2:$O$200,AG$1,FALSE),VLOOKUP($G4,Sheet3!$H$2:$O$200,AG$1,FALSE)),$I$1),$I$1)</f>
        <v>0</v>
      </c>
      <c r="AH4" s="15">
        <f>IFERROR(IF(ISBLANK(AA4),IFERROR(VLOOKUP($F4,Sheet3!$H$2:$O$200,AH$1,FALSE),VLOOKUP($G4,Sheet3!$H$2:$O$200,AH$1,FALSE)),$I$1),$I$1)</f>
        <v>0</v>
      </c>
      <c r="AI4" s="15">
        <f>IFERROR(IF(ISBLANK(AB4),IFERROR(VLOOKUP($F4,Sheet3!$H$2:$O$200,AI$1,FALSE),VLOOKUP($G4,Sheet3!$H$2:$O$200,AI$1,FALSE)),$I$1),$I$1)</f>
        <v>0</v>
      </c>
      <c r="AJ4" s="15">
        <f>IFERROR(IF(ISBLANK(AC4),IFERROR(VLOOKUP($F4,Sheet3!$H$2:$O$200,AJ$1,FALSE),VLOOKUP($G4,Sheet3!$H$2:$O$200,AJ$1,FALSE)),$I$1),$I$1)</f>
        <v>0</v>
      </c>
      <c r="AK4" s="15">
        <f>IFERROR(IF(ISBLANK(AD4),IFERROR(VLOOKUP($F4,Sheet3!$H$2:$O$200,AK$1,FALSE),VLOOKUP($G4,Sheet3!$H$2:$O$200,AK$1,FALSE)),$I$1),$I$1)</f>
        <v>0</v>
      </c>
      <c r="AL4" s="15">
        <f>IFERROR(IF(ISBLANK(AE4),VLOOKUP($G4,Sheet3!$H$2:$O$200,AL$1,FALSE),$I$1),$I$1)</f>
        <v>0</v>
      </c>
      <c r="AM4" s="15">
        <f>IFERROR(IF(ISBLANK(AF4),VLOOKUP($G4,Sheet3!$H$2:$O$200,AM$1,FALSE),$I$1),$I$1)</f>
        <v>0</v>
      </c>
      <c r="AN4" s="15">
        <f>IFERROR(IF(ISBLANK(AG4),VLOOKUP($G4,Sheet3!$H$2:$O$200,AN$1,FALSE),$I$1),$I$1)</f>
        <v>0</v>
      </c>
      <c r="AO4" s="15">
        <f>IFERROR(IF(ISBLANK(AH4),VLOOKUP($G4,Sheet3!$H$2:$O$200,AO$1,FALSE),$I$1),$I$1)</f>
        <v>0</v>
      </c>
      <c r="AP4" s="15">
        <f>IFERROR(IF(ISBLANK(AI4),VLOOKUP($G4,Sheet3!$H$2:$O$200,AP$1,FALSE),$I$1),$I$1)</f>
        <v>0</v>
      </c>
      <c r="AQ4" s="15">
        <f>IFERROR(IF(ISBLANK(AJ4),VLOOKUP($G4,Sheet3!$H$2:$O$200,AQ$1,FALSE),$I$1),$I$1)</f>
        <v>0</v>
      </c>
      <c r="AR4" s="15">
        <f>IFERROR(IF(ISBLANK(AK4),VLOOKUP($G4,Sheet3!$H$2:$O$200,AR$1,FALSE),$I$1),$I$1)</f>
        <v>0</v>
      </c>
      <c r="AS4" s="15">
        <f t="shared" si="1"/>
        <v>28</v>
      </c>
      <c r="AT4" s="15" t="b">
        <f t="shared" si="2"/>
        <v>0</v>
      </c>
    </row>
    <row r="5" spans="1:46" x14ac:dyDescent="0.2">
      <c r="A5" s="19" t="s">
        <v>37</v>
      </c>
      <c r="B5" s="19" t="s">
        <v>30</v>
      </c>
      <c r="C5" s="19"/>
      <c r="D5" s="19" t="s">
        <v>38</v>
      </c>
      <c r="E5" s="19"/>
      <c r="F5" s="19"/>
      <c r="G5" s="19"/>
      <c r="H5" s="19" t="s">
        <v>37</v>
      </c>
      <c r="I5" s="15">
        <f t="shared" si="0"/>
        <v>1</v>
      </c>
      <c r="J5" s="15">
        <f>IFERROR(VLOOKUP($C5,Sheet3!$H$2:$O$200,J$1,FALSE),IFERROR(VLOOKUP($D5,Sheet3!$H$2:$O$200,J$1,FALSE),VLOOKUP($E5,Sheet3!$H$2:$O$200,J$1,FALSE)))</f>
        <v>0</v>
      </c>
      <c r="K5" s="15">
        <f>IFERROR(VLOOKUP($C5,Sheet3!$H$2:$O$200,K$1,FALSE),IFERROR(VLOOKUP($D5,Sheet3!$H$2:$O$200,K$1,FALSE),VLOOKUP($E5,Sheet3!$H$2:$O$200,K$1,FALSE)))</f>
        <v>0</v>
      </c>
      <c r="L5" s="15" t="str">
        <f>IFERROR(VLOOKUP($C5,Sheet3!$H$2:$O$200,L$1,FALSE),IFERROR(VLOOKUP($D5,Sheet3!$H$2:$O$200,L$1,FALSE),VLOOKUP($E5,Sheet3!$H$2:$O$200,L$1,FALSE)))</f>
        <v>lemon juice</v>
      </c>
      <c r="M5" s="15">
        <f>IFERROR(VLOOKUP($C5,Sheet3!$H$2:$O$200,M$1,FALSE),IFERROR(VLOOKUP($D5,Sheet3!$H$2:$O$200,M$1,FALSE),VLOOKUP($E5,Sheet3!$H$2:$O$200,M$1,FALSE)))</f>
        <v>0</v>
      </c>
      <c r="N5" s="15">
        <f>IFERROR(VLOOKUP($C5,Sheet3!$H$2:$O$200,N$1,FALSE),IFERROR(VLOOKUP($D5,Sheet3!$H$2:$O$200,N$1,FALSE),VLOOKUP($E5,Sheet3!$H$2:$O$200,N$1,FALSE)))</f>
        <v>0</v>
      </c>
      <c r="O5" s="15">
        <f>IFERROR(VLOOKUP($C5,Sheet3!$H$2:$O$200,O$1,FALSE),IFERROR(VLOOKUP($D5,Sheet3!$H$2:$O$200,O$1,FALSE),VLOOKUP($E5,Sheet3!$H$2:$O$200,O$1,FALSE)))</f>
        <v>0</v>
      </c>
      <c r="P5" s="15">
        <f>IFERROR(VLOOKUP($C5,Sheet3!$H$2:$O$200,P$1,FALSE),IFERROR(VLOOKUP($D5,Sheet3!$H$2:$O$200,P$1,FALSE),VLOOKUP($E5,Sheet3!$H$2:$O$200,P$1,FALSE)))</f>
        <v>0</v>
      </c>
      <c r="Q5" s="15">
        <f>IFERROR(IF(ISBLANK(J5),IFERROR(VLOOKUP($D5,Sheet3!$H$2:$O$200,Q$1,FALSE),IFERROR(VLOOKUP($E5,Sheet3!$H$2:$O$200,Q$1,FALSE),VLOOKUP($F5,Sheet3!$H$2:$O$200,Q$1,FALSE))),$I$1),$I$1)</f>
        <v>0</v>
      </c>
      <c r="R5" s="15">
        <f>IFERROR(IF(ISBLANK(K5),IFERROR(VLOOKUP($D5,Sheet3!$H$2:$O$200,R$1,FALSE),IFERROR(VLOOKUP($E5,Sheet3!$H$2:$O$200,R$1,FALSE),VLOOKUP($F5,Sheet3!$H$2:$O$200,R$1,FALSE))),$I$1),$I$1)</f>
        <v>0</v>
      </c>
      <c r="S5" s="15">
        <f>IFERROR(IF(ISBLANK(L5),IFERROR(VLOOKUP($D5,Sheet3!$H$2:$O$200,S$1,FALSE),IFERROR(VLOOKUP($E5,Sheet3!$H$2:$O$200,S$1,FALSE),VLOOKUP($F5,Sheet3!$H$2:$O$200,S$1,FALSE))),$I$1),$I$1)</f>
        <v>0</v>
      </c>
      <c r="T5" s="15">
        <f>IFERROR(IF(ISBLANK(M5),IFERROR(VLOOKUP($D5,Sheet3!$H$2:$O$200,T$1,FALSE),IFERROR(VLOOKUP($E5,Sheet3!$H$2:$O$200,T$1,FALSE),VLOOKUP($F5,Sheet3!$H$2:$O$200,T$1,FALSE))),$I$1),$I$1)</f>
        <v>0</v>
      </c>
      <c r="U5" s="15">
        <f>IFERROR(IF(ISBLANK(N5),IFERROR(VLOOKUP($D5,Sheet3!$H$2:$O$200,U$1,FALSE),IFERROR(VLOOKUP($E5,Sheet3!$H$2:$O$200,U$1,FALSE),VLOOKUP($F5,Sheet3!$H$2:$O$200,U$1,FALSE))),$I$1),$I$1)</f>
        <v>0</v>
      </c>
      <c r="V5" s="15">
        <f>IFERROR(IF(ISBLANK(O5),IFERROR(VLOOKUP($D5,Sheet3!$H$2:$O$200,V$1,FALSE),IFERROR(VLOOKUP($E5,Sheet3!$H$2:$O$200,V$1,FALSE),VLOOKUP($F5,Sheet3!$H$2:$O$200,V$1,FALSE))),$I$1),$I$1)</f>
        <v>0</v>
      </c>
      <c r="W5" s="15">
        <f>IFERROR(IF(ISBLANK(P5),IFERROR(VLOOKUP($D5,Sheet3!$H$2:$O$200,W$1,FALSE),IFERROR(VLOOKUP($E5,Sheet3!$H$2:$O$200,W$1,FALSE),VLOOKUP($F5,Sheet3!$H$2:$O$200,W$1,FALSE))),$I$1),$I$1)</f>
        <v>0</v>
      </c>
      <c r="X5" s="15">
        <f>IFERROR(IF(ISBLANK(Q5),IFERROR(VLOOKUP($E5,Sheet3!$H$2:$O$200,X$1,FALSE),IFERROR(VLOOKUP($F5,Sheet3!$H$2:$O$200,X$1,FALSE),VLOOKUP($G5,Sheet3!$H$2:$O$200,X$1,FALSE))),$I$1),$I$1)</f>
        <v>0</v>
      </c>
      <c r="Y5" s="15">
        <f>IFERROR(IF(ISBLANK(R5),IFERROR(VLOOKUP($E5,Sheet3!$H$2:$O$200,Y$1,FALSE),IFERROR(VLOOKUP($F5,Sheet3!$H$2:$O$200,Y$1,FALSE),VLOOKUP($G5,Sheet3!$H$2:$O$200,Y$1,FALSE))),$I$1),$I$1)</f>
        <v>0</v>
      </c>
      <c r="Z5" s="15">
        <f>IFERROR(IF(ISBLANK(S5),IFERROR(VLOOKUP($E5,Sheet3!$H$2:$O$200,Z$1,FALSE),IFERROR(VLOOKUP($F5,Sheet3!$H$2:$O$200,Z$1,FALSE),VLOOKUP($G5,Sheet3!$H$2:$O$200,Z$1,FALSE))),$I$1),$I$1)</f>
        <v>0</v>
      </c>
      <c r="AA5" s="15">
        <f>IFERROR(IF(ISBLANK(T5),IFERROR(VLOOKUP($E5,Sheet3!$H$2:$O$200,AA$1,FALSE),IFERROR(VLOOKUP($F5,Sheet3!$H$2:$O$200,AA$1,FALSE),VLOOKUP($G5,Sheet3!$H$2:$O$200,AA$1,FALSE))),$I$1),$I$1)</f>
        <v>0</v>
      </c>
      <c r="AB5" s="15">
        <f>IFERROR(IF(ISBLANK(U5),IFERROR(VLOOKUP($E5,Sheet3!$H$2:$O$200,AB$1,FALSE),IFERROR(VLOOKUP($F5,Sheet3!$H$2:$O$200,AB$1,FALSE),VLOOKUP($G5,Sheet3!$H$2:$O$200,AB$1,FALSE))),$I$1),$I$1)</f>
        <v>0</v>
      </c>
      <c r="AC5" s="15">
        <f>IFERROR(IF(ISBLANK(V5),IFERROR(VLOOKUP($E5,Sheet3!$H$2:$O$200,AC$1,FALSE),IFERROR(VLOOKUP($F5,Sheet3!$H$2:$O$200,AC$1,FALSE),VLOOKUP($G5,Sheet3!$H$2:$O$200,AC$1,FALSE))),$I$1),$I$1)</f>
        <v>0</v>
      </c>
      <c r="AD5" s="15">
        <f>IFERROR(IF(ISBLANK(W5),IFERROR(VLOOKUP($E5,Sheet3!$H$2:$O$200,AD$1,FALSE),IFERROR(VLOOKUP($F5,Sheet3!$H$2:$O$200,AD$1,FALSE),VLOOKUP($G5,Sheet3!$H$2:$O$200,AD$1,FALSE))),$I$1),$I$1)</f>
        <v>0</v>
      </c>
      <c r="AE5" s="15">
        <f>IFERROR(IF(ISBLANK(X5),IFERROR(VLOOKUP($F5,Sheet3!$H$2:$O$200,AE$1,FALSE),VLOOKUP($G5,Sheet3!$H$2:$O$200,AE$1,FALSE)),$I$1),$I$1)</f>
        <v>0</v>
      </c>
      <c r="AF5" s="15">
        <f>IFERROR(IF(ISBLANK(Y5),IFERROR(VLOOKUP($F5,Sheet3!$H$2:$O$200,AF$1,FALSE),VLOOKUP($G5,Sheet3!$H$2:$O$200,AF$1,FALSE)),$I$1),$I$1)</f>
        <v>0</v>
      </c>
      <c r="AG5" s="15">
        <f>IFERROR(IF(ISBLANK(Z5),IFERROR(VLOOKUP($F5,Sheet3!$H$2:$O$200,AG$1,FALSE),VLOOKUP($G5,Sheet3!$H$2:$O$200,AG$1,FALSE)),$I$1),$I$1)</f>
        <v>0</v>
      </c>
      <c r="AH5" s="15">
        <f>IFERROR(IF(ISBLANK(AA5),IFERROR(VLOOKUP($F5,Sheet3!$H$2:$O$200,AH$1,FALSE),VLOOKUP($G5,Sheet3!$H$2:$O$200,AH$1,FALSE)),$I$1),$I$1)</f>
        <v>0</v>
      </c>
      <c r="AI5" s="15">
        <f>IFERROR(IF(ISBLANK(AB5),IFERROR(VLOOKUP($F5,Sheet3!$H$2:$O$200,AI$1,FALSE),VLOOKUP($G5,Sheet3!$H$2:$O$200,AI$1,FALSE)),$I$1),$I$1)</f>
        <v>0</v>
      </c>
      <c r="AJ5" s="15">
        <f>IFERROR(IF(ISBLANK(AC5),IFERROR(VLOOKUP($F5,Sheet3!$H$2:$O$200,AJ$1,FALSE),VLOOKUP($G5,Sheet3!$H$2:$O$200,AJ$1,FALSE)),$I$1),$I$1)</f>
        <v>0</v>
      </c>
      <c r="AK5" s="15">
        <f>IFERROR(IF(ISBLANK(AD5),IFERROR(VLOOKUP($F5,Sheet3!$H$2:$O$200,AK$1,FALSE),VLOOKUP($G5,Sheet3!$H$2:$O$200,AK$1,FALSE)),$I$1),$I$1)</f>
        <v>0</v>
      </c>
      <c r="AL5" s="15">
        <f>IFERROR(IF(ISBLANK(AE5),VLOOKUP($G5,Sheet3!$H$2:$O$200,AL$1,FALSE),$I$1),$I$1)</f>
        <v>0</v>
      </c>
      <c r="AM5" s="15">
        <f>IFERROR(IF(ISBLANK(AF5),VLOOKUP($G5,Sheet3!$H$2:$O$200,AM$1,FALSE),$I$1),$I$1)</f>
        <v>0</v>
      </c>
      <c r="AN5" s="15">
        <f>IFERROR(IF(ISBLANK(AG5),VLOOKUP($G5,Sheet3!$H$2:$O$200,AN$1,FALSE),$I$1),$I$1)</f>
        <v>0</v>
      </c>
      <c r="AO5" s="15">
        <f>IFERROR(IF(ISBLANK(AH5),VLOOKUP($G5,Sheet3!$H$2:$O$200,AO$1,FALSE),$I$1),$I$1)</f>
        <v>0</v>
      </c>
      <c r="AP5" s="15">
        <f>IFERROR(IF(ISBLANK(AI5),VLOOKUP($G5,Sheet3!$H$2:$O$200,AP$1,FALSE),$I$1),$I$1)</f>
        <v>0</v>
      </c>
      <c r="AQ5" s="15">
        <f>IFERROR(IF(ISBLANK(AJ5),VLOOKUP($G5,Sheet3!$H$2:$O$200,AQ$1,FALSE),$I$1),$I$1)</f>
        <v>0</v>
      </c>
      <c r="AR5" s="15">
        <f>IFERROR(IF(ISBLANK(AK5),VLOOKUP($G5,Sheet3!$H$2:$O$200,AR$1,FALSE),$I$1),$I$1)</f>
        <v>0</v>
      </c>
      <c r="AS5" s="15">
        <f t="shared" si="1"/>
        <v>28</v>
      </c>
      <c r="AT5" s="15" t="b">
        <f t="shared" si="2"/>
        <v>0</v>
      </c>
    </row>
    <row r="6" spans="1:46" x14ac:dyDescent="0.2">
      <c r="A6" s="19" t="s">
        <v>40</v>
      </c>
      <c r="B6" s="19" t="s">
        <v>41</v>
      </c>
      <c r="C6" s="19" t="s">
        <v>42</v>
      </c>
      <c r="D6" s="19" t="s">
        <v>43</v>
      </c>
      <c r="E6" s="19"/>
      <c r="F6" s="19"/>
      <c r="G6" s="19"/>
      <c r="H6" s="19" t="s">
        <v>40</v>
      </c>
      <c r="I6" s="15">
        <f t="shared" si="0"/>
        <v>2</v>
      </c>
      <c r="J6" s="15">
        <f>IFERROR(VLOOKUP($C6,Sheet3!$H$2:$O$200,J$1,FALSE),IFERROR(VLOOKUP($D6,Sheet3!$H$2:$O$200,J$1,FALSE),VLOOKUP($E6,Sheet3!$H$2:$O$200,J$1,FALSE)))</f>
        <v>0</v>
      </c>
      <c r="K6" s="15">
        <f>IFERROR(VLOOKUP($C6,Sheet3!$H$2:$O$200,K$1,FALSE),IFERROR(VLOOKUP($D6,Sheet3!$H$2:$O$200,K$1,FALSE),VLOOKUP($E6,Sheet3!$H$2:$O$200,K$1,FALSE)))</f>
        <v>0</v>
      </c>
      <c r="L6" s="15" t="str">
        <f>IFERROR(VLOOKUP($C6,Sheet3!$H$2:$O$200,L$1,FALSE),IFERROR(VLOOKUP($D6,Sheet3!$H$2:$O$200,L$1,FALSE),VLOOKUP($E6,Sheet3!$H$2:$O$200,L$1,FALSE)))</f>
        <v>lime juice</v>
      </c>
      <c r="M6" s="15">
        <f>IFERROR(VLOOKUP($C6,Sheet3!$H$2:$O$200,M$1,FALSE),IFERROR(VLOOKUP($D6,Sheet3!$H$2:$O$200,M$1,FALSE),VLOOKUP($E6,Sheet3!$H$2:$O$200,M$1,FALSE)))</f>
        <v>0</v>
      </c>
      <c r="N6" s="15" t="str">
        <f>IFERROR(VLOOKUP($C6,Sheet3!$H$2:$O$200,N$1,FALSE),IFERROR(VLOOKUP($D6,Sheet3!$H$2:$O$200,N$1,FALSE),VLOOKUP($E6,Sheet3!$H$2:$O$200,N$1,FALSE)))</f>
        <v>cranberry juice</v>
      </c>
      <c r="O6" s="15">
        <f>IFERROR(VLOOKUP($C6,Sheet3!$H$2:$O$200,O$1,FALSE),IFERROR(VLOOKUP($D6,Sheet3!$H$2:$O$200,O$1,FALSE),VLOOKUP($E6,Sheet3!$H$2:$O$200,O$1,FALSE)))</f>
        <v>0</v>
      </c>
      <c r="P6" s="15">
        <f>IFERROR(VLOOKUP($C6,Sheet3!$H$2:$O$200,P$1,FALSE),IFERROR(VLOOKUP($D6,Sheet3!$H$2:$O$200,P$1,FALSE),VLOOKUP($E6,Sheet3!$H$2:$O$200,P$1,FALSE)))</f>
        <v>0</v>
      </c>
      <c r="Q6" s="15">
        <f>IFERROR(IF(ISBLANK(J6),IFERROR(VLOOKUP($D6,Sheet3!$H$2:$O$200,Q$1,FALSE),IFERROR(VLOOKUP($E6,Sheet3!$H$2:$O$200,Q$1,FALSE),VLOOKUP($F6,Sheet3!$H$2:$O$200,Q$1,FALSE))),$I$1),$I$1)</f>
        <v>0</v>
      </c>
      <c r="R6" s="15">
        <f>IFERROR(IF(ISBLANK(K6),IFERROR(VLOOKUP($D6,Sheet3!$H$2:$O$200,R$1,FALSE),IFERROR(VLOOKUP($E6,Sheet3!$H$2:$O$200,R$1,FALSE),VLOOKUP($F6,Sheet3!$H$2:$O$200,R$1,FALSE))),$I$1),$I$1)</f>
        <v>0</v>
      </c>
      <c r="S6" s="15">
        <f>IFERROR(IF(ISBLANK(L6),IFERROR(VLOOKUP($D6,Sheet3!$H$2:$O$200,S$1,FALSE),IFERROR(VLOOKUP($E6,Sheet3!$H$2:$O$200,S$1,FALSE),VLOOKUP($F6,Sheet3!$H$2:$O$200,S$1,FALSE))),$I$1),$I$1)</f>
        <v>0</v>
      </c>
      <c r="T6" s="15">
        <f>IFERROR(IF(ISBLANK(M6),IFERROR(VLOOKUP($D6,Sheet3!$H$2:$O$200,T$1,FALSE),IFERROR(VLOOKUP($E6,Sheet3!$H$2:$O$200,T$1,FALSE),VLOOKUP($F6,Sheet3!$H$2:$O$200,T$1,FALSE))),$I$1),$I$1)</f>
        <v>0</v>
      </c>
      <c r="U6" s="15">
        <f>IFERROR(IF(ISBLANK(N6),IFERROR(VLOOKUP($D6,Sheet3!$H$2:$O$200,U$1,FALSE),IFERROR(VLOOKUP($E6,Sheet3!$H$2:$O$200,U$1,FALSE),VLOOKUP($F6,Sheet3!$H$2:$O$200,U$1,FALSE))),$I$1),$I$1)</f>
        <v>0</v>
      </c>
      <c r="V6" s="15">
        <f>IFERROR(IF(ISBLANK(O6),IFERROR(VLOOKUP($D6,Sheet3!$H$2:$O$200,V$1,FALSE),IFERROR(VLOOKUP($E6,Sheet3!$H$2:$O$200,V$1,FALSE),VLOOKUP($F6,Sheet3!$H$2:$O$200,V$1,FALSE))),$I$1),$I$1)</f>
        <v>0</v>
      </c>
      <c r="W6" s="15">
        <f>IFERROR(IF(ISBLANK(P6),IFERROR(VLOOKUP($D6,Sheet3!$H$2:$O$200,W$1,FALSE),IFERROR(VLOOKUP($E6,Sheet3!$H$2:$O$200,W$1,FALSE),VLOOKUP($F6,Sheet3!$H$2:$O$200,W$1,FALSE))),$I$1),$I$1)</f>
        <v>0</v>
      </c>
      <c r="X6" s="15">
        <f>IFERROR(IF(ISBLANK(Q6),IFERROR(VLOOKUP($E6,Sheet3!$H$2:$O$200,X$1,FALSE),IFERROR(VLOOKUP($F6,Sheet3!$H$2:$O$200,X$1,FALSE),VLOOKUP($G6,Sheet3!$H$2:$O$200,X$1,FALSE))),$I$1),$I$1)</f>
        <v>0</v>
      </c>
      <c r="Y6" s="15">
        <f>IFERROR(IF(ISBLANK(R6),IFERROR(VLOOKUP($E6,Sheet3!$H$2:$O$200,Y$1,FALSE),IFERROR(VLOOKUP($F6,Sheet3!$H$2:$O$200,Y$1,FALSE),VLOOKUP($G6,Sheet3!$H$2:$O$200,Y$1,FALSE))),$I$1),$I$1)</f>
        <v>0</v>
      </c>
      <c r="Z6" s="15">
        <f>IFERROR(IF(ISBLANK(S6),IFERROR(VLOOKUP($E6,Sheet3!$H$2:$O$200,Z$1,FALSE),IFERROR(VLOOKUP($F6,Sheet3!$H$2:$O$200,Z$1,FALSE),VLOOKUP($G6,Sheet3!$H$2:$O$200,Z$1,FALSE))),$I$1),$I$1)</f>
        <v>0</v>
      </c>
      <c r="AA6" s="15">
        <f>IFERROR(IF(ISBLANK(T6),IFERROR(VLOOKUP($E6,Sheet3!$H$2:$O$200,AA$1,FALSE),IFERROR(VLOOKUP($F6,Sheet3!$H$2:$O$200,AA$1,FALSE),VLOOKUP($G6,Sheet3!$H$2:$O$200,AA$1,FALSE))),$I$1),$I$1)</f>
        <v>0</v>
      </c>
      <c r="AB6" s="15">
        <f>IFERROR(IF(ISBLANK(U6),IFERROR(VLOOKUP($E6,Sheet3!$H$2:$O$200,AB$1,FALSE),IFERROR(VLOOKUP($F6,Sheet3!$H$2:$O$200,AB$1,FALSE),VLOOKUP($G6,Sheet3!$H$2:$O$200,AB$1,FALSE))),$I$1),$I$1)</f>
        <v>0</v>
      </c>
      <c r="AC6" s="15">
        <f>IFERROR(IF(ISBLANK(V6),IFERROR(VLOOKUP($E6,Sheet3!$H$2:$O$200,AC$1,FALSE),IFERROR(VLOOKUP($F6,Sheet3!$H$2:$O$200,AC$1,FALSE),VLOOKUP($G6,Sheet3!$H$2:$O$200,AC$1,FALSE))),$I$1),$I$1)</f>
        <v>0</v>
      </c>
      <c r="AD6" s="15">
        <f>IFERROR(IF(ISBLANK(W6),IFERROR(VLOOKUP($E6,Sheet3!$H$2:$O$200,AD$1,FALSE),IFERROR(VLOOKUP($F6,Sheet3!$H$2:$O$200,AD$1,FALSE),VLOOKUP($G6,Sheet3!$H$2:$O$200,AD$1,FALSE))),$I$1),$I$1)</f>
        <v>0</v>
      </c>
      <c r="AE6" s="15">
        <f>IFERROR(IF(ISBLANK(X6),IFERROR(VLOOKUP($F6,Sheet3!$H$2:$O$200,AE$1,FALSE),VLOOKUP($G6,Sheet3!$H$2:$O$200,AE$1,FALSE)),$I$1),$I$1)</f>
        <v>0</v>
      </c>
      <c r="AF6" s="15">
        <f>IFERROR(IF(ISBLANK(Y6),IFERROR(VLOOKUP($F6,Sheet3!$H$2:$O$200,AF$1,FALSE),VLOOKUP($G6,Sheet3!$H$2:$O$200,AF$1,FALSE)),$I$1),$I$1)</f>
        <v>0</v>
      </c>
      <c r="AG6" s="15">
        <f>IFERROR(IF(ISBLANK(Z6),IFERROR(VLOOKUP($F6,Sheet3!$H$2:$O$200,AG$1,FALSE),VLOOKUP($G6,Sheet3!$H$2:$O$200,AG$1,FALSE)),$I$1),$I$1)</f>
        <v>0</v>
      </c>
      <c r="AH6" s="15">
        <f>IFERROR(IF(ISBLANK(AA6),IFERROR(VLOOKUP($F6,Sheet3!$H$2:$O$200,AH$1,FALSE),VLOOKUP($G6,Sheet3!$H$2:$O$200,AH$1,FALSE)),$I$1),$I$1)</f>
        <v>0</v>
      </c>
      <c r="AI6" s="15">
        <f>IFERROR(IF(ISBLANK(AB6),IFERROR(VLOOKUP($F6,Sheet3!$H$2:$O$200,AI$1,FALSE),VLOOKUP($G6,Sheet3!$H$2:$O$200,AI$1,FALSE)),$I$1),$I$1)</f>
        <v>0</v>
      </c>
      <c r="AJ6" s="15">
        <f>IFERROR(IF(ISBLANK(AC6),IFERROR(VLOOKUP($F6,Sheet3!$H$2:$O$200,AJ$1,FALSE),VLOOKUP($G6,Sheet3!$H$2:$O$200,AJ$1,FALSE)),$I$1),$I$1)</f>
        <v>0</v>
      </c>
      <c r="AK6" s="15">
        <f>IFERROR(IF(ISBLANK(AD6),IFERROR(VLOOKUP($F6,Sheet3!$H$2:$O$200,AK$1,FALSE),VLOOKUP($G6,Sheet3!$H$2:$O$200,AK$1,FALSE)),$I$1),$I$1)</f>
        <v>0</v>
      </c>
      <c r="AL6" s="15">
        <f>IFERROR(IF(ISBLANK(AE6),VLOOKUP($G6,Sheet3!$H$2:$O$200,AL$1,FALSE),$I$1),$I$1)</f>
        <v>0</v>
      </c>
      <c r="AM6" s="15">
        <f>IFERROR(IF(ISBLANK(AF6),VLOOKUP($G6,Sheet3!$H$2:$O$200,AM$1,FALSE),$I$1),$I$1)</f>
        <v>0</v>
      </c>
      <c r="AN6" s="15">
        <f>IFERROR(IF(ISBLANK(AG6),VLOOKUP($G6,Sheet3!$H$2:$O$200,AN$1,FALSE),$I$1),$I$1)</f>
        <v>0</v>
      </c>
      <c r="AO6" s="15">
        <f>IFERROR(IF(ISBLANK(AH6),VLOOKUP($G6,Sheet3!$H$2:$O$200,AO$1,FALSE),$I$1),$I$1)</f>
        <v>0</v>
      </c>
      <c r="AP6" s="15">
        <f>IFERROR(IF(ISBLANK(AI6),VLOOKUP($G6,Sheet3!$H$2:$O$200,AP$1,FALSE),$I$1),$I$1)</f>
        <v>0</v>
      </c>
      <c r="AQ6" s="15">
        <f>IFERROR(IF(ISBLANK(AJ6),VLOOKUP($G6,Sheet3!$H$2:$O$200,AQ$1,FALSE),$I$1),$I$1)</f>
        <v>0</v>
      </c>
      <c r="AR6" s="15">
        <f>IFERROR(IF(ISBLANK(AK6),VLOOKUP($G6,Sheet3!$H$2:$O$200,AR$1,FALSE),$I$1),$I$1)</f>
        <v>0</v>
      </c>
      <c r="AS6" s="15">
        <f t="shared" si="1"/>
        <v>28</v>
      </c>
      <c r="AT6" s="15" t="b">
        <f t="shared" si="2"/>
        <v>0</v>
      </c>
    </row>
    <row r="7" spans="1:46" x14ac:dyDescent="0.2">
      <c r="A7" s="19" t="s">
        <v>46</v>
      </c>
      <c r="B7" s="19" t="s">
        <v>47</v>
      </c>
      <c r="C7" s="19" t="s">
        <v>48</v>
      </c>
      <c r="D7" s="19"/>
      <c r="E7" s="19" t="s">
        <v>49</v>
      </c>
      <c r="F7" s="19"/>
      <c r="G7" s="19"/>
      <c r="H7" s="19" t="s">
        <v>46</v>
      </c>
      <c r="I7" s="15">
        <f t="shared" si="0"/>
        <v>2</v>
      </c>
      <c r="J7" s="15">
        <f>IFERROR(VLOOKUP($C7,Sheet3!$H$2:$O$200,J$1,FALSE),IFERROR(VLOOKUP($D7,Sheet3!$H$2:$O$200,J$1,FALSE),VLOOKUP($E7,Sheet3!$H$2:$O$200,J$1,FALSE)))</f>
        <v>0</v>
      </c>
      <c r="K7" s="15">
        <f>IFERROR(VLOOKUP($C7,Sheet3!$H$2:$O$200,K$1,FALSE),IFERROR(VLOOKUP($D7,Sheet3!$H$2:$O$200,K$1,FALSE),VLOOKUP($E7,Sheet3!$H$2:$O$200,K$1,FALSE)))</f>
        <v>0</v>
      </c>
      <c r="L7" s="15">
        <f>IFERROR(VLOOKUP($C7,Sheet3!$H$2:$O$200,L$1,FALSE),IFERROR(VLOOKUP($D7,Sheet3!$H$2:$O$200,L$1,FALSE),VLOOKUP($E7,Sheet3!$H$2:$O$200,L$1,FALSE)))</f>
        <v>0</v>
      </c>
      <c r="M7" s="15" t="str">
        <f>IFERROR(VLOOKUP($C7,Sheet3!$H$2:$O$200,M$1,FALSE),IFERROR(VLOOKUP($D7,Sheet3!$H$2:$O$200,M$1,FALSE),VLOOKUP($E7,Sheet3!$H$2:$O$200,M$1,FALSE)))</f>
        <v>sweet vermouth</v>
      </c>
      <c r="N7" s="15">
        <f>IFERROR(VLOOKUP($C7,Sheet3!$H$2:$O$200,N$1,FALSE),IFERROR(VLOOKUP($D7,Sheet3!$H$2:$O$200,N$1,FALSE),VLOOKUP($E7,Sheet3!$H$2:$O$200,N$1,FALSE)))</f>
        <v>0</v>
      </c>
      <c r="O7" s="15">
        <f>IFERROR(VLOOKUP($C7,Sheet3!$H$2:$O$200,O$1,FALSE),IFERROR(VLOOKUP($D7,Sheet3!$H$2:$O$200,O$1,FALSE),VLOOKUP($E7,Sheet3!$H$2:$O$200,O$1,FALSE)))</f>
        <v>0</v>
      </c>
      <c r="P7" s="15">
        <f>IFERROR(VLOOKUP($C7,Sheet3!$H$2:$O$200,P$1,FALSE),IFERROR(VLOOKUP($D7,Sheet3!$H$2:$O$200,P$1,FALSE),VLOOKUP($E7,Sheet3!$H$2:$O$200,P$1,FALSE)))</f>
        <v>0</v>
      </c>
      <c r="Q7" s="15">
        <f>IFERROR(IF(ISBLANK(J7),IFERROR(VLOOKUP($D7,Sheet3!$H$2:$O$200,Q$1,FALSE),IFERROR(VLOOKUP($E7,Sheet3!$H$2:$O$200,Q$1,FALSE),VLOOKUP($F7,Sheet3!$H$2:$O$200,Q$1,FALSE))),$I$1),$I$1)</f>
        <v>0</v>
      </c>
      <c r="R7" s="15">
        <f>IFERROR(IF(ISBLANK(K7),IFERROR(VLOOKUP($D7,Sheet3!$H$2:$O$200,R$1,FALSE),IFERROR(VLOOKUP($E7,Sheet3!$H$2:$O$200,R$1,FALSE),VLOOKUP($F7,Sheet3!$H$2:$O$200,R$1,FALSE))),$I$1),$I$1)</f>
        <v>0</v>
      </c>
      <c r="S7" s="15">
        <f>IFERROR(IF(ISBLANK(L7),IFERROR(VLOOKUP($D7,Sheet3!$H$2:$O$200,S$1,FALSE),IFERROR(VLOOKUP($E7,Sheet3!$H$2:$O$200,S$1,FALSE),VLOOKUP($F7,Sheet3!$H$2:$O$200,S$1,FALSE))),$I$1),$I$1)</f>
        <v>0</v>
      </c>
      <c r="T7" s="15">
        <f>IFERROR(IF(ISBLANK(M7),IFERROR(VLOOKUP($D7,Sheet3!$H$2:$O$200,T$1,FALSE),IFERROR(VLOOKUP($E7,Sheet3!$H$2:$O$200,T$1,FALSE),VLOOKUP($F7,Sheet3!$H$2:$O$200,T$1,FALSE))),$I$1),$I$1)</f>
        <v>0</v>
      </c>
      <c r="U7" s="15">
        <f>IFERROR(IF(ISBLANK(N7),IFERROR(VLOOKUP($D7,Sheet3!$H$2:$O$200,U$1,FALSE),IFERROR(VLOOKUP($E7,Sheet3!$H$2:$O$200,U$1,FALSE),VLOOKUP($F7,Sheet3!$H$2:$O$200,U$1,FALSE))),$I$1),$I$1)</f>
        <v>0</v>
      </c>
      <c r="V7" s="15">
        <f>IFERROR(IF(ISBLANK(O7),IFERROR(VLOOKUP($D7,Sheet3!$H$2:$O$200,V$1,FALSE),IFERROR(VLOOKUP($E7,Sheet3!$H$2:$O$200,V$1,FALSE),VLOOKUP($F7,Sheet3!$H$2:$O$200,V$1,FALSE))),$I$1),$I$1)</f>
        <v>0</v>
      </c>
      <c r="W7" s="15">
        <f>IFERROR(IF(ISBLANK(P7),IFERROR(VLOOKUP($D7,Sheet3!$H$2:$O$200,W$1,FALSE),IFERROR(VLOOKUP($E7,Sheet3!$H$2:$O$200,W$1,FALSE),VLOOKUP($F7,Sheet3!$H$2:$O$200,W$1,FALSE))),$I$1),$I$1)</f>
        <v>0</v>
      </c>
      <c r="X7" s="15">
        <f>IFERROR(IF(ISBLANK(Q7),IFERROR(VLOOKUP($E7,Sheet3!$H$2:$O$200,X$1,FALSE),IFERROR(VLOOKUP($F7,Sheet3!$H$2:$O$200,X$1,FALSE),VLOOKUP($G7,Sheet3!$H$2:$O$200,X$1,FALSE))),$I$1),$I$1)</f>
        <v>0</v>
      </c>
      <c r="Y7" s="15">
        <f>IFERROR(IF(ISBLANK(R7),IFERROR(VLOOKUP($E7,Sheet3!$H$2:$O$200,Y$1,FALSE),IFERROR(VLOOKUP($F7,Sheet3!$H$2:$O$200,Y$1,FALSE),VLOOKUP($G7,Sheet3!$H$2:$O$200,Y$1,FALSE))),$I$1),$I$1)</f>
        <v>0</v>
      </c>
      <c r="Z7" s="15">
        <f>IFERROR(IF(ISBLANK(S7),IFERROR(VLOOKUP($E7,Sheet3!$H$2:$O$200,Z$1,FALSE),IFERROR(VLOOKUP($F7,Sheet3!$H$2:$O$200,Z$1,FALSE),VLOOKUP($G7,Sheet3!$H$2:$O$200,Z$1,FALSE))),$I$1),$I$1)</f>
        <v>0</v>
      </c>
      <c r="AA7" s="15">
        <f>IFERROR(IF(ISBLANK(T7),IFERROR(VLOOKUP($E7,Sheet3!$H$2:$O$200,AA$1,FALSE),IFERROR(VLOOKUP($F7,Sheet3!$H$2:$O$200,AA$1,FALSE),VLOOKUP($G7,Sheet3!$H$2:$O$200,AA$1,FALSE))),$I$1),$I$1)</f>
        <v>0</v>
      </c>
      <c r="AB7" s="15">
        <f>IFERROR(IF(ISBLANK(U7),IFERROR(VLOOKUP($E7,Sheet3!$H$2:$O$200,AB$1,FALSE),IFERROR(VLOOKUP($F7,Sheet3!$H$2:$O$200,AB$1,FALSE),VLOOKUP($G7,Sheet3!$H$2:$O$200,AB$1,FALSE))),$I$1),$I$1)</f>
        <v>0</v>
      </c>
      <c r="AC7" s="15">
        <f>IFERROR(IF(ISBLANK(V7),IFERROR(VLOOKUP($E7,Sheet3!$H$2:$O$200,AC$1,FALSE),IFERROR(VLOOKUP($F7,Sheet3!$H$2:$O$200,AC$1,FALSE),VLOOKUP($G7,Sheet3!$H$2:$O$200,AC$1,FALSE))),$I$1),$I$1)</f>
        <v>0</v>
      </c>
      <c r="AD7" s="15">
        <f>IFERROR(IF(ISBLANK(W7),IFERROR(VLOOKUP($E7,Sheet3!$H$2:$O$200,AD$1,FALSE),IFERROR(VLOOKUP($F7,Sheet3!$H$2:$O$200,AD$1,FALSE),VLOOKUP($G7,Sheet3!$H$2:$O$200,AD$1,FALSE))),$I$1),$I$1)</f>
        <v>0</v>
      </c>
      <c r="AE7" s="15">
        <f>IFERROR(IF(ISBLANK(X7),IFERROR(VLOOKUP($F7,Sheet3!$H$2:$O$200,AE$1,FALSE),VLOOKUP($G7,Sheet3!$H$2:$O$200,AE$1,FALSE)),$I$1),$I$1)</f>
        <v>0</v>
      </c>
      <c r="AF7" s="15">
        <f>IFERROR(IF(ISBLANK(Y7),IFERROR(VLOOKUP($F7,Sheet3!$H$2:$O$200,AF$1,FALSE),VLOOKUP($G7,Sheet3!$H$2:$O$200,AF$1,FALSE)),$I$1),$I$1)</f>
        <v>0</v>
      </c>
      <c r="AG7" s="15">
        <f>IFERROR(IF(ISBLANK(Z7),IFERROR(VLOOKUP($F7,Sheet3!$H$2:$O$200,AG$1,FALSE),VLOOKUP($G7,Sheet3!$H$2:$O$200,AG$1,FALSE)),$I$1),$I$1)</f>
        <v>0</v>
      </c>
      <c r="AH7" s="15">
        <f>IFERROR(IF(ISBLANK(AA7),IFERROR(VLOOKUP($F7,Sheet3!$H$2:$O$200,AH$1,FALSE),VLOOKUP($G7,Sheet3!$H$2:$O$200,AH$1,FALSE)),$I$1),$I$1)</f>
        <v>0</v>
      </c>
      <c r="AI7" s="15">
        <f>IFERROR(IF(ISBLANK(AB7),IFERROR(VLOOKUP($F7,Sheet3!$H$2:$O$200,AI$1,FALSE),VLOOKUP($G7,Sheet3!$H$2:$O$200,AI$1,FALSE)),$I$1),$I$1)</f>
        <v>0</v>
      </c>
      <c r="AJ7" s="15">
        <f>IFERROR(IF(ISBLANK(AC7),IFERROR(VLOOKUP($F7,Sheet3!$H$2:$O$200,AJ$1,FALSE),VLOOKUP($G7,Sheet3!$H$2:$O$200,AJ$1,FALSE)),$I$1),$I$1)</f>
        <v>0</v>
      </c>
      <c r="AK7" s="15">
        <f>IFERROR(IF(ISBLANK(AD7),IFERROR(VLOOKUP($F7,Sheet3!$H$2:$O$200,AK$1,FALSE),VLOOKUP($G7,Sheet3!$H$2:$O$200,AK$1,FALSE)),$I$1),$I$1)</f>
        <v>0</v>
      </c>
      <c r="AL7" s="15">
        <f>IFERROR(IF(ISBLANK(AE7),VLOOKUP($G7,Sheet3!$H$2:$O$200,AL$1,FALSE),$I$1),$I$1)</f>
        <v>0</v>
      </c>
      <c r="AM7" s="15">
        <f>IFERROR(IF(ISBLANK(AF7),VLOOKUP($G7,Sheet3!$H$2:$O$200,AM$1,FALSE),$I$1),$I$1)</f>
        <v>0</v>
      </c>
      <c r="AN7" s="15">
        <f>IFERROR(IF(ISBLANK(AG7),VLOOKUP($G7,Sheet3!$H$2:$O$200,AN$1,FALSE),$I$1),$I$1)</f>
        <v>0</v>
      </c>
      <c r="AO7" s="15">
        <f>IFERROR(IF(ISBLANK(AH7),VLOOKUP($G7,Sheet3!$H$2:$O$200,AO$1,FALSE),$I$1),$I$1)</f>
        <v>0</v>
      </c>
      <c r="AP7" s="15">
        <f>IFERROR(IF(ISBLANK(AI7),VLOOKUP($G7,Sheet3!$H$2:$O$200,AP$1,FALSE),$I$1),$I$1)</f>
        <v>0</v>
      </c>
      <c r="AQ7" s="15">
        <f>IFERROR(IF(ISBLANK(AJ7),VLOOKUP($G7,Sheet3!$H$2:$O$200,AQ$1,FALSE),$I$1),$I$1)</f>
        <v>0</v>
      </c>
      <c r="AR7" s="15">
        <f>IFERROR(IF(ISBLANK(AK7),VLOOKUP($G7,Sheet3!$H$2:$O$200,AR$1,FALSE),$I$1),$I$1)</f>
        <v>0</v>
      </c>
      <c r="AS7" s="15">
        <f t="shared" si="1"/>
        <v>28</v>
      </c>
      <c r="AT7" s="15" t="b">
        <f t="shared" si="2"/>
        <v>0</v>
      </c>
    </row>
    <row r="8" spans="1:46" x14ac:dyDescent="0.2">
      <c r="A8" s="19" t="s">
        <v>51</v>
      </c>
      <c r="B8" s="19" t="s">
        <v>47</v>
      </c>
      <c r="C8" s="19" t="s">
        <v>52</v>
      </c>
      <c r="D8" s="19"/>
      <c r="E8" s="19" t="s">
        <v>53</v>
      </c>
      <c r="F8" s="19"/>
      <c r="G8" s="19"/>
      <c r="H8" s="19" t="s">
        <v>51</v>
      </c>
      <c r="I8" s="15">
        <f t="shared" si="0"/>
        <v>2</v>
      </c>
      <c r="J8" s="15">
        <f>IFERROR(VLOOKUP($C8,Sheet3!$H$2:$O$200,J$1,FALSE),IFERROR(VLOOKUP($D8,Sheet3!$H$2:$O$200,J$1,FALSE),VLOOKUP($E8,Sheet3!$H$2:$O$200,J$1,FALSE)))</f>
        <v>0</v>
      </c>
      <c r="K8" s="15">
        <f>IFERROR(VLOOKUP($C8,Sheet3!$H$2:$O$200,K$1,FALSE),IFERROR(VLOOKUP($D8,Sheet3!$H$2:$O$200,K$1,FALSE),VLOOKUP($E8,Sheet3!$H$2:$O$200,K$1,FALSE)))</f>
        <v>0</v>
      </c>
      <c r="L8" s="15">
        <f>IFERROR(VLOOKUP($C8,Sheet3!$H$2:$O$200,L$1,FALSE),IFERROR(VLOOKUP($D8,Sheet3!$H$2:$O$200,L$1,FALSE),VLOOKUP($E8,Sheet3!$H$2:$O$200,L$1,FALSE)))</f>
        <v>0</v>
      </c>
      <c r="M8" s="15" t="str">
        <f>IFERROR(VLOOKUP($C8,Sheet3!$H$2:$O$200,M$1,FALSE),IFERROR(VLOOKUP($D8,Sheet3!$H$2:$O$200,M$1,FALSE),VLOOKUP($E8,Sheet3!$H$2:$O$200,M$1,FALSE)))</f>
        <v>dry vermouth</v>
      </c>
      <c r="N8" s="15">
        <f>IFERROR(VLOOKUP($C8,Sheet3!$H$2:$O$200,N$1,FALSE),IFERROR(VLOOKUP($D8,Sheet3!$H$2:$O$200,N$1,FALSE),VLOOKUP($E8,Sheet3!$H$2:$O$200,N$1,FALSE)))</f>
        <v>0</v>
      </c>
      <c r="O8" s="15">
        <f>IFERROR(VLOOKUP($C8,Sheet3!$H$2:$O$200,O$1,FALSE),IFERROR(VLOOKUP($D8,Sheet3!$H$2:$O$200,O$1,FALSE),VLOOKUP($E8,Sheet3!$H$2:$O$200,O$1,FALSE)))</f>
        <v>0</v>
      </c>
      <c r="P8" s="15">
        <f>IFERROR(VLOOKUP($C8,Sheet3!$H$2:$O$200,P$1,FALSE),IFERROR(VLOOKUP($D8,Sheet3!$H$2:$O$200,P$1,FALSE),VLOOKUP($E8,Sheet3!$H$2:$O$200,P$1,FALSE)))</f>
        <v>0</v>
      </c>
      <c r="Q8" s="15">
        <f>IFERROR(IF(ISBLANK(J8),IFERROR(VLOOKUP($D8,Sheet3!$H$2:$O$200,Q$1,FALSE),IFERROR(VLOOKUP($E8,Sheet3!$H$2:$O$200,Q$1,FALSE),VLOOKUP($F8,Sheet3!$H$2:$O$200,Q$1,FALSE))),$I$1),$I$1)</f>
        <v>0</v>
      </c>
      <c r="R8" s="15">
        <f>IFERROR(IF(ISBLANK(K8),IFERROR(VLOOKUP($D8,Sheet3!$H$2:$O$200,R$1,FALSE),IFERROR(VLOOKUP($E8,Sheet3!$H$2:$O$200,R$1,FALSE),VLOOKUP($F8,Sheet3!$H$2:$O$200,R$1,FALSE))),$I$1),$I$1)</f>
        <v>0</v>
      </c>
      <c r="S8" s="15">
        <f>IFERROR(IF(ISBLANK(L8),IFERROR(VLOOKUP($D8,Sheet3!$H$2:$O$200,S$1,FALSE),IFERROR(VLOOKUP($E8,Sheet3!$H$2:$O$200,S$1,FALSE),VLOOKUP($F8,Sheet3!$H$2:$O$200,S$1,FALSE))),$I$1),$I$1)</f>
        <v>0</v>
      </c>
      <c r="T8" s="15">
        <f>IFERROR(IF(ISBLANK(M8),IFERROR(VLOOKUP($D8,Sheet3!$H$2:$O$200,T$1,FALSE),IFERROR(VLOOKUP($E8,Sheet3!$H$2:$O$200,T$1,FALSE),VLOOKUP($F8,Sheet3!$H$2:$O$200,T$1,FALSE))),$I$1),$I$1)</f>
        <v>0</v>
      </c>
      <c r="U8" s="15">
        <f>IFERROR(IF(ISBLANK(N8),IFERROR(VLOOKUP($D8,Sheet3!$H$2:$O$200,U$1,FALSE),IFERROR(VLOOKUP($E8,Sheet3!$H$2:$O$200,U$1,FALSE),VLOOKUP($F8,Sheet3!$H$2:$O$200,U$1,FALSE))),$I$1),$I$1)</f>
        <v>0</v>
      </c>
      <c r="V8" s="15">
        <f>IFERROR(IF(ISBLANK(O8),IFERROR(VLOOKUP($D8,Sheet3!$H$2:$O$200,V$1,FALSE),IFERROR(VLOOKUP($E8,Sheet3!$H$2:$O$200,V$1,FALSE),VLOOKUP($F8,Sheet3!$H$2:$O$200,V$1,FALSE))),$I$1),$I$1)</f>
        <v>0</v>
      </c>
      <c r="W8" s="15">
        <f>IFERROR(IF(ISBLANK(P8),IFERROR(VLOOKUP($D8,Sheet3!$H$2:$O$200,W$1,FALSE),IFERROR(VLOOKUP($E8,Sheet3!$H$2:$O$200,W$1,FALSE),VLOOKUP($F8,Sheet3!$H$2:$O$200,W$1,FALSE))),$I$1),$I$1)</f>
        <v>0</v>
      </c>
      <c r="X8" s="15">
        <f>IFERROR(IF(ISBLANK(Q8),IFERROR(VLOOKUP($E8,Sheet3!$H$2:$O$200,X$1,FALSE),IFERROR(VLOOKUP($F8,Sheet3!$H$2:$O$200,X$1,FALSE),VLOOKUP($G8,Sheet3!$H$2:$O$200,X$1,FALSE))),$I$1),$I$1)</f>
        <v>0</v>
      </c>
      <c r="Y8" s="15">
        <f>IFERROR(IF(ISBLANK(R8),IFERROR(VLOOKUP($E8,Sheet3!$H$2:$O$200,Y$1,FALSE),IFERROR(VLOOKUP($F8,Sheet3!$H$2:$O$200,Y$1,FALSE),VLOOKUP($G8,Sheet3!$H$2:$O$200,Y$1,FALSE))),$I$1),$I$1)</f>
        <v>0</v>
      </c>
      <c r="Z8" s="15">
        <f>IFERROR(IF(ISBLANK(S8),IFERROR(VLOOKUP($E8,Sheet3!$H$2:$O$200,Z$1,FALSE),IFERROR(VLOOKUP($F8,Sheet3!$H$2:$O$200,Z$1,FALSE),VLOOKUP($G8,Sheet3!$H$2:$O$200,Z$1,FALSE))),$I$1),$I$1)</f>
        <v>0</v>
      </c>
      <c r="AA8" s="15">
        <f>IFERROR(IF(ISBLANK(T8),IFERROR(VLOOKUP($E8,Sheet3!$H$2:$O$200,AA$1,FALSE),IFERROR(VLOOKUP($F8,Sheet3!$H$2:$O$200,AA$1,FALSE),VLOOKUP($G8,Sheet3!$H$2:$O$200,AA$1,FALSE))),$I$1),$I$1)</f>
        <v>0</v>
      </c>
      <c r="AB8" s="15">
        <f>IFERROR(IF(ISBLANK(U8),IFERROR(VLOOKUP($E8,Sheet3!$H$2:$O$200,AB$1,FALSE),IFERROR(VLOOKUP($F8,Sheet3!$H$2:$O$200,AB$1,FALSE),VLOOKUP($G8,Sheet3!$H$2:$O$200,AB$1,FALSE))),$I$1),$I$1)</f>
        <v>0</v>
      </c>
      <c r="AC8" s="15">
        <f>IFERROR(IF(ISBLANK(V8),IFERROR(VLOOKUP($E8,Sheet3!$H$2:$O$200,AC$1,FALSE),IFERROR(VLOOKUP($F8,Sheet3!$H$2:$O$200,AC$1,FALSE),VLOOKUP($G8,Sheet3!$H$2:$O$200,AC$1,FALSE))),$I$1),$I$1)</f>
        <v>0</v>
      </c>
      <c r="AD8" s="15">
        <f>IFERROR(IF(ISBLANK(W8),IFERROR(VLOOKUP($E8,Sheet3!$H$2:$O$200,AD$1,FALSE),IFERROR(VLOOKUP($F8,Sheet3!$H$2:$O$200,AD$1,FALSE),VLOOKUP($G8,Sheet3!$H$2:$O$200,AD$1,FALSE))),$I$1),$I$1)</f>
        <v>0</v>
      </c>
      <c r="AE8" s="15">
        <f>IFERROR(IF(ISBLANK(X8),IFERROR(VLOOKUP($F8,Sheet3!$H$2:$O$200,AE$1,FALSE),VLOOKUP($G8,Sheet3!$H$2:$O$200,AE$1,FALSE)),$I$1),$I$1)</f>
        <v>0</v>
      </c>
      <c r="AF8" s="15">
        <f>IFERROR(IF(ISBLANK(Y8),IFERROR(VLOOKUP($F8,Sheet3!$H$2:$O$200,AF$1,FALSE),VLOOKUP($G8,Sheet3!$H$2:$O$200,AF$1,FALSE)),$I$1),$I$1)</f>
        <v>0</v>
      </c>
      <c r="AG8" s="15">
        <f>IFERROR(IF(ISBLANK(Z8),IFERROR(VLOOKUP($F8,Sheet3!$H$2:$O$200,AG$1,FALSE),VLOOKUP($G8,Sheet3!$H$2:$O$200,AG$1,FALSE)),$I$1),$I$1)</f>
        <v>0</v>
      </c>
      <c r="AH8" s="15">
        <f>IFERROR(IF(ISBLANK(AA8),IFERROR(VLOOKUP($F8,Sheet3!$H$2:$O$200,AH$1,FALSE),VLOOKUP($G8,Sheet3!$H$2:$O$200,AH$1,FALSE)),$I$1),$I$1)</f>
        <v>0</v>
      </c>
      <c r="AI8" s="15">
        <f>IFERROR(IF(ISBLANK(AB8),IFERROR(VLOOKUP($F8,Sheet3!$H$2:$O$200,AI$1,FALSE),VLOOKUP($G8,Sheet3!$H$2:$O$200,AI$1,FALSE)),$I$1),$I$1)</f>
        <v>0</v>
      </c>
      <c r="AJ8" s="15">
        <f>IFERROR(IF(ISBLANK(AC8),IFERROR(VLOOKUP($F8,Sheet3!$H$2:$O$200,AJ$1,FALSE),VLOOKUP($G8,Sheet3!$H$2:$O$200,AJ$1,FALSE)),$I$1),$I$1)</f>
        <v>0</v>
      </c>
      <c r="AK8" s="15">
        <f>IFERROR(IF(ISBLANK(AD8),IFERROR(VLOOKUP($F8,Sheet3!$H$2:$O$200,AK$1,FALSE),VLOOKUP($G8,Sheet3!$H$2:$O$200,AK$1,FALSE)),$I$1),$I$1)</f>
        <v>0</v>
      </c>
      <c r="AL8" s="15">
        <f>IFERROR(IF(ISBLANK(AE8),VLOOKUP($G8,Sheet3!$H$2:$O$200,AL$1,FALSE),$I$1),$I$1)</f>
        <v>0</v>
      </c>
      <c r="AM8" s="15">
        <f>IFERROR(IF(ISBLANK(AF8),VLOOKUP($G8,Sheet3!$H$2:$O$200,AM$1,FALSE),$I$1),$I$1)</f>
        <v>0</v>
      </c>
      <c r="AN8" s="15">
        <f>IFERROR(IF(ISBLANK(AG8),VLOOKUP($G8,Sheet3!$H$2:$O$200,AN$1,FALSE),$I$1),$I$1)</f>
        <v>0</v>
      </c>
      <c r="AO8" s="15">
        <f>IFERROR(IF(ISBLANK(AH8),VLOOKUP($G8,Sheet3!$H$2:$O$200,AO$1,FALSE),$I$1),$I$1)</f>
        <v>0</v>
      </c>
      <c r="AP8" s="15">
        <f>IFERROR(IF(ISBLANK(AI8),VLOOKUP($G8,Sheet3!$H$2:$O$200,AP$1,FALSE),$I$1),$I$1)</f>
        <v>0</v>
      </c>
      <c r="AQ8" s="15">
        <f>IFERROR(IF(ISBLANK(AJ8),VLOOKUP($G8,Sheet3!$H$2:$O$200,AQ$1,FALSE),$I$1),$I$1)</f>
        <v>0</v>
      </c>
      <c r="AR8" s="15">
        <f>IFERROR(IF(ISBLANK(AK8),VLOOKUP($G8,Sheet3!$H$2:$O$200,AR$1,FALSE),$I$1),$I$1)</f>
        <v>0</v>
      </c>
      <c r="AS8" s="15">
        <f t="shared" si="1"/>
        <v>28</v>
      </c>
      <c r="AT8" s="15" t="b">
        <f t="shared" si="2"/>
        <v>0</v>
      </c>
    </row>
    <row r="9" spans="1:46" x14ac:dyDescent="0.2">
      <c r="A9" s="19" t="s">
        <v>54</v>
      </c>
      <c r="B9" s="19" t="s">
        <v>47</v>
      </c>
      <c r="C9" s="19"/>
      <c r="D9" s="19" t="s">
        <v>38</v>
      </c>
      <c r="E9" s="19" t="s">
        <v>55</v>
      </c>
      <c r="F9" s="19"/>
      <c r="G9" s="19"/>
      <c r="H9" s="19" t="s">
        <v>54</v>
      </c>
      <c r="I9" s="15">
        <f t="shared" si="0"/>
        <v>2</v>
      </c>
      <c r="J9" s="15">
        <f>IFERROR(VLOOKUP($C9,Sheet3!$H$2:$O$200,J$1,FALSE),IFERROR(VLOOKUP($D9,Sheet3!$H$2:$O$200,J$1,FALSE),VLOOKUP($E9,Sheet3!$H$2:$O$200,J$1,FALSE)))</f>
        <v>0</v>
      </c>
      <c r="K9" s="15">
        <f>IFERROR(VLOOKUP($C9,Sheet3!$H$2:$O$200,K$1,FALSE),IFERROR(VLOOKUP($D9,Sheet3!$H$2:$O$200,K$1,FALSE),VLOOKUP($E9,Sheet3!$H$2:$O$200,K$1,FALSE)))</f>
        <v>0</v>
      </c>
      <c r="L9" s="15" t="str">
        <f>IFERROR(VLOOKUP($C9,Sheet3!$H$2:$O$200,L$1,FALSE),IFERROR(VLOOKUP($D9,Sheet3!$H$2:$O$200,L$1,FALSE),VLOOKUP($E9,Sheet3!$H$2:$O$200,L$1,FALSE)))</f>
        <v>lemon juice</v>
      </c>
      <c r="M9" s="15">
        <f>IFERROR(VLOOKUP($C9,Sheet3!$H$2:$O$200,M$1,FALSE),IFERROR(VLOOKUP($D9,Sheet3!$H$2:$O$200,M$1,FALSE),VLOOKUP($E9,Sheet3!$H$2:$O$200,M$1,FALSE)))</f>
        <v>0</v>
      </c>
      <c r="N9" s="15">
        <f>IFERROR(VLOOKUP($C9,Sheet3!$H$2:$O$200,N$1,FALSE),IFERROR(VLOOKUP($D9,Sheet3!$H$2:$O$200,N$1,FALSE),VLOOKUP($E9,Sheet3!$H$2:$O$200,N$1,FALSE)))</f>
        <v>0</v>
      </c>
      <c r="O9" s="15">
        <f>IFERROR(VLOOKUP($C9,Sheet3!$H$2:$O$200,O$1,FALSE),IFERROR(VLOOKUP($D9,Sheet3!$H$2:$O$200,O$1,FALSE),VLOOKUP($E9,Sheet3!$H$2:$O$200,O$1,FALSE)))</f>
        <v>0</v>
      </c>
      <c r="P9" s="15">
        <f>IFERROR(VLOOKUP($C9,Sheet3!$H$2:$O$200,P$1,FALSE),IFERROR(VLOOKUP($D9,Sheet3!$H$2:$O$200,P$1,FALSE),VLOOKUP($E9,Sheet3!$H$2:$O$200,P$1,FALSE)))</f>
        <v>0</v>
      </c>
      <c r="Q9" s="15">
        <f>IFERROR(IF(ISBLANK(J9),IFERROR(VLOOKUP($D9,Sheet3!$H$2:$O$200,Q$1,FALSE),IFERROR(VLOOKUP($E9,Sheet3!$H$2:$O$200,Q$1,FALSE),VLOOKUP($F9,Sheet3!$H$2:$O$200,Q$1,FALSE))),$I$1),$I$1)</f>
        <v>0</v>
      </c>
      <c r="R9" s="15">
        <f>IFERROR(IF(ISBLANK(K9),IFERROR(VLOOKUP($D9,Sheet3!$H$2:$O$200,R$1,FALSE),IFERROR(VLOOKUP($E9,Sheet3!$H$2:$O$200,R$1,FALSE),VLOOKUP($F9,Sheet3!$H$2:$O$200,R$1,FALSE))),$I$1),$I$1)</f>
        <v>0</v>
      </c>
      <c r="S9" s="15">
        <f>IFERROR(IF(ISBLANK(L9),IFERROR(VLOOKUP($D9,Sheet3!$H$2:$O$200,S$1,FALSE),IFERROR(VLOOKUP($E9,Sheet3!$H$2:$O$200,S$1,FALSE),VLOOKUP($F9,Sheet3!$H$2:$O$200,S$1,FALSE))),$I$1),$I$1)</f>
        <v>0</v>
      </c>
      <c r="T9" s="15">
        <f>IFERROR(IF(ISBLANK(M9),IFERROR(VLOOKUP($D9,Sheet3!$H$2:$O$200,T$1,FALSE),IFERROR(VLOOKUP($E9,Sheet3!$H$2:$O$200,T$1,FALSE),VLOOKUP($F9,Sheet3!$H$2:$O$200,T$1,FALSE))),$I$1),$I$1)</f>
        <v>0</v>
      </c>
      <c r="U9" s="15">
        <f>IFERROR(IF(ISBLANK(N9),IFERROR(VLOOKUP($D9,Sheet3!$H$2:$O$200,U$1,FALSE),IFERROR(VLOOKUP($E9,Sheet3!$H$2:$O$200,U$1,FALSE),VLOOKUP($F9,Sheet3!$H$2:$O$200,U$1,FALSE))),$I$1),$I$1)</f>
        <v>0</v>
      </c>
      <c r="V9" s="15">
        <f>IFERROR(IF(ISBLANK(O9),IFERROR(VLOOKUP($D9,Sheet3!$H$2:$O$200,V$1,FALSE),IFERROR(VLOOKUP($E9,Sheet3!$H$2:$O$200,V$1,FALSE),VLOOKUP($F9,Sheet3!$H$2:$O$200,V$1,FALSE))),$I$1),$I$1)</f>
        <v>0</v>
      </c>
      <c r="W9" s="15">
        <f>IFERROR(IF(ISBLANK(P9),IFERROR(VLOOKUP($D9,Sheet3!$H$2:$O$200,W$1,FALSE),IFERROR(VLOOKUP($E9,Sheet3!$H$2:$O$200,W$1,FALSE),VLOOKUP($F9,Sheet3!$H$2:$O$200,W$1,FALSE))),$I$1),$I$1)</f>
        <v>0</v>
      </c>
      <c r="X9" s="15">
        <f>IFERROR(IF(ISBLANK(Q9),IFERROR(VLOOKUP($E9,Sheet3!$H$2:$O$200,X$1,FALSE),IFERROR(VLOOKUP($F9,Sheet3!$H$2:$O$200,X$1,FALSE),VLOOKUP($G9,Sheet3!$H$2:$O$200,X$1,FALSE))),$I$1),$I$1)</f>
        <v>0</v>
      </c>
      <c r="Y9" s="15">
        <f>IFERROR(IF(ISBLANK(R9),IFERROR(VLOOKUP($E9,Sheet3!$H$2:$O$200,Y$1,FALSE),IFERROR(VLOOKUP($F9,Sheet3!$H$2:$O$200,Y$1,FALSE),VLOOKUP($G9,Sheet3!$H$2:$O$200,Y$1,FALSE))),$I$1),$I$1)</f>
        <v>0</v>
      </c>
      <c r="Z9" s="15">
        <f>IFERROR(IF(ISBLANK(S9),IFERROR(VLOOKUP($E9,Sheet3!$H$2:$O$200,Z$1,FALSE),IFERROR(VLOOKUP($F9,Sheet3!$H$2:$O$200,Z$1,FALSE),VLOOKUP($G9,Sheet3!$H$2:$O$200,Z$1,FALSE))),$I$1),$I$1)</f>
        <v>0</v>
      </c>
      <c r="AA9" s="15">
        <f>IFERROR(IF(ISBLANK(T9),IFERROR(VLOOKUP($E9,Sheet3!$H$2:$O$200,AA$1,FALSE),IFERROR(VLOOKUP($F9,Sheet3!$H$2:$O$200,AA$1,FALSE),VLOOKUP($G9,Sheet3!$H$2:$O$200,AA$1,FALSE))),$I$1),$I$1)</f>
        <v>0</v>
      </c>
      <c r="AB9" s="15">
        <f>IFERROR(IF(ISBLANK(U9),IFERROR(VLOOKUP($E9,Sheet3!$H$2:$O$200,AB$1,FALSE),IFERROR(VLOOKUP($F9,Sheet3!$H$2:$O$200,AB$1,FALSE),VLOOKUP($G9,Sheet3!$H$2:$O$200,AB$1,FALSE))),$I$1),$I$1)</f>
        <v>0</v>
      </c>
      <c r="AC9" s="15">
        <f>IFERROR(IF(ISBLANK(V9),IFERROR(VLOOKUP($E9,Sheet3!$H$2:$O$200,AC$1,FALSE),IFERROR(VLOOKUP($F9,Sheet3!$H$2:$O$200,AC$1,FALSE),VLOOKUP($G9,Sheet3!$H$2:$O$200,AC$1,FALSE))),$I$1),$I$1)</f>
        <v>0</v>
      </c>
      <c r="AD9" s="15">
        <f>IFERROR(IF(ISBLANK(W9),IFERROR(VLOOKUP($E9,Sheet3!$H$2:$O$200,AD$1,FALSE),IFERROR(VLOOKUP($F9,Sheet3!$H$2:$O$200,AD$1,FALSE),VLOOKUP($G9,Sheet3!$H$2:$O$200,AD$1,FALSE))),$I$1),$I$1)</f>
        <v>0</v>
      </c>
      <c r="AE9" s="15">
        <f>IFERROR(IF(ISBLANK(X9),IFERROR(VLOOKUP($F9,Sheet3!$H$2:$O$200,AE$1,FALSE),VLOOKUP($G9,Sheet3!$H$2:$O$200,AE$1,FALSE)),$I$1),$I$1)</f>
        <v>0</v>
      </c>
      <c r="AF9" s="15">
        <f>IFERROR(IF(ISBLANK(Y9),IFERROR(VLOOKUP($F9,Sheet3!$H$2:$O$200,AF$1,FALSE),VLOOKUP($G9,Sheet3!$H$2:$O$200,AF$1,FALSE)),$I$1),$I$1)</f>
        <v>0</v>
      </c>
      <c r="AG9" s="15">
        <f>IFERROR(IF(ISBLANK(Z9),IFERROR(VLOOKUP($F9,Sheet3!$H$2:$O$200,AG$1,FALSE),VLOOKUP($G9,Sheet3!$H$2:$O$200,AG$1,FALSE)),$I$1),$I$1)</f>
        <v>0</v>
      </c>
      <c r="AH9" s="15">
        <f>IFERROR(IF(ISBLANK(AA9),IFERROR(VLOOKUP($F9,Sheet3!$H$2:$O$200,AH$1,FALSE),VLOOKUP($G9,Sheet3!$H$2:$O$200,AH$1,FALSE)),$I$1),$I$1)</f>
        <v>0</v>
      </c>
      <c r="AI9" s="15">
        <f>IFERROR(IF(ISBLANK(AB9),IFERROR(VLOOKUP($F9,Sheet3!$H$2:$O$200,AI$1,FALSE),VLOOKUP($G9,Sheet3!$H$2:$O$200,AI$1,FALSE)),$I$1),$I$1)</f>
        <v>0</v>
      </c>
      <c r="AJ9" s="15">
        <f>IFERROR(IF(ISBLANK(AC9),IFERROR(VLOOKUP($F9,Sheet3!$H$2:$O$200,AJ$1,FALSE),VLOOKUP($G9,Sheet3!$H$2:$O$200,AJ$1,FALSE)),$I$1),$I$1)</f>
        <v>0</v>
      </c>
      <c r="AK9" s="15">
        <f>IFERROR(IF(ISBLANK(AD9),IFERROR(VLOOKUP($F9,Sheet3!$H$2:$O$200,AK$1,FALSE),VLOOKUP($G9,Sheet3!$H$2:$O$200,AK$1,FALSE)),$I$1),$I$1)</f>
        <v>0</v>
      </c>
      <c r="AL9" s="15">
        <f>IFERROR(IF(ISBLANK(AE9),VLOOKUP($G9,Sheet3!$H$2:$O$200,AL$1,FALSE),$I$1),$I$1)</f>
        <v>0</v>
      </c>
      <c r="AM9" s="15">
        <f>IFERROR(IF(ISBLANK(AF9),VLOOKUP($G9,Sheet3!$H$2:$O$200,AM$1,FALSE),$I$1),$I$1)</f>
        <v>0</v>
      </c>
      <c r="AN9" s="15">
        <f>IFERROR(IF(ISBLANK(AG9),VLOOKUP($G9,Sheet3!$H$2:$O$200,AN$1,FALSE),$I$1),$I$1)</f>
        <v>0</v>
      </c>
      <c r="AO9" s="15">
        <f>IFERROR(IF(ISBLANK(AH9),VLOOKUP($G9,Sheet3!$H$2:$O$200,AO$1,FALSE),$I$1),$I$1)</f>
        <v>0</v>
      </c>
      <c r="AP9" s="15">
        <f>IFERROR(IF(ISBLANK(AI9),VLOOKUP($G9,Sheet3!$H$2:$O$200,AP$1,FALSE),$I$1),$I$1)</f>
        <v>0</v>
      </c>
      <c r="AQ9" s="15">
        <f>IFERROR(IF(ISBLANK(AJ9),VLOOKUP($G9,Sheet3!$H$2:$O$200,AQ$1,FALSE),$I$1),$I$1)</f>
        <v>0</v>
      </c>
      <c r="AR9" s="15">
        <f>IFERROR(IF(ISBLANK(AK9),VLOOKUP($G9,Sheet3!$H$2:$O$200,AR$1,FALSE),$I$1),$I$1)</f>
        <v>0</v>
      </c>
      <c r="AS9" s="15">
        <f t="shared" si="1"/>
        <v>28</v>
      </c>
      <c r="AT9" s="15" t="b">
        <f t="shared" si="2"/>
        <v>0</v>
      </c>
    </row>
    <row r="10" spans="1:46" x14ac:dyDescent="0.2">
      <c r="A10" s="19" t="s">
        <v>56</v>
      </c>
      <c r="B10" s="19" t="s">
        <v>47</v>
      </c>
      <c r="C10" s="19" t="s">
        <v>57</v>
      </c>
      <c r="D10" s="19" t="s">
        <v>38</v>
      </c>
      <c r="E10" s="19"/>
      <c r="F10" s="19"/>
      <c r="G10" s="19"/>
      <c r="H10" s="19" t="s">
        <v>56</v>
      </c>
      <c r="I10" s="15">
        <f t="shared" si="0"/>
        <v>2</v>
      </c>
      <c r="J10" s="15">
        <f>IFERROR(VLOOKUP($C10,Sheet3!$H$2:$O$200,J$1,FALSE),IFERROR(VLOOKUP($D10,Sheet3!$H$2:$O$200,J$1,FALSE),VLOOKUP($E10,Sheet3!$H$2:$O$200,J$1,FALSE)))</f>
        <v>0</v>
      </c>
      <c r="K10" s="15">
        <f>IFERROR(VLOOKUP($C10,Sheet3!$H$2:$O$200,K$1,FALSE),IFERROR(VLOOKUP($D10,Sheet3!$H$2:$O$200,K$1,FALSE),VLOOKUP($E10,Sheet3!$H$2:$O$200,K$1,FALSE)))</f>
        <v>0</v>
      </c>
      <c r="L10" s="15">
        <f>IFERROR(VLOOKUP($C10,Sheet3!$H$2:$O$200,L$1,FALSE),IFERROR(VLOOKUP($D10,Sheet3!$H$2:$O$200,L$1,FALSE),VLOOKUP($E10,Sheet3!$H$2:$O$200,L$1,FALSE)))</f>
        <v>0</v>
      </c>
      <c r="M10" s="15" t="str">
        <f>IFERROR(VLOOKUP($C10,Sheet3!$H$2:$O$200,M$1,FALSE),IFERROR(VLOOKUP($D10,Sheet3!$H$2:$O$200,M$1,FALSE),VLOOKUP($E10,Sheet3!$H$2:$O$200,M$1,FALSE)))</f>
        <v>crème de noyau</v>
      </c>
      <c r="N10" s="15">
        <f>IFERROR(VLOOKUP($C10,Sheet3!$H$2:$O$200,N$1,FALSE),IFERROR(VLOOKUP($D10,Sheet3!$H$2:$O$200,N$1,FALSE),VLOOKUP($E10,Sheet3!$H$2:$O$200,N$1,FALSE)))</f>
        <v>0</v>
      </c>
      <c r="O10" s="15">
        <f>IFERROR(VLOOKUP($C10,Sheet3!$H$2:$O$200,O$1,FALSE),IFERROR(VLOOKUP($D10,Sheet3!$H$2:$O$200,O$1,FALSE),VLOOKUP($E10,Sheet3!$H$2:$O$200,O$1,FALSE)))</f>
        <v>0</v>
      </c>
      <c r="P10" s="15">
        <f>IFERROR(VLOOKUP($C10,Sheet3!$H$2:$O$200,P$1,FALSE),IFERROR(VLOOKUP($D10,Sheet3!$H$2:$O$200,P$1,FALSE),VLOOKUP($E10,Sheet3!$H$2:$O$200,P$1,FALSE)))</f>
        <v>0</v>
      </c>
      <c r="Q10" s="15">
        <f>IFERROR(IF(ISBLANK(J10),IFERROR(VLOOKUP($D10,Sheet3!$H$2:$O$200,Q$1,FALSE),IFERROR(VLOOKUP($E10,Sheet3!$H$2:$O$200,Q$1,FALSE),VLOOKUP($F10,Sheet3!$H$2:$O$200,Q$1,FALSE))),$I$1),$I$1)</f>
        <v>0</v>
      </c>
      <c r="R10" s="15">
        <f>IFERROR(IF(ISBLANK(K10),IFERROR(VLOOKUP($D10,Sheet3!$H$2:$O$200,R$1,FALSE),IFERROR(VLOOKUP($E10,Sheet3!$H$2:$O$200,R$1,FALSE),VLOOKUP($F10,Sheet3!$H$2:$O$200,R$1,FALSE))),$I$1),$I$1)</f>
        <v>0</v>
      </c>
      <c r="S10" s="15">
        <f>IFERROR(IF(ISBLANK(L10),IFERROR(VLOOKUP($D10,Sheet3!$H$2:$O$200,S$1,FALSE),IFERROR(VLOOKUP($E10,Sheet3!$H$2:$O$200,S$1,FALSE),VLOOKUP($F10,Sheet3!$H$2:$O$200,S$1,FALSE))),$I$1),$I$1)</f>
        <v>0</v>
      </c>
      <c r="T10" s="15">
        <f>IFERROR(IF(ISBLANK(M10),IFERROR(VLOOKUP($D10,Sheet3!$H$2:$O$200,T$1,FALSE),IFERROR(VLOOKUP($E10,Sheet3!$H$2:$O$200,T$1,FALSE),VLOOKUP($F10,Sheet3!$H$2:$O$200,T$1,FALSE))),$I$1),$I$1)</f>
        <v>0</v>
      </c>
      <c r="U10" s="15">
        <f>IFERROR(IF(ISBLANK(N10),IFERROR(VLOOKUP($D10,Sheet3!$H$2:$O$200,U$1,FALSE),IFERROR(VLOOKUP($E10,Sheet3!$H$2:$O$200,U$1,FALSE),VLOOKUP($F10,Sheet3!$H$2:$O$200,U$1,FALSE))),$I$1),$I$1)</f>
        <v>0</v>
      </c>
      <c r="V10" s="15">
        <f>IFERROR(IF(ISBLANK(O10),IFERROR(VLOOKUP($D10,Sheet3!$H$2:$O$200,V$1,FALSE),IFERROR(VLOOKUP($E10,Sheet3!$H$2:$O$200,V$1,FALSE),VLOOKUP($F10,Sheet3!$H$2:$O$200,V$1,FALSE))),$I$1),$I$1)</f>
        <v>0</v>
      </c>
      <c r="W10" s="15">
        <f>IFERROR(IF(ISBLANK(P10),IFERROR(VLOOKUP($D10,Sheet3!$H$2:$O$200,W$1,FALSE),IFERROR(VLOOKUP($E10,Sheet3!$H$2:$O$200,W$1,FALSE),VLOOKUP($F10,Sheet3!$H$2:$O$200,W$1,FALSE))),$I$1),$I$1)</f>
        <v>0</v>
      </c>
      <c r="X10" s="15">
        <f>IFERROR(IF(ISBLANK(Q10),IFERROR(VLOOKUP($E10,Sheet3!$H$2:$O$200,X$1,FALSE),IFERROR(VLOOKUP($F10,Sheet3!$H$2:$O$200,X$1,FALSE),VLOOKUP($G10,Sheet3!$H$2:$O$200,X$1,FALSE))),$I$1),$I$1)</f>
        <v>0</v>
      </c>
      <c r="Y10" s="15">
        <f>IFERROR(IF(ISBLANK(R10),IFERROR(VLOOKUP($E10,Sheet3!$H$2:$O$200,Y$1,FALSE),IFERROR(VLOOKUP($F10,Sheet3!$H$2:$O$200,Y$1,FALSE),VLOOKUP($G10,Sheet3!$H$2:$O$200,Y$1,FALSE))),$I$1),$I$1)</f>
        <v>0</v>
      </c>
      <c r="Z10" s="15">
        <f>IFERROR(IF(ISBLANK(S10),IFERROR(VLOOKUP($E10,Sheet3!$H$2:$O$200,Z$1,FALSE),IFERROR(VLOOKUP($F10,Sheet3!$H$2:$O$200,Z$1,FALSE),VLOOKUP($G10,Sheet3!$H$2:$O$200,Z$1,FALSE))),$I$1),$I$1)</f>
        <v>0</v>
      </c>
      <c r="AA10" s="15">
        <f>IFERROR(IF(ISBLANK(T10),IFERROR(VLOOKUP($E10,Sheet3!$H$2:$O$200,AA$1,FALSE),IFERROR(VLOOKUP($F10,Sheet3!$H$2:$O$200,AA$1,FALSE),VLOOKUP($G10,Sheet3!$H$2:$O$200,AA$1,FALSE))),$I$1),$I$1)</f>
        <v>0</v>
      </c>
      <c r="AB10" s="15">
        <f>IFERROR(IF(ISBLANK(U10),IFERROR(VLOOKUP($E10,Sheet3!$H$2:$O$200,AB$1,FALSE),IFERROR(VLOOKUP($F10,Sheet3!$H$2:$O$200,AB$1,FALSE),VLOOKUP($G10,Sheet3!$H$2:$O$200,AB$1,FALSE))),$I$1),$I$1)</f>
        <v>0</v>
      </c>
      <c r="AC10" s="15">
        <f>IFERROR(IF(ISBLANK(V10),IFERROR(VLOOKUP($E10,Sheet3!$H$2:$O$200,AC$1,FALSE),IFERROR(VLOOKUP($F10,Sheet3!$H$2:$O$200,AC$1,FALSE),VLOOKUP($G10,Sheet3!$H$2:$O$200,AC$1,FALSE))),$I$1),$I$1)</f>
        <v>0</v>
      </c>
      <c r="AD10" s="15">
        <f>IFERROR(IF(ISBLANK(W10),IFERROR(VLOOKUP($E10,Sheet3!$H$2:$O$200,AD$1,FALSE),IFERROR(VLOOKUP($F10,Sheet3!$H$2:$O$200,AD$1,FALSE),VLOOKUP($G10,Sheet3!$H$2:$O$200,AD$1,FALSE))),$I$1),$I$1)</f>
        <v>0</v>
      </c>
      <c r="AE10" s="15">
        <f>IFERROR(IF(ISBLANK(X10),IFERROR(VLOOKUP($F10,Sheet3!$H$2:$O$200,AE$1,FALSE),VLOOKUP($G10,Sheet3!$H$2:$O$200,AE$1,FALSE)),$I$1),$I$1)</f>
        <v>0</v>
      </c>
      <c r="AF10" s="15">
        <f>IFERROR(IF(ISBLANK(Y10),IFERROR(VLOOKUP($F10,Sheet3!$H$2:$O$200,AF$1,FALSE),VLOOKUP($G10,Sheet3!$H$2:$O$200,AF$1,FALSE)),$I$1),$I$1)</f>
        <v>0</v>
      </c>
      <c r="AG10" s="15">
        <f>IFERROR(IF(ISBLANK(Z10),IFERROR(VLOOKUP($F10,Sheet3!$H$2:$O$200,AG$1,FALSE),VLOOKUP($G10,Sheet3!$H$2:$O$200,AG$1,FALSE)),$I$1),$I$1)</f>
        <v>0</v>
      </c>
      <c r="AH10" s="15">
        <f>IFERROR(IF(ISBLANK(AA10),IFERROR(VLOOKUP($F10,Sheet3!$H$2:$O$200,AH$1,FALSE),VLOOKUP($G10,Sheet3!$H$2:$O$200,AH$1,FALSE)),$I$1),$I$1)</f>
        <v>0</v>
      </c>
      <c r="AI10" s="15">
        <f>IFERROR(IF(ISBLANK(AB10),IFERROR(VLOOKUP($F10,Sheet3!$H$2:$O$200,AI$1,FALSE),VLOOKUP($G10,Sheet3!$H$2:$O$200,AI$1,FALSE)),$I$1),$I$1)</f>
        <v>0</v>
      </c>
      <c r="AJ10" s="15">
        <f>IFERROR(IF(ISBLANK(AC10),IFERROR(VLOOKUP($F10,Sheet3!$H$2:$O$200,AJ$1,FALSE),VLOOKUP($G10,Sheet3!$H$2:$O$200,AJ$1,FALSE)),$I$1),$I$1)</f>
        <v>0</v>
      </c>
      <c r="AK10" s="15">
        <f>IFERROR(IF(ISBLANK(AD10),IFERROR(VLOOKUP($F10,Sheet3!$H$2:$O$200,AK$1,FALSE),VLOOKUP($G10,Sheet3!$H$2:$O$200,AK$1,FALSE)),$I$1),$I$1)</f>
        <v>0</v>
      </c>
      <c r="AL10" s="15">
        <f>IFERROR(IF(ISBLANK(AE10),VLOOKUP($G10,Sheet3!$H$2:$O$200,AL$1,FALSE),$I$1),$I$1)</f>
        <v>0</v>
      </c>
      <c r="AM10" s="15">
        <f>IFERROR(IF(ISBLANK(AF10),VLOOKUP($G10,Sheet3!$H$2:$O$200,AM$1,FALSE),$I$1),$I$1)</f>
        <v>0</v>
      </c>
      <c r="AN10" s="15">
        <f>IFERROR(IF(ISBLANK(AG10),VLOOKUP($G10,Sheet3!$H$2:$O$200,AN$1,FALSE),$I$1),$I$1)</f>
        <v>0</v>
      </c>
      <c r="AO10" s="15">
        <f>IFERROR(IF(ISBLANK(AH10),VLOOKUP($G10,Sheet3!$H$2:$O$200,AO$1,FALSE),$I$1),$I$1)</f>
        <v>0</v>
      </c>
      <c r="AP10" s="15">
        <f>IFERROR(IF(ISBLANK(AI10),VLOOKUP($G10,Sheet3!$H$2:$O$200,AP$1,FALSE),$I$1),$I$1)</f>
        <v>0</v>
      </c>
      <c r="AQ10" s="15">
        <f>IFERROR(IF(ISBLANK(AJ10),VLOOKUP($G10,Sheet3!$H$2:$O$200,AQ$1,FALSE),$I$1),$I$1)</f>
        <v>0</v>
      </c>
      <c r="AR10" s="15">
        <f>IFERROR(IF(ISBLANK(AK10),VLOOKUP($G10,Sheet3!$H$2:$O$200,AR$1,FALSE),$I$1),$I$1)</f>
        <v>0</v>
      </c>
      <c r="AS10" s="15">
        <f t="shared" si="1"/>
        <v>28</v>
      </c>
      <c r="AT10" s="15" t="b">
        <f t="shared" si="2"/>
        <v>0</v>
      </c>
    </row>
    <row r="11" spans="1:46" x14ac:dyDescent="0.2">
      <c r="A11" s="19" t="s">
        <v>59</v>
      </c>
      <c r="B11" s="19" t="s">
        <v>60</v>
      </c>
      <c r="C11" s="19"/>
      <c r="D11" s="19" t="s">
        <v>38</v>
      </c>
      <c r="E11" s="19"/>
      <c r="F11" s="19"/>
      <c r="G11" s="19"/>
      <c r="H11" s="19" t="s">
        <v>59</v>
      </c>
      <c r="I11" s="15">
        <f t="shared" si="0"/>
        <v>1</v>
      </c>
      <c r="J11" s="15">
        <f>IFERROR(VLOOKUP($C11,Sheet3!$H$2:$O$200,J$1,FALSE),IFERROR(VLOOKUP($D11,Sheet3!$H$2:$O$200,J$1,FALSE),VLOOKUP($E11,Sheet3!$H$2:$O$200,J$1,FALSE)))</f>
        <v>0</v>
      </c>
      <c r="K11" s="15">
        <f>IFERROR(VLOOKUP($C11,Sheet3!$H$2:$O$200,K$1,FALSE),IFERROR(VLOOKUP($D11,Sheet3!$H$2:$O$200,K$1,FALSE),VLOOKUP($E11,Sheet3!$H$2:$O$200,K$1,FALSE)))</f>
        <v>0</v>
      </c>
      <c r="L11" s="15" t="str">
        <f>IFERROR(VLOOKUP($C11,Sheet3!$H$2:$O$200,L$1,FALSE),IFERROR(VLOOKUP($D11,Sheet3!$H$2:$O$200,L$1,FALSE),VLOOKUP($E11,Sheet3!$H$2:$O$200,L$1,FALSE)))</f>
        <v>lemon juice</v>
      </c>
      <c r="M11" s="15">
        <f>IFERROR(VLOOKUP($C11,Sheet3!$H$2:$O$200,M$1,FALSE),IFERROR(VLOOKUP($D11,Sheet3!$H$2:$O$200,M$1,FALSE),VLOOKUP($E11,Sheet3!$H$2:$O$200,M$1,FALSE)))</f>
        <v>0</v>
      </c>
      <c r="N11" s="15">
        <f>IFERROR(VLOOKUP($C11,Sheet3!$H$2:$O$200,N$1,FALSE),IFERROR(VLOOKUP($D11,Sheet3!$H$2:$O$200,N$1,FALSE),VLOOKUP($E11,Sheet3!$H$2:$O$200,N$1,FALSE)))</f>
        <v>0</v>
      </c>
      <c r="O11" s="15">
        <f>IFERROR(VLOOKUP($C11,Sheet3!$H$2:$O$200,O$1,FALSE),IFERROR(VLOOKUP($D11,Sheet3!$H$2:$O$200,O$1,FALSE),VLOOKUP($E11,Sheet3!$H$2:$O$200,O$1,FALSE)))</f>
        <v>0</v>
      </c>
      <c r="P11" s="15">
        <f>IFERROR(VLOOKUP($C11,Sheet3!$H$2:$O$200,P$1,FALSE),IFERROR(VLOOKUP($D11,Sheet3!$H$2:$O$200,P$1,FALSE),VLOOKUP($E11,Sheet3!$H$2:$O$200,P$1,FALSE)))</f>
        <v>0</v>
      </c>
      <c r="Q11" s="15">
        <f>IFERROR(IF(ISBLANK(J11),IFERROR(VLOOKUP($D11,Sheet3!$H$2:$O$200,Q$1,FALSE),IFERROR(VLOOKUP($E11,Sheet3!$H$2:$O$200,Q$1,FALSE),VLOOKUP($F11,Sheet3!$H$2:$O$200,Q$1,FALSE))),$I$1),$I$1)</f>
        <v>0</v>
      </c>
      <c r="R11" s="15">
        <f>IFERROR(IF(ISBLANK(K11),IFERROR(VLOOKUP($D11,Sheet3!$H$2:$O$200,R$1,FALSE),IFERROR(VLOOKUP($E11,Sheet3!$H$2:$O$200,R$1,FALSE),VLOOKUP($F11,Sheet3!$H$2:$O$200,R$1,FALSE))),$I$1),$I$1)</f>
        <v>0</v>
      </c>
      <c r="S11" s="15">
        <f>IFERROR(IF(ISBLANK(L11),IFERROR(VLOOKUP($D11,Sheet3!$H$2:$O$200,S$1,FALSE),IFERROR(VLOOKUP($E11,Sheet3!$H$2:$O$200,S$1,FALSE),VLOOKUP($F11,Sheet3!$H$2:$O$200,S$1,FALSE))),$I$1),$I$1)</f>
        <v>0</v>
      </c>
      <c r="T11" s="15">
        <f>IFERROR(IF(ISBLANK(M11),IFERROR(VLOOKUP($D11,Sheet3!$H$2:$O$200,T$1,FALSE),IFERROR(VLOOKUP($E11,Sheet3!$H$2:$O$200,T$1,FALSE),VLOOKUP($F11,Sheet3!$H$2:$O$200,T$1,FALSE))),$I$1),$I$1)</f>
        <v>0</v>
      </c>
      <c r="U11" s="15">
        <f>IFERROR(IF(ISBLANK(N11),IFERROR(VLOOKUP($D11,Sheet3!$H$2:$O$200,U$1,FALSE),IFERROR(VLOOKUP($E11,Sheet3!$H$2:$O$200,U$1,FALSE),VLOOKUP($F11,Sheet3!$H$2:$O$200,U$1,FALSE))),$I$1),$I$1)</f>
        <v>0</v>
      </c>
      <c r="V11" s="15">
        <f>IFERROR(IF(ISBLANK(O11),IFERROR(VLOOKUP($D11,Sheet3!$H$2:$O$200,V$1,FALSE),IFERROR(VLOOKUP($E11,Sheet3!$H$2:$O$200,V$1,FALSE),VLOOKUP($F11,Sheet3!$H$2:$O$200,V$1,FALSE))),$I$1),$I$1)</f>
        <v>0</v>
      </c>
      <c r="W11" s="15">
        <f>IFERROR(IF(ISBLANK(P11),IFERROR(VLOOKUP($D11,Sheet3!$H$2:$O$200,W$1,FALSE),IFERROR(VLOOKUP($E11,Sheet3!$H$2:$O$200,W$1,FALSE),VLOOKUP($F11,Sheet3!$H$2:$O$200,W$1,FALSE))),$I$1),$I$1)</f>
        <v>0</v>
      </c>
      <c r="X11" s="15">
        <f>IFERROR(IF(ISBLANK(Q11),IFERROR(VLOOKUP($E11,Sheet3!$H$2:$O$200,X$1,FALSE),IFERROR(VLOOKUP($F11,Sheet3!$H$2:$O$200,X$1,FALSE),VLOOKUP($G11,Sheet3!$H$2:$O$200,X$1,FALSE))),$I$1),$I$1)</f>
        <v>0</v>
      </c>
      <c r="Y11" s="15">
        <f>IFERROR(IF(ISBLANK(R11),IFERROR(VLOOKUP($E11,Sheet3!$H$2:$O$200,Y$1,FALSE),IFERROR(VLOOKUP($F11,Sheet3!$H$2:$O$200,Y$1,FALSE),VLOOKUP($G11,Sheet3!$H$2:$O$200,Y$1,FALSE))),$I$1),$I$1)</f>
        <v>0</v>
      </c>
      <c r="Z11" s="15">
        <f>IFERROR(IF(ISBLANK(S11),IFERROR(VLOOKUP($E11,Sheet3!$H$2:$O$200,Z$1,FALSE),IFERROR(VLOOKUP($F11,Sheet3!$H$2:$O$200,Z$1,FALSE),VLOOKUP($G11,Sheet3!$H$2:$O$200,Z$1,FALSE))),$I$1),$I$1)</f>
        <v>0</v>
      </c>
      <c r="AA11" s="15">
        <f>IFERROR(IF(ISBLANK(T11),IFERROR(VLOOKUP($E11,Sheet3!$H$2:$O$200,AA$1,FALSE),IFERROR(VLOOKUP($F11,Sheet3!$H$2:$O$200,AA$1,FALSE),VLOOKUP($G11,Sheet3!$H$2:$O$200,AA$1,FALSE))),$I$1),$I$1)</f>
        <v>0</v>
      </c>
      <c r="AB11" s="15">
        <f>IFERROR(IF(ISBLANK(U11),IFERROR(VLOOKUP($E11,Sheet3!$H$2:$O$200,AB$1,FALSE),IFERROR(VLOOKUP($F11,Sheet3!$H$2:$O$200,AB$1,FALSE),VLOOKUP($G11,Sheet3!$H$2:$O$200,AB$1,FALSE))),$I$1),$I$1)</f>
        <v>0</v>
      </c>
      <c r="AC11" s="15">
        <f>IFERROR(IF(ISBLANK(V11),IFERROR(VLOOKUP($E11,Sheet3!$H$2:$O$200,AC$1,FALSE),IFERROR(VLOOKUP($F11,Sheet3!$H$2:$O$200,AC$1,FALSE),VLOOKUP($G11,Sheet3!$H$2:$O$200,AC$1,FALSE))),$I$1),$I$1)</f>
        <v>0</v>
      </c>
      <c r="AD11" s="15">
        <f>IFERROR(IF(ISBLANK(W11),IFERROR(VLOOKUP($E11,Sheet3!$H$2:$O$200,AD$1,FALSE),IFERROR(VLOOKUP($F11,Sheet3!$H$2:$O$200,AD$1,FALSE),VLOOKUP($G11,Sheet3!$H$2:$O$200,AD$1,FALSE))),$I$1),$I$1)</f>
        <v>0</v>
      </c>
      <c r="AE11" s="15">
        <f>IFERROR(IF(ISBLANK(X11),IFERROR(VLOOKUP($F11,Sheet3!$H$2:$O$200,AE$1,FALSE),VLOOKUP($G11,Sheet3!$H$2:$O$200,AE$1,FALSE)),$I$1),$I$1)</f>
        <v>0</v>
      </c>
      <c r="AF11" s="15">
        <f>IFERROR(IF(ISBLANK(Y11),IFERROR(VLOOKUP($F11,Sheet3!$H$2:$O$200,AF$1,FALSE),VLOOKUP($G11,Sheet3!$H$2:$O$200,AF$1,FALSE)),$I$1),$I$1)</f>
        <v>0</v>
      </c>
      <c r="AG11" s="15">
        <f>IFERROR(IF(ISBLANK(Z11),IFERROR(VLOOKUP($F11,Sheet3!$H$2:$O$200,AG$1,FALSE),VLOOKUP($G11,Sheet3!$H$2:$O$200,AG$1,FALSE)),$I$1),$I$1)</f>
        <v>0</v>
      </c>
      <c r="AH11" s="15">
        <f>IFERROR(IF(ISBLANK(AA11),IFERROR(VLOOKUP($F11,Sheet3!$H$2:$O$200,AH$1,FALSE),VLOOKUP($G11,Sheet3!$H$2:$O$200,AH$1,FALSE)),$I$1),$I$1)</f>
        <v>0</v>
      </c>
      <c r="AI11" s="15">
        <f>IFERROR(IF(ISBLANK(AB11),IFERROR(VLOOKUP($F11,Sheet3!$H$2:$O$200,AI$1,FALSE),VLOOKUP($G11,Sheet3!$H$2:$O$200,AI$1,FALSE)),$I$1),$I$1)</f>
        <v>0</v>
      </c>
      <c r="AJ11" s="15">
        <f>IFERROR(IF(ISBLANK(AC11),IFERROR(VLOOKUP($F11,Sheet3!$H$2:$O$200,AJ$1,FALSE),VLOOKUP($G11,Sheet3!$H$2:$O$200,AJ$1,FALSE)),$I$1),$I$1)</f>
        <v>0</v>
      </c>
      <c r="AK11" s="15">
        <f>IFERROR(IF(ISBLANK(AD11),IFERROR(VLOOKUP($F11,Sheet3!$H$2:$O$200,AK$1,FALSE),VLOOKUP($G11,Sheet3!$H$2:$O$200,AK$1,FALSE)),$I$1),$I$1)</f>
        <v>0</v>
      </c>
      <c r="AL11" s="15">
        <f>IFERROR(IF(ISBLANK(AE11),VLOOKUP($G11,Sheet3!$H$2:$O$200,AL$1,FALSE),$I$1),$I$1)</f>
        <v>0</v>
      </c>
      <c r="AM11" s="15">
        <f>IFERROR(IF(ISBLANK(AF11),VLOOKUP($G11,Sheet3!$H$2:$O$200,AM$1,FALSE),$I$1),$I$1)</f>
        <v>0</v>
      </c>
      <c r="AN11" s="15">
        <f>IFERROR(IF(ISBLANK(AG11),VLOOKUP($G11,Sheet3!$H$2:$O$200,AN$1,FALSE),$I$1),$I$1)</f>
        <v>0</v>
      </c>
      <c r="AO11" s="15">
        <f>IFERROR(IF(ISBLANK(AH11),VLOOKUP($G11,Sheet3!$H$2:$O$200,AO$1,FALSE),$I$1),$I$1)</f>
        <v>0</v>
      </c>
      <c r="AP11" s="15">
        <f>IFERROR(IF(ISBLANK(AI11),VLOOKUP($G11,Sheet3!$H$2:$O$200,AP$1,FALSE),$I$1),$I$1)</f>
        <v>0</v>
      </c>
      <c r="AQ11" s="15">
        <f>IFERROR(IF(ISBLANK(AJ11),VLOOKUP($G11,Sheet3!$H$2:$O$200,AQ$1,FALSE),$I$1),$I$1)</f>
        <v>0</v>
      </c>
      <c r="AR11" s="15">
        <f>IFERROR(IF(ISBLANK(AK11),VLOOKUP($G11,Sheet3!$H$2:$O$200,AR$1,FALSE),$I$1),$I$1)</f>
        <v>0</v>
      </c>
      <c r="AS11" s="15">
        <f t="shared" si="1"/>
        <v>28</v>
      </c>
      <c r="AT11" s="15" t="b">
        <f t="shared" si="2"/>
        <v>0</v>
      </c>
    </row>
    <row r="12" spans="1:46" x14ac:dyDescent="0.2">
      <c r="A12" s="19" t="s">
        <v>61</v>
      </c>
      <c r="B12" s="19" t="s">
        <v>60</v>
      </c>
      <c r="C12" s="19"/>
      <c r="D12" s="19" t="s">
        <v>38</v>
      </c>
      <c r="E12" s="19" t="s">
        <v>62</v>
      </c>
      <c r="F12" s="19"/>
      <c r="G12" s="19"/>
      <c r="H12" s="19" t="s">
        <v>61</v>
      </c>
      <c r="I12" s="15">
        <f t="shared" si="0"/>
        <v>2</v>
      </c>
      <c r="J12" s="15">
        <f>IFERROR(VLOOKUP($C12,Sheet3!$H$2:$O$200,J$1,FALSE),IFERROR(VLOOKUP($D12,Sheet3!$H$2:$O$200,J$1,FALSE),VLOOKUP($E12,Sheet3!$H$2:$O$200,J$1,FALSE)))</f>
        <v>0</v>
      </c>
      <c r="K12" s="15">
        <f>IFERROR(VLOOKUP($C12,Sheet3!$H$2:$O$200,K$1,FALSE),IFERROR(VLOOKUP($D12,Sheet3!$H$2:$O$200,K$1,FALSE),VLOOKUP($E12,Sheet3!$H$2:$O$200,K$1,FALSE)))</f>
        <v>0</v>
      </c>
      <c r="L12" s="15" t="str">
        <f>IFERROR(VLOOKUP($C12,Sheet3!$H$2:$O$200,L$1,FALSE),IFERROR(VLOOKUP($D12,Sheet3!$H$2:$O$200,L$1,FALSE),VLOOKUP($E12,Sheet3!$H$2:$O$200,L$1,FALSE)))</f>
        <v>lemon juice</v>
      </c>
      <c r="M12" s="15">
        <f>IFERROR(VLOOKUP($C12,Sheet3!$H$2:$O$200,M$1,FALSE),IFERROR(VLOOKUP($D12,Sheet3!$H$2:$O$200,M$1,FALSE),VLOOKUP($E12,Sheet3!$H$2:$O$200,M$1,FALSE)))</f>
        <v>0</v>
      </c>
      <c r="N12" s="15">
        <f>IFERROR(VLOOKUP($C12,Sheet3!$H$2:$O$200,N$1,FALSE),IFERROR(VLOOKUP($D12,Sheet3!$H$2:$O$200,N$1,FALSE),VLOOKUP($E12,Sheet3!$H$2:$O$200,N$1,FALSE)))</f>
        <v>0</v>
      </c>
      <c r="O12" s="15">
        <f>IFERROR(VLOOKUP($C12,Sheet3!$H$2:$O$200,O$1,FALSE),IFERROR(VLOOKUP($D12,Sheet3!$H$2:$O$200,O$1,FALSE),VLOOKUP($E12,Sheet3!$H$2:$O$200,O$1,FALSE)))</f>
        <v>0</v>
      </c>
      <c r="P12" s="15">
        <f>IFERROR(VLOOKUP($C12,Sheet3!$H$2:$O$200,P$1,FALSE),IFERROR(VLOOKUP($D12,Sheet3!$H$2:$O$200,P$1,FALSE),VLOOKUP($E12,Sheet3!$H$2:$O$200,P$1,FALSE)))</f>
        <v>0</v>
      </c>
      <c r="Q12" s="15">
        <f>IFERROR(IF(ISBLANK(J12),IFERROR(VLOOKUP($D12,Sheet3!$H$2:$O$200,Q$1,FALSE),IFERROR(VLOOKUP($E12,Sheet3!$H$2:$O$200,Q$1,FALSE),VLOOKUP($F12,Sheet3!$H$2:$O$200,Q$1,FALSE))),$I$1),$I$1)</f>
        <v>0</v>
      </c>
      <c r="R12" s="15">
        <f>IFERROR(IF(ISBLANK(K12),IFERROR(VLOOKUP($D12,Sheet3!$H$2:$O$200,R$1,FALSE),IFERROR(VLOOKUP($E12,Sheet3!$H$2:$O$200,R$1,FALSE),VLOOKUP($F12,Sheet3!$H$2:$O$200,R$1,FALSE))),$I$1),$I$1)</f>
        <v>0</v>
      </c>
      <c r="S12" s="15">
        <f>IFERROR(IF(ISBLANK(L12),IFERROR(VLOOKUP($D12,Sheet3!$H$2:$O$200,S$1,FALSE),IFERROR(VLOOKUP($E12,Sheet3!$H$2:$O$200,S$1,FALSE),VLOOKUP($F12,Sheet3!$H$2:$O$200,S$1,FALSE))),$I$1),$I$1)</f>
        <v>0</v>
      </c>
      <c r="T12" s="15">
        <f>IFERROR(IF(ISBLANK(M12),IFERROR(VLOOKUP($D12,Sheet3!$H$2:$O$200,T$1,FALSE),IFERROR(VLOOKUP($E12,Sheet3!$H$2:$O$200,T$1,FALSE),VLOOKUP($F12,Sheet3!$H$2:$O$200,T$1,FALSE))),$I$1),$I$1)</f>
        <v>0</v>
      </c>
      <c r="U12" s="15">
        <f>IFERROR(IF(ISBLANK(N12),IFERROR(VLOOKUP($D12,Sheet3!$H$2:$O$200,U$1,FALSE),IFERROR(VLOOKUP($E12,Sheet3!$H$2:$O$200,U$1,FALSE),VLOOKUP($F12,Sheet3!$H$2:$O$200,U$1,FALSE))),$I$1),$I$1)</f>
        <v>0</v>
      </c>
      <c r="V12" s="15">
        <f>IFERROR(IF(ISBLANK(O12),IFERROR(VLOOKUP($D12,Sheet3!$H$2:$O$200,V$1,FALSE),IFERROR(VLOOKUP($E12,Sheet3!$H$2:$O$200,V$1,FALSE),VLOOKUP($F12,Sheet3!$H$2:$O$200,V$1,FALSE))),$I$1),$I$1)</f>
        <v>0</v>
      </c>
      <c r="W12" s="15">
        <f>IFERROR(IF(ISBLANK(P12),IFERROR(VLOOKUP($D12,Sheet3!$H$2:$O$200,W$1,FALSE),IFERROR(VLOOKUP($E12,Sheet3!$H$2:$O$200,W$1,FALSE),VLOOKUP($F12,Sheet3!$H$2:$O$200,W$1,FALSE))),$I$1),$I$1)</f>
        <v>0</v>
      </c>
      <c r="X12" s="15">
        <f>IFERROR(IF(ISBLANK(Q12),IFERROR(VLOOKUP($E12,Sheet3!$H$2:$O$200,X$1,FALSE),IFERROR(VLOOKUP($F12,Sheet3!$H$2:$O$200,X$1,FALSE),VLOOKUP($G12,Sheet3!$H$2:$O$200,X$1,FALSE))),$I$1),$I$1)</f>
        <v>0</v>
      </c>
      <c r="Y12" s="15">
        <f>IFERROR(IF(ISBLANK(R12),IFERROR(VLOOKUP($E12,Sheet3!$H$2:$O$200,Y$1,FALSE),IFERROR(VLOOKUP($F12,Sheet3!$H$2:$O$200,Y$1,FALSE),VLOOKUP($G12,Sheet3!$H$2:$O$200,Y$1,FALSE))),$I$1),$I$1)</f>
        <v>0</v>
      </c>
      <c r="Z12" s="15">
        <f>IFERROR(IF(ISBLANK(S12),IFERROR(VLOOKUP($E12,Sheet3!$H$2:$O$200,Z$1,FALSE),IFERROR(VLOOKUP($F12,Sheet3!$H$2:$O$200,Z$1,FALSE),VLOOKUP($G12,Sheet3!$H$2:$O$200,Z$1,FALSE))),$I$1),$I$1)</f>
        <v>0</v>
      </c>
      <c r="AA12" s="15">
        <f>IFERROR(IF(ISBLANK(T12),IFERROR(VLOOKUP($E12,Sheet3!$H$2:$O$200,AA$1,FALSE),IFERROR(VLOOKUP($F12,Sheet3!$H$2:$O$200,AA$1,FALSE),VLOOKUP($G12,Sheet3!$H$2:$O$200,AA$1,FALSE))),$I$1),$I$1)</f>
        <v>0</v>
      </c>
      <c r="AB12" s="15">
        <f>IFERROR(IF(ISBLANK(U12),IFERROR(VLOOKUP($E12,Sheet3!$H$2:$O$200,AB$1,FALSE),IFERROR(VLOOKUP($F12,Sheet3!$H$2:$O$200,AB$1,FALSE),VLOOKUP($G12,Sheet3!$H$2:$O$200,AB$1,FALSE))),$I$1),$I$1)</f>
        <v>0</v>
      </c>
      <c r="AC12" s="15">
        <f>IFERROR(IF(ISBLANK(V12),IFERROR(VLOOKUP($E12,Sheet3!$H$2:$O$200,AC$1,FALSE),IFERROR(VLOOKUP($F12,Sheet3!$H$2:$O$200,AC$1,FALSE),VLOOKUP($G12,Sheet3!$H$2:$O$200,AC$1,FALSE))),$I$1),$I$1)</f>
        <v>0</v>
      </c>
      <c r="AD12" s="15">
        <f>IFERROR(IF(ISBLANK(W12),IFERROR(VLOOKUP($E12,Sheet3!$H$2:$O$200,AD$1,FALSE),IFERROR(VLOOKUP($F12,Sheet3!$H$2:$O$200,AD$1,FALSE),VLOOKUP($G12,Sheet3!$H$2:$O$200,AD$1,FALSE))),$I$1),$I$1)</f>
        <v>0</v>
      </c>
      <c r="AE12" s="15">
        <f>IFERROR(IF(ISBLANK(X12),IFERROR(VLOOKUP($F12,Sheet3!$H$2:$O$200,AE$1,FALSE),VLOOKUP($G12,Sheet3!$H$2:$O$200,AE$1,FALSE)),$I$1),$I$1)</f>
        <v>0</v>
      </c>
      <c r="AF12" s="15">
        <f>IFERROR(IF(ISBLANK(Y12),IFERROR(VLOOKUP($F12,Sheet3!$H$2:$O$200,AF$1,FALSE),VLOOKUP($G12,Sheet3!$H$2:$O$200,AF$1,FALSE)),$I$1),$I$1)</f>
        <v>0</v>
      </c>
      <c r="AG12" s="15">
        <f>IFERROR(IF(ISBLANK(Z12),IFERROR(VLOOKUP($F12,Sheet3!$H$2:$O$200,AG$1,FALSE),VLOOKUP($G12,Sheet3!$H$2:$O$200,AG$1,FALSE)),$I$1),$I$1)</f>
        <v>0</v>
      </c>
      <c r="AH12" s="15">
        <f>IFERROR(IF(ISBLANK(AA12),IFERROR(VLOOKUP($F12,Sheet3!$H$2:$O$200,AH$1,FALSE),VLOOKUP($G12,Sheet3!$H$2:$O$200,AH$1,FALSE)),$I$1),$I$1)</f>
        <v>0</v>
      </c>
      <c r="AI12" s="15">
        <f>IFERROR(IF(ISBLANK(AB12),IFERROR(VLOOKUP($F12,Sheet3!$H$2:$O$200,AI$1,FALSE),VLOOKUP($G12,Sheet3!$H$2:$O$200,AI$1,FALSE)),$I$1),$I$1)</f>
        <v>0</v>
      </c>
      <c r="AJ12" s="15">
        <f>IFERROR(IF(ISBLANK(AC12),IFERROR(VLOOKUP($F12,Sheet3!$H$2:$O$200,AJ$1,FALSE),VLOOKUP($G12,Sheet3!$H$2:$O$200,AJ$1,FALSE)),$I$1),$I$1)</f>
        <v>0</v>
      </c>
      <c r="AK12" s="15">
        <f>IFERROR(IF(ISBLANK(AD12),IFERROR(VLOOKUP($F12,Sheet3!$H$2:$O$200,AK$1,FALSE),VLOOKUP($G12,Sheet3!$H$2:$O$200,AK$1,FALSE)),$I$1),$I$1)</f>
        <v>0</v>
      </c>
      <c r="AL12" s="15">
        <f>IFERROR(IF(ISBLANK(AE12),VLOOKUP($G12,Sheet3!$H$2:$O$200,AL$1,FALSE),$I$1),$I$1)</f>
        <v>0</v>
      </c>
      <c r="AM12" s="15">
        <f>IFERROR(IF(ISBLANK(AF12),VLOOKUP($G12,Sheet3!$H$2:$O$200,AM$1,FALSE),$I$1),$I$1)</f>
        <v>0</v>
      </c>
      <c r="AN12" s="15">
        <f>IFERROR(IF(ISBLANK(AG12),VLOOKUP($G12,Sheet3!$H$2:$O$200,AN$1,FALSE),$I$1),$I$1)</f>
        <v>0</v>
      </c>
      <c r="AO12" s="15">
        <f>IFERROR(IF(ISBLANK(AH12),VLOOKUP($G12,Sheet3!$H$2:$O$200,AO$1,FALSE),$I$1),$I$1)</f>
        <v>0</v>
      </c>
      <c r="AP12" s="15">
        <f>IFERROR(IF(ISBLANK(AI12),VLOOKUP($G12,Sheet3!$H$2:$O$200,AP$1,FALSE),$I$1),$I$1)</f>
        <v>0</v>
      </c>
      <c r="AQ12" s="15">
        <f>IFERROR(IF(ISBLANK(AJ12),VLOOKUP($G12,Sheet3!$H$2:$O$200,AQ$1,FALSE),$I$1),$I$1)</f>
        <v>0</v>
      </c>
      <c r="AR12" s="15">
        <f>IFERROR(IF(ISBLANK(AK12),VLOOKUP($G12,Sheet3!$H$2:$O$200,AR$1,FALSE),$I$1),$I$1)</f>
        <v>0</v>
      </c>
      <c r="AS12" s="15">
        <f t="shared" si="1"/>
        <v>28</v>
      </c>
      <c r="AT12" s="15" t="b">
        <f t="shared" si="2"/>
        <v>0</v>
      </c>
    </row>
    <row r="13" spans="1:46" x14ac:dyDescent="0.2">
      <c r="A13" s="20" t="s">
        <v>64</v>
      </c>
      <c r="B13" s="20" t="s">
        <v>65</v>
      </c>
      <c r="C13" s="20" t="s">
        <v>48</v>
      </c>
      <c r="D13" s="20"/>
      <c r="E13" s="20" t="s">
        <v>66</v>
      </c>
      <c r="F13" s="20"/>
      <c r="G13" s="20"/>
      <c r="H13" s="20" t="s">
        <v>64</v>
      </c>
      <c r="I13" s="15">
        <f t="shared" si="0"/>
        <v>2</v>
      </c>
      <c r="J13" s="15">
        <f>IFERROR(VLOOKUP($C13,Sheet3!$H$2:$O$200,J$1,FALSE),IFERROR(VLOOKUP($D13,Sheet3!$H$2:$O$200,J$1,FALSE),VLOOKUP($E13,Sheet3!$H$2:$O$200,J$1,FALSE)))</f>
        <v>0</v>
      </c>
      <c r="K13" s="15">
        <f>IFERROR(VLOOKUP($C13,Sheet3!$H$2:$O$200,K$1,FALSE),IFERROR(VLOOKUP($D13,Sheet3!$H$2:$O$200,K$1,FALSE),VLOOKUP($E13,Sheet3!$H$2:$O$200,K$1,FALSE)))</f>
        <v>0</v>
      </c>
      <c r="L13" s="15">
        <f>IFERROR(VLOOKUP($C13,Sheet3!$H$2:$O$200,L$1,FALSE),IFERROR(VLOOKUP($D13,Sheet3!$H$2:$O$200,L$1,FALSE),VLOOKUP($E13,Sheet3!$H$2:$O$200,L$1,FALSE)))</f>
        <v>0</v>
      </c>
      <c r="M13" s="15" t="str">
        <f>IFERROR(VLOOKUP($C13,Sheet3!$H$2:$O$200,M$1,FALSE),IFERROR(VLOOKUP($D13,Sheet3!$H$2:$O$200,M$1,FALSE),VLOOKUP($E13,Sheet3!$H$2:$O$200,M$1,FALSE)))</f>
        <v>sweet vermouth</v>
      </c>
      <c r="N13" s="15">
        <f>IFERROR(VLOOKUP($C13,Sheet3!$H$2:$O$200,N$1,FALSE),IFERROR(VLOOKUP($D13,Sheet3!$H$2:$O$200,N$1,FALSE),VLOOKUP($E13,Sheet3!$H$2:$O$200,N$1,FALSE)))</f>
        <v>0</v>
      </c>
      <c r="O13" s="15">
        <f>IFERROR(VLOOKUP($C13,Sheet3!$H$2:$O$200,O$1,FALSE),IFERROR(VLOOKUP($D13,Sheet3!$H$2:$O$200,O$1,FALSE),VLOOKUP($E13,Sheet3!$H$2:$O$200,O$1,FALSE)))</f>
        <v>0</v>
      </c>
      <c r="P13" s="15">
        <f>IFERROR(VLOOKUP($C13,Sheet3!$H$2:$O$200,P$1,FALSE),IFERROR(VLOOKUP($D13,Sheet3!$H$2:$O$200,P$1,FALSE),VLOOKUP($E13,Sheet3!$H$2:$O$200,P$1,FALSE)))</f>
        <v>0</v>
      </c>
      <c r="Q13" s="15">
        <f>IFERROR(IF(ISBLANK(J13),IFERROR(VLOOKUP($D13,Sheet3!$H$2:$O$200,Q$1,FALSE),IFERROR(VLOOKUP($E13,Sheet3!$H$2:$O$200,Q$1,FALSE),VLOOKUP($F13,Sheet3!$H$2:$O$200,Q$1,FALSE))),$I$1),$I$1)</f>
        <v>0</v>
      </c>
      <c r="R13" s="15">
        <f>IFERROR(IF(ISBLANK(K13),IFERROR(VLOOKUP($D13,Sheet3!$H$2:$O$200,R$1,FALSE),IFERROR(VLOOKUP($E13,Sheet3!$H$2:$O$200,R$1,FALSE),VLOOKUP($F13,Sheet3!$H$2:$O$200,R$1,FALSE))),$I$1),$I$1)</f>
        <v>0</v>
      </c>
      <c r="S13" s="15">
        <f>IFERROR(IF(ISBLANK(L13),IFERROR(VLOOKUP($D13,Sheet3!$H$2:$O$200,S$1,FALSE),IFERROR(VLOOKUP($E13,Sheet3!$H$2:$O$200,S$1,FALSE),VLOOKUP($F13,Sheet3!$H$2:$O$200,S$1,FALSE))),$I$1),$I$1)</f>
        <v>0</v>
      </c>
      <c r="T13" s="15">
        <f>IFERROR(IF(ISBLANK(M13),IFERROR(VLOOKUP($D13,Sheet3!$H$2:$O$200,T$1,FALSE),IFERROR(VLOOKUP($E13,Sheet3!$H$2:$O$200,T$1,FALSE),VLOOKUP($F13,Sheet3!$H$2:$O$200,T$1,FALSE))),$I$1),$I$1)</f>
        <v>0</v>
      </c>
      <c r="U13" s="15">
        <f>IFERROR(IF(ISBLANK(N13),IFERROR(VLOOKUP($D13,Sheet3!$H$2:$O$200,U$1,FALSE),IFERROR(VLOOKUP($E13,Sheet3!$H$2:$O$200,U$1,FALSE),VLOOKUP($F13,Sheet3!$H$2:$O$200,U$1,FALSE))),$I$1),$I$1)</f>
        <v>0</v>
      </c>
      <c r="V13" s="15">
        <f>IFERROR(IF(ISBLANK(O13),IFERROR(VLOOKUP($D13,Sheet3!$H$2:$O$200,V$1,FALSE),IFERROR(VLOOKUP($E13,Sheet3!$H$2:$O$200,V$1,FALSE),VLOOKUP($F13,Sheet3!$H$2:$O$200,V$1,FALSE))),$I$1),$I$1)</f>
        <v>0</v>
      </c>
      <c r="W13" s="15">
        <f>IFERROR(IF(ISBLANK(P13),IFERROR(VLOOKUP($D13,Sheet3!$H$2:$O$200,W$1,FALSE),IFERROR(VLOOKUP($E13,Sheet3!$H$2:$O$200,W$1,FALSE),VLOOKUP($F13,Sheet3!$H$2:$O$200,W$1,FALSE))),$I$1),$I$1)</f>
        <v>0</v>
      </c>
      <c r="X13" s="15">
        <f>IFERROR(IF(ISBLANK(Q13),IFERROR(VLOOKUP($E13,Sheet3!$H$2:$O$200,X$1,FALSE),IFERROR(VLOOKUP($F13,Sheet3!$H$2:$O$200,X$1,FALSE),VLOOKUP($G13,Sheet3!$H$2:$O$200,X$1,FALSE))),$I$1),$I$1)</f>
        <v>0</v>
      </c>
      <c r="Y13" s="15">
        <f>IFERROR(IF(ISBLANK(R13),IFERROR(VLOOKUP($E13,Sheet3!$H$2:$O$200,Y$1,FALSE),IFERROR(VLOOKUP($F13,Sheet3!$H$2:$O$200,Y$1,FALSE),VLOOKUP($G13,Sheet3!$H$2:$O$200,Y$1,FALSE))),$I$1),$I$1)</f>
        <v>0</v>
      </c>
      <c r="Z13" s="15">
        <f>IFERROR(IF(ISBLANK(S13),IFERROR(VLOOKUP($E13,Sheet3!$H$2:$O$200,Z$1,FALSE),IFERROR(VLOOKUP($F13,Sheet3!$H$2:$O$200,Z$1,FALSE),VLOOKUP($G13,Sheet3!$H$2:$O$200,Z$1,FALSE))),$I$1),$I$1)</f>
        <v>0</v>
      </c>
      <c r="AA13" s="15">
        <f>IFERROR(IF(ISBLANK(T13),IFERROR(VLOOKUP($E13,Sheet3!$H$2:$O$200,AA$1,FALSE),IFERROR(VLOOKUP($F13,Sheet3!$H$2:$O$200,AA$1,FALSE),VLOOKUP($G13,Sheet3!$H$2:$O$200,AA$1,FALSE))),$I$1),$I$1)</f>
        <v>0</v>
      </c>
      <c r="AB13" s="15">
        <f>IFERROR(IF(ISBLANK(U13),IFERROR(VLOOKUP($E13,Sheet3!$H$2:$O$200,AB$1,FALSE),IFERROR(VLOOKUP($F13,Sheet3!$H$2:$O$200,AB$1,FALSE),VLOOKUP($G13,Sheet3!$H$2:$O$200,AB$1,FALSE))),$I$1),$I$1)</f>
        <v>0</v>
      </c>
      <c r="AC13" s="15">
        <f>IFERROR(IF(ISBLANK(V13),IFERROR(VLOOKUP($E13,Sheet3!$H$2:$O$200,AC$1,FALSE),IFERROR(VLOOKUP($F13,Sheet3!$H$2:$O$200,AC$1,FALSE),VLOOKUP($G13,Sheet3!$H$2:$O$200,AC$1,FALSE))),$I$1),$I$1)</f>
        <v>0</v>
      </c>
      <c r="AD13" s="15">
        <f>IFERROR(IF(ISBLANK(W13),IFERROR(VLOOKUP($E13,Sheet3!$H$2:$O$200,AD$1,FALSE),IFERROR(VLOOKUP($F13,Sheet3!$H$2:$O$200,AD$1,FALSE),VLOOKUP($G13,Sheet3!$H$2:$O$200,AD$1,FALSE))),$I$1),$I$1)</f>
        <v>0</v>
      </c>
      <c r="AE13" s="15">
        <f>IFERROR(IF(ISBLANK(X13),IFERROR(VLOOKUP($F13,Sheet3!$H$2:$O$200,AE$1,FALSE),VLOOKUP($G13,Sheet3!$H$2:$O$200,AE$1,FALSE)),$I$1),$I$1)</f>
        <v>0</v>
      </c>
      <c r="AF13" s="15">
        <f>IFERROR(IF(ISBLANK(Y13),IFERROR(VLOOKUP($F13,Sheet3!$H$2:$O$200,AF$1,FALSE),VLOOKUP($G13,Sheet3!$H$2:$O$200,AF$1,FALSE)),$I$1),$I$1)</f>
        <v>0</v>
      </c>
      <c r="AG13" s="15">
        <f>IFERROR(IF(ISBLANK(Z13),IFERROR(VLOOKUP($F13,Sheet3!$H$2:$O$200,AG$1,FALSE),VLOOKUP($G13,Sheet3!$H$2:$O$200,AG$1,FALSE)),$I$1),$I$1)</f>
        <v>0</v>
      </c>
      <c r="AH13" s="15">
        <f>IFERROR(IF(ISBLANK(AA13),IFERROR(VLOOKUP($F13,Sheet3!$H$2:$O$200,AH$1,FALSE),VLOOKUP($G13,Sheet3!$H$2:$O$200,AH$1,FALSE)),$I$1),$I$1)</f>
        <v>0</v>
      </c>
      <c r="AI13" s="15">
        <f>IFERROR(IF(ISBLANK(AB13),IFERROR(VLOOKUP($F13,Sheet3!$H$2:$O$200,AI$1,FALSE),VLOOKUP($G13,Sheet3!$H$2:$O$200,AI$1,FALSE)),$I$1),$I$1)</f>
        <v>0</v>
      </c>
      <c r="AJ13" s="15">
        <f>IFERROR(IF(ISBLANK(AC13),IFERROR(VLOOKUP($F13,Sheet3!$H$2:$O$200,AJ$1,FALSE),VLOOKUP($G13,Sheet3!$H$2:$O$200,AJ$1,FALSE)),$I$1),$I$1)</f>
        <v>0</v>
      </c>
      <c r="AK13" s="15">
        <f>IFERROR(IF(ISBLANK(AD13),IFERROR(VLOOKUP($F13,Sheet3!$H$2:$O$200,AK$1,FALSE),VLOOKUP($G13,Sheet3!$H$2:$O$200,AK$1,FALSE)),$I$1),$I$1)</f>
        <v>0</v>
      </c>
      <c r="AL13" s="15">
        <f>IFERROR(IF(ISBLANK(AE13),VLOOKUP($G13,Sheet3!$H$2:$O$200,AL$1,FALSE),$I$1),$I$1)</f>
        <v>0</v>
      </c>
      <c r="AM13" s="15">
        <f>IFERROR(IF(ISBLANK(AF13),VLOOKUP($G13,Sheet3!$H$2:$O$200,AM$1,FALSE),$I$1),$I$1)</f>
        <v>0</v>
      </c>
      <c r="AN13" s="15">
        <f>IFERROR(IF(ISBLANK(AG13),VLOOKUP($G13,Sheet3!$H$2:$O$200,AN$1,FALSE),$I$1),$I$1)</f>
        <v>0</v>
      </c>
      <c r="AO13" s="15">
        <f>IFERROR(IF(ISBLANK(AH13),VLOOKUP($G13,Sheet3!$H$2:$O$200,AO$1,FALSE),$I$1),$I$1)</f>
        <v>0</v>
      </c>
      <c r="AP13" s="15">
        <f>IFERROR(IF(ISBLANK(AI13),VLOOKUP($G13,Sheet3!$H$2:$O$200,AP$1,FALSE),$I$1),$I$1)</f>
        <v>0</v>
      </c>
      <c r="AQ13" s="15">
        <f>IFERROR(IF(ISBLANK(AJ13),VLOOKUP($G13,Sheet3!$H$2:$O$200,AQ$1,FALSE),$I$1),$I$1)</f>
        <v>0</v>
      </c>
      <c r="AR13" s="15">
        <f>IFERROR(IF(ISBLANK(AK13),VLOOKUP($G13,Sheet3!$H$2:$O$200,AR$1,FALSE),$I$1),$I$1)</f>
        <v>0</v>
      </c>
      <c r="AS13" s="15">
        <f t="shared" si="1"/>
        <v>28</v>
      </c>
      <c r="AT13" s="15" t="b">
        <f t="shared" si="2"/>
        <v>0</v>
      </c>
    </row>
    <row r="14" spans="1:46" x14ac:dyDescent="0.2">
      <c r="A14" s="19" t="s">
        <v>67</v>
      </c>
      <c r="B14" s="19" t="s">
        <v>65</v>
      </c>
      <c r="C14" s="19" t="s">
        <v>48</v>
      </c>
      <c r="D14" s="19"/>
      <c r="E14" s="19" t="s">
        <v>68</v>
      </c>
      <c r="F14" s="19" t="s">
        <v>66</v>
      </c>
      <c r="G14" s="19"/>
      <c r="H14" s="19" t="s">
        <v>67</v>
      </c>
      <c r="I14" s="15">
        <f t="shared" si="0"/>
        <v>3</v>
      </c>
      <c r="J14" s="15">
        <f>IFERROR(VLOOKUP($C14,Sheet3!$H$2:$O$200,J$1,FALSE),IFERROR(VLOOKUP($D14,Sheet3!$H$2:$O$200,J$1,FALSE),VLOOKUP($E14,Sheet3!$H$2:$O$200,J$1,FALSE)))</f>
        <v>0</v>
      </c>
      <c r="K14" s="15">
        <f>IFERROR(VLOOKUP($C14,Sheet3!$H$2:$O$200,K$1,FALSE),IFERROR(VLOOKUP($D14,Sheet3!$H$2:$O$200,K$1,FALSE),VLOOKUP($E14,Sheet3!$H$2:$O$200,K$1,FALSE)))</f>
        <v>0</v>
      </c>
      <c r="L14" s="15">
        <f>IFERROR(VLOOKUP($C14,Sheet3!$H$2:$O$200,L$1,FALSE),IFERROR(VLOOKUP($D14,Sheet3!$H$2:$O$200,L$1,FALSE),VLOOKUP($E14,Sheet3!$H$2:$O$200,L$1,FALSE)))</f>
        <v>0</v>
      </c>
      <c r="M14" s="15" t="str">
        <f>IFERROR(VLOOKUP($C14,Sheet3!$H$2:$O$200,M$1,FALSE),IFERROR(VLOOKUP($D14,Sheet3!$H$2:$O$200,M$1,FALSE),VLOOKUP($E14,Sheet3!$H$2:$O$200,M$1,FALSE)))</f>
        <v>sweet vermouth</v>
      </c>
      <c r="N14" s="15">
        <f>IFERROR(VLOOKUP($C14,Sheet3!$H$2:$O$200,N$1,FALSE),IFERROR(VLOOKUP($D14,Sheet3!$H$2:$O$200,N$1,FALSE),VLOOKUP($E14,Sheet3!$H$2:$O$200,N$1,FALSE)))</f>
        <v>0</v>
      </c>
      <c r="O14" s="15">
        <f>IFERROR(VLOOKUP($C14,Sheet3!$H$2:$O$200,O$1,FALSE),IFERROR(VLOOKUP($D14,Sheet3!$H$2:$O$200,O$1,FALSE),VLOOKUP($E14,Sheet3!$H$2:$O$200,O$1,FALSE)))</f>
        <v>0</v>
      </c>
      <c r="P14" s="15">
        <f>IFERROR(VLOOKUP($C14,Sheet3!$H$2:$O$200,P$1,FALSE),IFERROR(VLOOKUP($D14,Sheet3!$H$2:$O$200,P$1,FALSE),VLOOKUP($E14,Sheet3!$H$2:$O$200,P$1,FALSE)))</f>
        <v>0</v>
      </c>
      <c r="Q14" s="15">
        <f>IFERROR(IF(ISBLANK(J14),IFERROR(VLOOKUP($D14,Sheet3!$H$2:$O$200,Q$1,FALSE),IFERROR(VLOOKUP($E14,Sheet3!$H$2:$O$200,Q$1,FALSE),VLOOKUP($F14,Sheet3!$H$2:$O$200,Q$1,FALSE))),$I$1),$I$1)</f>
        <v>0</v>
      </c>
      <c r="R14" s="15">
        <f>IFERROR(IF(ISBLANK(K14),IFERROR(VLOOKUP($D14,Sheet3!$H$2:$O$200,R$1,FALSE),IFERROR(VLOOKUP($E14,Sheet3!$H$2:$O$200,R$1,FALSE),VLOOKUP($F14,Sheet3!$H$2:$O$200,R$1,FALSE))),$I$1),$I$1)</f>
        <v>0</v>
      </c>
      <c r="S14" s="15">
        <f>IFERROR(IF(ISBLANK(L14),IFERROR(VLOOKUP($D14,Sheet3!$H$2:$O$200,S$1,FALSE),IFERROR(VLOOKUP($E14,Sheet3!$H$2:$O$200,S$1,FALSE),VLOOKUP($F14,Sheet3!$H$2:$O$200,S$1,FALSE))),$I$1),$I$1)</f>
        <v>0</v>
      </c>
      <c r="T14" s="15">
        <f>IFERROR(IF(ISBLANK(M14),IFERROR(VLOOKUP($D14,Sheet3!$H$2:$O$200,T$1,FALSE),IFERROR(VLOOKUP($E14,Sheet3!$H$2:$O$200,T$1,FALSE),VLOOKUP($F14,Sheet3!$H$2:$O$200,T$1,FALSE))),$I$1),$I$1)</f>
        <v>0</v>
      </c>
      <c r="U14" s="15">
        <f>IFERROR(IF(ISBLANK(N14),IFERROR(VLOOKUP($D14,Sheet3!$H$2:$O$200,U$1,FALSE),IFERROR(VLOOKUP($E14,Sheet3!$H$2:$O$200,U$1,FALSE),VLOOKUP($F14,Sheet3!$H$2:$O$200,U$1,FALSE))),$I$1),$I$1)</f>
        <v>0</v>
      </c>
      <c r="V14" s="15">
        <f>IFERROR(IF(ISBLANK(O14),IFERROR(VLOOKUP($D14,Sheet3!$H$2:$O$200,V$1,FALSE),IFERROR(VLOOKUP($E14,Sheet3!$H$2:$O$200,V$1,FALSE),VLOOKUP($F14,Sheet3!$H$2:$O$200,V$1,FALSE))),$I$1),$I$1)</f>
        <v>0</v>
      </c>
      <c r="W14" s="15">
        <f>IFERROR(IF(ISBLANK(P14),IFERROR(VLOOKUP($D14,Sheet3!$H$2:$O$200,W$1,FALSE),IFERROR(VLOOKUP($E14,Sheet3!$H$2:$O$200,W$1,FALSE),VLOOKUP($F14,Sheet3!$H$2:$O$200,W$1,FALSE))),$I$1),$I$1)</f>
        <v>0</v>
      </c>
      <c r="X14" s="15">
        <f>IFERROR(IF(ISBLANK(Q14),IFERROR(VLOOKUP($E14,Sheet3!$H$2:$O$200,X$1,FALSE),IFERROR(VLOOKUP($F14,Sheet3!$H$2:$O$200,X$1,FALSE),VLOOKUP($G14,Sheet3!$H$2:$O$200,X$1,FALSE))),$I$1),$I$1)</f>
        <v>0</v>
      </c>
      <c r="Y14" s="15">
        <f>IFERROR(IF(ISBLANK(R14),IFERROR(VLOOKUP($E14,Sheet3!$H$2:$O$200,Y$1,FALSE),IFERROR(VLOOKUP($F14,Sheet3!$H$2:$O$200,Y$1,FALSE),VLOOKUP($G14,Sheet3!$H$2:$O$200,Y$1,FALSE))),$I$1),$I$1)</f>
        <v>0</v>
      </c>
      <c r="Z14" s="15">
        <f>IFERROR(IF(ISBLANK(S14),IFERROR(VLOOKUP($E14,Sheet3!$H$2:$O$200,Z$1,FALSE),IFERROR(VLOOKUP($F14,Sheet3!$H$2:$O$200,Z$1,FALSE),VLOOKUP($G14,Sheet3!$H$2:$O$200,Z$1,FALSE))),$I$1),$I$1)</f>
        <v>0</v>
      </c>
      <c r="AA14" s="15">
        <f>IFERROR(IF(ISBLANK(T14),IFERROR(VLOOKUP($E14,Sheet3!$H$2:$O$200,AA$1,FALSE),IFERROR(VLOOKUP($F14,Sheet3!$H$2:$O$200,AA$1,FALSE),VLOOKUP($G14,Sheet3!$H$2:$O$200,AA$1,FALSE))),$I$1),$I$1)</f>
        <v>0</v>
      </c>
      <c r="AB14" s="15">
        <f>IFERROR(IF(ISBLANK(U14),IFERROR(VLOOKUP($E14,Sheet3!$H$2:$O$200,AB$1,FALSE),IFERROR(VLOOKUP($F14,Sheet3!$H$2:$O$200,AB$1,FALSE),VLOOKUP($G14,Sheet3!$H$2:$O$200,AB$1,FALSE))),$I$1),$I$1)</f>
        <v>0</v>
      </c>
      <c r="AC14" s="15">
        <f>IFERROR(IF(ISBLANK(V14),IFERROR(VLOOKUP($E14,Sheet3!$H$2:$O$200,AC$1,FALSE),IFERROR(VLOOKUP($F14,Sheet3!$H$2:$O$200,AC$1,FALSE),VLOOKUP($G14,Sheet3!$H$2:$O$200,AC$1,FALSE))),$I$1),$I$1)</f>
        <v>0</v>
      </c>
      <c r="AD14" s="15">
        <f>IFERROR(IF(ISBLANK(W14),IFERROR(VLOOKUP($E14,Sheet3!$H$2:$O$200,AD$1,FALSE),IFERROR(VLOOKUP($F14,Sheet3!$H$2:$O$200,AD$1,FALSE),VLOOKUP($G14,Sheet3!$H$2:$O$200,AD$1,FALSE))),$I$1),$I$1)</f>
        <v>0</v>
      </c>
      <c r="AE14" s="15">
        <f>IFERROR(IF(ISBLANK(X14),IFERROR(VLOOKUP($F14,Sheet3!$H$2:$O$200,AE$1,FALSE),VLOOKUP($G14,Sheet3!$H$2:$O$200,AE$1,FALSE)),$I$1),$I$1)</f>
        <v>0</v>
      </c>
      <c r="AF14" s="15">
        <f>IFERROR(IF(ISBLANK(Y14),IFERROR(VLOOKUP($F14,Sheet3!$H$2:$O$200,AF$1,FALSE),VLOOKUP($G14,Sheet3!$H$2:$O$200,AF$1,FALSE)),$I$1),$I$1)</f>
        <v>0</v>
      </c>
      <c r="AG14" s="15">
        <f>IFERROR(IF(ISBLANK(Z14),IFERROR(VLOOKUP($F14,Sheet3!$H$2:$O$200,AG$1,FALSE),VLOOKUP($G14,Sheet3!$H$2:$O$200,AG$1,FALSE)),$I$1),$I$1)</f>
        <v>0</v>
      </c>
      <c r="AH14" s="15">
        <f>IFERROR(IF(ISBLANK(AA14),IFERROR(VLOOKUP($F14,Sheet3!$H$2:$O$200,AH$1,FALSE),VLOOKUP($G14,Sheet3!$H$2:$O$200,AH$1,FALSE)),$I$1),$I$1)</f>
        <v>0</v>
      </c>
      <c r="AI14" s="15">
        <f>IFERROR(IF(ISBLANK(AB14),IFERROR(VLOOKUP($F14,Sheet3!$H$2:$O$200,AI$1,FALSE),VLOOKUP($G14,Sheet3!$H$2:$O$200,AI$1,FALSE)),$I$1),$I$1)</f>
        <v>0</v>
      </c>
      <c r="AJ14" s="15">
        <f>IFERROR(IF(ISBLANK(AC14),IFERROR(VLOOKUP($F14,Sheet3!$H$2:$O$200,AJ$1,FALSE),VLOOKUP($G14,Sheet3!$H$2:$O$200,AJ$1,FALSE)),$I$1),$I$1)</f>
        <v>0</v>
      </c>
      <c r="AK14" s="15">
        <f>IFERROR(IF(ISBLANK(AD14),IFERROR(VLOOKUP($F14,Sheet3!$H$2:$O$200,AK$1,FALSE),VLOOKUP($G14,Sheet3!$H$2:$O$200,AK$1,FALSE)),$I$1),$I$1)</f>
        <v>0</v>
      </c>
      <c r="AL14" s="15">
        <f>IFERROR(IF(ISBLANK(AE14),VLOOKUP($G14,Sheet3!$H$2:$O$200,AL$1,FALSE),$I$1),$I$1)</f>
        <v>0</v>
      </c>
      <c r="AM14" s="15">
        <f>IFERROR(IF(ISBLANK(AF14),VLOOKUP($G14,Sheet3!$H$2:$O$200,AM$1,FALSE),$I$1),$I$1)</f>
        <v>0</v>
      </c>
      <c r="AN14" s="15">
        <f>IFERROR(IF(ISBLANK(AG14),VLOOKUP($G14,Sheet3!$H$2:$O$200,AN$1,FALSE),$I$1),$I$1)</f>
        <v>0</v>
      </c>
      <c r="AO14" s="15">
        <f>IFERROR(IF(ISBLANK(AH14),VLOOKUP($G14,Sheet3!$H$2:$O$200,AO$1,FALSE),$I$1),$I$1)</f>
        <v>0</v>
      </c>
      <c r="AP14" s="15">
        <f>IFERROR(IF(ISBLANK(AI14),VLOOKUP($G14,Sheet3!$H$2:$O$200,AP$1,FALSE),$I$1),$I$1)</f>
        <v>0</v>
      </c>
      <c r="AQ14" s="15">
        <f>IFERROR(IF(ISBLANK(AJ14),VLOOKUP($G14,Sheet3!$H$2:$O$200,AQ$1,FALSE),$I$1),$I$1)</f>
        <v>0</v>
      </c>
      <c r="AR14" s="15">
        <f>IFERROR(IF(ISBLANK(AK14),VLOOKUP($G14,Sheet3!$H$2:$O$200,AR$1,FALSE),$I$1),$I$1)</f>
        <v>0</v>
      </c>
      <c r="AS14" s="15">
        <f t="shared" si="1"/>
        <v>28</v>
      </c>
      <c r="AT14" s="15" t="b">
        <f t="shared" si="2"/>
        <v>0</v>
      </c>
    </row>
    <row r="15" spans="1:46" x14ac:dyDescent="0.2">
      <c r="A15" s="19" t="s">
        <v>69</v>
      </c>
      <c r="B15" s="19" t="s">
        <v>65</v>
      </c>
      <c r="C15" s="19" t="s">
        <v>48</v>
      </c>
      <c r="D15" s="19"/>
      <c r="E15" s="19" t="s">
        <v>70</v>
      </c>
      <c r="F15" s="19" t="s">
        <v>71</v>
      </c>
      <c r="G15" s="19"/>
      <c r="H15" s="19" t="s">
        <v>69</v>
      </c>
      <c r="I15" s="15">
        <f t="shared" si="0"/>
        <v>3</v>
      </c>
      <c r="J15" s="15">
        <f>IFERROR(VLOOKUP($C15,Sheet3!$H$2:$O$200,J$1,FALSE),IFERROR(VLOOKUP($D15,Sheet3!$H$2:$O$200,J$1,FALSE),VLOOKUP($E15,Sheet3!$H$2:$O$200,J$1,FALSE)))</f>
        <v>0</v>
      </c>
      <c r="K15" s="15">
        <f>IFERROR(VLOOKUP($C15,Sheet3!$H$2:$O$200,K$1,FALSE),IFERROR(VLOOKUP($D15,Sheet3!$H$2:$O$200,K$1,FALSE),VLOOKUP($E15,Sheet3!$H$2:$O$200,K$1,FALSE)))</f>
        <v>0</v>
      </c>
      <c r="L15" s="15">
        <f>IFERROR(VLOOKUP($C15,Sheet3!$H$2:$O$200,L$1,FALSE),IFERROR(VLOOKUP($D15,Sheet3!$H$2:$O$200,L$1,FALSE),VLOOKUP($E15,Sheet3!$H$2:$O$200,L$1,FALSE)))</f>
        <v>0</v>
      </c>
      <c r="M15" s="15" t="str">
        <f>IFERROR(VLOOKUP($C15,Sheet3!$H$2:$O$200,M$1,FALSE),IFERROR(VLOOKUP($D15,Sheet3!$H$2:$O$200,M$1,FALSE),VLOOKUP($E15,Sheet3!$H$2:$O$200,M$1,FALSE)))</f>
        <v>sweet vermouth</v>
      </c>
      <c r="N15" s="15">
        <f>IFERROR(VLOOKUP($C15,Sheet3!$H$2:$O$200,N$1,FALSE),IFERROR(VLOOKUP($D15,Sheet3!$H$2:$O$200,N$1,FALSE),VLOOKUP($E15,Sheet3!$H$2:$O$200,N$1,FALSE)))</f>
        <v>0</v>
      </c>
      <c r="O15" s="15">
        <f>IFERROR(VLOOKUP($C15,Sheet3!$H$2:$O$200,O$1,FALSE),IFERROR(VLOOKUP($D15,Sheet3!$H$2:$O$200,O$1,FALSE),VLOOKUP($E15,Sheet3!$H$2:$O$200,O$1,FALSE)))</f>
        <v>0</v>
      </c>
      <c r="P15" s="15">
        <f>IFERROR(VLOOKUP($C15,Sheet3!$H$2:$O$200,P$1,FALSE),IFERROR(VLOOKUP($D15,Sheet3!$H$2:$O$200,P$1,FALSE),VLOOKUP($E15,Sheet3!$H$2:$O$200,P$1,FALSE)))</f>
        <v>0</v>
      </c>
      <c r="Q15" s="15">
        <f>IFERROR(IF(ISBLANK(J15),IFERROR(VLOOKUP($D15,Sheet3!$H$2:$O$200,Q$1,FALSE),IFERROR(VLOOKUP($E15,Sheet3!$H$2:$O$200,Q$1,FALSE),VLOOKUP($F15,Sheet3!$H$2:$O$200,Q$1,FALSE))),$I$1),$I$1)</f>
        <v>0</v>
      </c>
      <c r="R15" s="15">
        <f>IFERROR(IF(ISBLANK(K15),IFERROR(VLOOKUP($D15,Sheet3!$H$2:$O$200,R$1,FALSE),IFERROR(VLOOKUP($E15,Sheet3!$H$2:$O$200,R$1,FALSE),VLOOKUP($F15,Sheet3!$H$2:$O$200,R$1,FALSE))),$I$1),$I$1)</f>
        <v>0</v>
      </c>
      <c r="S15" s="15">
        <f>IFERROR(IF(ISBLANK(L15),IFERROR(VLOOKUP($D15,Sheet3!$H$2:$O$200,S$1,FALSE),IFERROR(VLOOKUP($E15,Sheet3!$H$2:$O$200,S$1,FALSE),VLOOKUP($F15,Sheet3!$H$2:$O$200,S$1,FALSE))),$I$1),$I$1)</f>
        <v>0</v>
      </c>
      <c r="T15" s="15">
        <f>IFERROR(IF(ISBLANK(M15),IFERROR(VLOOKUP($D15,Sheet3!$H$2:$O$200,T$1,FALSE),IFERROR(VLOOKUP($E15,Sheet3!$H$2:$O$200,T$1,FALSE),VLOOKUP($F15,Sheet3!$H$2:$O$200,T$1,FALSE))),$I$1),$I$1)</f>
        <v>0</v>
      </c>
      <c r="U15" s="15">
        <f>IFERROR(IF(ISBLANK(N15),IFERROR(VLOOKUP($D15,Sheet3!$H$2:$O$200,U$1,FALSE),IFERROR(VLOOKUP($E15,Sheet3!$H$2:$O$200,U$1,FALSE),VLOOKUP($F15,Sheet3!$H$2:$O$200,U$1,FALSE))),$I$1),$I$1)</f>
        <v>0</v>
      </c>
      <c r="V15" s="15">
        <f>IFERROR(IF(ISBLANK(O15),IFERROR(VLOOKUP($D15,Sheet3!$H$2:$O$200,V$1,FALSE),IFERROR(VLOOKUP($E15,Sheet3!$H$2:$O$200,V$1,FALSE),VLOOKUP($F15,Sheet3!$H$2:$O$200,V$1,FALSE))),$I$1),$I$1)</f>
        <v>0</v>
      </c>
      <c r="W15" s="15">
        <f>IFERROR(IF(ISBLANK(P15),IFERROR(VLOOKUP($D15,Sheet3!$H$2:$O$200,W$1,FALSE),IFERROR(VLOOKUP($E15,Sheet3!$H$2:$O$200,W$1,FALSE),VLOOKUP($F15,Sheet3!$H$2:$O$200,W$1,FALSE))),$I$1),$I$1)</f>
        <v>0</v>
      </c>
      <c r="X15" s="15">
        <f>IFERROR(IF(ISBLANK(Q15),IFERROR(VLOOKUP($E15,Sheet3!$H$2:$O$200,X$1,FALSE),IFERROR(VLOOKUP($F15,Sheet3!$H$2:$O$200,X$1,FALSE),VLOOKUP($G15,Sheet3!$H$2:$O$200,X$1,FALSE))),$I$1),$I$1)</f>
        <v>0</v>
      </c>
      <c r="Y15" s="15">
        <f>IFERROR(IF(ISBLANK(R15),IFERROR(VLOOKUP($E15,Sheet3!$H$2:$O$200,Y$1,FALSE),IFERROR(VLOOKUP($F15,Sheet3!$H$2:$O$200,Y$1,FALSE),VLOOKUP($G15,Sheet3!$H$2:$O$200,Y$1,FALSE))),$I$1),$I$1)</f>
        <v>0</v>
      </c>
      <c r="Z15" s="15">
        <f>IFERROR(IF(ISBLANK(S15),IFERROR(VLOOKUP($E15,Sheet3!$H$2:$O$200,Z$1,FALSE),IFERROR(VLOOKUP($F15,Sheet3!$H$2:$O$200,Z$1,FALSE),VLOOKUP($G15,Sheet3!$H$2:$O$200,Z$1,FALSE))),$I$1),$I$1)</f>
        <v>0</v>
      </c>
      <c r="AA15" s="15">
        <f>IFERROR(IF(ISBLANK(T15),IFERROR(VLOOKUP($E15,Sheet3!$H$2:$O$200,AA$1,FALSE),IFERROR(VLOOKUP($F15,Sheet3!$H$2:$O$200,AA$1,FALSE),VLOOKUP($G15,Sheet3!$H$2:$O$200,AA$1,FALSE))),$I$1),$I$1)</f>
        <v>0</v>
      </c>
      <c r="AB15" s="15">
        <f>IFERROR(IF(ISBLANK(U15),IFERROR(VLOOKUP($E15,Sheet3!$H$2:$O$200,AB$1,FALSE),IFERROR(VLOOKUP($F15,Sheet3!$H$2:$O$200,AB$1,FALSE),VLOOKUP($G15,Sheet3!$H$2:$O$200,AB$1,FALSE))),$I$1),$I$1)</f>
        <v>0</v>
      </c>
      <c r="AC15" s="15">
        <f>IFERROR(IF(ISBLANK(V15),IFERROR(VLOOKUP($E15,Sheet3!$H$2:$O$200,AC$1,FALSE),IFERROR(VLOOKUP($F15,Sheet3!$H$2:$O$200,AC$1,FALSE),VLOOKUP($G15,Sheet3!$H$2:$O$200,AC$1,FALSE))),$I$1),$I$1)</f>
        <v>0</v>
      </c>
      <c r="AD15" s="15">
        <f>IFERROR(IF(ISBLANK(W15),IFERROR(VLOOKUP($E15,Sheet3!$H$2:$O$200,AD$1,FALSE),IFERROR(VLOOKUP($F15,Sheet3!$H$2:$O$200,AD$1,FALSE),VLOOKUP($G15,Sheet3!$H$2:$O$200,AD$1,FALSE))),$I$1),$I$1)</f>
        <v>0</v>
      </c>
      <c r="AE15" s="15">
        <f>IFERROR(IF(ISBLANK(X15),IFERROR(VLOOKUP($F15,Sheet3!$H$2:$O$200,AE$1,FALSE),VLOOKUP($G15,Sheet3!$H$2:$O$200,AE$1,FALSE)),$I$1),$I$1)</f>
        <v>0</v>
      </c>
      <c r="AF15" s="15">
        <f>IFERROR(IF(ISBLANK(Y15),IFERROR(VLOOKUP($F15,Sheet3!$H$2:$O$200,AF$1,FALSE),VLOOKUP($G15,Sheet3!$H$2:$O$200,AF$1,FALSE)),$I$1),$I$1)</f>
        <v>0</v>
      </c>
      <c r="AG15" s="15">
        <f>IFERROR(IF(ISBLANK(Z15),IFERROR(VLOOKUP($F15,Sheet3!$H$2:$O$200,AG$1,FALSE),VLOOKUP($G15,Sheet3!$H$2:$O$200,AG$1,FALSE)),$I$1),$I$1)</f>
        <v>0</v>
      </c>
      <c r="AH15" s="15">
        <f>IFERROR(IF(ISBLANK(AA15),IFERROR(VLOOKUP($F15,Sheet3!$H$2:$O$200,AH$1,FALSE),VLOOKUP($G15,Sheet3!$H$2:$O$200,AH$1,FALSE)),$I$1),$I$1)</f>
        <v>0</v>
      </c>
      <c r="AI15" s="15">
        <f>IFERROR(IF(ISBLANK(AB15),IFERROR(VLOOKUP($F15,Sheet3!$H$2:$O$200,AI$1,FALSE),VLOOKUP($G15,Sheet3!$H$2:$O$200,AI$1,FALSE)),$I$1),$I$1)</f>
        <v>0</v>
      </c>
      <c r="AJ15" s="15">
        <f>IFERROR(IF(ISBLANK(AC15),IFERROR(VLOOKUP($F15,Sheet3!$H$2:$O$200,AJ$1,FALSE),VLOOKUP($G15,Sheet3!$H$2:$O$200,AJ$1,FALSE)),$I$1),$I$1)</f>
        <v>0</v>
      </c>
      <c r="AK15" s="15">
        <f>IFERROR(IF(ISBLANK(AD15),IFERROR(VLOOKUP($F15,Sheet3!$H$2:$O$200,AK$1,FALSE),VLOOKUP($G15,Sheet3!$H$2:$O$200,AK$1,FALSE)),$I$1),$I$1)</f>
        <v>0</v>
      </c>
      <c r="AL15" s="15">
        <f>IFERROR(IF(ISBLANK(AE15),VLOOKUP($G15,Sheet3!$H$2:$O$200,AL$1,FALSE),$I$1),$I$1)</f>
        <v>0</v>
      </c>
      <c r="AM15" s="15">
        <f>IFERROR(IF(ISBLANK(AF15),VLOOKUP($G15,Sheet3!$H$2:$O$200,AM$1,FALSE),$I$1),$I$1)</f>
        <v>0</v>
      </c>
      <c r="AN15" s="15">
        <f>IFERROR(IF(ISBLANK(AG15),VLOOKUP($G15,Sheet3!$H$2:$O$200,AN$1,FALSE),$I$1),$I$1)</f>
        <v>0</v>
      </c>
      <c r="AO15" s="15">
        <f>IFERROR(IF(ISBLANK(AH15),VLOOKUP($G15,Sheet3!$H$2:$O$200,AO$1,FALSE),$I$1),$I$1)</f>
        <v>0</v>
      </c>
      <c r="AP15" s="15">
        <f>IFERROR(IF(ISBLANK(AI15),VLOOKUP($G15,Sheet3!$H$2:$O$200,AP$1,FALSE),$I$1),$I$1)</f>
        <v>0</v>
      </c>
      <c r="AQ15" s="15">
        <f>IFERROR(IF(ISBLANK(AJ15),VLOOKUP($G15,Sheet3!$H$2:$O$200,AQ$1,FALSE),$I$1),$I$1)</f>
        <v>0</v>
      </c>
      <c r="AR15" s="15">
        <f>IFERROR(IF(ISBLANK(AK15),VLOOKUP($G15,Sheet3!$H$2:$O$200,AR$1,FALSE),$I$1),$I$1)</f>
        <v>0</v>
      </c>
      <c r="AS15" s="15">
        <f t="shared" si="1"/>
        <v>28</v>
      </c>
      <c r="AT15" s="15" t="b">
        <f t="shared" si="2"/>
        <v>0</v>
      </c>
    </row>
    <row r="16" spans="1:46" x14ac:dyDescent="0.2">
      <c r="A16" s="19" t="s">
        <v>72</v>
      </c>
      <c r="B16" s="19" t="s">
        <v>65</v>
      </c>
      <c r="C16" s="19" t="s">
        <v>48</v>
      </c>
      <c r="D16" s="19"/>
      <c r="E16" s="19" t="s">
        <v>73</v>
      </c>
      <c r="F16" s="19" t="s">
        <v>74</v>
      </c>
      <c r="G16" s="19"/>
      <c r="H16" s="19" t="s">
        <v>72</v>
      </c>
      <c r="I16" s="15">
        <f t="shared" si="0"/>
        <v>3</v>
      </c>
      <c r="J16" s="15">
        <f>IFERROR(VLOOKUP($C16,Sheet3!$H$2:$O$200,J$1,FALSE),IFERROR(VLOOKUP($D16,Sheet3!$H$2:$O$200,J$1,FALSE),VLOOKUP($E16,Sheet3!$H$2:$O$200,J$1,FALSE)))</f>
        <v>0</v>
      </c>
      <c r="K16" s="15">
        <f>IFERROR(VLOOKUP($C16,Sheet3!$H$2:$O$200,K$1,FALSE),IFERROR(VLOOKUP($D16,Sheet3!$H$2:$O$200,K$1,FALSE),VLOOKUP($E16,Sheet3!$H$2:$O$200,K$1,FALSE)))</f>
        <v>0</v>
      </c>
      <c r="L16" s="15">
        <f>IFERROR(VLOOKUP($C16,Sheet3!$H$2:$O$200,L$1,FALSE),IFERROR(VLOOKUP($D16,Sheet3!$H$2:$O$200,L$1,FALSE),VLOOKUP($E16,Sheet3!$H$2:$O$200,L$1,FALSE)))</f>
        <v>0</v>
      </c>
      <c r="M16" s="15" t="str">
        <f>IFERROR(VLOOKUP($C16,Sheet3!$H$2:$O$200,M$1,FALSE),IFERROR(VLOOKUP($D16,Sheet3!$H$2:$O$200,M$1,FALSE),VLOOKUP($E16,Sheet3!$H$2:$O$200,M$1,FALSE)))</f>
        <v>sweet vermouth</v>
      </c>
      <c r="N16" s="15">
        <f>IFERROR(VLOOKUP($C16,Sheet3!$H$2:$O$200,N$1,FALSE),IFERROR(VLOOKUP($D16,Sheet3!$H$2:$O$200,N$1,FALSE),VLOOKUP($E16,Sheet3!$H$2:$O$200,N$1,FALSE)))</f>
        <v>0</v>
      </c>
      <c r="O16" s="15">
        <f>IFERROR(VLOOKUP($C16,Sheet3!$H$2:$O$200,O$1,FALSE),IFERROR(VLOOKUP($D16,Sheet3!$H$2:$O$200,O$1,FALSE),VLOOKUP($E16,Sheet3!$H$2:$O$200,O$1,FALSE)))</f>
        <v>0</v>
      </c>
      <c r="P16" s="15">
        <f>IFERROR(VLOOKUP($C16,Sheet3!$H$2:$O$200,P$1,FALSE),IFERROR(VLOOKUP($D16,Sheet3!$H$2:$O$200,P$1,FALSE),VLOOKUP($E16,Sheet3!$H$2:$O$200,P$1,FALSE)))</f>
        <v>0</v>
      </c>
      <c r="Q16" s="15">
        <f>IFERROR(IF(ISBLANK(J16),IFERROR(VLOOKUP($D16,Sheet3!$H$2:$O$200,Q$1,FALSE),IFERROR(VLOOKUP($E16,Sheet3!$H$2:$O$200,Q$1,FALSE),VLOOKUP($F16,Sheet3!$H$2:$O$200,Q$1,FALSE))),$I$1),$I$1)</f>
        <v>0</v>
      </c>
      <c r="R16" s="15">
        <f>IFERROR(IF(ISBLANK(K16),IFERROR(VLOOKUP($D16,Sheet3!$H$2:$O$200,R$1,FALSE),IFERROR(VLOOKUP($E16,Sheet3!$H$2:$O$200,R$1,FALSE),VLOOKUP($F16,Sheet3!$H$2:$O$200,R$1,FALSE))),$I$1),$I$1)</f>
        <v>0</v>
      </c>
      <c r="S16" s="15">
        <f>IFERROR(IF(ISBLANK(L16),IFERROR(VLOOKUP($D16,Sheet3!$H$2:$O$200,S$1,FALSE),IFERROR(VLOOKUP($E16,Sheet3!$H$2:$O$200,S$1,FALSE),VLOOKUP($F16,Sheet3!$H$2:$O$200,S$1,FALSE))),$I$1),$I$1)</f>
        <v>0</v>
      </c>
      <c r="T16" s="15">
        <f>IFERROR(IF(ISBLANK(M16),IFERROR(VLOOKUP($D16,Sheet3!$H$2:$O$200,T$1,FALSE),IFERROR(VLOOKUP($E16,Sheet3!$H$2:$O$200,T$1,FALSE),VLOOKUP($F16,Sheet3!$H$2:$O$200,T$1,FALSE))),$I$1),$I$1)</f>
        <v>0</v>
      </c>
      <c r="U16" s="15">
        <f>IFERROR(IF(ISBLANK(N16),IFERROR(VLOOKUP($D16,Sheet3!$H$2:$O$200,U$1,FALSE),IFERROR(VLOOKUP($E16,Sheet3!$H$2:$O$200,U$1,FALSE),VLOOKUP($F16,Sheet3!$H$2:$O$200,U$1,FALSE))),$I$1),$I$1)</f>
        <v>0</v>
      </c>
      <c r="V16" s="15">
        <f>IFERROR(IF(ISBLANK(O16),IFERROR(VLOOKUP($D16,Sheet3!$H$2:$O$200,V$1,FALSE),IFERROR(VLOOKUP($E16,Sheet3!$H$2:$O$200,V$1,FALSE),VLOOKUP($F16,Sheet3!$H$2:$O$200,V$1,FALSE))),$I$1),$I$1)</f>
        <v>0</v>
      </c>
      <c r="W16" s="15">
        <f>IFERROR(IF(ISBLANK(P16),IFERROR(VLOOKUP($D16,Sheet3!$H$2:$O$200,W$1,FALSE),IFERROR(VLOOKUP($E16,Sheet3!$H$2:$O$200,W$1,FALSE),VLOOKUP($F16,Sheet3!$H$2:$O$200,W$1,FALSE))),$I$1),$I$1)</f>
        <v>0</v>
      </c>
      <c r="X16" s="15">
        <f>IFERROR(IF(ISBLANK(Q16),IFERROR(VLOOKUP($E16,Sheet3!$H$2:$O$200,X$1,FALSE),IFERROR(VLOOKUP($F16,Sheet3!$H$2:$O$200,X$1,FALSE),VLOOKUP($G16,Sheet3!$H$2:$O$200,X$1,FALSE))),$I$1),$I$1)</f>
        <v>0</v>
      </c>
      <c r="Y16" s="15">
        <f>IFERROR(IF(ISBLANK(R16),IFERROR(VLOOKUP($E16,Sheet3!$H$2:$O$200,Y$1,FALSE),IFERROR(VLOOKUP($F16,Sheet3!$H$2:$O$200,Y$1,FALSE),VLOOKUP($G16,Sheet3!$H$2:$O$200,Y$1,FALSE))),$I$1),$I$1)</f>
        <v>0</v>
      </c>
      <c r="Z16" s="15">
        <f>IFERROR(IF(ISBLANK(S16),IFERROR(VLOOKUP($E16,Sheet3!$H$2:$O$200,Z$1,FALSE),IFERROR(VLOOKUP($F16,Sheet3!$H$2:$O$200,Z$1,FALSE),VLOOKUP($G16,Sheet3!$H$2:$O$200,Z$1,FALSE))),$I$1),$I$1)</f>
        <v>0</v>
      </c>
      <c r="AA16" s="15">
        <f>IFERROR(IF(ISBLANK(T16),IFERROR(VLOOKUP($E16,Sheet3!$H$2:$O$200,AA$1,FALSE),IFERROR(VLOOKUP($F16,Sheet3!$H$2:$O$200,AA$1,FALSE),VLOOKUP($G16,Sheet3!$H$2:$O$200,AA$1,FALSE))),$I$1),$I$1)</f>
        <v>0</v>
      </c>
      <c r="AB16" s="15">
        <f>IFERROR(IF(ISBLANK(U16),IFERROR(VLOOKUP($E16,Sheet3!$H$2:$O$200,AB$1,FALSE),IFERROR(VLOOKUP($F16,Sheet3!$H$2:$O$200,AB$1,FALSE),VLOOKUP($G16,Sheet3!$H$2:$O$200,AB$1,FALSE))),$I$1),$I$1)</f>
        <v>0</v>
      </c>
      <c r="AC16" s="15">
        <f>IFERROR(IF(ISBLANK(V16),IFERROR(VLOOKUP($E16,Sheet3!$H$2:$O$200,AC$1,FALSE),IFERROR(VLOOKUP($F16,Sheet3!$H$2:$O$200,AC$1,FALSE),VLOOKUP($G16,Sheet3!$H$2:$O$200,AC$1,FALSE))),$I$1),$I$1)</f>
        <v>0</v>
      </c>
      <c r="AD16" s="15">
        <f>IFERROR(IF(ISBLANK(W16),IFERROR(VLOOKUP($E16,Sheet3!$H$2:$O$200,AD$1,FALSE),IFERROR(VLOOKUP($F16,Sheet3!$H$2:$O$200,AD$1,FALSE),VLOOKUP($G16,Sheet3!$H$2:$O$200,AD$1,FALSE))),$I$1),$I$1)</f>
        <v>0</v>
      </c>
      <c r="AE16" s="15">
        <f>IFERROR(IF(ISBLANK(X16),IFERROR(VLOOKUP($F16,Sheet3!$H$2:$O$200,AE$1,FALSE),VLOOKUP($G16,Sheet3!$H$2:$O$200,AE$1,FALSE)),$I$1),$I$1)</f>
        <v>0</v>
      </c>
      <c r="AF16" s="15">
        <f>IFERROR(IF(ISBLANK(Y16),IFERROR(VLOOKUP($F16,Sheet3!$H$2:$O$200,AF$1,FALSE),VLOOKUP($G16,Sheet3!$H$2:$O$200,AF$1,FALSE)),$I$1),$I$1)</f>
        <v>0</v>
      </c>
      <c r="AG16" s="15">
        <f>IFERROR(IF(ISBLANK(Z16),IFERROR(VLOOKUP($F16,Sheet3!$H$2:$O$200,AG$1,FALSE),VLOOKUP($G16,Sheet3!$H$2:$O$200,AG$1,FALSE)),$I$1),$I$1)</f>
        <v>0</v>
      </c>
      <c r="AH16" s="15">
        <f>IFERROR(IF(ISBLANK(AA16),IFERROR(VLOOKUP($F16,Sheet3!$H$2:$O$200,AH$1,FALSE),VLOOKUP($G16,Sheet3!$H$2:$O$200,AH$1,FALSE)),$I$1),$I$1)</f>
        <v>0</v>
      </c>
      <c r="AI16" s="15">
        <f>IFERROR(IF(ISBLANK(AB16),IFERROR(VLOOKUP($F16,Sheet3!$H$2:$O$200,AI$1,FALSE),VLOOKUP($G16,Sheet3!$H$2:$O$200,AI$1,FALSE)),$I$1),$I$1)</f>
        <v>0</v>
      </c>
      <c r="AJ16" s="15">
        <f>IFERROR(IF(ISBLANK(AC16),IFERROR(VLOOKUP($F16,Sheet3!$H$2:$O$200,AJ$1,FALSE),VLOOKUP($G16,Sheet3!$H$2:$O$200,AJ$1,FALSE)),$I$1),$I$1)</f>
        <v>0</v>
      </c>
      <c r="AK16" s="15">
        <f>IFERROR(IF(ISBLANK(AD16),IFERROR(VLOOKUP($F16,Sheet3!$H$2:$O$200,AK$1,FALSE),VLOOKUP($G16,Sheet3!$H$2:$O$200,AK$1,FALSE)),$I$1),$I$1)</f>
        <v>0</v>
      </c>
      <c r="AL16" s="15">
        <f>IFERROR(IF(ISBLANK(AE16),VLOOKUP($G16,Sheet3!$H$2:$O$200,AL$1,FALSE),$I$1),$I$1)</f>
        <v>0</v>
      </c>
      <c r="AM16" s="15">
        <f>IFERROR(IF(ISBLANK(AF16),VLOOKUP($G16,Sheet3!$H$2:$O$200,AM$1,FALSE),$I$1),$I$1)</f>
        <v>0</v>
      </c>
      <c r="AN16" s="15">
        <f>IFERROR(IF(ISBLANK(AG16),VLOOKUP($G16,Sheet3!$H$2:$O$200,AN$1,FALSE),$I$1),$I$1)</f>
        <v>0</v>
      </c>
      <c r="AO16" s="15">
        <f>IFERROR(IF(ISBLANK(AH16),VLOOKUP($G16,Sheet3!$H$2:$O$200,AO$1,FALSE),$I$1),$I$1)</f>
        <v>0</v>
      </c>
      <c r="AP16" s="15">
        <f>IFERROR(IF(ISBLANK(AI16),VLOOKUP($G16,Sheet3!$H$2:$O$200,AP$1,FALSE),$I$1),$I$1)</f>
        <v>0</v>
      </c>
      <c r="AQ16" s="15">
        <f>IFERROR(IF(ISBLANK(AJ16),VLOOKUP($G16,Sheet3!$H$2:$O$200,AQ$1,FALSE),$I$1),$I$1)</f>
        <v>0</v>
      </c>
      <c r="AR16" s="15">
        <f>IFERROR(IF(ISBLANK(AK16),VLOOKUP($G16,Sheet3!$H$2:$O$200,AR$1,FALSE),$I$1),$I$1)</f>
        <v>0</v>
      </c>
      <c r="AS16" s="15">
        <f t="shared" si="1"/>
        <v>28</v>
      </c>
      <c r="AT16" s="15" t="b">
        <f t="shared" si="2"/>
        <v>0</v>
      </c>
    </row>
    <row r="17" spans="1:46" x14ac:dyDescent="0.2">
      <c r="A17" s="19" t="s">
        <v>75</v>
      </c>
      <c r="B17" s="19" t="s">
        <v>65</v>
      </c>
      <c r="C17" s="19" t="s">
        <v>48</v>
      </c>
      <c r="D17" s="19"/>
      <c r="E17" s="19" t="s">
        <v>76</v>
      </c>
      <c r="F17" s="19" t="s">
        <v>66</v>
      </c>
      <c r="G17" s="19"/>
      <c r="H17" s="19" t="s">
        <v>75</v>
      </c>
      <c r="I17" s="15">
        <f t="shared" si="0"/>
        <v>3</v>
      </c>
      <c r="J17" s="15">
        <f>IFERROR(VLOOKUP($C17,Sheet3!$H$2:$O$200,J$1,FALSE),IFERROR(VLOOKUP($D17,Sheet3!$H$2:$O$200,J$1,FALSE),VLOOKUP($E17,Sheet3!$H$2:$O$200,J$1,FALSE)))</f>
        <v>0</v>
      </c>
      <c r="K17" s="15">
        <f>IFERROR(VLOOKUP($C17,Sheet3!$H$2:$O$200,K$1,FALSE),IFERROR(VLOOKUP($D17,Sheet3!$H$2:$O$200,K$1,FALSE),VLOOKUP($E17,Sheet3!$H$2:$O$200,K$1,FALSE)))</f>
        <v>0</v>
      </c>
      <c r="L17" s="15">
        <f>IFERROR(VLOOKUP($C17,Sheet3!$H$2:$O$200,L$1,FALSE),IFERROR(VLOOKUP($D17,Sheet3!$H$2:$O$200,L$1,FALSE),VLOOKUP($E17,Sheet3!$H$2:$O$200,L$1,FALSE)))</f>
        <v>0</v>
      </c>
      <c r="M17" s="15" t="str">
        <f>IFERROR(VLOOKUP($C17,Sheet3!$H$2:$O$200,M$1,FALSE),IFERROR(VLOOKUP($D17,Sheet3!$H$2:$O$200,M$1,FALSE),VLOOKUP($E17,Sheet3!$H$2:$O$200,M$1,FALSE)))</f>
        <v>sweet vermouth</v>
      </c>
      <c r="N17" s="15">
        <f>IFERROR(VLOOKUP($C17,Sheet3!$H$2:$O$200,N$1,FALSE),IFERROR(VLOOKUP($D17,Sheet3!$H$2:$O$200,N$1,FALSE),VLOOKUP($E17,Sheet3!$H$2:$O$200,N$1,FALSE)))</f>
        <v>0</v>
      </c>
      <c r="O17" s="15">
        <f>IFERROR(VLOOKUP($C17,Sheet3!$H$2:$O$200,O$1,FALSE),IFERROR(VLOOKUP($D17,Sheet3!$H$2:$O$200,O$1,FALSE),VLOOKUP($E17,Sheet3!$H$2:$O$200,O$1,FALSE)))</f>
        <v>0</v>
      </c>
      <c r="P17" s="15">
        <f>IFERROR(VLOOKUP($C17,Sheet3!$H$2:$O$200,P$1,FALSE),IFERROR(VLOOKUP($D17,Sheet3!$H$2:$O$200,P$1,FALSE),VLOOKUP($E17,Sheet3!$H$2:$O$200,P$1,FALSE)))</f>
        <v>0</v>
      </c>
      <c r="Q17" s="15">
        <f>IFERROR(IF(ISBLANK(J17),IFERROR(VLOOKUP($D17,Sheet3!$H$2:$O$200,Q$1,FALSE),IFERROR(VLOOKUP($E17,Sheet3!$H$2:$O$200,Q$1,FALSE),VLOOKUP($F17,Sheet3!$H$2:$O$200,Q$1,FALSE))),$I$1),$I$1)</f>
        <v>0</v>
      </c>
      <c r="R17" s="15">
        <f>IFERROR(IF(ISBLANK(K17),IFERROR(VLOOKUP($D17,Sheet3!$H$2:$O$200,R$1,FALSE),IFERROR(VLOOKUP($E17,Sheet3!$H$2:$O$200,R$1,FALSE),VLOOKUP($F17,Sheet3!$H$2:$O$200,R$1,FALSE))),$I$1),$I$1)</f>
        <v>0</v>
      </c>
      <c r="S17" s="15">
        <f>IFERROR(IF(ISBLANK(L17),IFERROR(VLOOKUP($D17,Sheet3!$H$2:$O$200,S$1,FALSE),IFERROR(VLOOKUP($E17,Sheet3!$H$2:$O$200,S$1,FALSE),VLOOKUP($F17,Sheet3!$H$2:$O$200,S$1,FALSE))),$I$1),$I$1)</f>
        <v>0</v>
      </c>
      <c r="T17" s="15">
        <f>IFERROR(IF(ISBLANK(M17),IFERROR(VLOOKUP($D17,Sheet3!$H$2:$O$200,T$1,FALSE),IFERROR(VLOOKUP($E17,Sheet3!$H$2:$O$200,T$1,FALSE),VLOOKUP($F17,Sheet3!$H$2:$O$200,T$1,FALSE))),$I$1),$I$1)</f>
        <v>0</v>
      </c>
      <c r="U17" s="15">
        <f>IFERROR(IF(ISBLANK(N17),IFERROR(VLOOKUP($D17,Sheet3!$H$2:$O$200,U$1,FALSE),IFERROR(VLOOKUP($E17,Sheet3!$H$2:$O$200,U$1,FALSE),VLOOKUP($F17,Sheet3!$H$2:$O$200,U$1,FALSE))),$I$1),$I$1)</f>
        <v>0</v>
      </c>
      <c r="V17" s="15">
        <f>IFERROR(IF(ISBLANK(O17),IFERROR(VLOOKUP($D17,Sheet3!$H$2:$O$200,V$1,FALSE),IFERROR(VLOOKUP($E17,Sheet3!$H$2:$O$200,V$1,FALSE),VLOOKUP($F17,Sheet3!$H$2:$O$200,V$1,FALSE))),$I$1),$I$1)</f>
        <v>0</v>
      </c>
      <c r="W17" s="15">
        <f>IFERROR(IF(ISBLANK(P17),IFERROR(VLOOKUP($D17,Sheet3!$H$2:$O$200,W$1,FALSE),IFERROR(VLOOKUP($E17,Sheet3!$H$2:$O$200,W$1,FALSE),VLOOKUP($F17,Sheet3!$H$2:$O$200,W$1,FALSE))),$I$1),$I$1)</f>
        <v>0</v>
      </c>
      <c r="X17" s="15">
        <f>IFERROR(IF(ISBLANK(Q17),IFERROR(VLOOKUP($E17,Sheet3!$H$2:$O$200,X$1,FALSE),IFERROR(VLOOKUP($F17,Sheet3!$H$2:$O$200,X$1,FALSE),VLOOKUP($G17,Sheet3!$H$2:$O$200,X$1,FALSE))),$I$1),$I$1)</f>
        <v>0</v>
      </c>
      <c r="Y17" s="15">
        <f>IFERROR(IF(ISBLANK(R17),IFERROR(VLOOKUP($E17,Sheet3!$H$2:$O$200,Y$1,FALSE),IFERROR(VLOOKUP($F17,Sheet3!$H$2:$O$200,Y$1,FALSE),VLOOKUP($G17,Sheet3!$H$2:$O$200,Y$1,FALSE))),$I$1),$I$1)</f>
        <v>0</v>
      </c>
      <c r="Z17" s="15">
        <f>IFERROR(IF(ISBLANK(S17),IFERROR(VLOOKUP($E17,Sheet3!$H$2:$O$200,Z$1,FALSE),IFERROR(VLOOKUP($F17,Sheet3!$H$2:$O$200,Z$1,FALSE),VLOOKUP($G17,Sheet3!$H$2:$O$200,Z$1,FALSE))),$I$1),$I$1)</f>
        <v>0</v>
      </c>
      <c r="AA17" s="15">
        <f>IFERROR(IF(ISBLANK(T17),IFERROR(VLOOKUP($E17,Sheet3!$H$2:$O$200,AA$1,FALSE),IFERROR(VLOOKUP($F17,Sheet3!$H$2:$O$200,AA$1,FALSE),VLOOKUP($G17,Sheet3!$H$2:$O$200,AA$1,FALSE))),$I$1),$I$1)</f>
        <v>0</v>
      </c>
      <c r="AB17" s="15">
        <f>IFERROR(IF(ISBLANK(U17),IFERROR(VLOOKUP($E17,Sheet3!$H$2:$O$200,AB$1,FALSE),IFERROR(VLOOKUP($F17,Sheet3!$H$2:$O$200,AB$1,FALSE),VLOOKUP($G17,Sheet3!$H$2:$O$200,AB$1,FALSE))),$I$1),$I$1)</f>
        <v>0</v>
      </c>
      <c r="AC17" s="15">
        <f>IFERROR(IF(ISBLANK(V17),IFERROR(VLOOKUP($E17,Sheet3!$H$2:$O$200,AC$1,FALSE),IFERROR(VLOOKUP($F17,Sheet3!$H$2:$O$200,AC$1,FALSE),VLOOKUP($G17,Sheet3!$H$2:$O$200,AC$1,FALSE))),$I$1),$I$1)</f>
        <v>0</v>
      </c>
      <c r="AD17" s="15">
        <f>IFERROR(IF(ISBLANK(W17),IFERROR(VLOOKUP($E17,Sheet3!$H$2:$O$200,AD$1,FALSE),IFERROR(VLOOKUP($F17,Sheet3!$H$2:$O$200,AD$1,FALSE),VLOOKUP($G17,Sheet3!$H$2:$O$200,AD$1,FALSE))),$I$1),$I$1)</f>
        <v>0</v>
      </c>
      <c r="AE17" s="15">
        <f>IFERROR(IF(ISBLANK(X17),IFERROR(VLOOKUP($F17,Sheet3!$H$2:$O$200,AE$1,FALSE),VLOOKUP($G17,Sheet3!$H$2:$O$200,AE$1,FALSE)),$I$1),$I$1)</f>
        <v>0</v>
      </c>
      <c r="AF17" s="15">
        <f>IFERROR(IF(ISBLANK(Y17),IFERROR(VLOOKUP($F17,Sheet3!$H$2:$O$200,AF$1,FALSE),VLOOKUP($G17,Sheet3!$H$2:$O$200,AF$1,FALSE)),$I$1),$I$1)</f>
        <v>0</v>
      </c>
      <c r="AG17" s="15">
        <f>IFERROR(IF(ISBLANK(Z17),IFERROR(VLOOKUP($F17,Sheet3!$H$2:$O$200,AG$1,FALSE),VLOOKUP($G17,Sheet3!$H$2:$O$200,AG$1,FALSE)),$I$1),$I$1)</f>
        <v>0</v>
      </c>
      <c r="AH17" s="15">
        <f>IFERROR(IF(ISBLANK(AA17),IFERROR(VLOOKUP($F17,Sheet3!$H$2:$O$200,AH$1,FALSE),VLOOKUP($G17,Sheet3!$H$2:$O$200,AH$1,FALSE)),$I$1),$I$1)</f>
        <v>0</v>
      </c>
      <c r="AI17" s="15">
        <f>IFERROR(IF(ISBLANK(AB17),IFERROR(VLOOKUP($F17,Sheet3!$H$2:$O$200,AI$1,FALSE),VLOOKUP($G17,Sheet3!$H$2:$O$200,AI$1,FALSE)),$I$1),$I$1)</f>
        <v>0</v>
      </c>
      <c r="AJ17" s="15">
        <f>IFERROR(IF(ISBLANK(AC17),IFERROR(VLOOKUP($F17,Sheet3!$H$2:$O$200,AJ$1,FALSE),VLOOKUP($G17,Sheet3!$H$2:$O$200,AJ$1,FALSE)),$I$1),$I$1)</f>
        <v>0</v>
      </c>
      <c r="AK17" s="15">
        <f>IFERROR(IF(ISBLANK(AD17),IFERROR(VLOOKUP($F17,Sheet3!$H$2:$O$200,AK$1,FALSE),VLOOKUP($G17,Sheet3!$H$2:$O$200,AK$1,FALSE)),$I$1),$I$1)</f>
        <v>0</v>
      </c>
      <c r="AL17" s="15">
        <f>IFERROR(IF(ISBLANK(AE17),VLOOKUP($G17,Sheet3!$H$2:$O$200,AL$1,FALSE),$I$1),$I$1)</f>
        <v>0</v>
      </c>
      <c r="AM17" s="15">
        <f>IFERROR(IF(ISBLANK(AF17),VLOOKUP($G17,Sheet3!$H$2:$O$200,AM$1,FALSE),$I$1),$I$1)</f>
        <v>0</v>
      </c>
      <c r="AN17" s="15">
        <f>IFERROR(IF(ISBLANK(AG17),VLOOKUP($G17,Sheet3!$H$2:$O$200,AN$1,FALSE),$I$1),$I$1)</f>
        <v>0</v>
      </c>
      <c r="AO17" s="15">
        <f>IFERROR(IF(ISBLANK(AH17),VLOOKUP($G17,Sheet3!$H$2:$O$200,AO$1,FALSE),$I$1),$I$1)</f>
        <v>0</v>
      </c>
      <c r="AP17" s="15">
        <f>IFERROR(IF(ISBLANK(AI17),VLOOKUP($G17,Sheet3!$H$2:$O$200,AP$1,FALSE),$I$1),$I$1)</f>
        <v>0</v>
      </c>
      <c r="AQ17" s="15">
        <f>IFERROR(IF(ISBLANK(AJ17),VLOOKUP($G17,Sheet3!$H$2:$O$200,AQ$1,FALSE),$I$1),$I$1)</f>
        <v>0</v>
      </c>
      <c r="AR17" s="15">
        <f>IFERROR(IF(ISBLANK(AK17),VLOOKUP($G17,Sheet3!$H$2:$O$200,AR$1,FALSE),$I$1),$I$1)</f>
        <v>0</v>
      </c>
      <c r="AS17" s="15">
        <f t="shared" si="1"/>
        <v>28</v>
      </c>
      <c r="AT17" s="15" t="b">
        <f t="shared" si="2"/>
        <v>0</v>
      </c>
    </row>
    <row r="18" spans="1:46" x14ac:dyDescent="0.2">
      <c r="A18" s="19" t="s">
        <v>77</v>
      </c>
      <c r="B18" s="19" t="s">
        <v>65</v>
      </c>
      <c r="C18" s="19" t="s">
        <v>52</v>
      </c>
      <c r="D18" s="19" t="s">
        <v>78</v>
      </c>
      <c r="E18" s="19" t="s">
        <v>79</v>
      </c>
      <c r="F18" s="19" t="s">
        <v>66</v>
      </c>
      <c r="G18" s="19"/>
      <c r="H18" s="19" t="s">
        <v>77</v>
      </c>
      <c r="I18" s="15">
        <f t="shared" si="0"/>
        <v>4</v>
      </c>
      <c r="J18" s="15">
        <f>IFERROR(VLOOKUP($C18,Sheet3!$H$2:$O$200,J$1,FALSE),IFERROR(VLOOKUP($D18,Sheet3!$H$2:$O$200,J$1,FALSE),VLOOKUP($E18,Sheet3!$H$2:$O$200,J$1,FALSE)))</f>
        <v>0</v>
      </c>
      <c r="K18" s="15">
        <f>IFERROR(VLOOKUP($C18,Sheet3!$H$2:$O$200,K$1,FALSE),IFERROR(VLOOKUP($D18,Sheet3!$H$2:$O$200,K$1,FALSE),VLOOKUP($E18,Sheet3!$H$2:$O$200,K$1,FALSE)))</f>
        <v>0</v>
      </c>
      <c r="L18" s="15">
        <f>IFERROR(VLOOKUP($C18,Sheet3!$H$2:$O$200,L$1,FALSE),IFERROR(VLOOKUP($D18,Sheet3!$H$2:$O$200,L$1,FALSE),VLOOKUP($E18,Sheet3!$H$2:$O$200,L$1,FALSE)))</f>
        <v>0</v>
      </c>
      <c r="M18" s="15" t="str">
        <f>IFERROR(VLOOKUP($C18,Sheet3!$H$2:$O$200,M$1,FALSE),IFERROR(VLOOKUP($D18,Sheet3!$H$2:$O$200,M$1,FALSE),VLOOKUP($E18,Sheet3!$H$2:$O$200,M$1,FALSE)))</f>
        <v>dry vermouth</v>
      </c>
      <c r="N18" s="15">
        <f>IFERROR(VLOOKUP($C18,Sheet3!$H$2:$O$200,N$1,FALSE),IFERROR(VLOOKUP($D18,Sheet3!$H$2:$O$200,N$1,FALSE),VLOOKUP($E18,Sheet3!$H$2:$O$200,N$1,FALSE)))</f>
        <v>0</v>
      </c>
      <c r="O18" s="15">
        <f>IFERROR(VLOOKUP($C18,Sheet3!$H$2:$O$200,O$1,FALSE),IFERROR(VLOOKUP($D18,Sheet3!$H$2:$O$200,O$1,FALSE),VLOOKUP($E18,Sheet3!$H$2:$O$200,O$1,FALSE)))</f>
        <v>0</v>
      </c>
      <c r="P18" s="15">
        <f>IFERROR(VLOOKUP($C18,Sheet3!$H$2:$O$200,P$1,FALSE),IFERROR(VLOOKUP($D18,Sheet3!$H$2:$O$200,P$1,FALSE),VLOOKUP($E18,Sheet3!$H$2:$O$200,P$1,FALSE)))</f>
        <v>0</v>
      </c>
      <c r="Q18" s="15">
        <f>IFERROR(IF(ISBLANK(J18),IFERROR(VLOOKUP($D18,Sheet3!$H$2:$O$200,Q$1,FALSE),IFERROR(VLOOKUP($E18,Sheet3!$H$2:$O$200,Q$1,FALSE),VLOOKUP($F18,Sheet3!$H$2:$O$200,Q$1,FALSE))),$I$1),$I$1)</f>
        <v>0</v>
      </c>
      <c r="R18" s="15">
        <f>IFERROR(IF(ISBLANK(K18),IFERROR(VLOOKUP($D18,Sheet3!$H$2:$O$200,R$1,FALSE),IFERROR(VLOOKUP($E18,Sheet3!$H$2:$O$200,R$1,FALSE),VLOOKUP($F18,Sheet3!$H$2:$O$200,R$1,FALSE))),$I$1),$I$1)</f>
        <v>0</v>
      </c>
      <c r="S18" s="15">
        <f>IFERROR(IF(ISBLANK(L18),IFERROR(VLOOKUP($D18,Sheet3!$H$2:$O$200,S$1,FALSE),IFERROR(VLOOKUP($E18,Sheet3!$H$2:$O$200,S$1,FALSE),VLOOKUP($F18,Sheet3!$H$2:$O$200,S$1,FALSE))),$I$1),$I$1)</f>
        <v>0</v>
      </c>
      <c r="T18" s="15">
        <f>IFERROR(IF(ISBLANK(M18),IFERROR(VLOOKUP($D18,Sheet3!$H$2:$O$200,T$1,FALSE),IFERROR(VLOOKUP($E18,Sheet3!$H$2:$O$200,T$1,FALSE),VLOOKUP($F18,Sheet3!$H$2:$O$200,T$1,FALSE))),$I$1),$I$1)</f>
        <v>0</v>
      </c>
      <c r="U18" s="15">
        <f>IFERROR(IF(ISBLANK(N18),IFERROR(VLOOKUP($D18,Sheet3!$H$2:$O$200,U$1,FALSE),IFERROR(VLOOKUP($E18,Sheet3!$H$2:$O$200,U$1,FALSE),VLOOKUP($F18,Sheet3!$H$2:$O$200,U$1,FALSE))),$I$1),$I$1)</f>
        <v>0</v>
      </c>
      <c r="V18" s="15">
        <f>IFERROR(IF(ISBLANK(O18),IFERROR(VLOOKUP($D18,Sheet3!$H$2:$O$200,V$1,FALSE),IFERROR(VLOOKUP($E18,Sheet3!$H$2:$O$200,V$1,FALSE),VLOOKUP($F18,Sheet3!$H$2:$O$200,V$1,FALSE))),$I$1),$I$1)</f>
        <v>0</v>
      </c>
      <c r="W18" s="15">
        <f>IFERROR(IF(ISBLANK(P18),IFERROR(VLOOKUP($D18,Sheet3!$H$2:$O$200,W$1,FALSE),IFERROR(VLOOKUP($E18,Sheet3!$H$2:$O$200,W$1,FALSE),VLOOKUP($F18,Sheet3!$H$2:$O$200,W$1,FALSE))),$I$1),$I$1)</f>
        <v>0</v>
      </c>
      <c r="X18" s="15">
        <f>IFERROR(IF(ISBLANK(Q18),IFERROR(VLOOKUP($E18,Sheet3!$H$2:$O$200,X$1,FALSE),IFERROR(VLOOKUP($F18,Sheet3!$H$2:$O$200,X$1,FALSE),VLOOKUP($G18,Sheet3!$H$2:$O$200,X$1,FALSE))),$I$1),$I$1)</f>
        <v>0</v>
      </c>
      <c r="Y18" s="15">
        <f>IFERROR(IF(ISBLANK(R18),IFERROR(VLOOKUP($E18,Sheet3!$H$2:$O$200,Y$1,FALSE),IFERROR(VLOOKUP($F18,Sheet3!$H$2:$O$200,Y$1,FALSE),VLOOKUP($G18,Sheet3!$H$2:$O$200,Y$1,FALSE))),$I$1),$I$1)</f>
        <v>0</v>
      </c>
      <c r="Z18" s="15">
        <f>IFERROR(IF(ISBLANK(S18),IFERROR(VLOOKUP($E18,Sheet3!$H$2:$O$200,Z$1,FALSE),IFERROR(VLOOKUP($F18,Sheet3!$H$2:$O$200,Z$1,FALSE),VLOOKUP($G18,Sheet3!$H$2:$O$200,Z$1,FALSE))),$I$1),$I$1)</f>
        <v>0</v>
      </c>
      <c r="AA18" s="15">
        <f>IFERROR(IF(ISBLANK(T18),IFERROR(VLOOKUP($E18,Sheet3!$H$2:$O$200,AA$1,FALSE),IFERROR(VLOOKUP($F18,Sheet3!$H$2:$O$200,AA$1,FALSE),VLOOKUP($G18,Sheet3!$H$2:$O$200,AA$1,FALSE))),$I$1),$I$1)</f>
        <v>0</v>
      </c>
      <c r="AB18" s="15">
        <f>IFERROR(IF(ISBLANK(U18),IFERROR(VLOOKUP($E18,Sheet3!$H$2:$O$200,AB$1,FALSE),IFERROR(VLOOKUP($F18,Sheet3!$H$2:$O$200,AB$1,FALSE),VLOOKUP($G18,Sheet3!$H$2:$O$200,AB$1,FALSE))),$I$1),$I$1)</f>
        <v>0</v>
      </c>
      <c r="AC18" s="15">
        <f>IFERROR(IF(ISBLANK(V18),IFERROR(VLOOKUP($E18,Sheet3!$H$2:$O$200,AC$1,FALSE),IFERROR(VLOOKUP($F18,Sheet3!$H$2:$O$200,AC$1,FALSE),VLOOKUP($G18,Sheet3!$H$2:$O$200,AC$1,FALSE))),$I$1),$I$1)</f>
        <v>0</v>
      </c>
      <c r="AD18" s="15">
        <f>IFERROR(IF(ISBLANK(W18),IFERROR(VLOOKUP($E18,Sheet3!$H$2:$O$200,AD$1,FALSE),IFERROR(VLOOKUP($F18,Sheet3!$H$2:$O$200,AD$1,FALSE),VLOOKUP($G18,Sheet3!$H$2:$O$200,AD$1,FALSE))),$I$1),$I$1)</f>
        <v>0</v>
      </c>
      <c r="AE18" s="15">
        <f>IFERROR(IF(ISBLANK(X18),IFERROR(VLOOKUP($F18,Sheet3!$H$2:$O$200,AE$1,FALSE),VLOOKUP($G18,Sheet3!$H$2:$O$200,AE$1,FALSE)),$I$1),$I$1)</f>
        <v>0</v>
      </c>
      <c r="AF18" s="15">
        <f>IFERROR(IF(ISBLANK(Y18),IFERROR(VLOOKUP($F18,Sheet3!$H$2:$O$200,AF$1,FALSE),VLOOKUP($G18,Sheet3!$H$2:$O$200,AF$1,FALSE)),$I$1),$I$1)</f>
        <v>0</v>
      </c>
      <c r="AG18" s="15">
        <f>IFERROR(IF(ISBLANK(Z18),IFERROR(VLOOKUP($F18,Sheet3!$H$2:$O$200,AG$1,FALSE),VLOOKUP($G18,Sheet3!$H$2:$O$200,AG$1,FALSE)),$I$1),$I$1)</f>
        <v>0</v>
      </c>
      <c r="AH18" s="15">
        <f>IFERROR(IF(ISBLANK(AA18),IFERROR(VLOOKUP($F18,Sheet3!$H$2:$O$200,AH$1,FALSE),VLOOKUP($G18,Sheet3!$H$2:$O$200,AH$1,FALSE)),$I$1),$I$1)</f>
        <v>0</v>
      </c>
      <c r="AI18" s="15">
        <f>IFERROR(IF(ISBLANK(AB18),IFERROR(VLOOKUP($F18,Sheet3!$H$2:$O$200,AI$1,FALSE),VLOOKUP($G18,Sheet3!$H$2:$O$200,AI$1,FALSE)),$I$1),$I$1)</f>
        <v>0</v>
      </c>
      <c r="AJ18" s="15">
        <f>IFERROR(IF(ISBLANK(AC18),IFERROR(VLOOKUP($F18,Sheet3!$H$2:$O$200,AJ$1,FALSE),VLOOKUP($G18,Sheet3!$H$2:$O$200,AJ$1,FALSE)),$I$1),$I$1)</f>
        <v>0</v>
      </c>
      <c r="AK18" s="15">
        <f>IFERROR(IF(ISBLANK(AD18),IFERROR(VLOOKUP($F18,Sheet3!$H$2:$O$200,AK$1,FALSE),VLOOKUP($G18,Sheet3!$H$2:$O$200,AK$1,FALSE)),$I$1),$I$1)</f>
        <v>0</v>
      </c>
      <c r="AL18" s="15">
        <f>IFERROR(IF(ISBLANK(AE18),VLOOKUP($G18,Sheet3!$H$2:$O$200,AL$1,FALSE),$I$1),$I$1)</f>
        <v>0</v>
      </c>
      <c r="AM18" s="15">
        <f>IFERROR(IF(ISBLANK(AF18),VLOOKUP($G18,Sheet3!$H$2:$O$200,AM$1,FALSE),$I$1),$I$1)</f>
        <v>0</v>
      </c>
      <c r="AN18" s="15">
        <f>IFERROR(IF(ISBLANK(AG18),VLOOKUP($G18,Sheet3!$H$2:$O$200,AN$1,FALSE),$I$1),$I$1)</f>
        <v>0</v>
      </c>
      <c r="AO18" s="15">
        <f>IFERROR(IF(ISBLANK(AH18),VLOOKUP($G18,Sheet3!$H$2:$O$200,AO$1,FALSE),$I$1),$I$1)</f>
        <v>0</v>
      </c>
      <c r="AP18" s="15">
        <f>IFERROR(IF(ISBLANK(AI18),VLOOKUP($G18,Sheet3!$H$2:$O$200,AP$1,FALSE),$I$1),$I$1)</f>
        <v>0</v>
      </c>
      <c r="AQ18" s="15">
        <f>IFERROR(IF(ISBLANK(AJ18),VLOOKUP($G18,Sheet3!$H$2:$O$200,AQ$1,FALSE),$I$1),$I$1)</f>
        <v>0</v>
      </c>
      <c r="AR18" s="15">
        <f>IFERROR(IF(ISBLANK(AK18),VLOOKUP($G18,Sheet3!$H$2:$O$200,AR$1,FALSE),$I$1),$I$1)</f>
        <v>0</v>
      </c>
      <c r="AS18" s="15">
        <f t="shared" si="1"/>
        <v>28</v>
      </c>
      <c r="AT18" s="15" t="b">
        <f t="shared" si="2"/>
        <v>0</v>
      </c>
    </row>
    <row r="19" spans="1:46" x14ac:dyDescent="0.2">
      <c r="A19" s="19" t="s">
        <v>80</v>
      </c>
      <c r="B19" s="19" t="s">
        <v>65</v>
      </c>
      <c r="C19" s="19" t="s">
        <v>81</v>
      </c>
      <c r="D19" s="19"/>
      <c r="E19" s="19"/>
      <c r="F19" s="19"/>
      <c r="G19" s="19"/>
      <c r="H19" s="19" t="s">
        <v>80</v>
      </c>
      <c r="I19" s="15">
        <f t="shared" si="0"/>
        <v>1</v>
      </c>
      <c r="J19" s="15">
        <f>IFERROR(VLOOKUP($C19,Sheet3!$H$2:$O$200,J$1,FALSE),IFERROR(VLOOKUP($D19,Sheet3!$H$2:$O$200,J$1,FALSE),VLOOKUP($E19,Sheet3!$H$2:$O$200,J$1,FALSE)))</f>
        <v>0</v>
      </c>
      <c r="K19" s="15" t="str">
        <f>IFERROR(VLOOKUP($C19,Sheet3!$H$2:$O$200,K$1,FALSE),IFERROR(VLOOKUP($D19,Sheet3!$H$2:$O$200,K$1,FALSE),VLOOKUP($E19,Sheet3!$H$2:$O$200,K$1,FALSE)))</f>
        <v>bottled water</v>
      </c>
      <c r="L19" s="15">
        <f>IFERROR(VLOOKUP($C19,Sheet3!$H$2:$O$200,L$1,FALSE),IFERROR(VLOOKUP($D19,Sheet3!$H$2:$O$200,L$1,FALSE),VLOOKUP($E19,Sheet3!$H$2:$O$200,L$1,FALSE)))</f>
        <v>0</v>
      </c>
      <c r="M19" s="15">
        <f>IFERROR(VLOOKUP($C19,Sheet3!$H$2:$O$200,M$1,FALSE),IFERROR(VLOOKUP($D19,Sheet3!$H$2:$O$200,M$1,FALSE),VLOOKUP($E19,Sheet3!$H$2:$O$200,M$1,FALSE)))</f>
        <v>0</v>
      </c>
      <c r="N19" s="15">
        <f>IFERROR(VLOOKUP($C19,Sheet3!$H$2:$O$200,N$1,FALSE),IFERROR(VLOOKUP($D19,Sheet3!$H$2:$O$200,N$1,FALSE),VLOOKUP($E19,Sheet3!$H$2:$O$200,N$1,FALSE)))</f>
        <v>0</v>
      </c>
      <c r="O19" s="15">
        <f>IFERROR(VLOOKUP($C19,Sheet3!$H$2:$O$200,O$1,FALSE),IFERROR(VLOOKUP($D19,Sheet3!$H$2:$O$200,O$1,FALSE),VLOOKUP($E19,Sheet3!$H$2:$O$200,O$1,FALSE)))</f>
        <v>0</v>
      </c>
      <c r="P19" s="15">
        <f>IFERROR(VLOOKUP($C19,Sheet3!$H$2:$O$200,P$1,FALSE),IFERROR(VLOOKUP($D19,Sheet3!$H$2:$O$200,P$1,FALSE),VLOOKUP($E19,Sheet3!$H$2:$O$200,P$1,FALSE)))</f>
        <v>0</v>
      </c>
      <c r="Q19" s="15">
        <f>IFERROR(IF(ISBLANK(J19),IFERROR(VLOOKUP($D19,Sheet3!$H$2:$O$200,Q$1,FALSE),IFERROR(VLOOKUP($E19,Sheet3!$H$2:$O$200,Q$1,FALSE),VLOOKUP($F19,Sheet3!$H$2:$O$200,Q$1,FALSE))),$I$1),$I$1)</f>
        <v>0</v>
      </c>
      <c r="R19" s="15">
        <f>IFERROR(IF(ISBLANK(K19),IFERROR(VLOOKUP($D19,Sheet3!$H$2:$O$200,R$1,FALSE),IFERROR(VLOOKUP($E19,Sheet3!$H$2:$O$200,R$1,FALSE),VLOOKUP($F19,Sheet3!$H$2:$O$200,R$1,FALSE))),$I$1),$I$1)</f>
        <v>0</v>
      </c>
      <c r="S19" s="15">
        <f>IFERROR(IF(ISBLANK(L19),IFERROR(VLOOKUP($D19,Sheet3!$H$2:$O$200,S$1,FALSE),IFERROR(VLOOKUP($E19,Sheet3!$H$2:$O$200,S$1,FALSE),VLOOKUP($F19,Sheet3!$H$2:$O$200,S$1,FALSE))),$I$1),$I$1)</f>
        <v>0</v>
      </c>
      <c r="T19" s="15">
        <f>IFERROR(IF(ISBLANK(M19),IFERROR(VLOOKUP($D19,Sheet3!$H$2:$O$200,T$1,FALSE),IFERROR(VLOOKUP($E19,Sheet3!$H$2:$O$200,T$1,FALSE),VLOOKUP($F19,Sheet3!$H$2:$O$200,T$1,FALSE))),$I$1),$I$1)</f>
        <v>0</v>
      </c>
      <c r="U19" s="15">
        <f>IFERROR(IF(ISBLANK(N19),IFERROR(VLOOKUP($D19,Sheet3!$H$2:$O$200,U$1,FALSE),IFERROR(VLOOKUP($E19,Sheet3!$H$2:$O$200,U$1,FALSE),VLOOKUP($F19,Sheet3!$H$2:$O$200,U$1,FALSE))),$I$1),$I$1)</f>
        <v>0</v>
      </c>
      <c r="V19" s="15">
        <f>IFERROR(IF(ISBLANK(O19),IFERROR(VLOOKUP($D19,Sheet3!$H$2:$O$200,V$1,FALSE),IFERROR(VLOOKUP($E19,Sheet3!$H$2:$O$200,V$1,FALSE),VLOOKUP($F19,Sheet3!$H$2:$O$200,V$1,FALSE))),$I$1),$I$1)</f>
        <v>0</v>
      </c>
      <c r="W19" s="15">
        <f>IFERROR(IF(ISBLANK(P19),IFERROR(VLOOKUP($D19,Sheet3!$H$2:$O$200,W$1,FALSE),IFERROR(VLOOKUP($E19,Sheet3!$H$2:$O$200,W$1,FALSE),VLOOKUP($F19,Sheet3!$H$2:$O$200,W$1,FALSE))),$I$1),$I$1)</f>
        <v>0</v>
      </c>
      <c r="X19" s="15">
        <f>IFERROR(IF(ISBLANK(Q19),IFERROR(VLOOKUP($E19,Sheet3!$H$2:$O$200,X$1,FALSE),IFERROR(VLOOKUP($F19,Sheet3!$H$2:$O$200,X$1,FALSE),VLOOKUP($G19,Sheet3!$H$2:$O$200,X$1,FALSE))),$I$1),$I$1)</f>
        <v>0</v>
      </c>
      <c r="Y19" s="15">
        <f>IFERROR(IF(ISBLANK(R19),IFERROR(VLOOKUP($E19,Sheet3!$H$2:$O$200,Y$1,FALSE),IFERROR(VLOOKUP($F19,Sheet3!$H$2:$O$200,Y$1,FALSE),VLOOKUP($G19,Sheet3!$H$2:$O$200,Y$1,FALSE))),$I$1),$I$1)</f>
        <v>0</v>
      </c>
      <c r="Z19" s="15">
        <f>IFERROR(IF(ISBLANK(S19),IFERROR(VLOOKUP($E19,Sheet3!$H$2:$O$200,Z$1,FALSE),IFERROR(VLOOKUP($F19,Sheet3!$H$2:$O$200,Z$1,FALSE),VLOOKUP($G19,Sheet3!$H$2:$O$200,Z$1,FALSE))),$I$1),$I$1)</f>
        <v>0</v>
      </c>
      <c r="AA19" s="15">
        <f>IFERROR(IF(ISBLANK(T19),IFERROR(VLOOKUP($E19,Sheet3!$H$2:$O$200,AA$1,FALSE),IFERROR(VLOOKUP($F19,Sheet3!$H$2:$O$200,AA$1,FALSE),VLOOKUP($G19,Sheet3!$H$2:$O$200,AA$1,FALSE))),$I$1),$I$1)</f>
        <v>0</v>
      </c>
      <c r="AB19" s="15">
        <f>IFERROR(IF(ISBLANK(U19),IFERROR(VLOOKUP($E19,Sheet3!$H$2:$O$200,AB$1,FALSE),IFERROR(VLOOKUP($F19,Sheet3!$H$2:$O$200,AB$1,FALSE),VLOOKUP($G19,Sheet3!$H$2:$O$200,AB$1,FALSE))),$I$1),$I$1)</f>
        <v>0</v>
      </c>
      <c r="AC19" s="15">
        <f>IFERROR(IF(ISBLANK(V19),IFERROR(VLOOKUP($E19,Sheet3!$H$2:$O$200,AC$1,FALSE),IFERROR(VLOOKUP($F19,Sheet3!$H$2:$O$200,AC$1,FALSE),VLOOKUP($G19,Sheet3!$H$2:$O$200,AC$1,FALSE))),$I$1),$I$1)</f>
        <v>0</v>
      </c>
      <c r="AD19" s="15">
        <f>IFERROR(IF(ISBLANK(W19),IFERROR(VLOOKUP($E19,Sheet3!$H$2:$O$200,AD$1,FALSE),IFERROR(VLOOKUP($F19,Sheet3!$H$2:$O$200,AD$1,FALSE),VLOOKUP($G19,Sheet3!$H$2:$O$200,AD$1,FALSE))),$I$1),$I$1)</f>
        <v>0</v>
      </c>
      <c r="AE19" s="15">
        <f>IFERROR(IF(ISBLANK(X19),IFERROR(VLOOKUP($F19,Sheet3!$H$2:$O$200,AE$1,FALSE),VLOOKUP($G19,Sheet3!$H$2:$O$200,AE$1,FALSE)),$I$1),$I$1)</f>
        <v>0</v>
      </c>
      <c r="AF19" s="15">
        <f>IFERROR(IF(ISBLANK(Y19),IFERROR(VLOOKUP($F19,Sheet3!$H$2:$O$200,AF$1,FALSE),VLOOKUP($G19,Sheet3!$H$2:$O$200,AF$1,FALSE)),$I$1),$I$1)</f>
        <v>0</v>
      </c>
      <c r="AG19" s="15">
        <f>IFERROR(IF(ISBLANK(Z19),IFERROR(VLOOKUP($F19,Sheet3!$H$2:$O$200,AG$1,FALSE),VLOOKUP($G19,Sheet3!$H$2:$O$200,AG$1,FALSE)),$I$1),$I$1)</f>
        <v>0</v>
      </c>
      <c r="AH19" s="15">
        <f>IFERROR(IF(ISBLANK(AA19),IFERROR(VLOOKUP($F19,Sheet3!$H$2:$O$200,AH$1,FALSE),VLOOKUP($G19,Sheet3!$H$2:$O$200,AH$1,FALSE)),$I$1),$I$1)</f>
        <v>0</v>
      </c>
      <c r="AI19" s="15">
        <f>IFERROR(IF(ISBLANK(AB19),IFERROR(VLOOKUP($F19,Sheet3!$H$2:$O$200,AI$1,FALSE),VLOOKUP($G19,Sheet3!$H$2:$O$200,AI$1,FALSE)),$I$1),$I$1)</f>
        <v>0</v>
      </c>
      <c r="AJ19" s="15">
        <f>IFERROR(IF(ISBLANK(AC19),IFERROR(VLOOKUP($F19,Sheet3!$H$2:$O$200,AJ$1,FALSE),VLOOKUP($G19,Sheet3!$H$2:$O$200,AJ$1,FALSE)),$I$1),$I$1)</f>
        <v>0</v>
      </c>
      <c r="AK19" s="15">
        <f>IFERROR(IF(ISBLANK(AD19),IFERROR(VLOOKUP($F19,Sheet3!$H$2:$O$200,AK$1,FALSE),VLOOKUP($G19,Sheet3!$H$2:$O$200,AK$1,FALSE)),$I$1),$I$1)</f>
        <v>0</v>
      </c>
      <c r="AL19" s="15">
        <f>IFERROR(IF(ISBLANK(AE19),VLOOKUP($G19,Sheet3!$H$2:$O$200,AL$1,FALSE),$I$1),$I$1)</f>
        <v>0</v>
      </c>
      <c r="AM19" s="15">
        <f>IFERROR(IF(ISBLANK(AF19),VLOOKUP($G19,Sheet3!$H$2:$O$200,AM$1,FALSE),$I$1),$I$1)</f>
        <v>0</v>
      </c>
      <c r="AN19" s="15">
        <f>IFERROR(IF(ISBLANK(AG19),VLOOKUP($G19,Sheet3!$H$2:$O$200,AN$1,FALSE),$I$1),$I$1)</f>
        <v>0</v>
      </c>
      <c r="AO19" s="15">
        <f>IFERROR(IF(ISBLANK(AH19),VLOOKUP($G19,Sheet3!$H$2:$O$200,AO$1,FALSE),$I$1),$I$1)</f>
        <v>0</v>
      </c>
      <c r="AP19" s="15">
        <f>IFERROR(IF(ISBLANK(AI19),VLOOKUP($G19,Sheet3!$H$2:$O$200,AP$1,FALSE),$I$1),$I$1)</f>
        <v>0</v>
      </c>
      <c r="AQ19" s="15">
        <f>IFERROR(IF(ISBLANK(AJ19),VLOOKUP($G19,Sheet3!$H$2:$O$200,AQ$1,FALSE),$I$1),$I$1)</f>
        <v>0</v>
      </c>
      <c r="AR19" s="15">
        <f>IFERROR(IF(ISBLANK(AK19),VLOOKUP($G19,Sheet3!$H$2:$O$200,AR$1,FALSE),$I$1),$I$1)</f>
        <v>0</v>
      </c>
      <c r="AS19" s="15">
        <f t="shared" si="1"/>
        <v>28</v>
      </c>
      <c r="AT19" s="15" t="b">
        <f t="shared" si="2"/>
        <v>0</v>
      </c>
    </row>
    <row r="20" spans="1:46" x14ac:dyDescent="0.2">
      <c r="A20" s="19" t="s">
        <v>83</v>
      </c>
      <c r="B20" s="19" t="s">
        <v>65</v>
      </c>
      <c r="C20" s="19" t="s">
        <v>84</v>
      </c>
      <c r="D20" s="19"/>
      <c r="E20" s="19"/>
      <c r="F20" s="19"/>
      <c r="G20" s="19"/>
      <c r="H20" s="19" t="s">
        <v>83</v>
      </c>
      <c r="I20" s="15">
        <f t="shared" si="0"/>
        <v>1</v>
      </c>
      <c r="J20" s="15">
        <f>IFERROR(VLOOKUP($C20,Sheet3!$H$2:$O$200,J$1,FALSE),IFERROR(VLOOKUP($D20,Sheet3!$H$2:$O$200,J$1,FALSE),VLOOKUP($E20,Sheet3!$H$2:$O$200,J$1,FALSE)))</f>
        <v>0</v>
      </c>
      <c r="K20" s="15" t="str">
        <f>IFERROR(VLOOKUP($C20,Sheet3!$H$2:$O$200,K$1,FALSE),IFERROR(VLOOKUP($D20,Sheet3!$H$2:$O$200,K$1,FALSE),VLOOKUP($E20,Sheet3!$H$2:$O$200,K$1,FALSE)))</f>
        <v>Coca-cola</v>
      </c>
      <c r="L20" s="15">
        <f>IFERROR(VLOOKUP($C20,Sheet3!$H$2:$O$200,L$1,FALSE),IFERROR(VLOOKUP($D20,Sheet3!$H$2:$O$200,L$1,FALSE),VLOOKUP($E20,Sheet3!$H$2:$O$200,L$1,FALSE)))</f>
        <v>0</v>
      </c>
      <c r="M20" s="15">
        <f>IFERROR(VLOOKUP($C20,Sheet3!$H$2:$O$200,M$1,FALSE),IFERROR(VLOOKUP($D20,Sheet3!$H$2:$O$200,M$1,FALSE),VLOOKUP($E20,Sheet3!$H$2:$O$200,M$1,FALSE)))</f>
        <v>0</v>
      </c>
      <c r="N20" s="15">
        <f>IFERROR(VLOOKUP($C20,Sheet3!$H$2:$O$200,N$1,FALSE),IFERROR(VLOOKUP($D20,Sheet3!$H$2:$O$200,N$1,FALSE),VLOOKUP($E20,Sheet3!$H$2:$O$200,N$1,FALSE)))</f>
        <v>0</v>
      </c>
      <c r="O20" s="15">
        <f>IFERROR(VLOOKUP($C20,Sheet3!$H$2:$O$200,O$1,FALSE),IFERROR(VLOOKUP($D20,Sheet3!$H$2:$O$200,O$1,FALSE),VLOOKUP($E20,Sheet3!$H$2:$O$200,O$1,FALSE)))</f>
        <v>0</v>
      </c>
      <c r="P20" s="15">
        <f>IFERROR(VLOOKUP($C20,Sheet3!$H$2:$O$200,P$1,FALSE),IFERROR(VLOOKUP($D20,Sheet3!$H$2:$O$200,P$1,FALSE),VLOOKUP($E20,Sheet3!$H$2:$O$200,P$1,FALSE)))</f>
        <v>0</v>
      </c>
      <c r="Q20" s="15">
        <f>IFERROR(IF(ISBLANK(J20),IFERROR(VLOOKUP($D20,Sheet3!$H$2:$O$200,Q$1,FALSE),IFERROR(VLOOKUP($E20,Sheet3!$H$2:$O$200,Q$1,FALSE),VLOOKUP($F20,Sheet3!$H$2:$O$200,Q$1,FALSE))),$I$1),$I$1)</f>
        <v>0</v>
      </c>
      <c r="R20" s="15">
        <f>IFERROR(IF(ISBLANK(K20),IFERROR(VLOOKUP($D20,Sheet3!$H$2:$O$200,R$1,FALSE),IFERROR(VLOOKUP($E20,Sheet3!$H$2:$O$200,R$1,FALSE),VLOOKUP($F20,Sheet3!$H$2:$O$200,R$1,FALSE))),$I$1),$I$1)</f>
        <v>0</v>
      </c>
      <c r="S20" s="15">
        <f>IFERROR(IF(ISBLANK(L20),IFERROR(VLOOKUP($D20,Sheet3!$H$2:$O$200,S$1,FALSE),IFERROR(VLOOKUP($E20,Sheet3!$H$2:$O$200,S$1,FALSE),VLOOKUP($F20,Sheet3!$H$2:$O$200,S$1,FALSE))),$I$1),$I$1)</f>
        <v>0</v>
      </c>
      <c r="T20" s="15">
        <f>IFERROR(IF(ISBLANK(M20),IFERROR(VLOOKUP($D20,Sheet3!$H$2:$O$200,T$1,FALSE),IFERROR(VLOOKUP($E20,Sheet3!$H$2:$O$200,T$1,FALSE),VLOOKUP($F20,Sheet3!$H$2:$O$200,T$1,FALSE))),$I$1),$I$1)</f>
        <v>0</v>
      </c>
      <c r="U20" s="15">
        <f>IFERROR(IF(ISBLANK(N20),IFERROR(VLOOKUP($D20,Sheet3!$H$2:$O$200,U$1,FALSE),IFERROR(VLOOKUP($E20,Sheet3!$H$2:$O$200,U$1,FALSE),VLOOKUP($F20,Sheet3!$H$2:$O$200,U$1,FALSE))),$I$1),$I$1)</f>
        <v>0</v>
      </c>
      <c r="V20" s="15">
        <f>IFERROR(IF(ISBLANK(O20),IFERROR(VLOOKUP($D20,Sheet3!$H$2:$O$200,V$1,FALSE),IFERROR(VLOOKUP($E20,Sheet3!$H$2:$O$200,V$1,FALSE),VLOOKUP($F20,Sheet3!$H$2:$O$200,V$1,FALSE))),$I$1),$I$1)</f>
        <v>0</v>
      </c>
      <c r="W20" s="15">
        <f>IFERROR(IF(ISBLANK(P20),IFERROR(VLOOKUP($D20,Sheet3!$H$2:$O$200,W$1,FALSE),IFERROR(VLOOKUP($E20,Sheet3!$H$2:$O$200,W$1,FALSE),VLOOKUP($F20,Sheet3!$H$2:$O$200,W$1,FALSE))),$I$1),$I$1)</f>
        <v>0</v>
      </c>
      <c r="X20" s="15">
        <f>IFERROR(IF(ISBLANK(Q20),IFERROR(VLOOKUP($E20,Sheet3!$H$2:$O$200,X$1,FALSE),IFERROR(VLOOKUP($F20,Sheet3!$H$2:$O$200,X$1,FALSE),VLOOKUP($G20,Sheet3!$H$2:$O$200,X$1,FALSE))),$I$1),$I$1)</f>
        <v>0</v>
      </c>
      <c r="Y20" s="15">
        <f>IFERROR(IF(ISBLANK(R20),IFERROR(VLOOKUP($E20,Sheet3!$H$2:$O$200,Y$1,FALSE),IFERROR(VLOOKUP($F20,Sheet3!$H$2:$O$200,Y$1,FALSE),VLOOKUP($G20,Sheet3!$H$2:$O$200,Y$1,FALSE))),$I$1),$I$1)</f>
        <v>0</v>
      </c>
      <c r="Z20" s="15">
        <f>IFERROR(IF(ISBLANK(S20),IFERROR(VLOOKUP($E20,Sheet3!$H$2:$O$200,Z$1,FALSE),IFERROR(VLOOKUP($F20,Sheet3!$H$2:$O$200,Z$1,FALSE),VLOOKUP($G20,Sheet3!$H$2:$O$200,Z$1,FALSE))),$I$1),$I$1)</f>
        <v>0</v>
      </c>
      <c r="AA20" s="15">
        <f>IFERROR(IF(ISBLANK(T20),IFERROR(VLOOKUP($E20,Sheet3!$H$2:$O$200,AA$1,FALSE),IFERROR(VLOOKUP($F20,Sheet3!$H$2:$O$200,AA$1,FALSE),VLOOKUP($G20,Sheet3!$H$2:$O$200,AA$1,FALSE))),$I$1),$I$1)</f>
        <v>0</v>
      </c>
      <c r="AB20" s="15">
        <f>IFERROR(IF(ISBLANK(U20),IFERROR(VLOOKUP($E20,Sheet3!$H$2:$O$200,AB$1,FALSE),IFERROR(VLOOKUP($F20,Sheet3!$H$2:$O$200,AB$1,FALSE),VLOOKUP($G20,Sheet3!$H$2:$O$200,AB$1,FALSE))),$I$1),$I$1)</f>
        <v>0</v>
      </c>
      <c r="AC20" s="15">
        <f>IFERROR(IF(ISBLANK(V20),IFERROR(VLOOKUP($E20,Sheet3!$H$2:$O$200,AC$1,FALSE),IFERROR(VLOOKUP($F20,Sheet3!$H$2:$O$200,AC$1,FALSE),VLOOKUP($G20,Sheet3!$H$2:$O$200,AC$1,FALSE))),$I$1),$I$1)</f>
        <v>0</v>
      </c>
      <c r="AD20" s="15">
        <f>IFERROR(IF(ISBLANK(W20),IFERROR(VLOOKUP($E20,Sheet3!$H$2:$O$200,AD$1,FALSE),IFERROR(VLOOKUP($F20,Sheet3!$H$2:$O$200,AD$1,FALSE),VLOOKUP($G20,Sheet3!$H$2:$O$200,AD$1,FALSE))),$I$1),$I$1)</f>
        <v>0</v>
      </c>
      <c r="AE20" s="15">
        <f>IFERROR(IF(ISBLANK(X20),IFERROR(VLOOKUP($F20,Sheet3!$H$2:$O$200,AE$1,FALSE),VLOOKUP($G20,Sheet3!$H$2:$O$200,AE$1,FALSE)),$I$1),$I$1)</f>
        <v>0</v>
      </c>
      <c r="AF20" s="15">
        <f>IFERROR(IF(ISBLANK(Y20),IFERROR(VLOOKUP($F20,Sheet3!$H$2:$O$200,AF$1,FALSE),VLOOKUP($G20,Sheet3!$H$2:$O$200,AF$1,FALSE)),$I$1),$I$1)</f>
        <v>0</v>
      </c>
      <c r="AG20" s="15">
        <f>IFERROR(IF(ISBLANK(Z20),IFERROR(VLOOKUP($F20,Sheet3!$H$2:$O$200,AG$1,FALSE),VLOOKUP($G20,Sheet3!$H$2:$O$200,AG$1,FALSE)),$I$1),$I$1)</f>
        <v>0</v>
      </c>
      <c r="AH20" s="15">
        <f>IFERROR(IF(ISBLANK(AA20),IFERROR(VLOOKUP($F20,Sheet3!$H$2:$O$200,AH$1,FALSE),VLOOKUP($G20,Sheet3!$H$2:$O$200,AH$1,FALSE)),$I$1),$I$1)</f>
        <v>0</v>
      </c>
      <c r="AI20" s="15">
        <f>IFERROR(IF(ISBLANK(AB20),IFERROR(VLOOKUP($F20,Sheet3!$H$2:$O$200,AI$1,FALSE),VLOOKUP($G20,Sheet3!$H$2:$O$200,AI$1,FALSE)),$I$1),$I$1)</f>
        <v>0</v>
      </c>
      <c r="AJ20" s="15">
        <f>IFERROR(IF(ISBLANK(AC20),IFERROR(VLOOKUP($F20,Sheet3!$H$2:$O$200,AJ$1,FALSE),VLOOKUP($G20,Sheet3!$H$2:$O$200,AJ$1,FALSE)),$I$1),$I$1)</f>
        <v>0</v>
      </c>
      <c r="AK20" s="15">
        <f>IFERROR(IF(ISBLANK(AD20),IFERROR(VLOOKUP($F20,Sheet3!$H$2:$O$200,AK$1,FALSE),VLOOKUP($G20,Sheet3!$H$2:$O$200,AK$1,FALSE)),$I$1),$I$1)</f>
        <v>0</v>
      </c>
      <c r="AL20" s="15">
        <f>IFERROR(IF(ISBLANK(AE20),VLOOKUP($G20,Sheet3!$H$2:$O$200,AL$1,FALSE),$I$1),$I$1)</f>
        <v>0</v>
      </c>
      <c r="AM20" s="15">
        <f>IFERROR(IF(ISBLANK(AF20),VLOOKUP($G20,Sheet3!$H$2:$O$200,AM$1,FALSE),$I$1),$I$1)</f>
        <v>0</v>
      </c>
      <c r="AN20" s="15">
        <f>IFERROR(IF(ISBLANK(AG20),VLOOKUP($G20,Sheet3!$H$2:$O$200,AN$1,FALSE),$I$1),$I$1)</f>
        <v>0</v>
      </c>
      <c r="AO20" s="15">
        <f>IFERROR(IF(ISBLANK(AH20),VLOOKUP($G20,Sheet3!$H$2:$O$200,AO$1,FALSE),$I$1),$I$1)</f>
        <v>0</v>
      </c>
      <c r="AP20" s="15">
        <f>IFERROR(IF(ISBLANK(AI20),VLOOKUP($G20,Sheet3!$H$2:$O$200,AP$1,FALSE),$I$1),$I$1)</f>
        <v>0</v>
      </c>
      <c r="AQ20" s="15">
        <f>IFERROR(IF(ISBLANK(AJ20),VLOOKUP($G20,Sheet3!$H$2:$O$200,AQ$1,FALSE),$I$1),$I$1)</f>
        <v>0</v>
      </c>
      <c r="AR20" s="15">
        <f>IFERROR(IF(ISBLANK(AK20),VLOOKUP($G20,Sheet3!$H$2:$O$200,AR$1,FALSE),$I$1),$I$1)</f>
        <v>0</v>
      </c>
      <c r="AS20" s="15">
        <f t="shared" si="1"/>
        <v>28</v>
      </c>
      <c r="AT20" s="15" t="b">
        <f t="shared" si="2"/>
        <v>0</v>
      </c>
    </row>
    <row r="21" spans="1:46" x14ac:dyDescent="0.2">
      <c r="A21" s="19" t="s">
        <v>85</v>
      </c>
      <c r="B21" s="19" t="s">
        <v>65</v>
      </c>
      <c r="C21" s="19"/>
      <c r="D21" s="19" t="s">
        <v>38</v>
      </c>
      <c r="E21" s="19" t="s">
        <v>86</v>
      </c>
      <c r="F21" s="19"/>
      <c r="G21" s="19"/>
      <c r="H21" s="19" t="s">
        <v>85</v>
      </c>
      <c r="I21" s="15">
        <f t="shared" si="0"/>
        <v>2</v>
      </c>
      <c r="J21" s="15">
        <f>IFERROR(VLOOKUP($C21,Sheet3!$H$2:$O$200,J$1,FALSE),IFERROR(VLOOKUP($D21,Sheet3!$H$2:$O$200,J$1,FALSE),VLOOKUP($E21,Sheet3!$H$2:$O$200,J$1,FALSE)))</f>
        <v>0</v>
      </c>
      <c r="K21" s="15">
        <f>IFERROR(VLOOKUP($C21,Sheet3!$H$2:$O$200,K$1,FALSE),IFERROR(VLOOKUP($D21,Sheet3!$H$2:$O$200,K$1,FALSE),VLOOKUP($E21,Sheet3!$H$2:$O$200,K$1,FALSE)))</f>
        <v>0</v>
      </c>
      <c r="L21" s="15" t="str">
        <f>IFERROR(VLOOKUP($C21,Sheet3!$H$2:$O$200,L$1,FALSE),IFERROR(VLOOKUP($D21,Sheet3!$H$2:$O$200,L$1,FALSE),VLOOKUP($E21,Sheet3!$H$2:$O$200,L$1,FALSE)))</f>
        <v>lemon juice</v>
      </c>
      <c r="M21" s="15">
        <f>IFERROR(VLOOKUP($C21,Sheet3!$H$2:$O$200,M$1,FALSE),IFERROR(VLOOKUP($D21,Sheet3!$H$2:$O$200,M$1,FALSE),VLOOKUP($E21,Sheet3!$H$2:$O$200,M$1,FALSE)))</f>
        <v>0</v>
      </c>
      <c r="N21" s="15">
        <f>IFERROR(VLOOKUP($C21,Sheet3!$H$2:$O$200,N$1,FALSE),IFERROR(VLOOKUP($D21,Sheet3!$H$2:$O$200,N$1,FALSE),VLOOKUP($E21,Sheet3!$H$2:$O$200,N$1,FALSE)))</f>
        <v>0</v>
      </c>
      <c r="O21" s="15">
        <f>IFERROR(VLOOKUP($C21,Sheet3!$H$2:$O$200,O$1,FALSE),IFERROR(VLOOKUP($D21,Sheet3!$H$2:$O$200,O$1,FALSE),VLOOKUP($E21,Sheet3!$H$2:$O$200,O$1,FALSE)))</f>
        <v>0</v>
      </c>
      <c r="P21" s="15">
        <f>IFERROR(VLOOKUP($C21,Sheet3!$H$2:$O$200,P$1,FALSE),IFERROR(VLOOKUP($D21,Sheet3!$H$2:$O$200,P$1,FALSE),VLOOKUP($E21,Sheet3!$H$2:$O$200,P$1,FALSE)))</f>
        <v>0</v>
      </c>
      <c r="Q21" s="15">
        <f>IFERROR(IF(ISBLANK(J21),IFERROR(VLOOKUP($D21,Sheet3!$H$2:$O$200,Q$1,FALSE),IFERROR(VLOOKUP($E21,Sheet3!$H$2:$O$200,Q$1,FALSE),VLOOKUP($F21,Sheet3!$H$2:$O$200,Q$1,FALSE))),$I$1),$I$1)</f>
        <v>0</v>
      </c>
      <c r="R21" s="15">
        <f>IFERROR(IF(ISBLANK(K21),IFERROR(VLOOKUP($D21,Sheet3!$H$2:$O$200,R$1,FALSE),IFERROR(VLOOKUP($E21,Sheet3!$H$2:$O$200,R$1,FALSE),VLOOKUP($F21,Sheet3!$H$2:$O$200,R$1,FALSE))),$I$1),$I$1)</f>
        <v>0</v>
      </c>
      <c r="S21" s="15">
        <f>IFERROR(IF(ISBLANK(L21),IFERROR(VLOOKUP($D21,Sheet3!$H$2:$O$200,S$1,FALSE),IFERROR(VLOOKUP($E21,Sheet3!$H$2:$O$200,S$1,FALSE),VLOOKUP($F21,Sheet3!$H$2:$O$200,S$1,FALSE))),$I$1),$I$1)</f>
        <v>0</v>
      </c>
      <c r="T21" s="15">
        <f>IFERROR(IF(ISBLANK(M21),IFERROR(VLOOKUP($D21,Sheet3!$H$2:$O$200,T$1,FALSE),IFERROR(VLOOKUP($E21,Sheet3!$H$2:$O$200,T$1,FALSE),VLOOKUP($F21,Sheet3!$H$2:$O$200,T$1,FALSE))),$I$1),$I$1)</f>
        <v>0</v>
      </c>
      <c r="U21" s="15">
        <f>IFERROR(IF(ISBLANK(N21),IFERROR(VLOOKUP($D21,Sheet3!$H$2:$O$200,U$1,FALSE),IFERROR(VLOOKUP($E21,Sheet3!$H$2:$O$200,U$1,FALSE),VLOOKUP($F21,Sheet3!$H$2:$O$200,U$1,FALSE))),$I$1),$I$1)</f>
        <v>0</v>
      </c>
      <c r="V21" s="15">
        <f>IFERROR(IF(ISBLANK(O21),IFERROR(VLOOKUP($D21,Sheet3!$H$2:$O$200,V$1,FALSE),IFERROR(VLOOKUP($E21,Sheet3!$H$2:$O$200,V$1,FALSE),VLOOKUP($F21,Sheet3!$H$2:$O$200,V$1,FALSE))),$I$1),$I$1)</f>
        <v>0</v>
      </c>
      <c r="W21" s="15">
        <f>IFERROR(IF(ISBLANK(P21),IFERROR(VLOOKUP($D21,Sheet3!$H$2:$O$200,W$1,FALSE),IFERROR(VLOOKUP($E21,Sheet3!$H$2:$O$200,W$1,FALSE),VLOOKUP($F21,Sheet3!$H$2:$O$200,W$1,FALSE))),$I$1),$I$1)</f>
        <v>0</v>
      </c>
      <c r="X21" s="15">
        <f>IFERROR(IF(ISBLANK(Q21),IFERROR(VLOOKUP($E21,Sheet3!$H$2:$O$200,X$1,FALSE),IFERROR(VLOOKUP($F21,Sheet3!$H$2:$O$200,X$1,FALSE),VLOOKUP($G21,Sheet3!$H$2:$O$200,X$1,FALSE))),$I$1),$I$1)</f>
        <v>0</v>
      </c>
      <c r="Y21" s="15">
        <f>IFERROR(IF(ISBLANK(R21),IFERROR(VLOOKUP($E21,Sheet3!$H$2:$O$200,Y$1,FALSE),IFERROR(VLOOKUP($F21,Sheet3!$H$2:$O$200,Y$1,FALSE),VLOOKUP($G21,Sheet3!$H$2:$O$200,Y$1,FALSE))),$I$1),$I$1)</f>
        <v>0</v>
      </c>
      <c r="Z21" s="15">
        <f>IFERROR(IF(ISBLANK(S21),IFERROR(VLOOKUP($E21,Sheet3!$H$2:$O$200,Z$1,FALSE),IFERROR(VLOOKUP($F21,Sheet3!$H$2:$O$200,Z$1,FALSE),VLOOKUP($G21,Sheet3!$H$2:$O$200,Z$1,FALSE))),$I$1),$I$1)</f>
        <v>0</v>
      </c>
      <c r="AA21" s="15">
        <f>IFERROR(IF(ISBLANK(T21),IFERROR(VLOOKUP($E21,Sheet3!$H$2:$O$200,AA$1,FALSE),IFERROR(VLOOKUP($F21,Sheet3!$H$2:$O$200,AA$1,FALSE),VLOOKUP($G21,Sheet3!$H$2:$O$200,AA$1,FALSE))),$I$1),$I$1)</f>
        <v>0</v>
      </c>
      <c r="AB21" s="15">
        <f>IFERROR(IF(ISBLANK(U21),IFERROR(VLOOKUP($E21,Sheet3!$H$2:$O$200,AB$1,FALSE),IFERROR(VLOOKUP($F21,Sheet3!$H$2:$O$200,AB$1,FALSE),VLOOKUP($G21,Sheet3!$H$2:$O$200,AB$1,FALSE))),$I$1),$I$1)</f>
        <v>0</v>
      </c>
      <c r="AC21" s="15">
        <f>IFERROR(IF(ISBLANK(V21),IFERROR(VLOOKUP($E21,Sheet3!$H$2:$O$200,AC$1,FALSE),IFERROR(VLOOKUP($F21,Sheet3!$H$2:$O$200,AC$1,FALSE),VLOOKUP($G21,Sheet3!$H$2:$O$200,AC$1,FALSE))),$I$1),$I$1)</f>
        <v>0</v>
      </c>
      <c r="AD21" s="15">
        <f>IFERROR(IF(ISBLANK(W21),IFERROR(VLOOKUP($E21,Sheet3!$H$2:$O$200,AD$1,FALSE),IFERROR(VLOOKUP($F21,Sheet3!$H$2:$O$200,AD$1,FALSE),VLOOKUP($G21,Sheet3!$H$2:$O$200,AD$1,FALSE))),$I$1),$I$1)</f>
        <v>0</v>
      </c>
      <c r="AE21" s="15">
        <f>IFERROR(IF(ISBLANK(X21),IFERROR(VLOOKUP($F21,Sheet3!$H$2:$O$200,AE$1,FALSE),VLOOKUP($G21,Sheet3!$H$2:$O$200,AE$1,FALSE)),$I$1),$I$1)</f>
        <v>0</v>
      </c>
      <c r="AF21" s="15">
        <f>IFERROR(IF(ISBLANK(Y21),IFERROR(VLOOKUP($F21,Sheet3!$H$2:$O$200,AF$1,FALSE),VLOOKUP($G21,Sheet3!$H$2:$O$200,AF$1,FALSE)),$I$1),$I$1)</f>
        <v>0</v>
      </c>
      <c r="AG21" s="15">
        <f>IFERROR(IF(ISBLANK(Z21),IFERROR(VLOOKUP($F21,Sheet3!$H$2:$O$200,AG$1,FALSE),VLOOKUP($G21,Sheet3!$H$2:$O$200,AG$1,FALSE)),$I$1),$I$1)</f>
        <v>0</v>
      </c>
      <c r="AH21" s="15">
        <f>IFERROR(IF(ISBLANK(AA21),IFERROR(VLOOKUP($F21,Sheet3!$H$2:$O$200,AH$1,FALSE),VLOOKUP($G21,Sheet3!$H$2:$O$200,AH$1,FALSE)),$I$1),$I$1)</f>
        <v>0</v>
      </c>
      <c r="AI21" s="15">
        <f>IFERROR(IF(ISBLANK(AB21),IFERROR(VLOOKUP($F21,Sheet3!$H$2:$O$200,AI$1,FALSE),VLOOKUP($G21,Sheet3!$H$2:$O$200,AI$1,FALSE)),$I$1),$I$1)</f>
        <v>0</v>
      </c>
      <c r="AJ21" s="15">
        <f>IFERROR(IF(ISBLANK(AC21),IFERROR(VLOOKUP($F21,Sheet3!$H$2:$O$200,AJ$1,FALSE),VLOOKUP($G21,Sheet3!$H$2:$O$200,AJ$1,FALSE)),$I$1),$I$1)</f>
        <v>0</v>
      </c>
      <c r="AK21" s="15">
        <f>IFERROR(IF(ISBLANK(AD21),IFERROR(VLOOKUP($F21,Sheet3!$H$2:$O$200,AK$1,FALSE),VLOOKUP($G21,Sheet3!$H$2:$O$200,AK$1,FALSE)),$I$1),$I$1)</f>
        <v>0</v>
      </c>
      <c r="AL21" s="15">
        <f>IFERROR(IF(ISBLANK(AE21),VLOOKUP($G21,Sheet3!$H$2:$O$200,AL$1,FALSE),$I$1),$I$1)</f>
        <v>0</v>
      </c>
      <c r="AM21" s="15">
        <f>IFERROR(IF(ISBLANK(AF21),VLOOKUP($G21,Sheet3!$H$2:$O$200,AM$1,FALSE),$I$1),$I$1)</f>
        <v>0</v>
      </c>
      <c r="AN21" s="15">
        <f>IFERROR(IF(ISBLANK(AG21),VLOOKUP($G21,Sheet3!$H$2:$O$200,AN$1,FALSE),$I$1),$I$1)</f>
        <v>0</v>
      </c>
      <c r="AO21" s="15">
        <f>IFERROR(IF(ISBLANK(AH21),VLOOKUP($G21,Sheet3!$H$2:$O$200,AO$1,FALSE),$I$1),$I$1)</f>
        <v>0</v>
      </c>
      <c r="AP21" s="15">
        <f>IFERROR(IF(ISBLANK(AI21),VLOOKUP($G21,Sheet3!$H$2:$O$200,AP$1,FALSE),$I$1),$I$1)</f>
        <v>0</v>
      </c>
      <c r="AQ21" s="15">
        <f>IFERROR(IF(ISBLANK(AJ21),VLOOKUP($G21,Sheet3!$H$2:$O$200,AQ$1,FALSE),$I$1),$I$1)</f>
        <v>0</v>
      </c>
      <c r="AR21" s="15">
        <f>IFERROR(IF(ISBLANK(AK21),VLOOKUP($G21,Sheet3!$H$2:$O$200,AR$1,FALSE),$I$1),$I$1)</f>
        <v>0</v>
      </c>
      <c r="AS21" s="15">
        <f t="shared" si="1"/>
        <v>28</v>
      </c>
      <c r="AT21" s="15" t="b">
        <f t="shared" si="2"/>
        <v>0</v>
      </c>
    </row>
    <row r="22" spans="1:46" x14ac:dyDescent="0.2">
      <c r="A22" s="19" t="s">
        <v>87</v>
      </c>
      <c r="B22" s="19" t="s">
        <v>65</v>
      </c>
      <c r="C22" s="19"/>
      <c r="D22" s="19" t="s">
        <v>38</v>
      </c>
      <c r="E22" s="19" t="s">
        <v>88</v>
      </c>
      <c r="F22" s="19" t="s">
        <v>52</v>
      </c>
      <c r="G22" s="19"/>
      <c r="H22" s="19" t="s">
        <v>87</v>
      </c>
      <c r="I22" s="15">
        <f t="shared" si="0"/>
        <v>3</v>
      </c>
      <c r="J22" s="15">
        <f>IFERROR(VLOOKUP($C22,Sheet3!$H$2:$O$200,J$1,FALSE),IFERROR(VLOOKUP($D22,Sheet3!$H$2:$O$200,J$1,FALSE),VLOOKUP($E22,Sheet3!$H$2:$O$200,J$1,FALSE)))</f>
        <v>0</v>
      </c>
      <c r="K22" s="15">
        <f>IFERROR(VLOOKUP($C22,Sheet3!$H$2:$O$200,K$1,FALSE),IFERROR(VLOOKUP($D22,Sheet3!$H$2:$O$200,K$1,FALSE),VLOOKUP($E22,Sheet3!$H$2:$O$200,K$1,FALSE)))</f>
        <v>0</v>
      </c>
      <c r="L22" s="15" t="str">
        <f>IFERROR(VLOOKUP($C22,Sheet3!$H$2:$O$200,L$1,FALSE),IFERROR(VLOOKUP($D22,Sheet3!$H$2:$O$200,L$1,FALSE),VLOOKUP($E22,Sheet3!$H$2:$O$200,L$1,FALSE)))</f>
        <v>lemon juice</v>
      </c>
      <c r="M22" s="15">
        <f>IFERROR(VLOOKUP($C22,Sheet3!$H$2:$O$200,M$1,FALSE),IFERROR(VLOOKUP($D22,Sheet3!$H$2:$O$200,M$1,FALSE),VLOOKUP($E22,Sheet3!$H$2:$O$200,M$1,FALSE)))</f>
        <v>0</v>
      </c>
      <c r="N22" s="15">
        <f>IFERROR(VLOOKUP($C22,Sheet3!$H$2:$O$200,N$1,FALSE),IFERROR(VLOOKUP($D22,Sheet3!$H$2:$O$200,N$1,FALSE),VLOOKUP($E22,Sheet3!$H$2:$O$200,N$1,FALSE)))</f>
        <v>0</v>
      </c>
      <c r="O22" s="15">
        <f>IFERROR(VLOOKUP($C22,Sheet3!$H$2:$O$200,O$1,FALSE),IFERROR(VLOOKUP($D22,Sheet3!$H$2:$O$200,O$1,FALSE),VLOOKUP($E22,Sheet3!$H$2:$O$200,O$1,FALSE)))</f>
        <v>0</v>
      </c>
      <c r="P22" s="15">
        <f>IFERROR(VLOOKUP($C22,Sheet3!$H$2:$O$200,P$1,FALSE),IFERROR(VLOOKUP($D22,Sheet3!$H$2:$O$200,P$1,FALSE),VLOOKUP($E22,Sheet3!$H$2:$O$200,P$1,FALSE)))</f>
        <v>0</v>
      </c>
      <c r="Q22" s="15">
        <f>IFERROR(IF(ISBLANK(J22),IFERROR(VLOOKUP($D22,Sheet3!$H$2:$O$200,Q$1,FALSE),IFERROR(VLOOKUP($E22,Sheet3!$H$2:$O$200,Q$1,FALSE),VLOOKUP($F22,Sheet3!$H$2:$O$200,Q$1,FALSE))),$I$1),$I$1)</f>
        <v>0</v>
      </c>
      <c r="R22" s="15">
        <f>IFERROR(IF(ISBLANK(K22),IFERROR(VLOOKUP($D22,Sheet3!$H$2:$O$200,R$1,FALSE),IFERROR(VLOOKUP($E22,Sheet3!$H$2:$O$200,R$1,FALSE),VLOOKUP($F22,Sheet3!$H$2:$O$200,R$1,FALSE))),$I$1),$I$1)</f>
        <v>0</v>
      </c>
      <c r="S22" s="15">
        <f>IFERROR(IF(ISBLANK(L22),IFERROR(VLOOKUP($D22,Sheet3!$H$2:$O$200,S$1,FALSE),IFERROR(VLOOKUP($E22,Sheet3!$H$2:$O$200,S$1,FALSE),VLOOKUP($F22,Sheet3!$H$2:$O$200,S$1,FALSE))),$I$1),$I$1)</f>
        <v>0</v>
      </c>
      <c r="T22" s="15">
        <f>IFERROR(IF(ISBLANK(M22),IFERROR(VLOOKUP($D22,Sheet3!$H$2:$O$200,T$1,FALSE),IFERROR(VLOOKUP($E22,Sheet3!$H$2:$O$200,T$1,FALSE),VLOOKUP($F22,Sheet3!$H$2:$O$200,T$1,FALSE))),$I$1),$I$1)</f>
        <v>0</v>
      </c>
      <c r="U22" s="15">
        <f>IFERROR(IF(ISBLANK(N22),IFERROR(VLOOKUP($D22,Sheet3!$H$2:$O$200,U$1,FALSE),IFERROR(VLOOKUP($E22,Sheet3!$H$2:$O$200,U$1,FALSE),VLOOKUP($F22,Sheet3!$H$2:$O$200,U$1,FALSE))),$I$1),$I$1)</f>
        <v>0</v>
      </c>
      <c r="V22" s="15">
        <f>IFERROR(IF(ISBLANK(O22),IFERROR(VLOOKUP($D22,Sheet3!$H$2:$O$200,V$1,FALSE),IFERROR(VLOOKUP($E22,Sheet3!$H$2:$O$200,V$1,FALSE),VLOOKUP($F22,Sheet3!$H$2:$O$200,V$1,FALSE))),$I$1),$I$1)</f>
        <v>0</v>
      </c>
      <c r="W22" s="15">
        <f>IFERROR(IF(ISBLANK(P22),IFERROR(VLOOKUP($D22,Sheet3!$H$2:$O$200,W$1,FALSE),IFERROR(VLOOKUP($E22,Sheet3!$H$2:$O$200,W$1,FALSE),VLOOKUP($F22,Sheet3!$H$2:$O$200,W$1,FALSE))),$I$1),$I$1)</f>
        <v>0</v>
      </c>
      <c r="X22" s="15">
        <f>IFERROR(IF(ISBLANK(Q22),IFERROR(VLOOKUP($E22,Sheet3!$H$2:$O$200,X$1,FALSE),IFERROR(VLOOKUP($F22,Sheet3!$H$2:$O$200,X$1,FALSE),VLOOKUP($G22,Sheet3!$H$2:$O$200,X$1,FALSE))),$I$1),$I$1)</f>
        <v>0</v>
      </c>
      <c r="Y22" s="15">
        <f>IFERROR(IF(ISBLANK(R22),IFERROR(VLOOKUP($E22,Sheet3!$H$2:$O$200,Y$1,FALSE),IFERROR(VLOOKUP($F22,Sheet3!$H$2:$O$200,Y$1,FALSE),VLOOKUP($G22,Sheet3!$H$2:$O$200,Y$1,FALSE))),$I$1),$I$1)</f>
        <v>0</v>
      </c>
      <c r="Z22" s="15">
        <f>IFERROR(IF(ISBLANK(S22),IFERROR(VLOOKUP($E22,Sheet3!$H$2:$O$200,Z$1,FALSE),IFERROR(VLOOKUP($F22,Sheet3!$H$2:$O$200,Z$1,FALSE),VLOOKUP($G22,Sheet3!$H$2:$O$200,Z$1,FALSE))),$I$1),$I$1)</f>
        <v>0</v>
      </c>
      <c r="AA22" s="15">
        <f>IFERROR(IF(ISBLANK(T22),IFERROR(VLOOKUP($E22,Sheet3!$H$2:$O$200,AA$1,FALSE),IFERROR(VLOOKUP($F22,Sheet3!$H$2:$O$200,AA$1,FALSE),VLOOKUP($G22,Sheet3!$H$2:$O$200,AA$1,FALSE))),$I$1),$I$1)</f>
        <v>0</v>
      </c>
      <c r="AB22" s="15">
        <f>IFERROR(IF(ISBLANK(U22),IFERROR(VLOOKUP($E22,Sheet3!$H$2:$O$200,AB$1,FALSE),IFERROR(VLOOKUP($F22,Sheet3!$H$2:$O$200,AB$1,FALSE),VLOOKUP($G22,Sheet3!$H$2:$O$200,AB$1,FALSE))),$I$1),$I$1)</f>
        <v>0</v>
      </c>
      <c r="AC22" s="15">
        <f>IFERROR(IF(ISBLANK(V22),IFERROR(VLOOKUP($E22,Sheet3!$H$2:$O$200,AC$1,FALSE),IFERROR(VLOOKUP($F22,Sheet3!$H$2:$O$200,AC$1,FALSE),VLOOKUP($G22,Sheet3!$H$2:$O$200,AC$1,FALSE))),$I$1),$I$1)</f>
        <v>0</v>
      </c>
      <c r="AD22" s="15">
        <f>IFERROR(IF(ISBLANK(W22),IFERROR(VLOOKUP($E22,Sheet3!$H$2:$O$200,AD$1,FALSE),IFERROR(VLOOKUP($F22,Sheet3!$H$2:$O$200,AD$1,FALSE),VLOOKUP($G22,Sheet3!$H$2:$O$200,AD$1,FALSE))),$I$1),$I$1)</f>
        <v>0</v>
      </c>
      <c r="AE22" s="15">
        <f>IFERROR(IF(ISBLANK(X22),IFERROR(VLOOKUP($F22,Sheet3!$H$2:$O$200,AE$1,FALSE),VLOOKUP($G22,Sheet3!$H$2:$O$200,AE$1,FALSE)),$I$1),$I$1)</f>
        <v>0</v>
      </c>
      <c r="AF22" s="15">
        <f>IFERROR(IF(ISBLANK(Y22),IFERROR(VLOOKUP($F22,Sheet3!$H$2:$O$200,AF$1,FALSE),VLOOKUP($G22,Sheet3!$H$2:$O$200,AF$1,FALSE)),$I$1),$I$1)</f>
        <v>0</v>
      </c>
      <c r="AG22" s="15">
        <f>IFERROR(IF(ISBLANK(Z22),IFERROR(VLOOKUP($F22,Sheet3!$H$2:$O$200,AG$1,FALSE),VLOOKUP($G22,Sheet3!$H$2:$O$200,AG$1,FALSE)),$I$1),$I$1)</f>
        <v>0</v>
      </c>
      <c r="AH22" s="15">
        <f>IFERROR(IF(ISBLANK(AA22),IFERROR(VLOOKUP($F22,Sheet3!$H$2:$O$200,AH$1,FALSE),VLOOKUP($G22,Sheet3!$H$2:$O$200,AH$1,FALSE)),$I$1),$I$1)</f>
        <v>0</v>
      </c>
      <c r="AI22" s="15">
        <f>IFERROR(IF(ISBLANK(AB22),IFERROR(VLOOKUP($F22,Sheet3!$H$2:$O$200,AI$1,FALSE),VLOOKUP($G22,Sheet3!$H$2:$O$200,AI$1,FALSE)),$I$1),$I$1)</f>
        <v>0</v>
      </c>
      <c r="AJ22" s="15">
        <f>IFERROR(IF(ISBLANK(AC22),IFERROR(VLOOKUP($F22,Sheet3!$H$2:$O$200,AJ$1,FALSE),VLOOKUP($G22,Sheet3!$H$2:$O$200,AJ$1,FALSE)),$I$1),$I$1)</f>
        <v>0</v>
      </c>
      <c r="AK22" s="15">
        <f>IFERROR(IF(ISBLANK(AD22),IFERROR(VLOOKUP($F22,Sheet3!$H$2:$O$200,AK$1,FALSE),VLOOKUP($G22,Sheet3!$H$2:$O$200,AK$1,FALSE)),$I$1),$I$1)</f>
        <v>0</v>
      </c>
      <c r="AL22" s="15">
        <f>IFERROR(IF(ISBLANK(AE22),VLOOKUP($G22,Sheet3!$H$2:$O$200,AL$1,FALSE),$I$1),$I$1)</f>
        <v>0</v>
      </c>
      <c r="AM22" s="15">
        <f>IFERROR(IF(ISBLANK(AF22),VLOOKUP($G22,Sheet3!$H$2:$O$200,AM$1,FALSE),$I$1),$I$1)</f>
        <v>0</v>
      </c>
      <c r="AN22" s="15">
        <f>IFERROR(IF(ISBLANK(AG22),VLOOKUP($G22,Sheet3!$H$2:$O$200,AN$1,FALSE),$I$1),$I$1)</f>
        <v>0</v>
      </c>
      <c r="AO22" s="15">
        <f>IFERROR(IF(ISBLANK(AH22),VLOOKUP($G22,Sheet3!$H$2:$O$200,AO$1,FALSE),$I$1),$I$1)</f>
        <v>0</v>
      </c>
      <c r="AP22" s="15">
        <f>IFERROR(IF(ISBLANK(AI22),VLOOKUP($G22,Sheet3!$H$2:$O$200,AP$1,FALSE),$I$1),$I$1)</f>
        <v>0</v>
      </c>
      <c r="AQ22" s="15">
        <f>IFERROR(IF(ISBLANK(AJ22),VLOOKUP($G22,Sheet3!$H$2:$O$200,AQ$1,FALSE),$I$1),$I$1)</f>
        <v>0</v>
      </c>
      <c r="AR22" s="15">
        <f>IFERROR(IF(ISBLANK(AK22),VLOOKUP($G22,Sheet3!$H$2:$O$200,AR$1,FALSE),$I$1),$I$1)</f>
        <v>0</v>
      </c>
      <c r="AS22" s="15">
        <f t="shared" si="1"/>
        <v>28</v>
      </c>
      <c r="AT22" s="15" t="b">
        <f t="shared" si="2"/>
        <v>0</v>
      </c>
    </row>
    <row r="23" spans="1:46" x14ac:dyDescent="0.2">
      <c r="A23" s="19" t="s">
        <v>89</v>
      </c>
      <c r="B23" s="19" t="s">
        <v>65</v>
      </c>
      <c r="C23" s="19" t="s">
        <v>30</v>
      </c>
      <c r="D23" s="19" t="s">
        <v>90</v>
      </c>
      <c r="E23" s="19"/>
      <c r="F23" s="19"/>
      <c r="G23" s="19"/>
      <c r="H23" s="19" t="s">
        <v>89</v>
      </c>
      <c r="I23" s="15">
        <f t="shared" si="0"/>
        <v>2</v>
      </c>
      <c r="J23" s="15">
        <f>IFERROR(VLOOKUP($C23,Sheet3!$H$2:$O$200,J$1,FALSE),IFERROR(VLOOKUP($D23,Sheet3!$H$2:$O$200,J$1,FALSE),VLOOKUP($E23,Sheet3!$H$2:$O$200,J$1,FALSE)))</f>
        <v>0</v>
      </c>
      <c r="K23" s="15">
        <f>IFERROR(VLOOKUP($C23,Sheet3!$H$2:$O$200,K$1,FALSE),IFERROR(VLOOKUP($D23,Sheet3!$H$2:$O$200,K$1,FALSE),VLOOKUP($E23,Sheet3!$H$2:$O$200,K$1,FALSE)))</f>
        <v>0</v>
      </c>
      <c r="L23" s="15">
        <f>IFERROR(VLOOKUP($C23,Sheet3!$H$2:$O$200,L$1,FALSE),IFERROR(VLOOKUP($D23,Sheet3!$H$2:$O$200,L$1,FALSE),VLOOKUP($E23,Sheet3!$H$2:$O$200,L$1,FALSE)))</f>
        <v>0</v>
      </c>
      <c r="M23" s="15" t="str">
        <f>IFERROR(VLOOKUP($C23,Sheet3!$H$2:$O$200,M$1,FALSE),IFERROR(VLOOKUP($D23,Sheet3!$H$2:$O$200,M$1,FALSE),VLOOKUP($E23,Sheet3!$H$2:$O$200,M$1,FALSE)))</f>
        <v>amaretto</v>
      </c>
      <c r="N23" s="15">
        <f>IFERROR(VLOOKUP($C23,Sheet3!$H$2:$O$200,N$1,FALSE),IFERROR(VLOOKUP($D23,Sheet3!$H$2:$O$200,N$1,FALSE),VLOOKUP($E23,Sheet3!$H$2:$O$200,N$1,FALSE)))</f>
        <v>0</v>
      </c>
      <c r="O23" s="15">
        <f>IFERROR(VLOOKUP($C23,Sheet3!$H$2:$O$200,O$1,FALSE),IFERROR(VLOOKUP($D23,Sheet3!$H$2:$O$200,O$1,FALSE),VLOOKUP($E23,Sheet3!$H$2:$O$200,O$1,FALSE)))</f>
        <v>0</v>
      </c>
      <c r="P23" s="15">
        <f>IFERROR(VLOOKUP($C23,Sheet3!$H$2:$O$200,P$1,FALSE),IFERROR(VLOOKUP($D23,Sheet3!$H$2:$O$200,P$1,FALSE),VLOOKUP($E23,Sheet3!$H$2:$O$200,P$1,FALSE)))</f>
        <v>0</v>
      </c>
      <c r="Q23" s="15">
        <f>IFERROR(IF(ISBLANK(J23),IFERROR(VLOOKUP($D23,Sheet3!$H$2:$O$200,Q$1,FALSE),IFERROR(VLOOKUP($E23,Sheet3!$H$2:$O$200,Q$1,FALSE),VLOOKUP($F23,Sheet3!$H$2:$O$200,Q$1,FALSE))),$I$1),$I$1)</f>
        <v>0</v>
      </c>
      <c r="R23" s="15">
        <f>IFERROR(IF(ISBLANK(K23),IFERROR(VLOOKUP($D23,Sheet3!$H$2:$O$200,R$1,FALSE),IFERROR(VLOOKUP($E23,Sheet3!$H$2:$O$200,R$1,FALSE),VLOOKUP($F23,Sheet3!$H$2:$O$200,R$1,FALSE))),$I$1),$I$1)</f>
        <v>0</v>
      </c>
      <c r="S23" s="15">
        <f>IFERROR(IF(ISBLANK(L23),IFERROR(VLOOKUP($D23,Sheet3!$H$2:$O$200,S$1,FALSE),IFERROR(VLOOKUP($E23,Sheet3!$H$2:$O$200,S$1,FALSE),VLOOKUP($F23,Sheet3!$H$2:$O$200,S$1,FALSE))),$I$1),$I$1)</f>
        <v>0</v>
      </c>
      <c r="T23" s="15">
        <f>IFERROR(IF(ISBLANK(M23),IFERROR(VLOOKUP($D23,Sheet3!$H$2:$O$200,T$1,FALSE),IFERROR(VLOOKUP($E23,Sheet3!$H$2:$O$200,T$1,FALSE),VLOOKUP($F23,Sheet3!$H$2:$O$200,T$1,FALSE))),$I$1),$I$1)</f>
        <v>0</v>
      </c>
      <c r="U23" s="15">
        <f>IFERROR(IF(ISBLANK(N23),IFERROR(VLOOKUP($D23,Sheet3!$H$2:$O$200,U$1,FALSE),IFERROR(VLOOKUP($E23,Sheet3!$H$2:$O$200,U$1,FALSE),VLOOKUP($F23,Sheet3!$H$2:$O$200,U$1,FALSE))),$I$1),$I$1)</f>
        <v>0</v>
      </c>
      <c r="V23" s="15">
        <f>IFERROR(IF(ISBLANK(O23),IFERROR(VLOOKUP($D23,Sheet3!$H$2:$O$200,V$1,FALSE),IFERROR(VLOOKUP($E23,Sheet3!$H$2:$O$200,V$1,FALSE),VLOOKUP($F23,Sheet3!$H$2:$O$200,V$1,FALSE))),$I$1),$I$1)</f>
        <v>0</v>
      </c>
      <c r="W23" s="15">
        <f>IFERROR(IF(ISBLANK(P23),IFERROR(VLOOKUP($D23,Sheet3!$H$2:$O$200,W$1,FALSE),IFERROR(VLOOKUP($E23,Sheet3!$H$2:$O$200,W$1,FALSE),VLOOKUP($F23,Sheet3!$H$2:$O$200,W$1,FALSE))),$I$1),$I$1)</f>
        <v>0</v>
      </c>
      <c r="X23" s="15">
        <f>IFERROR(IF(ISBLANK(Q23),IFERROR(VLOOKUP($E23,Sheet3!$H$2:$O$200,X$1,FALSE),IFERROR(VLOOKUP($F23,Sheet3!$H$2:$O$200,X$1,FALSE),VLOOKUP($G23,Sheet3!$H$2:$O$200,X$1,FALSE))),$I$1),$I$1)</f>
        <v>0</v>
      </c>
      <c r="Y23" s="15">
        <f>IFERROR(IF(ISBLANK(R23),IFERROR(VLOOKUP($E23,Sheet3!$H$2:$O$200,Y$1,FALSE),IFERROR(VLOOKUP($F23,Sheet3!$H$2:$O$200,Y$1,FALSE),VLOOKUP($G23,Sheet3!$H$2:$O$200,Y$1,FALSE))),$I$1),$I$1)</f>
        <v>0</v>
      </c>
      <c r="Z23" s="15">
        <f>IFERROR(IF(ISBLANK(S23),IFERROR(VLOOKUP($E23,Sheet3!$H$2:$O$200,Z$1,FALSE),IFERROR(VLOOKUP($F23,Sheet3!$H$2:$O$200,Z$1,FALSE),VLOOKUP($G23,Sheet3!$H$2:$O$200,Z$1,FALSE))),$I$1),$I$1)</f>
        <v>0</v>
      </c>
      <c r="AA23" s="15">
        <f>IFERROR(IF(ISBLANK(T23),IFERROR(VLOOKUP($E23,Sheet3!$H$2:$O$200,AA$1,FALSE),IFERROR(VLOOKUP($F23,Sheet3!$H$2:$O$200,AA$1,FALSE),VLOOKUP($G23,Sheet3!$H$2:$O$200,AA$1,FALSE))),$I$1),$I$1)</f>
        <v>0</v>
      </c>
      <c r="AB23" s="15">
        <f>IFERROR(IF(ISBLANK(U23),IFERROR(VLOOKUP($E23,Sheet3!$H$2:$O$200,AB$1,FALSE),IFERROR(VLOOKUP($F23,Sheet3!$H$2:$O$200,AB$1,FALSE),VLOOKUP($G23,Sheet3!$H$2:$O$200,AB$1,FALSE))),$I$1),$I$1)</f>
        <v>0</v>
      </c>
      <c r="AC23" s="15">
        <f>IFERROR(IF(ISBLANK(V23),IFERROR(VLOOKUP($E23,Sheet3!$H$2:$O$200,AC$1,FALSE),IFERROR(VLOOKUP($F23,Sheet3!$H$2:$O$200,AC$1,FALSE),VLOOKUP($G23,Sheet3!$H$2:$O$200,AC$1,FALSE))),$I$1),$I$1)</f>
        <v>0</v>
      </c>
      <c r="AD23" s="15">
        <f>IFERROR(IF(ISBLANK(W23),IFERROR(VLOOKUP($E23,Sheet3!$H$2:$O$200,AD$1,FALSE),IFERROR(VLOOKUP($F23,Sheet3!$H$2:$O$200,AD$1,FALSE),VLOOKUP($G23,Sheet3!$H$2:$O$200,AD$1,FALSE))),$I$1),$I$1)</f>
        <v>0</v>
      </c>
      <c r="AE23" s="15">
        <f>IFERROR(IF(ISBLANK(X23),IFERROR(VLOOKUP($F23,Sheet3!$H$2:$O$200,AE$1,FALSE),VLOOKUP($G23,Sheet3!$H$2:$O$200,AE$1,FALSE)),$I$1),$I$1)</f>
        <v>0</v>
      </c>
      <c r="AF23" s="15">
        <f>IFERROR(IF(ISBLANK(Y23),IFERROR(VLOOKUP($F23,Sheet3!$H$2:$O$200,AF$1,FALSE),VLOOKUP($G23,Sheet3!$H$2:$O$200,AF$1,FALSE)),$I$1),$I$1)</f>
        <v>0</v>
      </c>
      <c r="AG23" s="15">
        <f>IFERROR(IF(ISBLANK(Z23),IFERROR(VLOOKUP($F23,Sheet3!$H$2:$O$200,AG$1,FALSE),VLOOKUP($G23,Sheet3!$H$2:$O$200,AG$1,FALSE)),$I$1),$I$1)</f>
        <v>0</v>
      </c>
      <c r="AH23" s="15">
        <f>IFERROR(IF(ISBLANK(AA23),IFERROR(VLOOKUP($F23,Sheet3!$H$2:$O$200,AH$1,FALSE),VLOOKUP($G23,Sheet3!$H$2:$O$200,AH$1,FALSE)),$I$1),$I$1)</f>
        <v>0</v>
      </c>
      <c r="AI23" s="15">
        <f>IFERROR(IF(ISBLANK(AB23),IFERROR(VLOOKUP($F23,Sheet3!$H$2:$O$200,AI$1,FALSE),VLOOKUP($G23,Sheet3!$H$2:$O$200,AI$1,FALSE)),$I$1),$I$1)</f>
        <v>0</v>
      </c>
      <c r="AJ23" s="15">
        <f>IFERROR(IF(ISBLANK(AC23),IFERROR(VLOOKUP($F23,Sheet3!$H$2:$O$200,AJ$1,FALSE),VLOOKUP($G23,Sheet3!$H$2:$O$200,AJ$1,FALSE)),$I$1),$I$1)</f>
        <v>0</v>
      </c>
      <c r="AK23" s="15">
        <f>IFERROR(IF(ISBLANK(AD23),IFERROR(VLOOKUP($F23,Sheet3!$H$2:$O$200,AK$1,FALSE),VLOOKUP($G23,Sheet3!$H$2:$O$200,AK$1,FALSE)),$I$1),$I$1)</f>
        <v>0</v>
      </c>
      <c r="AL23" s="15">
        <f>IFERROR(IF(ISBLANK(AE23),VLOOKUP($G23,Sheet3!$H$2:$O$200,AL$1,FALSE),$I$1),$I$1)</f>
        <v>0</v>
      </c>
      <c r="AM23" s="15">
        <f>IFERROR(IF(ISBLANK(AF23),VLOOKUP($G23,Sheet3!$H$2:$O$200,AM$1,FALSE),$I$1),$I$1)</f>
        <v>0</v>
      </c>
      <c r="AN23" s="15">
        <f>IFERROR(IF(ISBLANK(AG23),VLOOKUP($G23,Sheet3!$H$2:$O$200,AN$1,FALSE),$I$1),$I$1)</f>
        <v>0</v>
      </c>
      <c r="AO23" s="15">
        <f>IFERROR(IF(ISBLANK(AH23),VLOOKUP($G23,Sheet3!$H$2:$O$200,AO$1,FALSE),$I$1),$I$1)</f>
        <v>0</v>
      </c>
      <c r="AP23" s="15">
        <f>IFERROR(IF(ISBLANK(AI23),VLOOKUP($G23,Sheet3!$H$2:$O$200,AP$1,FALSE),$I$1),$I$1)</f>
        <v>0</v>
      </c>
      <c r="AQ23" s="15">
        <f>IFERROR(IF(ISBLANK(AJ23),VLOOKUP($G23,Sheet3!$H$2:$O$200,AQ$1,FALSE),$I$1),$I$1)</f>
        <v>0</v>
      </c>
      <c r="AR23" s="15">
        <f>IFERROR(IF(ISBLANK(AK23),VLOOKUP($G23,Sheet3!$H$2:$O$200,AR$1,FALSE),$I$1),$I$1)</f>
        <v>0</v>
      </c>
      <c r="AS23" s="15">
        <f t="shared" si="1"/>
        <v>28</v>
      </c>
      <c r="AT23" s="15" t="b">
        <f t="shared" si="2"/>
        <v>0</v>
      </c>
    </row>
    <row r="24" spans="1:46" x14ac:dyDescent="0.2">
      <c r="A24" s="19" t="s">
        <v>91</v>
      </c>
      <c r="B24" s="19" t="s">
        <v>65</v>
      </c>
      <c r="C24" s="19" t="s">
        <v>92</v>
      </c>
      <c r="D24" s="19" t="s">
        <v>38</v>
      </c>
      <c r="E24" s="19" t="s">
        <v>86</v>
      </c>
      <c r="F24" s="19"/>
      <c r="G24" s="19"/>
      <c r="H24" s="19" t="s">
        <v>91</v>
      </c>
      <c r="I24" s="15">
        <f t="shared" si="0"/>
        <v>3</v>
      </c>
      <c r="J24" s="15">
        <f>IFERROR(VLOOKUP($C24,Sheet3!$H$2:$O$200,J$1,FALSE),IFERROR(VLOOKUP($D24,Sheet3!$H$2:$O$200,J$1,FALSE),VLOOKUP($E24,Sheet3!$H$2:$O$200,J$1,FALSE)))</f>
        <v>0</v>
      </c>
      <c r="K24" s="15">
        <f>IFERROR(VLOOKUP($C24,Sheet3!$H$2:$O$200,K$1,FALSE),IFERROR(VLOOKUP($D24,Sheet3!$H$2:$O$200,K$1,FALSE),VLOOKUP($E24,Sheet3!$H$2:$O$200,K$1,FALSE)))</f>
        <v>0</v>
      </c>
      <c r="L24" s="15">
        <f>IFERROR(VLOOKUP($C24,Sheet3!$H$2:$O$200,L$1,FALSE),IFERROR(VLOOKUP($D24,Sheet3!$H$2:$O$200,L$1,FALSE),VLOOKUP($E24,Sheet3!$H$2:$O$200,L$1,FALSE)))</f>
        <v>0</v>
      </c>
      <c r="M24" s="15" t="str">
        <f>IFERROR(VLOOKUP($C24,Sheet3!$H$2:$O$200,M$1,FALSE),IFERROR(VLOOKUP($D24,Sheet3!$H$2:$O$200,M$1,FALSE),VLOOKUP($E24,Sheet3!$H$2:$O$200,M$1,FALSE)))</f>
        <v>Branca Menta</v>
      </c>
      <c r="N24" s="15">
        <f>IFERROR(VLOOKUP($C24,Sheet3!$H$2:$O$200,N$1,FALSE),IFERROR(VLOOKUP($D24,Sheet3!$H$2:$O$200,N$1,FALSE),VLOOKUP($E24,Sheet3!$H$2:$O$200,N$1,FALSE)))</f>
        <v>0</v>
      </c>
      <c r="O24" s="15">
        <f>IFERROR(VLOOKUP($C24,Sheet3!$H$2:$O$200,O$1,FALSE),IFERROR(VLOOKUP($D24,Sheet3!$H$2:$O$200,O$1,FALSE),VLOOKUP($E24,Sheet3!$H$2:$O$200,O$1,FALSE)))</f>
        <v>0</v>
      </c>
      <c r="P24" s="15">
        <f>IFERROR(VLOOKUP($C24,Sheet3!$H$2:$O$200,P$1,FALSE),IFERROR(VLOOKUP($D24,Sheet3!$H$2:$O$200,P$1,FALSE),VLOOKUP($E24,Sheet3!$H$2:$O$200,P$1,FALSE)))</f>
        <v>0</v>
      </c>
      <c r="Q24" s="15">
        <f>IFERROR(IF(ISBLANK(J24),IFERROR(VLOOKUP($D24,Sheet3!$H$2:$O$200,Q$1,FALSE),IFERROR(VLOOKUP($E24,Sheet3!$H$2:$O$200,Q$1,FALSE),VLOOKUP($F24,Sheet3!$H$2:$O$200,Q$1,FALSE))),$I$1),$I$1)</f>
        <v>0</v>
      </c>
      <c r="R24" s="15">
        <f>IFERROR(IF(ISBLANK(K24),IFERROR(VLOOKUP($D24,Sheet3!$H$2:$O$200,R$1,FALSE),IFERROR(VLOOKUP($E24,Sheet3!$H$2:$O$200,R$1,FALSE),VLOOKUP($F24,Sheet3!$H$2:$O$200,R$1,FALSE))),$I$1),$I$1)</f>
        <v>0</v>
      </c>
      <c r="S24" s="15">
        <f>IFERROR(IF(ISBLANK(L24),IFERROR(VLOOKUP($D24,Sheet3!$H$2:$O$200,S$1,FALSE),IFERROR(VLOOKUP($E24,Sheet3!$H$2:$O$200,S$1,FALSE),VLOOKUP($F24,Sheet3!$H$2:$O$200,S$1,FALSE))),$I$1),$I$1)</f>
        <v>0</v>
      </c>
      <c r="T24" s="15">
        <f>IFERROR(IF(ISBLANK(M24),IFERROR(VLOOKUP($D24,Sheet3!$H$2:$O$200,T$1,FALSE),IFERROR(VLOOKUP($E24,Sheet3!$H$2:$O$200,T$1,FALSE),VLOOKUP($F24,Sheet3!$H$2:$O$200,T$1,FALSE))),$I$1),$I$1)</f>
        <v>0</v>
      </c>
      <c r="U24" s="15">
        <f>IFERROR(IF(ISBLANK(N24),IFERROR(VLOOKUP($D24,Sheet3!$H$2:$O$200,U$1,FALSE),IFERROR(VLOOKUP($E24,Sheet3!$H$2:$O$200,U$1,FALSE),VLOOKUP($F24,Sheet3!$H$2:$O$200,U$1,FALSE))),$I$1),$I$1)</f>
        <v>0</v>
      </c>
      <c r="V24" s="15">
        <f>IFERROR(IF(ISBLANK(O24),IFERROR(VLOOKUP($D24,Sheet3!$H$2:$O$200,V$1,FALSE),IFERROR(VLOOKUP($E24,Sheet3!$H$2:$O$200,V$1,FALSE),VLOOKUP($F24,Sheet3!$H$2:$O$200,V$1,FALSE))),$I$1),$I$1)</f>
        <v>0</v>
      </c>
      <c r="W24" s="15">
        <f>IFERROR(IF(ISBLANK(P24),IFERROR(VLOOKUP($D24,Sheet3!$H$2:$O$200,W$1,FALSE),IFERROR(VLOOKUP($E24,Sheet3!$H$2:$O$200,W$1,FALSE),VLOOKUP($F24,Sheet3!$H$2:$O$200,W$1,FALSE))),$I$1),$I$1)</f>
        <v>0</v>
      </c>
      <c r="X24" s="15">
        <f>IFERROR(IF(ISBLANK(Q24),IFERROR(VLOOKUP($E24,Sheet3!$H$2:$O$200,X$1,FALSE),IFERROR(VLOOKUP($F24,Sheet3!$H$2:$O$200,X$1,FALSE),VLOOKUP($G24,Sheet3!$H$2:$O$200,X$1,FALSE))),$I$1),$I$1)</f>
        <v>0</v>
      </c>
      <c r="Y24" s="15">
        <f>IFERROR(IF(ISBLANK(R24),IFERROR(VLOOKUP($E24,Sheet3!$H$2:$O$200,Y$1,FALSE),IFERROR(VLOOKUP($F24,Sheet3!$H$2:$O$200,Y$1,FALSE),VLOOKUP($G24,Sheet3!$H$2:$O$200,Y$1,FALSE))),$I$1),$I$1)</f>
        <v>0</v>
      </c>
      <c r="Z24" s="15">
        <f>IFERROR(IF(ISBLANK(S24),IFERROR(VLOOKUP($E24,Sheet3!$H$2:$O$200,Z$1,FALSE),IFERROR(VLOOKUP($F24,Sheet3!$H$2:$O$200,Z$1,FALSE),VLOOKUP($G24,Sheet3!$H$2:$O$200,Z$1,FALSE))),$I$1),$I$1)</f>
        <v>0</v>
      </c>
      <c r="AA24" s="15">
        <f>IFERROR(IF(ISBLANK(T24),IFERROR(VLOOKUP($E24,Sheet3!$H$2:$O$200,AA$1,FALSE),IFERROR(VLOOKUP($F24,Sheet3!$H$2:$O$200,AA$1,FALSE),VLOOKUP($G24,Sheet3!$H$2:$O$200,AA$1,FALSE))),$I$1),$I$1)</f>
        <v>0</v>
      </c>
      <c r="AB24" s="15">
        <f>IFERROR(IF(ISBLANK(U24),IFERROR(VLOOKUP($E24,Sheet3!$H$2:$O$200,AB$1,FALSE),IFERROR(VLOOKUP($F24,Sheet3!$H$2:$O$200,AB$1,FALSE),VLOOKUP($G24,Sheet3!$H$2:$O$200,AB$1,FALSE))),$I$1),$I$1)</f>
        <v>0</v>
      </c>
      <c r="AC24" s="15">
        <f>IFERROR(IF(ISBLANK(V24),IFERROR(VLOOKUP($E24,Sheet3!$H$2:$O$200,AC$1,FALSE),IFERROR(VLOOKUP($F24,Sheet3!$H$2:$O$200,AC$1,FALSE),VLOOKUP($G24,Sheet3!$H$2:$O$200,AC$1,FALSE))),$I$1),$I$1)</f>
        <v>0</v>
      </c>
      <c r="AD24" s="15">
        <f>IFERROR(IF(ISBLANK(W24),IFERROR(VLOOKUP($E24,Sheet3!$H$2:$O$200,AD$1,FALSE),IFERROR(VLOOKUP($F24,Sheet3!$H$2:$O$200,AD$1,FALSE),VLOOKUP($G24,Sheet3!$H$2:$O$200,AD$1,FALSE))),$I$1),$I$1)</f>
        <v>0</v>
      </c>
      <c r="AE24" s="15">
        <f>IFERROR(IF(ISBLANK(X24),IFERROR(VLOOKUP($F24,Sheet3!$H$2:$O$200,AE$1,FALSE),VLOOKUP($G24,Sheet3!$H$2:$O$200,AE$1,FALSE)),$I$1),$I$1)</f>
        <v>0</v>
      </c>
      <c r="AF24" s="15">
        <f>IFERROR(IF(ISBLANK(Y24),IFERROR(VLOOKUP($F24,Sheet3!$H$2:$O$200,AF$1,FALSE),VLOOKUP($G24,Sheet3!$H$2:$O$200,AF$1,FALSE)),$I$1),$I$1)</f>
        <v>0</v>
      </c>
      <c r="AG24" s="15">
        <f>IFERROR(IF(ISBLANK(Z24),IFERROR(VLOOKUP($F24,Sheet3!$H$2:$O$200,AG$1,FALSE),VLOOKUP($G24,Sheet3!$H$2:$O$200,AG$1,FALSE)),$I$1),$I$1)</f>
        <v>0</v>
      </c>
      <c r="AH24" s="15">
        <f>IFERROR(IF(ISBLANK(AA24),IFERROR(VLOOKUP($F24,Sheet3!$H$2:$O$200,AH$1,FALSE),VLOOKUP($G24,Sheet3!$H$2:$O$200,AH$1,FALSE)),$I$1),$I$1)</f>
        <v>0</v>
      </c>
      <c r="AI24" s="15">
        <f>IFERROR(IF(ISBLANK(AB24),IFERROR(VLOOKUP($F24,Sheet3!$H$2:$O$200,AI$1,FALSE),VLOOKUP($G24,Sheet3!$H$2:$O$200,AI$1,FALSE)),$I$1),$I$1)</f>
        <v>0</v>
      </c>
      <c r="AJ24" s="15">
        <f>IFERROR(IF(ISBLANK(AC24),IFERROR(VLOOKUP($F24,Sheet3!$H$2:$O$200,AJ$1,FALSE),VLOOKUP($G24,Sheet3!$H$2:$O$200,AJ$1,FALSE)),$I$1),$I$1)</f>
        <v>0</v>
      </c>
      <c r="AK24" s="15">
        <f>IFERROR(IF(ISBLANK(AD24),IFERROR(VLOOKUP($F24,Sheet3!$H$2:$O$200,AK$1,FALSE),VLOOKUP($G24,Sheet3!$H$2:$O$200,AK$1,FALSE)),$I$1),$I$1)</f>
        <v>0</v>
      </c>
      <c r="AL24" s="15">
        <f>IFERROR(IF(ISBLANK(AE24),VLOOKUP($G24,Sheet3!$H$2:$O$200,AL$1,FALSE),$I$1),$I$1)</f>
        <v>0</v>
      </c>
      <c r="AM24" s="15">
        <f>IFERROR(IF(ISBLANK(AF24),VLOOKUP($G24,Sheet3!$H$2:$O$200,AM$1,FALSE),$I$1),$I$1)</f>
        <v>0</v>
      </c>
      <c r="AN24" s="15">
        <f>IFERROR(IF(ISBLANK(AG24),VLOOKUP($G24,Sheet3!$H$2:$O$200,AN$1,FALSE),$I$1),$I$1)</f>
        <v>0</v>
      </c>
      <c r="AO24" s="15">
        <f>IFERROR(IF(ISBLANK(AH24),VLOOKUP($G24,Sheet3!$H$2:$O$200,AO$1,FALSE),$I$1),$I$1)</f>
        <v>0</v>
      </c>
      <c r="AP24" s="15">
        <f>IFERROR(IF(ISBLANK(AI24),VLOOKUP($G24,Sheet3!$H$2:$O$200,AP$1,FALSE),$I$1),$I$1)</f>
        <v>0</v>
      </c>
      <c r="AQ24" s="15">
        <f>IFERROR(IF(ISBLANK(AJ24),VLOOKUP($G24,Sheet3!$H$2:$O$200,AQ$1,FALSE),$I$1),$I$1)</f>
        <v>0</v>
      </c>
      <c r="AR24" s="15">
        <f>IFERROR(IF(ISBLANK(AK24),VLOOKUP($G24,Sheet3!$H$2:$O$200,AR$1,FALSE),$I$1),$I$1)</f>
        <v>0</v>
      </c>
      <c r="AS24" s="15">
        <f t="shared" si="1"/>
        <v>28</v>
      </c>
      <c r="AT24" s="15" t="b">
        <f t="shared" si="2"/>
        <v>0</v>
      </c>
    </row>
    <row r="25" spans="1:46" x14ac:dyDescent="0.2">
      <c r="A25" s="19" t="s">
        <v>93</v>
      </c>
      <c r="B25" s="19" t="s">
        <v>65</v>
      </c>
      <c r="C25" s="19" t="s">
        <v>86</v>
      </c>
      <c r="D25" s="19" t="s">
        <v>38</v>
      </c>
      <c r="E25" s="19" t="s">
        <v>62</v>
      </c>
      <c r="F25" s="19"/>
      <c r="G25" s="19"/>
      <c r="H25" s="19" t="s">
        <v>93</v>
      </c>
      <c r="I25" s="15">
        <f t="shared" si="0"/>
        <v>3</v>
      </c>
      <c r="J25" s="15">
        <f>IFERROR(VLOOKUP($C25,Sheet3!$H$2:$O$200,J$1,FALSE),IFERROR(VLOOKUP($D25,Sheet3!$H$2:$O$200,J$1,FALSE),VLOOKUP($E25,Sheet3!$H$2:$O$200,J$1,FALSE)))</f>
        <v>0</v>
      </c>
      <c r="K25" s="15" t="str">
        <f>IFERROR(VLOOKUP($C25,Sheet3!$H$2:$O$200,K$1,FALSE),IFERROR(VLOOKUP($D25,Sheet3!$H$2:$O$200,K$1,FALSE),VLOOKUP($E25,Sheet3!$H$2:$O$200,K$1,FALSE)))</f>
        <v>simple syrup</v>
      </c>
      <c r="L25" s="15">
        <f>IFERROR(VLOOKUP($C25,Sheet3!$H$2:$O$200,L$1,FALSE),IFERROR(VLOOKUP($D25,Sheet3!$H$2:$O$200,L$1,FALSE),VLOOKUP($E25,Sheet3!$H$2:$O$200,L$1,FALSE)))</f>
        <v>0</v>
      </c>
      <c r="M25" s="15">
        <f>IFERROR(VLOOKUP($C25,Sheet3!$H$2:$O$200,M$1,FALSE),IFERROR(VLOOKUP($D25,Sheet3!$H$2:$O$200,M$1,FALSE),VLOOKUP($E25,Sheet3!$H$2:$O$200,M$1,FALSE)))</f>
        <v>0</v>
      </c>
      <c r="N25" s="15">
        <f>IFERROR(VLOOKUP($C25,Sheet3!$H$2:$O$200,N$1,FALSE),IFERROR(VLOOKUP($D25,Sheet3!$H$2:$O$200,N$1,FALSE),VLOOKUP($E25,Sheet3!$H$2:$O$200,N$1,FALSE)))</f>
        <v>0</v>
      </c>
      <c r="O25" s="15">
        <f>IFERROR(VLOOKUP($C25,Sheet3!$H$2:$O$200,O$1,FALSE),IFERROR(VLOOKUP($D25,Sheet3!$H$2:$O$200,O$1,FALSE),VLOOKUP($E25,Sheet3!$H$2:$O$200,O$1,FALSE)))</f>
        <v>0</v>
      </c>
      <c r="P25" s="15">
        <f>IFERROR(VLOOKUP($C25,Sheet3!$H$2:$O$200,P$1,FALSE),IFERROR(VLOOKUP($D25,Sheet3!$H$2:$O$200,P$1,FALSE),VLOOKUP($E25,Sheet3!$H$2:$O$200,P$1,FALSE)))</f>
        <v>0</v>
      </c>
      <c r="Q25" s="15">
        <f>IFERROR(IF(ISBLANK(J25),IFERROR(VLOOKUP($D25,Sheet3!$H$2:$O$200,Q$1,FALSE),IFERROR(VLOOKUP($E25,Sheet3!$H$2:$O$200,Q$1,FALSE),VLOOKUP($F25,Sheet3!$H$2:$O$200,Q$1,FALSE))),$I$1),$I$1)</f>
        <v>0</v>
      </c>
      <c r="R25" s="15">
        <f>IFERROR(IF(ISBLANK(K25),IFERROR(VLOOKUP($D25,Sheet3!$H$2:$O$200,R$1,FALSE),IFERROR(VLOOKUP($E25,Sheet3!$H$2:$O$200,R$1,FALSE),VLOOKUP($F25,Sheet3!$H$2:$O$200,R$1,FALSE))),$I$1),$I$1)</f>
        <v>0</v>
      </c>
      <c r="S25" s="15">
        <f>IFERROR(IF(ISBLANK(L25),IFERROR(VLOOKUP($D25,Sheet3!$H$2:$O$200,S$1,FALSE),IFERROR(VLOOKUP($E25,Sheet3!$H$2:$O$200,S$1,FALSE),VLOOKUP($F25,Sheet3!$H$2:$O$200,S$1,FALSE))),$I$1),$I$1)</f>
        <v>0</v>
      </c>
      <c r="T25" s="15">
        <f>IFERROR(IF(ISBLANK(M25),IFERROR(VLOOKUP($D25,Sheet3!$H$2:$O$200,T$1,FALSE),IFERROR(VLOOKUP($E25,Sheet3!$H$2:$O$200,T$1,FALSE),VLOOKUP($F25,Sheet3!$H$2:$O$200,T$1,FALSE))),$I$1),$I$1)</f>
        <v>0</v>
      </c>
      <c r="U25" s="15">
        <f>IFERROR(IF(ISBLANK(N25),IFERROR(VLOOKUP($D25,Sheet3!$H$2:$O$200,U$1,FALSE),IFERROR(VLOOKUP($E25,Sheet3!$H$2:$O$200,U$1,FALSE),VLOOKUP($F25,Sheet3!$H$2:$O$200,U$1,FALSE))),$I$1),$I$1)</f>
        <v>0</v>
      </c>
      <c r="V25" s="15">
        <f>IFERROR(IF(ISBLANK(O25),IFERROR(VLOOKUP($D25,Sheet3!$H$2:$O$200,V$1,FALSE),IFERROR(VLOOKUP($E25,Sheet3!$H$2:$O$200,V$1,FALSE),VLOOKUP($F25,Sheet3!$H$2:$O$200,V$1,FALSE))),$I$1),$I$1)</f>
        <v>0</v>
      </c>
      <c r="W25" s="15">
        <f>IFERROR(IF(ISBLANK(P25),IFERROR(VLOOKUP($D25,Sheet3!$H$2:$O$200,W$1,FALSE),IFERROR(VLOOKUP($E25,Sheet3!$H$2:$O$200,W$1,FALSE),VLOOKUP($F25,Sheet3!$H$2:$O$200,W$1,FALSE))),$I$1),$I$1)</f>
        <v>0</v>
      </c>
      <c r="X25" s="15">
        <f>IFERROR(IF(ISBLANK(Q25),IFERROR(VLOOKUP($E25,Sheet3!$H$2:$O$200,X$1,FALSE),IFERROR(VLOOKUP($F25,Sheet3!$H$2:$O$200,X$1,FALSE),VLOOKUP($G25,Sheet3!$H$2:$O$200,X$1,FALSE))),$I$1),$I$1)</f>
        <v>0</v>
      </c>
      <c r="Y25" s="15">
        <f>IFERROR(IF(ISBLANK(R25),IFERROR(VLOOKUP($E25,Sheet3!$H$2:$O$200,Y$1,FALSE),IFERROR(VLOOKUP($F25,Sheet3!$H$2:$O$200,Y$1,FALSE),VLOOKUP($G25,Sheet3!$H$2:$O$200,Y$1,FALSE))),$I$1),$I$1)</f>
        <v>0</v>
      </c>
      <c r="Z25" s="15">
        <f>IFERROR(IF(ISBLANK(S25),IFERROR(VLOOKUP($E25,Sheet3!$H$2:$O$200,Z$1,FALSE),IFERROR(VLOOKUP($F25,Sheet3!$H$2:$O$200,Z$1,FALSE),VLOOKUP($G25,Sheet3!$H$2:$O$200,Z$1,FALSE))),$I$1),$I$1)</f>
        <v>0</v>
      </c>
      <c r="AA25" s="15">
        <f>IFERROR(IF(ISBLANK(T25),IFERROR(VLOOKUP($E25,Sheet3!$H$2:$O$200,AA$1,FALSE),IFERROR(VLOOKUP($F25,Sheet3!$H$2:$O$200,AA$1,FALSE),VLOOKUP($G25,Sheet3!$H$2:$O$200,AA$1,FALSE))),$I$1),$I$1)</f>
        <v>0</v>
      </c>
      <c r="AB25" s="15">
        <f>IFERROR(IF(ISBLANK(U25),IFERROR(VLOOKUP($E25,Sheet3!$H$2:$O$200,AB$1,FALSE),IFERROR(VLOOKUP($F25,Sheet3!$H$2:$O$200,AB$1,FALSE),VLOOKUP($G25,Sheet3!$H$2:$O$200,AB$1,FALSE))),$I$1),$I$1)</f>
        <v>0</v>
      </c>
      <c r="AC25" s="15">
        <f>IFERROR(IF(ISBLANK(V25),IFERROR(VLOOKUP($E25,Sheet3!$H$2:$O$200,AC$1,FALSE),IFERROR(VLOOKUP($F25,Sheet3!$H$2:$O$200,AC$1,FALSE),VLOOKUP($G25,Sheet3!$H$2:$O$200,AC$1,FALSE))),$I$1),$I$1)</f>
        <v>0</v>
      </c>
      <c r="AD25" s="15">
        <f>IFERROR(IF(ISBLANK(W25),IFERROR(VLOOKUP($E25,Sheet3!$H$2:$O$200,AD$1,FALSE),IFERROR(VLOOKUP($F25,Sheet3!$H$2:$O$200,AD$1,FALSE),VLOOKUP($G25,Sheet3!$H$2:$O$200,AD$1,FALSE))),$I$1),$I$1)</f>
        <v>0</v>
      </c>
      <c r="AE25" s="15">
        <f>IFERROR(IF(ISBLANK(X25),IFERROR(VLOOKUP($F25,Sheet3!$H$2:$O$200,AE$1,FALSE),VLOOKUP($G25,Sheet3!$H$2:$O$200,AE$1,FALSE)),$I$1),$I$1)</f>
        <v>0</v>
      </c>
      <c r="AF25" s="15">
        <f>IFERROR(IF(ISBLANK(Y25),IFERROR(VLOOKUP($F25,Sheet3!$H$2:$O$200,AF$1,FALSE),VLOOKUP($G25,Sheet3!$H$2:$O$200,AF$1,FALSE)),$I$1),$I$1)</f>
        <v>0</v>
      </c>
      <c r="AG25" s="15">
        <f>IFERROR(IF(ISBLANK(Z25),IFERROR(VLOOKUP($F25,Sheet3!$H$2:$O$200,AG$1,FALSE),VLOOKUP($G25,Sheet3!$H$2:$O$200,AG$1,FALSE)),$I$1),$I$1)</f>
        <v>0</v>
      </c>
      <c r="AH25" s="15">
        <f>IFERROR(IF(ISBLANK(AA25),IFERROR(VLOOKUP($F25,Sheet3!$H$2:$O$200,AH$1,FALSE),VLOOKUP($G25,Sheet3!$H$2:$O$200,AH$1,FALSE)),$I$1),$I$1)</f>
        <v>0</v>
      </c>
      <c r="AI25" s="15">
        <f>IFERROR(IF(ISBLANK(AB25),IFERROR(VLOOKUP($F25,Sheet3!$H$2:$O$200,AI$1,FALSE),VLOOKUP($G25,Sheet3!$H$2:$O$200,AI$1,FALSE)),$I$1),$I$1)</f>
        <v>0</v>
      </c>
      <c r="AJ25" s="15">
        <f>IFERROR(IF(ISBLANK(AC25),IFERROR(VLOOKUP($F25,Sheet3!$H$2:$O$200,AJ$1,FALSE),VLOOKUP($G25,Sheet3!$H$2:$O$200,AJ$1,FALSE)),$I$1),$I$1)</f>
        <v>0</v>
      </c>
      <c r="AK25" s="15">
        <f>IFERROR(IF(ISBLANK(AD25),IFERROR(VLOOKUP($F25,Sheet3!$H$2:$O$200,AK$1,FALSE),VLOOKUP($G25,Sheet3!$H$2:$O$200,AK$1,FALSE)),$I$1),$I$1)</f>
        <v>0</v>
      </c>
      <c r="AL25" s="15">
        <f>IFERROR(IF(ISBLANK(AE25),VLOOKUP($G25,Sheet3!$H$2:$O$200,AL$1,FALSE),$I$1),$I$1)</f>
        <v>0</v>
      </c>
      <c r="AM25" s="15">
        <f>IFERROR(IF(ISBLANK(AF25),VLOOKUP($G25,Sheet3!$H$2:$O$200,AM$1,FALSE),$I$1),$I$1)</f>
        <v>0</v>
      </c>
      <c r="AN25" s="15">
        <f>IFERROR(IF(ISBLANK(AG25),VLOOKUP($G25,Sheet3!$H$2:$O$200,AN$1,FALSE),$I$1),$I$1)</f>
        <v>0</v>
      </c>
      <c r="AO25" s="15">
        <f>IFERROR(IF(ISBLANK(AH25),VLOOKUP($G25,Sheet3!$H$2:$O$200,AO$1,FALSE),$I$1),$I$1)</f>
        <v>0</v>
      </c>
      <c r="AP25" s="15">
        <f>IFERROR(IF(ISBLANK(AI25),VLOOKUP($G25,Sheet3!$H$2:$O$200,AP$1,FALSE),$I$1),$I$1)</f>
        <v>0</v>
      </c>
      <c r="AQ25" s="15">
        <f>IFERROR(IF(ISBLANK(AJ25),VLOOKUP($G25,Sheet3!$H$2:$O$200,AQ$1,FALSE),$I$1),$I$1)</f>
        <v>0</v>
      </c>
      <c r="AR25" s="15">
        <f>IFERROR(IF(ISBLANK(AK25),VLOOKUP($G25,Sheet3!$H$2:$O$200,AR$1,FALSE),$I$1),$I$1)</f>
        <v>0</v>
      </c>
      <c r="AS25" s="15">
        <f t="shared" si="1"/>
        <v>28</v>
      </c>
      <c r="AT25" s="15" t="b">
        <f t="shared" si="2"/>
        <v>0</v>
      </c>
    </row>
    <row r="26" spans="1:46" x14ac:dyDescent="0.2">
      <c r="A26" s="19" t="s">
        <v>94</v>
      </c>
      <c r="B26" s="19" t="s">
        <v>65</v>
      </c>
      <c r="C26" s="19" t="s">
        <v>57</v>
      </c>
      <c r="D26" s="19" t="s">
        <v>38</v>
      </c>
      <c r="E26" s="19"/>
      <c r="F26" s="19"/>
      <c r="G26" s="19"/>
      <c r="H26" s="19" t="s">
        <v>94</v>
      </c>
      <c r="I26" s="15">
        <f t="shared" si="0"/>
        <v>2</v>
      </c>
      <c r="J26" s="15">
        <f>IFERROR(VLOOKUP($C26,Sheet3!$H$2:$O$200,J$1,FALSE),IFERROR(VLOOKUP($D26,Sheet3!$H$2:$O$200,J$1,FALSE),VLOOKUP($E26,Sheet3!$H$2:$O$200,J$1,FALSE)))</f>
        <v>0</v>
      </c>
      <c r="K26" s="15">
        <f>IFERROR(VLOOKUP($C26,Sheet3!$H$2:$O$200,K$1,FALSE),IFERROR(VLOOKUP($D26,Sheet3!$H$2:$O$200,K$1,FALSE),VLOOKUP($E26,Sheet3!$H$2:$O$200,K$1,FALSE)))</f>
        <v>0</v>
      </c>
      <c r="L26" s="15">
        <f>IFERROR(VLOOKUP($C26,Sheet3!$H$2:$O$200,L$1,FALSE),IFERROR(VLOOKUP($D26,Sheet3!$H$2:$O$200,L$1,FALSE),VLOOKUP($E26,Sheet3!$H$2:$O$200,L$1,FALSE)))</f>
        <v>0</v>
      </c>
      <c r="M26" s="15" t="str">
        <f>IFERROR(VLOOKUP($C26,Sheet3!$H$2:$O$200,M$1,FALSE),IFERROR(VLOOKUP($D26,Sheet3!$H$2:$O$200,M$1,FALSE),VLOOKUP($E26,Sheet3!$H$2:$O$200,M$1,FALSE)))</f>
        <v>crème de noyau</v>
      </c>
      <c r="N26" s="15">
        <f>IFERROR(VLOOKUP($C26,Sheet3!$H$2:$O$200,N$1,FALSE),IFERROR(VLOOKUP($D26,Sheet3!$H$2:$O$200,N$1,FALSE),VLOOKUP($E26,Sheet3!$H$2:$O$200,N$1,FALSE)))</f>
        <v>0</v>
      </c>
      <c r="O26" s="15">
        <f>IFERROR(VLOOKUP($C26,Sheet3!$H$2:$O$200,O$1,FALSE),IFERROR(VLOOKUP($D26,Sheet3!$H$2:$O$200,O$1,FALSE),VLOOKUP($E26,Sheet3!$H$2:$O$200,O$1,FALSE)))</f>
        <v>0</v>
      </c>
      <c r="P26" s="15">
        <f>IFERROR(VLOOKUP($C26,Sheet3!$H$2:$O$200,P$1,FALSE),IFERROR(VLOOKUP($D26,Sheet3!$H$2:$O$200,P$1,FALSE),VLOOKUP($E26,Sheet3!$H$2:$O$200,P$1,FALSE)))</f>
        <v>0</v>
      </c>
      <c r="Q26" s="15">
        <f>IFERROR(IF(ISBLANK(J26),IFERROR(VLOOKUP($D26,Sheet3!$H$2:$O$200,Q$1,FALSE),IFERROR(VLOOKUP($E26,Sheet3!$H$2:$O$200,Q$1,FALSE),VLOOKUP($F26,Sheet3!$H$2:$O$200,Q$1,FALSE))),$I$1),$I$1)</f>
        <v>0</v>
      </c>
      <c r="R26" s="15">
        <f>IFERROR(IF(ISBLANK(K26),IFERROR(VLOOKUP($D26,Sheet3!$H$2:$O$200,R$1,FALSE),IFERROR(VLOOKUP($E26,Sheet3!$H$2:$O$200,R$1,FALSE),VLOOKUP($F26,Sheet3!$H$2:$O$200,R$1,FALSE))),$I$1),$I$1)</f>
        <v>0</v>
      </c>
      <c r="S26" s="15">
        <f>IFERROR(IF(ISBLANK(L26),IFERROR(VLOOKUP($D26,Sheet3!$H$2:$O$200,S$1,FALSE),IFERROR(VLOOKUP($E26,Sheet3!$H$2:$O$200,S$1,FALSE),VLOOKUP($F26,Sheet3!$H$2:$O$200,S$1,FALSE))),$I$1),$I$1)</f>
        <v>0</v>
      </c>
      <c r="T26" s="15">
        <f>IFERROR(IF(ISBLANK(M26),IFERROR(VLOOKUP($D26,Sheet3!$H$2:$O$200,T$1,FALSE),IFERROR(VLOOKUP($E26,Sheet3!$H$2:$O$200,T$1,FALSE),VLOOKUP($F26,Sheet3!$H$2:$O$200,T$1,FALSE))),$I$1),$I$1)</f>
        <v>0</v>
      </c>
      <c r="U26" s="15">
        <f>IFERROR(IF(ISBLANK(N26),IFERROR(VLOOKUP($D26,Sheet3!$H$2:$O$200,U$1,FALSE),IFERROR(VLOOKUP($E26,Sheet3!$H$2:$O$200,U$1,FALSE),VLOOKUP($F26,Sheet3!$H$2:$O$200,U$1,FALSE))),$I$1),$I$1)</f>
        <v>0</v>
      </c>
      <c r="V26" s="15">
        <f>IFERROR(IF(ISBLANK(O26),IFERROR(VLOOKUP($D26,Sheet3!$H$2:$O$200,V$1,FALSE),IFERROR(VLOOKUP($E26,Sheet3!$H$2:$O$200,V$1,FALSE),VLOOKUP($F26,Sheet3!$H$2:$O$200,V$1,FALSE))),$I$1),$I$1)</f>
        <v>0</v>
      </c>
      <c r="W26" s="15">
        <f>IFERROR(IF(ISBLANK(P26),IFERROR(VLOOKUP($D26,Sheet3!$H$2:$O$200,W$1,FALSE),IFERROR(VLOOKUP($E26,Sheet3!$H$2:$O$200,W$1,FALSE),VLOOKUP($F26,Sheet3!$H$2:$O$200,W$1,FALSE))),$I$1),$I$1)</f>
        <v>0</v>
      </c>
      <c r="X26" s="15">
        <f>IFERROR(IF(ISBLANK(Q26),IFERROR(VLOOKUP($E26,Sheet3!$H$2:$O$200,X$1,FALSE),IFERROR(VLOOKUP($F26,Sheet3!$H$2:$O$200,X$1,FALSE),VLOOKUP($G26,Sheet3!$H$2:$O$200,X$1,FALSE))),$I$1),$I$1)</f>
        <v>0</v>
      </c>
      <c r="Y26" s="15">
        <f>IFERROR(IF(ISBLANK(R26),IFERROR(VLOOKUP($E26,Sheet3!$H$2:$O$200,Y$1,FALSE),IFERROR(VLOOKUP($F26,Sheet3!$H$2:$O$200,Y$1,FALSE),VLOOKUP($G26,Sheet3!$H$2:$O$200,Y$1,FALSE))),$I$1),$I$1)</f>
        <v>0</v>
      </c>
      <c r="Z26" s="15">
        <f>IFERROR(IF(ISBLANK(S26),IFERROR(VLOOKUP($E26,Sheet3!$H$2:$O$200,Z$1,FALSE),IFERROR(VLOOKUP($F26,Sheet3!$H$2:$O$200,Z$1,FALSE),VLOOKUP($G26,Sheet3!$H$2:$O$200,Z$1,FALSE))),$I$1),$I$1)</f>
        <v>0</v>
      </c>
      <c r="AA26" s="15">
        <f>IFERROR(IF(ISBLANK(T26),IFERROR(VLOOKUP($E26,Sheet3!$H$2:$O$200,AA$1,FALSE),IFERROR(VLOOKUP($F26,Sheet3!$H$2:$O$200,AA$1,FALSE),VLOOKUP($G26,Sheet3!$H$2:$O$200,AA$1,FALSE))),$I$1),$I$1)</f>
        <v>0</v>
      </c>
      <c r="AB26" s="15">
        <f>IFERROR(IF(ISBLANK(U26),IFERROR(VLOOKUP($E26,Sheet3!$H$2:$O$200,AB$1,FALSE),IFERROR(VLOOKUP($F26,Sheet3!$H$2:$O$200,AB$1,FALSE),VLOOKUP($G26,Sheet3!$H$2:$O$200,AB$1,FALSE))),$I$1),$I$1)</f>
        <v>0</v>
      </c>
      <c r="AC26" s="15">
        <f>IFERROR(IF(ISBLANK(V26),IFERROR(VLOOKUP($E26,Sheet3!$H$2:$O$200,AC$1,FALSE),IFERROR(VLOOKUP($F26,Sheet3!$H$2:$O$200,AC$1,FALSE),VLOOKUP($G26,Sheet3!$H$2:$O$200,AC$1,FALSE))),$I$1),$I$1)</f>
        <v>0</v>
      </c>
      <c r="AD26" s="15">
        <f>IFERROR(IF(ISBLANK(W26),IFERROR(VLOOKUP($E26,Sheet3!$H$2:$O$200,AD$1,FALSE),IFERROR(VLOOKUP($F26,Sheet3!$H$2:$O$200,AD$1,FALSE),VLOOKUP($G26,Sheet3!$H$2:$O$200,AD$1,FALSE))),$I$1),$I$1)</f>
        <v>0</v>
      </c>
      <c r="AE26" s="15">
        <f>IFERROR(IF(ISBLANK(X26),IFERROR(VLOOKUP($F26,Sheet3!$H$2:$O$200,AE$1,FALSE),VLOOKUP($G26,Sheet3!$H$2:$O$200,AE$1,FALSE)),$I$1),$I$1)</f>
        <v>0</v>
      </c>
      <c r="AF26" s="15">
        <f>IFERROR(IF(ISBLANK(Y26),IFERROR(VLOOKUP($F26,Sheet3!$H$2:$O$200,AF$1,FALSE),VLOOKUP($G26,Sheet3!$H$2:$O$200,AF$1,FALSE)),$I$1),$I$1)</f>
        <v>0</v>
      </c>
      <c r="AG26" s="15">
        <f>IFERROR(IF(ISBLANK(Z26),IFERROR(VLOOKUP($F26,Sheet3!$H$2:$O$200,AG$1,FALSE),VLOOKUP($G26,Sheet3!$H$2:$O$200,AG$1,FALSE)),$I$1),$I$1)</f>
        <v>0</v>
      </c>
      <c r="AH26" s="15">
        <f>IFERROR(IF(ISBLANK(AA26),IFERROR(VLOOKUP($F26,Sheet3!$H$2:$O$200,AH$1,FALSE),VLOOKUP($G26,Sheet3!$H$2:$O$200,AH$1,FALSE)),$I$1),$I$1)</f>
        <v>0</v>
      </c>
      <c r="AI26" s="15">
        <f>IFERROR(IF(ISBLANK(AB26),IFERROR(VLOOKUP($F26,Sheet3!$H$2:$O$200,AI$1,FALSE),VLOOKUP($G26,Sheet3!$H$2:$O$200,AI$1,FALSE)),$I$1),$I$1)</f>
        <v>0</v>
      </c>
      <c r="AJ26" s="15">
        <f>IFERROR(IF(ISBLANK(AC26),IFERROR(VLOOKUP($F26,Sheet3!$H$2:$O$200,AJ$1,FALSE),VLOOKUP($G26,Sheet3!$H$2:$O$200,AJ$1,FALSE)),$I$1),$I$1)</f>
        <v>0</v>
      </c>
      <c r="AK26" s="15">
        <f>IFERROR(IF(ISBLANK(AD26),IFERROR(VLOOKUP($F26,Sheet3!$H$2:$O$200,AK$1,FALSE),VLOOKUP($G26,Sheet3!$H$2:$O$200,AK$1,FALSE)),$I$1),$I$1)</f>
        <v>0</v>
      </c>
      <c r="AL26" s="15">
        <f>IFERROR(IF(ISBLANK(AE26),VLOOKUP($G26,Sheet3!$H$2:$O$200,AL$1,FALSE),$I$1),$I$1)</f>
        <v>0</v>
      </c>
      <c r="AM26" s="15">
        <f>IFERROR(IF(ISBLANK(AF26),VLOOKUP($G26,Sheet3!$H$2:$O$200,AM$1,FALSE),$I$1),$I$1)</f>
        <v>0</v>
      </c>
      <c r="AN26" s="15">
        <f>IFERROR(IF(ISBLANK(AG26),VLOOKUP($G26,Sheet3!$H$2:$O$200,AN$1,FALSE),$I$1),$I$1)</f>
        <v>0</v>
      </c>
      <c r="AO26" s="15">
        <f>IFERROR(IF(ISBLANK(AH26),VLOOKUP($G26,Sheet3!$H$2:$O$200,AO$1,FALSE),$I$1),$I$1)</f>
        <v>0</v>
      </c>
      <c r="AP26" s="15">
        <f>IFERROR(IF(ISBLANK(AI26),VLOOKUP($G26,Sheet3!$H$2:$O$200,AP$1,FALSE),$I$1),$I$1)</f>
        <v>0</v>
      </c>
      <c r="AQ26" s="15">
        <f>IFERROR(IF(ISBLANK(AJ26),VLOOKUP($G26,Sheet3!$H$2:$O$200,AQ$1,FALSE),$I$1),$I$1)</f>
        <v>0</v>
      </c>
      <c r="AR26" s="15">
        <f>IFERROR(IF(ISBLANK(AK26),VLOOKUP($G26,Sheet3!$H$2:$O$200,AR$1,FALSE),$I$1),$I$1)</f>
        <v>0</v>
      </c>
      <c r="AS26" s="15">
        <f t="shared" si="1"/>
        <v>28</v>
      </c>
      <c r="AT26" s="15" t="b">
        <f t="shared" si="2"/>
        <v>0</v>
      </c>
    </row>
    <row r="27" spans="1:46" x14ac:dyDescent="0.2">
      <c r="A27" s="20" t="s">
        <v>95</v>
      </c>
      <c r="B27" s="20" t="s">
        <v>65</v>
      </c>
      <c r="C27" s="20"/>
      <c r="D27" s="20"/>
      <c r="E27" s="20" t="s">
        <v>86</v>
      </c>
      <c r="F27" s="20" t="s">
        <v>96</v>
      </c>
      <c r="G27" s="20"/>
      <c r="H27" s="20" t="s">
        <v>95</v>
      </c>
      <c r="I27" s="15">
        <f t="shared" si="0"/>
        <v>2</v>
      </c>
      <c r="J27" s="15">
        <f>IFERROR(VLOOKUP($C27,Sheet3!$H$2:$O$200,J$1,FALSE),IFERROR(VLOOKUP($D27,Sheet3!$H$2:$O$200,J$1,FALSE),VLOOKUP($E27,Sheet3!$H$2:$O$200,J$1,FALSE)))</f>
        <v>0</v>
      </c>
      <c r="K27" s="15" t="str">
        <f>IFERROR(VLOOKUP($C27,Sheet3!$H$2:$O$200,K$1,FALSE),IFERROR(VLOOKUP($D27,Sheet3!$H$2:$O$200,K$1,FALSE),VLOOKUP($E27,Sheet3!$H$2:$O$200,K$1,FALSE)))</f>
        <v>simple syrup</v>
      </c>
      <c r="L27" s="15">
        <f>IFERROR(VLOOKUP($C27,Sheet3!$H$2:$O$200,L$1,FALSE),IFERROR(VLOOKUP($D27,Sheet3!$H$2:$O$200,L$1,FALSE),VLOOKUP($E27,Sheet3!$H$2:$O$200,L$1,FALSE)))</f>
        <v>0</v>
      </c>
      <c r="M27" s="15">
        <f>IFERROR(VLOOKUP($C27,Sheet3!$H$2:$O$200,M$1,FALSE),IFERROR(VLOOKUP($D27,Sheet3!$H$2:$O$200,M$1,FALSE),VLOOKUP($E27,Sheet3!$H$2:$O$200,M$1,FALSE)))</f>
        <v>0</v>
      </c>
      <c r="N27" s="15">
        <f>IFERROR(VLOOKUP($C27,Sheet3!$H$2:$O$200,N$1,FALSE),IFERROR(VLOOKUP($D27,Sheet3!$H$2:$O$200,N$1,FALSE),VLOOKUP($E27,Sheet3!$H$2:$O$200,N$1,FALSE)))</f>
        <v>0</v>
      </c>
      <c r="O27" s="15">
        <f>IFERROR(VLOOKUP($C27,Sheet3!$H$2:$O$200,O$1,FALSE),IFERROR(VLOOKUP($D27,Sheet3!$H$2:$O$200,O$1,FALSE),VLOOKUP($E27,Sheet3!$H$2:$O$200,O$1,FALSE)))</f>
        <v>0</v>
      </c>
      <c r="P27" s="15">
        <f>IFERROR(VLOOKUP($C27,Sheet3!$H$2:$O$200,P$1,FALSE),IFERROR(VLOOKUP($D27,Sheet3!$H$2:$O$200,P$1,FALSE),VLOOKUP($E27,Sheet3!$H$2:$O$200,P$1,FALSE)))</f>
        <v>0</v>
      </c>
      <c r="Q27" s="15">
        <f>IFERROR(IF(ISBLANK(J27),IFERROR(VLOOKUP($D27,Sheet3!$H$2:$O$200,Q$1,FALSE),IFERROR(VLOOKUP($E27,Sheet3!$H$2:$O$200,Q$1,FALSE),VLOOKUP($F27,Sheet3!$H$2:$O$200,Q$1,FALSE))),$I$1),$I$1)</f>
        <v>0</v>
      </c>
      <c r="R27" s="15">
        <f>IFERROR(IF(ISBLANK(K27),IFERROR(VLOOKUP($D27,Sheet3!$H$2:$O$200,R$1,FALSE),IFERROR(VLOOKUP($E27,Sheet3!$H$2:$O$200,R$1,FALSE),VLOOKUP($F27,Sheet3!$H$2:$O$200,R$1,FALSE))),$I$1),$I$1)</f>
        <v>0</v>
      </c>
      <c r="S27" s="15">
        <f>IFERROR(IF(ISBLANK(L27),IFERROR(VLOOKUP($D27,Sheet3!$H$2:$O$200,S$1,FALSE),IFERROR(VLOOKUP($E27,Sheet3!$H$2:$O$200,S$1,FALSE),VLOOKUP($F27,Sheet3!$H$2:$O$200,S$1,FALSE))),$I$1),$I$1)</f>
        <v>0</v>
      </c>
      <c r="T27" s="15">
        <f>IFERROR(IF(ISBLANK(M27),IFERROR(VLOOKUP($D27,Sheet3!$H$2:$O$200,T$1,FALSE),IFERROR(VLOOKUP($E27,Sheet3!$H$2:$O$200,T$1,FALSE),VLOOKUP($F27,Sheet3!$H$2:$O$200,T$1,FALSE))),$I$1),$I$1)</f>
        <v>0</v>
      </c>
      <c r="U27" s="15">
        <f>IFERROR(IF(ISBLANK(N27),IFERROR(VLOOKUP($D27,Sheet3!$H$2:$O$200,U$1,FALSE),IFERROR(VLOOKUP($E27,Sheet3!$H$2:$O$200,U$1,FALSE),VLOOKUP($F27,Sheet3!$H$2:$O$200,U$1,FALSE))),$I$1),$I$1)</f>
        <v>0</v>
      </c>
      <c r="V27" s="15">
        <f>IFERROR(IF(ISBLANK(O27),IFERROR(VLOOKUP($D27,Sheet3!$H$2:$O$200,V$1,FALSE),IFERROR(VLOOKUP($E27,Sheet3!$H$2:$O$200,V$1,FALSE),VLOOKUP($F27,Sheet3!$H$2:$O$200,V$1,FALSE))),$I$1),$I$1)</f>
        <v>0</v>
      </c>
      <c r="W27" s="15">
        <f>IFERROR(IF(ISBLANK(P27),IFERROR(VLOOKUP($D27,Sheet3!$H$2:$O$200,W$1,FALSE),IFERROR(VLOOKUP($E27,Sheet3!$H$2:$O$200,W$1,FALSE),VLOOKUP($F27,Sheet3!$H$2:$O$200,W$1,FALSE))),$I$1),$I$1)</f>
        <v>0</v>
      </c>
      <c r="X27" s="15">
        <f>IFERROR(IF(ISBLANK(Q27),IFERROR(VLOOKUP($E27,Sheet3!$H$2:$O$200,X$1,FALSE),IFERROR(VLOOKUP($F27,Sheet3!$H$2:$O$200,X$1,FALSE),VLOOKUP($G27,Sheet3!$H$2:$O$200,X$1,FALSE))),$I$1),$I$1)</f>
        <v>0</v>
      </c>
      <c r="Y27" s="15">
        <f>IFERROR(IF(ISBLANK(R27),IFERROR(VLOOKUP($E27,Sheet3!$H$2:$O$200,Y$1,FALSE),IFERROR(VLOOKUP($F27,Sheet3!$H$2:$O$200,Y$1,FALSE),VLOOKUP($G27,Sheet3!$H$2:$O$200,Y$1,FALSE))),$I$1),$I$1)</f>
        <v>0</v>
      </c>
      <c r="Z27" s="15">
        <f>IFERROR(IF(ISBLANK(S27),IFERROR(VLOOKUP($E27,Sheet3!$H$2:$O$200,Z$1,FALSE),IFERROR(VLOOKUP($F27,Sheet3!$H$2:$O$200,Z$1,FALSE),VLOOKUP($G27,Sheet3!$H$2:$O$200,Z$1,FALSE))),$I$1),$I$1)</f>
        <v>0</v>
      </c>
      <c r="AA27" s="15">
        <f>IFERROR(IF(ISBLANK(T27),IFERROR(VLOOKUP($E27,Sheet3!$H$2:$O$200,AA$1,FALSE),IFERROR(VLOOKUP($F27,Sheet3!$H$2:$O$200,AA$1,FALSE),VLOOKUP($G27,Sheet3!$H$2:$O$200,AA$1,FALSE))),$I$1),$I$1)</f>
        <v>0</v>
      </c>
      <c r="AB27" s="15">
        <f>IFERROR(IF(ISBLANK(U27),IFERROR(VLOOKUP($E27,Sheet3!$H$2:$O$200,AB$1,FALSE),IFERROR(VLOOKUP($F27,Sheet3!$H$2:$O$200,AB$1,FALSE),VLOOKUP($G27,Sheet3!$H$2:$O$200,AB$1,FALSE))),$I$1),$I$1)</f>
        <v>0</v>
      </c>
      <c r="AC27" s="15">
        <f>IFERROR(IF(ISBLANK(V27),IFERROR(VLOOKUP($E27,Sheet3!$H$2:$O$200,AC$1,FALSE),IFERROR(VLOOKUP($F27,Sheet3!$H$2:$O$200,AC$1,FALSE),VLOOKUP($G27,Sheet3!$H$2:$O$200,AC$1,FALSE))),$I$1),$I$1)</f>
        <v>0</v>
      </c>
      <c r="AD27" s="15">
        <f>IFERROR(IF(ISBLANK(W27),IFERROR(VLOOKUP($E27,Sheet3!$H$2:$O$200,AD$1,FALSE),IFERROR(VLOOKUP($F27,Sheet3!$H$2:$O$200,AD$1,FALSE),VLOOKUP($G27,Sheet3!$H$2:$O$200,AD$1,FALSE))),$I$1),$I$1)</f>
        <v>0</v>
      </c>
      <c r="AE27" s="15">
        <f>IFERROR(IF(ISBLANK(X27),IFERROR(VLOOKUP($F27,Sheet3!$H$2:$O$200,AE$1,FALSE),VLOOKUP($G27,Sheet3!$H$2:$O$200,AE$1,FALSE)),$I$1),$I$1)</f>
        <v>0</v>
      </c>
      <c r="AF27" s="15">
        <f>IFERROR(IF(ISBLANK(Y27),IFERROR(VLOOKUP($F27,Sheet3!$H$2:$O$200,AF$1,FALSE),VLOOKUP($G27,Sheet3!$H$2:$O$200,AF$1,FALSE)),$I$1),$I$1)</f>
        <v>0</v>
      </c>
      <c r="AG27" s="15">
        <f>IFERROR(IF(ISBLANK(Z27),IFERROR(VLOOKUP($F27,Sheet3!$H$2:$O$200,AG$1,FALSE),VLOOKUP($G27,Sheet3!$H$2:$O$200,AG$1,FALSE)),$I$1),$I$1)</f>
        <v>0</v>
      </c>
      <c r="AH27" s="15">
        <f>IFERROR(IF(ISBLANK(AA27),IFERROR(VLOOKUP($F27,Sheet3!$H$2:$O$200,AH$1,FALSE),VLOOKUP($G27,Sheet3!$H$2:$O$200,AH$1,FALSE)),$I$1),$I$1)</f>
        <v>0</v>
      </c>
      <c r="AI27" s="15">
        <f>IFERROR(IF(ISBLANK(AB27),IFERROR(VLOOKUP($F27,Sheet3!$H$2:$O$200,AI$1,FALSE),VLOOKUP($G27,Sheet3!$H$2:$O$200,AI$1,FALSE)),$I$1),$I$1)</f>
        <v>0</v>
      </c>
      <c r="AJ27" s="15">
        <f>IFERROR(IF(ISBLANK(AC27),IFERROR(VLOOKUP($F27,Sheet3!$H$2:$O$200,AJ$1,FALSE),VLOOKUP($G27,Sheet3!$H$2:$O$200,AJ$1,FALSE)),$I$1),$I$1)</f>
        <v>0</v>
      </c>
      <c r="AK27" s="15">
        <f>IFERROR(IF(ISBLANK(AD27),IFERROR(VLOOKUP($F27,Sheet3!$H$2:$O$200,AK$1,FALSE),VLOOKUP($G27,Sheet3!$H$2:$O$200,AK$1,FALSE)),$I$1),$I$1)</f>
        <v>0</v>
      </c>
      <c r="AL27" s="15">
        <f>IFERROR(IF(ISBLANK(AE27),VLOOKUP($G27,Sheet3!$H$2:$O$200,AL$1,FALSE),$I$1),$I$1)</f>
        <v>0</v>
      </c>
      <c r="AM27" s="15">
        <f>IFERROR(IF(ISBLANK(AF27),VLOOKUP($G27,Sheet3!$H$2:$O$200,AM$1,FALSE),$I$1),$I$1)</f>
        <v>0</v>
      </c>
      <c r="AN27" s="15">
        <f>IFERROR(IF(ISBLANK(AG27),VLOOKUP($G27,Sheet3!$H$2:$O$200,AN$1,FALSE),$I$1),$I$1)</f>
        <v>0</v>
      </c>
      <c r="AO27" s="15">
        <f>IFERROR(IF(ISBLANK(AH27),VLOOKUP($G27,Sheet3!$H$2:$O$200,AO$1,FALSE),$I$1),$I$1)</f>
        <v>0</v>
      </c>
      <c r="AP27" s="15">
        <f>IFERROR(IF(ISBLANK(AI27),VLOOKUP($G27,Sheet3!$H$2:$O$200,AP$1,FALSE),$I$1),$I$1)</f>
        <v>0</v>
      </c>
      <c r="AQ27" s="15">
        <f>IFERROR(IF(ISBLANK(AJ27),VLOOKUP($G27,Sheet3!$H$2:$O$200,AQ$1,FALSE),$I$1),$I$1)</f>
        <v>0</v>
      </c>
      <c r="AR27" s="15">
        <f>IFERROR(IF(ISBLANK(AK27),VLOOKUP($G27,Sheet3!$H$2:$O$200,AR$1,FALSE),$I$1),$I$1)</f>
        <v>0</v>
      </c>
      <c r="AS27" s="15">
        <f t="shared" si="1"/>
        <v>28</v>
      </c>
      <c r="AT27" s="15" t="b">
        <f t="shared" si="2"/>
        <v>0</v>
      </c>
    </row>
    <row r="28" spans="1:46" x14ac:dyDescent="0.2">
      <c r="A28" s="19" t="s">
        <v>98</v>
      </c>
      <c r="B28" s="19" t="s">
        <v>99</v>
      </c>
      <c r="C28" s="19" t="s">
        <v>100</v>
      </c>
      <c r="D28" s="19" t="s">
        <v>38</v>
      </c>
      <c r="E28" s="19"/>
      <c r="F28" s="19"/>
      <c r="G28" s="19"/>
      <c r="H28" s="19" t="s">
        <v>98</v>
      </c>
      <c r="I28" s="15">
        <f t="shared" si="0"/>
        <v>2</v>
      </c>
      <c r="J28" s="15">
        <f>IFERROR(VLOOKUP($C28,Sheet3!$H$2:$O$200,J$1,FALSE),IFERROR(VLOOKUP($D28,Sheet3!$H$2:$O$200,J$1,FALSE),VLOOKUP($E28,Sheet3!$H$2:$O$200,J$1,FALSE)))</f>
        <v>0</v>
      </c>
      <c r="K28" s="15">
        <f>IFERROR(VLOOKUP($C28,Sheet3!$H$2:$O$200,K$1,FALSE),IFERROR(VLOOKUP($D28,Sheet3!$H$2:$O$200,K$1,FALSE),VLOOKUP($E28,Sheet3!$H$2:$O$200,K$1,FALSE)))</f>
        <v>0</v>
      </c>
      <c r="L28" s="15">
        <f>IFERROR(VLOOKUP($C28,Sheet3!$H$2:$O$200,L$1,FALSE),IFERROR(VLOOKUP($D28,Sheet3!$H$2:$O$200,L$1,FALSE),VLOOKUP($E28,Sheet3!$H$2:$O$200,L$1,FALSE)))</f>
        <v>0</v>
      </c>
      <c r="M28" s="15" t="str">
        <f>IFERROR(VLOOKUP($C28,Sheet3!$H$2:$O$200,M$1,FALSE),IFERROR(VLOOKUP($D28,Sheet3!$H$2:$O$200,M$1,FALSE),VLOOKUP($E28,Sheet3!$H$2:$O$200,M$1,FALSE)))</f>
        <v>triple sec</v>
      </c>
      <c r="N28" s="15">
        <f>IFERROR(VLOOKUP($C28,Sheet3!$H$2:$O$200,N$1,FALSE),IFERROR(VLOOKUP($D28,Sheet3!$H$2:$O$200,N$1,FALSE),VLOOKUP($E28,Sheet3!$H$2:$O$200,N$1,FALSE)))</f>
        <v>0</v>
      </c>
      <c r="O28" s="15">
        <f>IFERROR(VLOOKUP($C28,Sheet3!$H$2:$O$200,O$1,FALSE),IFERROR(VLOOKUP($D28,Sheet3!$H$2:$O$200,O$1,FALSE),VLOOKUP($E28,Sheet3!$H$2:$O$200,O$1,FALSE)))</f>
        <v>0</v>
      </c>
      <c r="P28" s="15">
        <f>IFERROR(VLOOKUP($C28,Sheet3!$H$2:$O$200,P$1,FALSE),IFERROR(VLOOKUP($D28,Sheet3!$H$2:$O$200,P$1,FALSE),VLOOKUP($E28,Sheet3!$H$2:$O$200,P$1,FALSE)))</f>
        <v>0</v>
      </c>
      <c r="Q28" s="15">
        <f>IFERROR(IF(ISBLANK(J28),IFERROR(VLOOKUP($D28,Sheet3!$H$2:$O$200,Q$1,FALSE),IFERROR(VLOOKUP($E28,Sheet3!$H$2:$O$200,Q$1,FALSE),VLOOKUP($F28,Sheet3!$H$2:$O$200,Q$1,FALSE))),$I$1),$I$1)</f>
        <v>0</v>
      </c>
      <c r="R28" s="15">
        <f>IFERROR(IF(ISBLANK(K28),IFERROR(VLOOKUP($D28,Sheet3!$H$2:$O$200,R$1,FALSE),IFERROR(VLOOKUP($E28,Sheet3!$H$2:$O$200,R$1,FALSE),VLOOKUP($F28,Sheet3!$H$2:$O$200,R$1,FALSE))),$I$1),$I$1)</f>
        <v>0</v>
      </c>
      <c r="S28" s="15">
        <f>IFERROR(IF(ISBLANK(L28),IFERROR(VLOOKUP($D28,Sheet3!$H$2:$O$200,S$1,FALSE),IFERROR(VLOOKUP($E28,Sheet3!$H$2:$O$200,S$1,FALSE),VLOOKUP($F28,Sheet3!$H$2:$O$200,S$1,FALSE))),$I$1),$I$1)</f>
        <v>0</v>
      </c>
      <c r="T28" s="15">
        <f>IFERROR(IF(ISBLANK(M28),IFERROR(VLOOKUP($D28,Sheet3!$H$2:$O$200,T$1,FALSE),IFERROR(VLOOKUP($E28,Sheet3!$H$2:$O$200,T$1,FALSE),VLOOKUP($F28,Sheet3!$H$2:$O$200,T$1,FALSE))),$I$1),$I$1)</f>
        <v>0</v>
      </c>
      <c r="U28" s="15">
        <f>IFERROR(IF(ISBLANK(N28),IFERROR(VLOOKUP($D28,Sheet3!$H$2:$O$200,U$1,FALSE),IFERROR(VLOOKUP($E28,Sheet3!$H$2:$O$200,U$1,FALSE),VLOOKUP($F28,Sheet3!$H$2:$O$200,U$1,FALSE))),$I$1),$I$1)</f>
        <v>0</v>
      </c>
      <c r="V28" s="15">
        <f>IFERROR(IF(ISBLANK(O28),IFERROR(VLOOKUP($D28,Sheet3!$H$2:$O$200,V$1,FALSE),IFERROR(VLOOKUP($E28,Sheet3!$H$2:$O$200,V$1,FALSE),VLOOKUP($F28,Sheet3!$H$2:$O$200,V$1,FALSE))),$I$1),$I$1)</f>
        <v>0</v>
      </c>
      <c r="W28" s="15">
        <f>IFERROR(IF(ISBLANK(P28),IFERROR(VLOOKUP($D28,Sheet3!$H$2:$O$200,W$1,FALSE),IFERROR(VLOOKUP($E28,Sheet3!$H$2:$O$200,W$1,FALSE),VLOOKUP($F28,Sheet3!$H$2:$O$200,W$1,FALSE))),$I$1),$I$1)</f>
        <v>0</v>
      </c>
      <c r="X28" s="15">
        <f>IFERROR(IF(ISBLANK(Q28),IFERROR(VLOOKUP($E28,Sheet3!$H$2:$O$200,X$1,FALSE),IFERROR(VLOOKUP($F28,Sheet3!$H$2:$O$200,X$1,FALSE),VLOOKUP($G28,Sheet3!$H$2:$O$200,X$1,FALSE))),$I$1),$I$1)</f>
        <v>0</v>
      </c>
      <c r="Y28" s="15">
        <f>IFERROR(IF(ISBLANK(R28),IFERROR(VLOOKUP($E28,Sheet3!$H$2:$O$200,Y$1,FALSE),IFERROR(VLOOKUP($F28,Sheet3!$H$2:$O$200,Y$1,FALSE),VLOOKUP($G28,Sheet3!$H$2:$O$200,Y$1,FALSE))),$I$1),$I$1)</f>
        <v>0</v>
      </c>
      <c r="Z28" s="15">
        <f>IFERROR(IF(ISBLANK(S28),IFERROR(VLOOKUP($E28,Sheet3!$H$2:$O$200,Z$1,FALSE),IFERROR(VLOOKUP($F28,Sheet3!$H$2:$O$200,Z$1,FALSE),VLOOKUP($G28,Sheet3!$H$2:$O$200,Z$1,FALSE))),$I$1),$I$1)</f>
        <v>0</v>
      </c>
      <c r="AA28" s="15">
        <f>IFERROR(IF(ISBLANK(T28),IFERROR(VLOOKUP($E28,Sheet3!$H$2:$O$200,AA$1,FALSE),IFERROR(VLOOKUP($F28,Sheet3!$H$2:$O$200,AA$1,FALSE),VLOOKUP($G28,Sheet3!$H$2:$O$200,AA$1,FALSE))),$I$1),$I$1)</f>
        <v>0</v>
      </c>
      <c r="AB28" s="15">
        <f>IFERROR(IF(ISBLANK(U28),IFERROR(VLOOKUP($E28,Sheet3!$H$2:$O$200,AB$1,FALSE),IFERROR(VLOOKUP($F28,Sheet3!$H$2:$O$200,AB$1,FALSE),VLOOKUP($G28,Sheet3!$H$2:$O$200,AB$1,FALSE))),$I$1),$I$1)</f>
        <v>0</v>
      </c>
      <c r="AC28" s="15">
        <f>IFERROR(IF(ISBLANK(V28),IFERROR(VLOOKUP($E28,Sheet3!$H$2:$O$200,AC$1,FALSE),IFERROR(VLOOKUP($F28,Sheet3!$H$2:$O$200,AC$1,FALSE),VLOOKUP($G28,Sheet3!$H$2:$O$200,AC$1,FALSE))),$I$1),$I$1)</f>
        <v>0</v>
      </c>
      <c r="AD28" s="15">
        <f>IFERROR(IF(ISBLANK(W28),IFERROR(VLOOKUP($E28,Sheet3!$H$2:$O$200,AD$1,FALSE),IFERROR(VLOOKUP($F28,Sheet3!$H$2:$O$200,AD$1,FALSE),VLOOKUP($G28,Sheet3!$H$2:$O$200,AD$1,FALSE))),$I$1),$I$1)</f>
        <v>0</v>
      </c>
      <c r="AE28" s="15">
        <f>IFERROR(IF(ISBLANK(X28),IFERROR(VLOOKUP($F28,Sheet3!$H$2:$O$200,AE$1,FALSE),VLOOKUP($G28,Sheet3!$H$2:$O$200,AE$1,FALSE)),$I$1),$I$1)</f>
        <v>0</v>
      </c>
      <c r="AF28" s="15">
        <f>IFERROR(IF(ISBLANK(Y28),IFERROR(VLOOKUP($F28,Sheet3!$H$2:$O$200,AF$1,FALSE),VLOOKUP($G28,Sheet3!$H$2:$O$200,AF$1,FALSE)),$I$1),$I$1)</f>
        <v>0</v>
      </c>
      <c r="AG28" s="15">
        <f>IFERROR(IF(ISBLANK(Z28),IFERROR(VLOOKUP($F28,Sheet3!$H$2:$O$200,AG$1,FALSE),VLOOKUP($G28,Sheet3!$H$2:$O$200,AG$1,FALSE)),$I$1),$I$1)</f>
        <v>0</v>
      </c>
      <c r="AH28" s="15">
        <f>IFERROR(IF(ISBLANK(AA28),IFERROR(VLOOKUP($F28,Sheet3!$H$2:$O$200,AH$1,FALSE),VLOOKUP($G28,Sheet3!$H$2:$O$200,AH$1,FALSE)),$I$1),$I$1)</f>
        <v>0</v>
      </c>
      <c r="AI28" s="15">
        <f>IFERROR(IF(ISBLANK(AB28),IFERROR(VLOOKUP($F28,Sheet3!$H$2:$O$200,AI$1,FALSE),VLOOKUP($G28,Sheet3!$H$2:$O$200,AI$1,FALSE)),$I$1),$I$1)</f>
        <v>0</v>
      </c>
      <c r="AJ28" s="15">
        <f>IFERROR(IF(ISBLANK(AC28),IFERROR(VLOOKUP($F28,Sheet3!$H$2:$O$200,AJ$1,FALSE),VLOOKUP($G28,Sheet3!$H$2:$O$200,AJ$1,FALSE)),$I$1),$I$1)</f>
        <v>0</v>
      </c>
      <c r="AK28" s="15">
        <f>IFERROR(IF(ISBLANK(AD28),IFERROR(VLOOKUP($F28,Sheet3!$H$2:$O$200,AK$1,FALSE),VLOOKUP($G28,Sheet3!$H$2:$O$200,AK$1,FALSE)),$I$1),$I$1)</f>
        <v>0</v>
      </c>
      <c r="AL28" s="15">
        <f>IFERROR(IF(ISBLANK(AE28),VLOOKUP($G28,Sheet3!$H$2:$O$200,AL$1,FALSE),$I$1),$I$1)</f>
        <v>0</v>
      </c>
      <c r="AM28" s="15">
        <f>IFERROR(IF(ISBLANK(AF28),VLOOKUP($G28,Sheet3!$H$2:$O$200,AM$1,FALSE),$I$1),$I$1)</f>
        <v>0</v>
      </c>
      <c r="AN28" s="15">
        <f>IFERROR(IF(ISBLANK(AG28),VLOOKUP($G28,Sheet3!$H$2:$O$200,AN$1,FALSE),$I$1),$I$1)</f>
        <v>0</v>
      </c>
      <c r="AO28" s="15">
        <f>IFERROR(IF(ISBLANK(AH28),VLOOKUP($G28,Sheet3!$H$2:$O$200,AO$1,FALSE),$I$1),$I$1)</f>
        <v>0</v>
      </c>
      <c r="AP28" s="15">
        <f>IFERROR(IF(ISBLANK(AI28),VLOOKUP($G28,Sheet3!$H$2:$O$200,AP$1,FALSE),$I$1),$I$1)</f>
        <v>0</v>
      </c>
      <c r="AQ28" s="15">
        <f>IFERROR(IF(ISBLANK(AJ28),VLOOKUP($G28,Sheet3!$H$2:$O$200,AQ$1,FALSE),$I$1),$I$1)</f>
        <v>0</v>
      </c>
      <c r="AR28" s="15">
        <f>IFERROR(IF(ISBLANK(AK28),VLOOKUP($G28,Sheet3!$H$2:$O$200,AR$1,FALSE),$I$1),$I$1)</f>
        <v>0</v>
      </c>
      <c r="AS28" s="15">
        <f t="shared" si="1"/>
        <v>28</v>
      </c>
      <c r="AT28" s="15" t="b">
        <f t="shared" si="2"/>
        <v>0</v>
      </c>
    </row>
    <row r="29" spans="1:46" x14ac:dyDescent="0.2">
      <c r="A29" s="19" t="s">
        <v>102</v>
      </c>
      <c r="B29" s="19" t="s">
        <v>49</v>
      </c>
      <c r="C29" s="19" t="s">
        <v>31</v>
      </c>
      <c r="D29" s="19"/>
      <c r="E29" s="19"/>
      <c r="F29" s="19"/>
      <c r="G29" s="19"/>
      <c r="H29" s="19" t="s">
        <v>102</v>
      </c>
      <c r="I29" s="15">
        <f t="shared" si="0"/>
        <v>1</v>
      </c>
      <c r="J29" s="15">
        <f>IFERROR(VLOOKUP($C29,Sheet3!$H$2:$O$200,J$1,FALSE),IFERROR(VLOOKUP($D29,Sheet3!$H$2:$O$200,J$1,FALSE),VLOOKUP($E29,Sheet3!$H$2:$O$200,J$1,FALSE)))</f>
        <v>0</v>
      </c>
      <c r="K29" s="15">
        <f>IFERROR(VLOOKUP($C29,Sheet3!$H$2:$O$200,K$1,FALSE),IFERROR(VLOOKUP($D29,Sheet3!$H$2:$O$200,K$1,FALSE),VLOOKUP($E29,Sheet3!$H$2:$O$200,K$1,FALSE)))</f>
        <v>0</v>
      </c>
      <c r="L29" s="15">
        <f>IFERROR(VLOOKUP($C29,Sheet3!$H$2:$O$200,L$1,FALSE),IFERROR(VLOOKUP($D29,Sheet3!$H$2:$O$200,L$1,FALSE),VLOOKUP($E29,Sheet3!$H$2:$O$200,L$1,FALSE)))</f>
        <v>0</v>
      </c>
      <c r="M29" s="15" t="str">
        <f>IFERROR(VLOOKUP($C29,Sheet3!$H$2:$O$200,M$1,FALSE),IFERROR(VLOOKUP($D29,Sheet3!$H$2:$O$200,M$1,FALSE),VLOOKUP($E29,Sheet3!$H$2:$O$200,M$1,FALSE)))</f>
        <v>white crème de cacao</v>
      </c>
      <c r="N29" s="15">
        <f>IFERROR(VLOOKUP($C29,Sheet3!$H$2:$O$200,N$1,FALSE),IFERROR(VLOOKUP($D29,Sheet3!$H$2:$O$200,N$1,FALSE),VLOOKUP($E29,Sheet3!$H$2:$O$200,N$1,FALSE)))</f>
        <v>0</v>
      </c>
      <c r="O29" s="15">
        <f>IFERROR(VLOOKUP($C29,Sheet3!$H$2:$O$200,O$1,FALSE),IFERROR(VLOOKUP($D29,Sheet3!$H$2:$O$200,O$1,FALSE),VLOOKUP($E29,Sheet3!$H$2:$O$200,O$1,FALSE)))</f>
        <v>0</v>
      </c>
      <c r="P29" s="15">
        <f>IFERROR(VLOOKUP($C29,Sheet3!$H$2:$O$200,P$1,FALSE),IFERROR(VLOOKUP($D29,Sheet3!$H$2:$O$200,P$1,FALSE),VLOOKUP($E29,Sheet3!$H$2:$O$200,P$1,FALSE)))</f>
        <v>0</v>
      </c>
      <c r="Q29" s="15">
        <f>IFERROR(IF(ISBLANK(J29),IFERROR(VLOOKUP($D29,Sheet3!$H$2:$O$200,Q$1,FALSE),IFERROR(VLOOKUP($E29,Sheet3!$H$2:$O$200,Q$1,FALSE),VLOOKUP($F29,Sheet3!$H$2:$O$200,Q$1,FALSE))),$I$1),$I$1)</f>
        <v>0</v>
      </c>
      <c r="R29" s="15">
        <f>IFERROR(IF(ISBLANK(K29),IFERROR(VLOOKUP($D29,Sheet3!$H$2:$O$200,R$1,FALSE),IFERROR(VLOOKUP($E29,Sheet3!$H$2:$O$200,R$1,FALSE),VLOOKUP($F29,Sheet3!$H$2:$O$200,R$1,FALSE))),$I$1),$I$1)</f>
        <v>0</v>
      </c>
      <c r="S29" s="15">
        <f>IFERROR(IF(ISBLANK(L29),IFERROR(VLOOKUP($D29,Sheet3!$H$2:$O$200,S$1,FALSE),IFERROR(VLOOKUP($E29,Sheet3!$H$2:$O$200,S$1,FALSE),VLOOKUP($F29,Sheet3!$H$2:$O$200,S$1,FALSE))),$I$1),$I$1)</f>
        <v>0</v>
      </c>
      <c r="T29" s="15">
        <f>IFERROR(IF(ISBLANK(M29),IFERROR(VLOOKUP($D29,Sheet3!$H$2:$O$200,T$1,FALSE),IFERROR(VLOOKUP($E29,Sheet3!$H$2:$O$200,T$1,FALSE),VLOOKUP($F29,Sheet3!$H$2:$O$200,T$1,FALSE))),$I$1),$I$1)</f>
        <v>0</v>
      </c>
      <c r="U29" s="15">
        <f>IFERROR(IF(ISBLANK(N29),IFERROR(VLOOKUP($D29,Sheet3!$H$2:$O$200,U$1,FALSE),IFERROR(VLOOKUP($E29,Sheet3!$H$2:$O$200,U$1,FALSE),VLOOKUP($F29,Sheet3!$H$2:$O$200,U$1,FALSE))),$I$1),$I$1)</f>
        <v>0</v>
      </c>
      <c r="V29" s="15">
        <f>IFERROR(IF(ISBLANK(O29),IFERROR(VLOOKUP($D29,Sheet3!$H$2:$O$200,V$1,FALSE),IFERROR(VLOOKUP($E29,Sheet3!$H$2:$O$200,V$1,FALSE),VLOOKUP($F29,Sheet3!$H$2:$O$200,V$1,FALSE))),$I$1),$I$1)</f>
        <v>0</v>
      </c>
      <c r="W29" s="15">
        <f>IFERROR(IF(ISBLANK(P29),IFERROR(VLOOKUP($D29,Sheet3!$H$2:$O$200,W$1,FALSE),IFERROR(VLOOKUP($E29,Sheet3!$H$2:$O$200,W$1,FALSE),VLOOKUP($F29,Sheet3!$H$2:$O$200,W$1,FALSE))),$I$1),$I$1)</f>
        <v>0</v>
      </c>
      <c r="X29" s="15">
        <f>IFERROR(IF(ISBLANK(Q29),IFERROR(VLOOKUP($E29,Sheet3!$H$2:$O$200,X$1,FALSE),IFERROR(VLOOKUP($F29,Sheet3!$H$2:$O$200,X$1,FALSE),VLOOKUP($G29,Sheet3!$H$2:$O$200,X$1,FALSE))),$I$1),$I$1)</f>
        <v>0</v>
      </c>
      <c r="Y29" s="15">
        <f>IFERROR(IF(ISBLANK(R29),IFERROR(VLOOKUP($E29,Sheet3!$H$2:$O$200,Y$1,FALSE),IFERROR(VLOOKUP($F29,Sheet3!$H$2:$O$200,Y$1,FALSE),VLOOKUP($G29,Sheet3!$H$2:$O$200,Y$1,FALSE))),$I$1),$I$1)</f>
        <v>0</v>
      </c>
      <c r="Z29" s="15">
        <f>IFERROR(IF(ISBLANK(S29),IFERROR(VLOOKUP($E29,Sheet3!$H$2:$O$200,Z$1,FALSE),IFERROR(VLOOKUP($F29,Sheet3!$H$2:$O$200,Z$1,FALSE),VLOOKUP($G29,Sheet3!$H$2:$O$200,Z$1,FALSE))),$I$1),$I$1)</f>
        <v>0</v>
      </c>
      <c r="AA29" s="15">
        <f>IFERROR(IF(ISBLANK(T29),IFERROR(VLOOKUP($E29,Sheet3!$H$2:$O$200,AA$1,FALSE),IFERROR(VLOOKUP($F29,Sheet3!$H$2:$O$200,AA$1,FALSE),VLOOKUP($G29,Sheet3!$H$2:$O$200,AA$1,FALSE))),$I$1),$I$1)</f>
        <v>0</v>
      </c>
      <c r="AB29" s="15">
        <f>IFERROR(IF(ISBLANK(U29),IFERROR(VLOOKUP($E29,Sheet3!$H$2:$O$200,AB$1,FALSE),IFERROR(VLOOKUP($F29,Sheet3!$H$2:$O$200,AB$1,FALSE),VLOOKUP($G29,Sheet3!$H$2:$O$200,AB$1,FALSE))),$I$1),$I$1)</f>
        <v>0</v>
      </c>
      <c r="AC29" s="15">
        <f>IFERROR(IF(ISBLANK(V29),IFERROR(VLOOKUP($E29,Sheet3!$H$2:$O$200,AC$1,FALSE),IFERROR(VLOOKUP($F29,Sheet3!$H$2:$O$200,AC$1,FALSE),VLOOKUP($G29,Sheet3!$H$2:$O$200,AC$1,FALSE))),$I$1),$I$1)</f>
        <v>0</v>
      </c>
      <c r="AD29" s="15">
        <f>IFERROR(IF(ISBLANK(W29),IFERROR(VLOOKUP($E29,Sheet3!$H$2:$O$200,AD$1,FALSE),IFERROR(VLOOKUP($F29,Sheet3!$H$2:$O$200,AD$1,FALSE),VLOOKUP($G29,Sheet3!$H$2:$O$200,AD$1,FALSE))),$I$1),$I$1)</f>
        <v>0</v>
      </c>
      <c r="AE29" s="15">
        <f>IFERROR(IF(ISBLANK(X29),IFERROR(VLOOKUP($F29,Sheet3!$H$2:$O$200,AE$1,FALSE),VLOOKUP($G29,Sheet3!$H$2:$O$200,AE$1,FALSE)),$I$1),$I$1)</f>
        <v>0</v>
      </c>
      <c r="AF29" s="15">
        <f>IFERROR(IF(ISBLANK(Y29),IFERROR(VLOOKUP($F29,Sheet3!$H$2:$O$200,AF$1,FALSE),VLOOKUP($G29,Sheet3!$H$2:$O$200,AF$1,FALSE)),$I$1),$I$1)</f>
        <v>0</v>
      </c>
      <c r="AG29" s="15">
        <f>IFERROR(IF(ISBLANK(Z29),IFERROR(VLOOKUP($F29,Sheet3!$H$2:$O$200,AG$1,FALSE),VLOOKUP($G29,Sheet3!$H$2:$O$200,AG$1,FALSE)),$I$1),$I$1)</f>
        <v>0</v>
      </c>
      <c r="AH29" s="15">
        <f>IFERROR(IF(ISBLANK(AA29),IFERROR(VLOOKUP($F29,Sheet3!$H$2:$O$200,AH$1,FALSE),VLOOKUP($G29,Sheet3!$H$2:$O$200,AH$1,FALSE)),$I$1),$I$1)</f>
        <v>0</v>
      </c>
      <c r="AI29" s="15">
        <f>IFERROR(IF(ISBLANK(AB29),IFERROR(VLOOKUP($F29,Sheet3!$H$2:$O$200,AI$1,FALSE),VLOOKUP($G29,Sheet3!$H$2:$O$200,AI$1,FALSE)),$I$1),$I$1)</f>
        <v>0</v>
      </c>
      <c r="AJ29" s="15">
        <f>IFERROR(IF(ISBLANK(AC29),IFERROR(VLOOKUP($F29,Sheet3!$H$2:$O$200,AJ$1,FALSE),VLOOKUP($G29,Sheet3!$H$2:$O$200,AJ$1,FALSE)),$I$1),$I$1)</f>
        <v>0</v>
      </c>
      <c r="AK29" s="15">
        <f>IFERROR(IF(ISBLANK(AD29),IFERROR(VLOOKUP($F29,Sheet3!$H$2:$O$200,AK$1,FALSE),VLOOKUP($G29,Sheet3!$H$2:$O$200,AK$1,FALSE)),$I$1),$I$1)</f>
        <v>0</v>
      </c>
      <c r="AL29" s="15">
        <f>IFERROR(IF(ISBLANK(AE29),VLOOKUP($G29,Sheet3!$H$2:$O$200,AL$1,FALSE),$I$1),$I$1)</f>
        <v>0</v>
      </c>
      <c r="AM29" s="15">
        <f>IFERROR(IF(ISBLANK(AF29),VLOOKUP($G29,Sheet3!$H$2:$O$200,AM$1,FALSE),$I$1),$I$1)</f>
        <v>0</v>
      </c>
      <c r="AN29" s="15">
        <f>IFERROR(IF(ISBLANK(AG29),VLOOKUP($G29,Sheet3!$H$2:$O$200,AN$1,FALSE),$I$1),$I$1)</f>
        <v>0</v>
      </c>
      <c r="AO29" s="15">
        <f>IFERROR(IF(ISBLANK(AH29),VLOOKUP($G29,Sheet3!$H$2:$O$200,AO$1,FALSE),$I$1),$I$1)</f>
        <v>0</v>
      </c>
      <c r="AP29" s="15">
        <f>IFERROR(IF(ISBLANK(AI29),VLOOKUP($G29,Sheet3!$H$2:$O$200,AP$1,FALSE),$I$1),$I$1)</f>
        <v>0</v>
      </c>
      <c r="AQ29" s="15">
        <f>IFERROR(IF(ISBLANK(AJ29),VLOOKUP($G29,Sheet3!$H$2:$O$200,AQ$1,FALSE),$I$1),$I$1)</f>
        <v>0</v>
      </c>
      <c r="AR29" s="15">
        <f>IFERROR(IF(ISBLANK(AK29),VLOOKUP($G29,Sheet3!$H$2:$O$200,AR$1,FALSE),$I$1),$I$1)</f>
        <v>0</v>
      </c>
      <c r="AS29" s="15">
        <f t="shared" si="1"/>
        <v>28</v>
      </c>
      <c r="AT29" s="15" t="b">
        <f t="shared" si="2"/>
        <v>0</v>
      </c>
    </row>
    <row r="30" spans="1:46" x14ac:dyDescent="0.2">
      <c r="A30" s="19" t="s">
        <v>103</v>
      </c>
      <c r="B30" s="19" t="s">
        <v>49</v>
      </c>
      <c r="C30" s="19" t="s">
        <v>53</v>
      </c>
      <c r="D30" s="19"/>
      <c r="E30" s="19" t="s">
        <v>104</v>
      </c>
      <c r="F30" s="19"/>
      <c r="G30" s="19"/>
      <c r="H30" s="19" t="s">
        <v>103</v>
      </c>
      <c r="I30" s="15">
        <f t="shared" si="0"/>
        <v>2</v>
      </c>
      <c r="J30" s="15">
        <f>IFERROR(VLOOKUP($C30,Sheet3!$H$2:$O$200,J$1,FALSE),IFERROR(VLOOKUP($D30,Sheet3!$H$2:$O$200,J$1,FALSE),VLOOKUP($E30,Sheet3!$H$2:$O$200,J$1,FALSE)))</f>
        <v>0</v>
      </c>
      <c r="K30" s="15">
        <f>IFERROR(VLOOKUP($C30,Sheet3!$H$2:$O$200,K$1,FALSE),IFERROR(VLOOKUP($D30,Sheet3!$H$2:$O$200,K$1,FALSE),VLOOKUP($E30,Sheet3!$H$2:$O$200,K$1,FALSE)))</f>
        <v>0</v>
      </c>
      <c r="L30" s="15">
        <f>IFERROR(VLOOKUP($C30,Sheet3!$H$2:$O$200,L$1,FALSE),IFERROR(VLOOKUP($D30,Sheet3!$H$2:$O$200,L$1,FALSE),VLOOKUP($E30,Sheet3!$H$2:$O$200,L$1,FALSE)))</f>
        <v>0</v>
      </c>
      <c r="M30" s="15" t="str">
        <f>IFERROR(VLOOKUP($C30,Sheet3!$H$2:$O$200,M$1,FALSE),IFERROR(VLOOKUP($D30,Sheet3!$H$2:$O$200,M$1,FALSE),VLOOKUP($E30,Sheet3!$H$2:$O$200,M$1,FALSE)))</f>
        <v>Dubonnet</v>
      </c>
      <c r="N30" s="15">
        <f>IFERROR(VLOOKUP($C30,Sheet3!$H$2:$O$200,N$1,FALSE),IFERROR(VLOOKUP($D30,Sheet3!$H$2:$O$200,N$1,FALSE),VLOOKUP($E30,Sheet3!$H$2:$O$200,N$1,FALSE)))</f>
        <v>0</v>
      </c>
      <c r="O30" s="15">
        <f>IFERROR(VLOOKUP($C30,Sheet3!$H$2:$O$200,O$1,FALSE),IFERROR(VLOOKUP($D30,Sheet3!$H$2:$O$200,O$1,FALSE),VLOOKUP($E30,Sheet3!$H$2:$O$200,O$1,FALSE)))</f>
        <v>0</v>
      </c>
      <c r="P30" s="15">
        <f>IFERROR(VLOOKUP($C30,Sheet3!$H$2:$O$200,P$1,FALSE),IFERROR(VLOOKUP($D30,Sheet3!$H$2:$O$200,P$1,FALSE),VLOOKUP($E30,Sheet3!$H$2:$O$200,P$1,FALSE)))</f>
        <v>0</v>
      </c>
      <c r="Q30" s="15">
        <f>IFERROR(IF(ISBLANK(J30),IFERROR(VLOOKUP($D30,Sheet3!$H$2:$O$200,Q$1,FALSE),IFERROR(VLOOKUP($E30,Sheet3!$H$2:$O$200,Q$1,FALSE),VLOOKUP($F30,Sheet3!$H$2:$O$200,Q$1,FALSE))),$I$1),$I$1)</f>
        <v>0</v>
      </c>
      <c r="R30" s="15">
        <f>IFERROR(IF(ISBLANK(K30),IFERROR(VLOOKUP($D30,Sheet3!$H$2:$O$200,R$1,FALSE),IFERROR(VLOOKUP($E30,Sheet3!$H$2:$O$200,R$1,FALSE),VLOOKUP($F30,Sheet3!$H$2:$O$200,R$1,FALSE))),$I$1),$I$1)</f>
        <v>0</v>
      </c>
      <c r="S30" s="15">
        <f>IFERROR(IF(ISBLANK(L30),IFERROR(VLOOKUP($D30,Sheet3!$H$2:$O$200,S$1,FALSE),IFERROR(VLOOKUP($E30,Sheet3!$H$2:$O$200,S$1,FALSE),VLOOKUP($F30,Sheet3!$H$2:$O$200,S$1,FALSE))),$I$1),$I$1)</f>
        <v>0</v>
      </c>
      <c r="T30" s="15">
        <f>IFERROR(IF(ISBLANK(M30),IFERROR(VLOOKUP($D30,Sheet3!$H$2:$O$200,T$1,FALSE),IFERROR(VLOOKUP($E30,Sheet3!$H$2:$O$200,T$1,FALSE),VLOOKUP($F30,Sheet3!$H$2:$O$200,T$1,FALSE))),$I$1),$I$1)</f>
        <v>0</v>
      </c>
      <c r="U30" s="15">
        <f>IFERROR(IF(ISBLANK(N30),IFERROR(VLOOKUP($D30,Sheet3!$H$2:$O$200,U$1,FALSE),IFERROR(VLOOKUP($E30,Sheet3!$H$2:$O$200,U$1,FALSE),VLOOKUP($F30,Sheet3!$H$2:$O$200,U$1,FALSE))),$I$1),$I$1)</f>
        <v>0</v>
      </c>
      <c r="V30" s="15">
        <f>IFERROR(IF(ISBLANK(O30),IFERROR(VLOOKUP($D30,Sheet3!$H$2:$O$200,V$1,FALSE),IFERROR(VLOOKUP($E30,Sheet3!$H$2:$O$200,V$1,FALSE),VLOOKUP($F30,Sheet3!$H$2:$O$200,V$1,FALSE))),$I$1),$I$1)</f>
        <v>0</v>
      </c>
      <c r="W30" s="15">
        <f>IFERROR(IF(ISBLANK(P30),IFERROR(VLOOKUP($D30,Sheet3!$H$2:$O$200,W$1,FALSE),IFERROR(VLOOKUP($E30,Sheet3!$H$2:$O$200,W$1,FALSE),VLOOKUP($F30,Sheet3!$H$2:$O$200,W$1,FALSE))),$I$1),$I$1)</f>
        <v>0</v>
      </c>
      <c r="X30" s="15">
        <f>IFERROR(IF(ISBLANK(Q30),IFERROR(VLOOKUP($E30,Sheet3!$H$2:$O$200,X$1,FALSE),IFERROR(VLOOKUP($F30,Sheet3!$H$2:$O$200,X$1,FALSE),VLOOKUP($G30,Sheet3!$H$2:$O$200,X$1,FALSE))),$I$1),$I$1)</f>
        <v>0</v>
      </c>
      <c r="Y30" s="15">
        <f>IFERROR(IF(ISBLANK(R30),IFERROR(VLOOKUP($E30,Sheet3!$H$2:$O$200,Y$1,FALSE),IFERROR(VLOOKUP($F30,Sheet3!$H$2:$O$200,Y$1,FALSE),VLOOKUP($G30,Sheet3!$H$2:$O$200,Y$1,FALSE))),$I$1),$I$1)</f>
        <v>0</v>
      </c>
      <c r="Z30" s="15">
        <f>IFERROR(IF(ISBLANK(S30),IFERROR(VLOOKUP($E30,Sheet3!$H$2:$O$200,Z$1,FALSE),IFERROR(VLOOKUP($F30,Sheet3!$H$2:$O$200,Z$1,FALSE),VLOOKUP($G30,Sheet3!$H$2:$O$200,Z$1,FALSE))),$I$1),$I$1)</f>
        <v>0</v>
      </c>
      <c r="AA30" s="15">
        <f>IFERROR(IF(ISBLANK(T30),IFERROR(VLOOKUP($E30,Sheet3!$H$2:$O$200,AA$1,FALSE),IFERROR(VLOOKUP($F30,Sheet3!$H$2:$O$200,AA$1,FALSE),VLOOKUP($G30,Sheet3!$H$2:$O$200,AA$1,FALSE))),$I$1),$I$1)</f>
        <v>0</v>
      </c>
      <c r="AB30" s="15">
        <f>IFERROR(IF(ISBLANK(U30),IFERROR(VLOOKUP($E30,Sheet3!$H$2:$O$200,AB$1,FALSE),IFERROR(VLOOKUP($F30,Sheet3!$H$2:$O$200,AB$1,FALSE),VLOOKUP($G30,Sheet3!$H$2:$O$200,AB$1,FALSE))),$I$1),$I$1)</f>
        <v>0</v>
      </c>
      <c r="AC30" s="15">
        <f>IFERROR(IF(ISBLANK(V30),IFERROR(VLOOKUP($E30,Sheet3!$H$2:$O$200,AC$1,FALSE),IFERROR(VLOOKUP($F30,Sheet3!$H$2:$O$200,AC$1,FALSE),VLOOKUP($G30,Sheet3!$H$2:$O$200,AC$1,FALSE))),$I$1),$I$1)</f>
        <v>0</v>
      </c>
      <c r="AD30" s="15">
        <f>IFERROR(IF(ISBLANK(W30),IFERROR(VLOOKUP($E30,Sheet3!$H$2:$O$200,AD$1,FALSE),IFERROR(VLOOKUP($F30,Sheet3!$H$2:$O$200,AD$1,FALSE),VLOOKUP($G30,Sheet3!$H$2:$O$200,AD$1,FALSE))),$I$1),$I$1)</f>
        <v>0</v>
      </c>
      <c r="AE30" s="15">
        <f>IFERROR(IF(ISBLANK(X30),IFERROR(VLOOKUP($F30,Sheet3!$H$2:$O$200,AE$1,FALSE),VLOOKUP($G30,Sheet3!$H$2:$O$200,AE$1,FALSE)),$I$1),$I$1)</f>
        <v>0</v>
      </c>
      <c r="AF30" s="15">
        <f>IFERROR(IF(ISBLANK(Y30),IFERROR(VLOOKUP($F30,Sheet3!$H$2:$O$200,AF$1,FALSE),VLOOKUP($G30,Sheet3!$H$2:$O$200,AF$1,FALSE)),$I$1),$I$1)</f>
        <v>0</v>
      </c>
      <c r="AG30" s="15">
        <f>IFERROR(IF(ISBLANK(Z30),IFERROR(VLOOKUP($F30,Sheet3!$H$2:$O$200,AG$1,FALSE),VLOOKUP($G30,Sheet3!$H$2:$O$200,AG$1,FALSE)),$I$1),$I$1)</f>
        <v>0</v>
      </c>
      <c r="AH30" s="15">
        <f>IFERROR(IF(ISBLANK(AA30),IFERROR(VLOOKUP($F30,Sheet3!$H$2:$O$200,AH$1,FALSE),VLOOKUP($G30,Sheet3!$H$2:$O$200,AH$1,FALSE)),$I$1),$I$1)</f>
        <v>0</v>
      </c>
      <c r="AI30" s="15">
        <f>IFERROR(IF(ISBLANK(AB30),IFERROR(VLOOKUP($F30,Sheet3!$H$2:$O$200,AI$1,FALSE),VLOOKUP($G30,Sheet3!$H$2:$O$200,AI$1,FALSE)),$I$1),$I$1)</f>
        <v>0</v>
      </c>
      <c r="AJ30" s="15">
        <f>IFERROR(IF(ISBLANK(AC30),IFERROR(VLOOKUP($F30,Sheet3!$H$2:$O$200,AJ$1,FALSE),VLOOKUP($G30,Sheet3!$H$2:$O$200,AJ$1,FALSE)),$I$1),$I$1)</f>
        <v>0</v>
      </c>
      <c r="AK30" s="15">
        <f>IFERROR(IF(ISBLANK(AD30),IFERROR(VLOOKUP($F30,Sheet3!$H$2:$O$200,AK$1,FALSE),VLOOKUP($G30,Sheet3!$H$2:$O$200,AK$1,FALSE)),$I$1),$I$1)</f>
        <v>0</v>
      </c>
      <c r="AL30" s="15">
        <f>IFERROR(IF(ISBLANK(AE30),VLOOKUP($G30,Sheet3!$H$2:$O$200,AL$1,FALSE),$I$1),$I$1)</f>
        <v>0</v>
      </c>
      <c r="AM30" s="15">
        <f>IFERROR(IF(ISBLANK(AF30),VLOOKUP($G30,Sheet3!$H$2:$O$200,AM$1,FALSE),$I$1),$I$1)</f>
        <v>0</v>
      </c>
      <c r="AN30" s="15">
        <f>IFERROR(IF(ISBLANK(AG30),VLOOKUP($G30,Sheet3!$H$2:$O$200,AN$1,FALSE),$I$1),$I$1)</f>
        <v>0</v>
      </c>
      <c r="AO30" s="15">
        <f>IFERROR(IF(ISBLANK(AH30),VLOOKUP($G30,Sheet3!$H$2:$O$200,AO$1,FALSE),$I$1),$I$1)</f>
        <v>0</v>
      </c>
      <c r="AP30" s="15">
        <f>IFERROR(IF(ISBLANK(AI30),VLOOKUP($G30,Sheet3!$H$2:$O$200,AP$1,FALSE),$I$1),$I$1)</f>
        <v>0</v>
      </c>
      <c r="AQ30" s="15">
        <f>IFERROR(IF(ISBLANK(AJ30),VLOOKUP($G30,Sheet3!$H$2:$O$200,AQ$1,FALSE),$I$1),$I$1)</f>
        <v>0</v>
      </c>
      <c r="AR30" s="15">
        <f>IFERROR(IF(ISBLANK(AK30),VLOOKUP($G30,Sheet3!$H$2:$O$200,AR$1,FALSE),$I$1),$I$1)</f>
        <v>0</v>
      </c>
      <c r="AS30" s="15">
        <f t="shared" si="1"/>
        <v>28</v>
      </c>
      <c r="AT30" s="15" t="b">
        <f t="shared" si="2"/>
        <v>0</v>
      </c>
    </row>
    <row r="31" spans="1:46" x14ac:dyDescent="0.2">
      <c r="A31" s="19" t="s">
        <v>105</v>
      </c>
      <c r="B31" s="19" t="s">
        <v>49</v>
      </c>
      <c r="C31" s="19" t="s">
        <v>52</v>
      </c>
      <c r="D31" s="19"/>
      <c r="E31" s="19" t="s">
        <v>100</v>
      </c>
      <c r="F31" s="19" t="s">
        <v>66</v>
      </c>
      <c r="G31" s="19" t="s">
        <v>3</v>
      </c>
      <c r="H31" s="19" t="s">
        <v>105</v>
      </c>
      <c r="I31" s="15">
        <f t="shared" si="0"/>
        <v>4</v>
      </c>
      <c r="J31" s="15">
        <f>IFERROR(VLOOKUP($C31,Sheet3!$H$2:$O$200,J$1,FALSE),IFERROR(VLOOKUP($D31,Sheet3!$H$2:$O$200,J$1,FALSE),VLOOKUP($E31,Sheet3!$H$2:$O$200,J$1,FALSE)))</f>
        <v>0</v>
      </c>
      <c r="K31" s="15">
        <f>IFERROR(VLOOKUP($C31,Sheet3!$H$2:$O$200,K$1,FALSE),IFERROR(VLOOKUP($D31,Sheet3!$H$2:$O$200,K$1,FALSE),VLOOKUP($E31,Sheet3!$H$2:$O$200,K$1,FALSE)))</f>
        <v>0</v>
      </c>
      <c r="L31" s="15">
        <f>IFERROR(VLOOKUP($C31,Sheet3!$H$2:$O$200,L$1,FALSE),IFERROR(VLOOKUP($D31,Sheet3!$H$2:$O$200,L$1,FALSE),VLOOKUP($E31,Sheet3!$H$2:$O$200,L$1,FALSE)))</f>
        <v>0</v>
      </c>
      <c r="M31" s="15" t="str">
        <f>IFERROR(VLOOKUP($C31,Sheet3!$H$2:$O$200,M$1,FALSE),IFERROR(VLOOKUP($D31,Sheet3!$H$2:$O$200,M$1,FALSE),VLOOKUP($E31,Sheet3!$H$2:$O$200,M$1,FALSE)))</f>
        <v>dry vermouth</v>
      </c>
      <c r="N31" s="15">
        <f>IFERROR(VLOOKUP($C31,Sheet3!$H$2:$O$200,N$1,FALSE),IFERROR(VLOOKUP($D31,Sheet3!$H$2:$O$200,N$1,FALSE),VLOOKUP($E31,Sheet3!$H$2:$O$200,N$1,FALSE)))</f>
        <v>0</v>
      </c>
      <c r="O31" s="15">
        <f>IFERROR(VLOOKUP($C31,Sheet3!$H$2:$O$200,O$1,FALSE),IFERROR(VLOOKUP($D31,Sheet3!$H$2:$O$200,O$1,FALSE),VLOOKUP($E31,Sheet3!$H$2:$O$200,O$1,FALSE)))</f>
        <v>0</v>
      </c>
      <c r="P31" s="15">
        <f>IFERROR(VLOOKUP($C31,Sheet3!$H$2:$O$200,P$1,FALSE),IFERROR(VLOOKUP($D31,Sheet3!$H$2:$O$200,P$1,FALSE),VLOOKUP($E31,Sheet3!$H$2:$O$200,P$1,FALSE)))</f>
        <v>0</v>
      </c>
      <c r="Q31" s="15">
        <f>IFERROR(IF(ISBLANK(J31),IFERROR(VLOOKUP($D31,Sheet3!$H$2:$O$200,Q$1,FALSE),IFERROR(VLOOKUP($E31,Sheet3!$H$2:$O$200,Q$1,FALSE),VLOOKUP($F31,Sheet3!$H$2:$O$200,Q$1,FALSE))),$I$1),$I$1)</f>
        <v>0</v>
      </c>
      <c r="R31" s="15">
        <f>IFERROR(IF(ISBLANK(K31),IFERROR(VLOOKUP($D31,Sheet3!$H$2:$O$200,R$1,FALSE),IFERROR(VLOOKUP($E31,Sheet3!$H$2:$O$200,R$1,FALSE),VLOOKUP($F31,Sheet3!$H$2:$O$200,R$1,FALSE))),$I$1),$I$1)</f>
        <v>0</v>
      </c>
      <c r="S31" s="15">
        <f>IFERROR(IF(ISBLANK(L31),IFERROR(VLOOKUP($D31,Sheet3!$H$2:$O$200,S$1,FALSE),IFERROR(VLOOKUP($E31,Sheet3!$H$2:$O$200,S$1,FALSE),VLOOKUP($F31,Sheet3!$H$2:$O$200,S$1,FALSE))),$I$1),$I$1)</f>
        <v>0</v>
      </c>
      <c r="T31" s="15">
        <f>IFERROR(IF(ISBLANK(M31),IFERROR(VLOOKUP($D31,Sheet3!$H$2:$O$200,T$1,FALSE),IFERROR(VLOOKUP($E31,Sheet3!$H$2:$O$200,T$1,FALSE),VLOOKUP($F31,Sheet3!$H$2:$O$200,T$1,FALSE))),$I$1),$I$1)</f>
        <v>0</v>
      </c>
      <c r="U31" s="15">
        <f>IFERROR(IF(ISBLANK(N31),IFERROR(VLOOKUP($D31,Sheet3!$H$2:$O$200,U$1,FALSE),IFERROR(VLOOKUP($E31,Sheet3!$H$2:$O$200,U$1,FALSE),VLOOKUP($F31,Sheet3!$H$2:$O$200,U$1,FALSE))),$I$1),$I$1)</f>
        <v>0</v>
      </c>
      <c r="V31" s="15">
        <f>IFERROR(IF(ISBLANK(O31),IFERROR(VLOOKUP($D31,Sheet3!$H$2:$O$200,V$1,FALSE),IFERROR(VLOOKUP($E31,Sheet3!$H$2:$O$200,V$1,FALSE),VLOOKUP($F31,Sheet3!$H$2:$O$200,V$1,FALSE))),$I$1),$I$1)</f>
        <v>0</v>
      </c>
      <c r="W31" s="15">
        <f>IFERROR(IF(ISBLANK(P31),IFERROR(VLOOKUP($D31,Sheet3!$H$2:$O$200,W$1,FALSE),IFERROR(VLOOKUP($E31,Sheet3!$H$2:$O$200,W$1,FALSE),VLOOKUP($F31,Sheet3!$H$2:$O$200,W$1,FALSE))),$I$1),$I$1)</f>
        <v>0</v>
      </c>
      <c r="X31" s="15">
        <f>IFERROR(IF(ISBLANK(Q31),IFERROR(VLOOKUP($E31,Sheet3!$H$2:$O$200,X$1,FALSE),IFERROR(VLOOKUP($F31,Sheet3!$H$2:$O$200,X$1,FALSE),VLOOKUP($G31,Sheet3!$H$2:$O$200,X$1,FALSE))),$I$1),$I$1)</f>
        <v>0</v>
      </c>
      <c r="Y31" s="15">
        <f>IFERROR(IF(ISBLANK(R31),IFERROR(VLOOKUP($E31,Sheet3!$H$2:$O$200,Y$1,FALSE),IFERROR(VLOOKUP($F31,Sheet3!$H$2:$O$200,Y$1,FALSE),VLOOKUP($G31,Sheet3!$H$2:$O$200,Y$1,FALSE))),$I$1),$I$1)</f>
        <v>0</v>
      </c>
      <c r="Z31" s="15">
        <f>IFERROR(IF(ISBLANK(S31),IFERROR(VLOOKUP($E31,Sheet3!$H$2:$O$200,Z$1,FALSE),IFERROR(VLOOKUP($F31,Sheet3!$H$2:$O$200,Z$1,FALSE),VLOOKUP($G31,Sheet3!$H$2:$O$200,Z$1,FALSE))),$I$1),$I$1)</f>
        <v>0</v>
      </c>
      <c r="AA31" s="15">
        <f>IFERROR(IF(ISBLANK(T31),IFERROR(VLOOKUP($E31,Sheet3!$H$2:$O$200,AA$1,FALSE),IFERROR(VLOOKUP($F31,Sheet3!$H$2:$O$200,AA$1,FALSE),VLOOKUP($G31,Sheet3!$H$2:$O$200,AA$1,FALSE))),$I$1),$I$1)</f>
        <v>0</v>
      </c>
      <c r="AB31" s="15">
        <f>IFERROR(IF(ISBLANK(U31),IFERROR(VLOOKUP($E31,Sheet3!$H$2:$O$200,AB$1,FALSE),IFERROR(VLOOKUP($F31,Sheet3!$H$2:$O$200,AB$1,FALSE),VLOOKUP($G31,Sheet3!$H$2:$O$200,AB$1,FALSE))),$I$1),$I$1)</f>
        <v>0</v>
      </c>
      <c r="AC31" s="15">
        <f>IFERROR(IF(ISBLANK(V31),IFERROR(VLOOKUP($E31,Sheet3!$H$2:$O$200,AC$1,FALSE),IFERROR(VLOOKUP($F31,Sheet3!$H$2:$O$200,AC$1,FALSE),VLOOKUP($G31,Sheet3!$H$2:$O$200,AC$1,FALSE))),$I$1),$I$1)</f>
        <v>0</v>
      </c>
      <c r="AD31" s="15">
        <f>IFERROR(IF(ISBLANK(W31),IFERROR(VLOOKUP($E31,Sheet3!$H$2:$O$200,AD$1,FALSE),IFERROR(VLOOKUP($F31,Sheet3!$H$2:$O$200,AD$1,FALSE),VLOOKUP($G31,Sheet3!$H$2:$O$200,AD$1,FALSE))),$I$1),$I$1)</f>
        <v>0</v>
      </c>
      <c r="AE31" s="15">
        <f>IFERROR(IF(ISBLANK(X31),IFERROR(VLOOKUP($F31,Sheet3!$H$2:$O$200,AE$1,FALSE),VLOOKUP($G31,Sheet3!$H$2:$O$200,AE$1,FALSE)),$I$1),$I$1)</f>
        <v>0</v>
      </c>
      <c r="AF31" s="15">
        <f>IFERROR(IF(ISBLANK(Y31),IFERROR(VLOOKUP($F31,Sheet3!$H$2:$O$200,AF$1,FALSE),VLOOKUP($G31,Sheet3!$H$2:$O$200,AF$1,FALSE)),$I$1),$I$1)</f>
        <v>0</v>
      </c>
      <c r="AG31" s="15">
        <f>IFERROR(IF(ISBLANK(Z31),IFERROR(VLOOKUP($F31,Sheet3!$H$2:$O$200,AG$1,FALSE),VLOOKUP($G31,Sheet3!$H$2:$O$200,AG$1,FALSE)),$I$1),$I$1)</f>
        <v>0</v>
      </c>
      <c r="AH31" s="15">
        <f>IFERROR(IF(ISBLANK(AA31),IFERROR(VLOOKUP($F31,Sheet3!$H$2:$O$200,AH$1,FALSE),VLOOKUP($G31,Sheet3!$H$2:$O$200,AH$1,FALSE)),$I$1),$I$1)</f>
        <v>0</v>
      </c>
      <c r="AI31" s="15">
        <f>IFERROR(IF(ISBLANK(AB31),IFERROR(VLOOKUP($F31,Sheet3!$H$2:$O$200,AI$1,FALSE),VLOOKUP($G31,Sheet3!$H$2:$O$200,AI$1,FALSE)),$I$1),$I$1)</f>
        <v>0</v>
      </c>
      <c r="AJ31" s="15">
        <f>IFERROR(IF(ISBLANK(AC31),IFERROR(VLOOKUP($F31,Sheet3!$H$2:$O$200,AJ$1,FALSE),VLOOKUP($G31,Sheet3!$H$2:$O$200,AJ$1,FALSE)),$I$1),$I$1)</f>
        <v>0</v>
      </c>
      <c r="AK31" s="15">
        <f>IFERROR(IF(ISBLANK(AD31),IFERROR(VLOOKUP($F31,Sheet3!$H$2:$O$200,AK$1,FALSE),VLOOKUP($G31,Sheet3!$H$2:$O$200,AK$1,FALSE)),$I$1),$I$1)</f>
        <v>0</v>
      </c>
      <c r="AL31" s="15">
        <f>IFERROR(IF(ISBLANK(AE31),VLOOKUP($G31,Sheet3!$H$2:$O$200,AL$1,FALSE),$I$1),$I$1)</f>
        <v>0</v>
      </c>
      <c r="AM31" s="15">
        <f>IFERROR(IF(ISBLANK(AF31),VLOOKUP($G31,Sheet3!$H$2:$O$200,AM$1,FALSE),$I$1),$I$1)</f>
        <v>0</v>
      </c>
      <c r="AN31" s="15">
        <f>IFERROR(IF(ISBLANK(AG31),VLOOKUP($G31,Sheet3!$H$2:$O$200,AN$1,FALSE),$I$1),$I$1)</f>
        <v>0</v>
      </c>
      <c r="AO31" s="15">
        <f>IFERROR(IF(ISBLANK(AH31),VLOOKUP($G31,Sheet3!$H$2:$O$200,AO$1,FALSE),$I$1),$I$1)</f>
        <v>0</v>
      </c>
      <c r="AP31" s="15">
        <f>IFERROR(IF(ISBLANK(AI31),VLOOKUP($G31,Sheet3!$H$2:$O$200,AP$1,FALSE),$I$1),$I$1)</f>
        <v>0</v>
      </c>
      <c r="AQ31" s="15">
        <f>IFERROR(IF(ISBLANK(AJ31),VLOOKUP($G31,Sheet3!$H$2:$O$200,AQ$1,FALSE),$I$1),$I$1)</f>
        <v>0</v>
      </c>
      <c r="AR31" s="15">
        <f>IFERROR(IF(ISBLANK(AK31),VLOOKUP($G31,Sheet3!$H$2:$O$200,AR$1,FALSE),$I$1),$I$1)</f>
        <v>0</v>
      </c>
      <c r="AS31" s="15">
        <f t="shared" si="1"/>
        <v>28</v>
      </c>
      <c r="AT31" s="15" t="b">
        <f t="shared" si="2"/>
        <v>0</v>
      </c>
    </row>
    <row r="32" spans="1:46" x14ac:dyDescent="0.2">
      <c r="A32" s="19" t="s">
        <v>106</v>
      </c>
      <c r="B32" s="19" t="s">
        <v>49</v>
      </c>
      <c r="C32" s="19" t="s">
        <v>107</v>
      </c>
      <c r="D32" s="19"/>
      <c r="E32" s="19" t="s">
        <v>108</v>
      </c>
      <c r="F32" s="19" t="s">
        <v>74</v>
      </c>
      <c r="G32" s="19" t="s">
        <v>3</v>
      </c>
      <c r="H32" s="19" t="s">
        <v>106</v>
      </c>
      <c r="I32" s="15">
        <f t="shared" si="0"/>
        <v>4</v>
      </c>
      <c r="J32" s="15">
        <f>IFERROR(VLOOKUP($C32,Sheet3!$H$2:$O$200,J$1,FALSE),IFERROR(VLOOKUP($D32,Sheet3!$H$2:$O$200,J$1,FALSE),VLOOKUP($E32,Sheet3!$H$2:$O$200,J$1,FALSE)))</f>
        <v>0</v>
      </c>
      <c r="K32" s="15">
        <f>IFERROR(VLOOKUP($C32,Sheet3!$H$2:$O$200,K$1,FALSE),IFERROR(VLOOKUP($D32,Sheet3!$H$2:$O$200,K$1,FALSE),VLOOKUP($E32,Sheet3!$H$2:$O$200,K$1,FALSE)))</f>
        <v>0</v>
      </c>
      <c r="L32" s="15">
        <f>IFERROR(VLOOKUP($C32,Sheet3!$H$2:$O$200,L$1,FALSE),IFERROR(VLOOKUP($D32,Sheet3!$H$2:$O$200,L$1,FALSE),VLOOKUP($E32,Sheet3!$H$2:$O$200,L$1,FALSE)))</f>
        <v>0</v>
      </c>
      <c r="M32" s="15" t="str">
        <f>IFERROR(VLOOKUP($C32,Sheet3!$H$2:$O$200,M$1,FALSE),IFERROR(VLOOKUP($D32,Sheet3!$H$2:$O$200,M$1,FALSE),VLOOKUP($E32,Sheet3!$H$2:$O$200,M$1,FALSE)))</f>
        <v>Lillet Blonde</v>
      </c>
      <c r="N32" s="15">
        <f>IFERROR(VLOOKUP($C32,Sheet3!$H$2:$O$200,N$1,FALSE),IFERROR(VLOOKUP($D32,Sheet3!$H$2:$O$200,N$1,FALSE),VLOOKUP($E32,Sheet3!$H$2:$O$200,N$1,FALSE)))</f>
        <v>0</v>
      </c>
      <c r="O32" s="15">
        <f>IFERROR(VLOOKUP($C32,Sheet3!$H$2:$O$200,O$1,FALSE),IFERROR(VLOOKUP($D32,Sheet3!$H$2:$O$200,O$1,FALSE),VLOOKUP($E32,Sheet3!$H$2:$O$200,O$1,FALSE)))</f>
        <v>0</v>
      </c>
      <c r="P32" s="15">
        <f>IFERROR(VLOOKUP($C32,Sheet3!$H$2:$O$200,P$1,FALSE),IFERROR(VLOOKUP($D32,Sheet3!$H$2:$O$200,P$1,FALSE),VLOOKUP($E32,Sheet3!$H$2:$O$200,P$1,FALSE)))</f>
        <v>0</v>
      </c>
      <c r="Q32" s="15">
        <f>IFERROR(IF(ISBLANK(J32),IFERROR(VLOOKUP($D32,Sheet3!$H$2:$O$200,Q$1,FALSE),IFERROR(VLOOKUP($E32,Sheet3!$H$2:$O$200,Q$1,FALSE),VLOOKUP($F32,Sheet3!$H$2:$O$200,Q$1,FALSE))),$I$1),$I$1)</f>
        <v>0</v>
      </c>
      <c r="R32" s="15">
        <f>IFERROR(IF(ISBLANK(K32),IFERROR(VLOOKUP($D32,Sheet3!$H$2:$O$200,R$1,FALSE),IFERROR(VLOOKUP($E32,Sheet3!$H$2:$O$200,R$1,FALSE),VLOOKUP($F32,Sheet3!$H$2:$O$200,R$1,FALSE))),$I$1),$I$1)</f>
        <v>0</v>
      </c>
      <c r="S32" s="15">
        <f>IFERROR(IF(ISBLANK(L32),IFERROR(VLOOKUP($D32,Sheet3!$H$2:$O$200,S$1,FALSE),IFERROR(VLOOKUP($E32,Sheet3!$H$2:$O$200,S$1,FALSE),VLOOKUP($F32,Sheet3!$H$2:$O$200,S$1,FALSE))),$I$1),$I$1)</f>
        <v>0</v>
      </c>
      <c r="T32" s="15">
        <f>IFERROR(IF(ISBLANK(M32),IFERROR(VLOOKUP($D32,Sheet3!$H$2:$O$200,T$1,FALSE),IFERROR(VLOOKUP($E32,Sheet3!$H$2:$O$200,T$1,FALSE),VLOOKUP($F32,Sheet3!$H$2:$O$200,T$1,FALSE))),$I$1),$I$1)</f>
        <v>0</v>
      </c>
      <c r="U32" s="15">
        <f>IFERROR(IF(ISBLANK(N32),IFERROR(VLOOKUP($D32,Sheet3!$H$2:$O$200,U$1,FALSE),IFERROR(VLOOKUP($E32,Sheet3!$H$2:$O$200,U$1,FALSE),VLOOKUP($F32,Sheet3!$H$2:$O$200,U$1,FALSE))),$I$1),$I$1)</f>
        <v>0</v>
      </c>
      <c r="V32" s="15">
        <f>IFERROR(IF(ISBLANK(O32),IFERROR(VLOOKUP($D32,Sheet3!$H$2:$O$200,V$1,FALSE),IFERROR(VLOOKUP($E32,Sheet3!$H$2:$O$200,V$1,FALSE),VLOOKUP($F32,Sheet3!$H$2:$O$200,V$1,FALSE))),$I$1),$I$1)</f>
        <v>0</v>
      </c>
      <c r="W32" s="15">
        <f>IFERROR(IF(ISBLANK(P32),IFERROR(VLOOKUP($D32,Sheet3!$H$2:$O$200,W$1,FALSE),IFERROR(VLOOKUP($E32,Sheet3!$H$2:$O$200,W$1,FALSE),VLOOKUP($F32,Sheet3!$H$2:$O$200,W$1,FALSE))),$I$1),$I$1)</f>
        <v>0</v>
      </c>
      <c r="X32" s="15">
        <f>IFERROR(IF(ISBLANK(Q32),IFERROR(VLOOKUP($E32,Sheet3!$H$2:$O$200,X$1,FALSE),IFERROR(VLOOKUP($F32,Sheet3!$H$2:$O$200,X$1,FALSE),VLOOKUP($G32,Sheet3!$H$2:$O$200,X$1,FALSE))),$I$1),$I$1)</f>
        <v>0</v>
      </c>
      <c r="Y32" s="15">
        <f>IFERROR(IF(ISBLANK(R32),IFERROR(VLOOKUP($E32,Sheet3!$H$2:$O$200,Y$1,FALSE),IFERROR(VLOOKUP($F32,Sheet3!$H$2:$O$200,Y$1,FALSE),VLOOKUP($G32,Sheet3!$H$2:$O$200,Y$1,FALSE))),$I$1),$I$1)</f>
        <v>0</v>
      </c>
      <c r="Z32" s="15">
        <f>IFERROR(IF(ISBLANK(S32),IFERROR(VLOOKUP($E32,Sheet3!$H$2:$O$200,Z$1,FALSE),IFERROR(VLOOKUP($F32,Sheet3!$H$2:$O$200,Z$1,FALSE),VLOOKUP($G32,Sheet3!$H$2:$O$200,Z$1,FALSE))),$I$1),$I$1)</f>
        <v>0</v>
      </c>
      <c r="AA32" s="15">
        <f>IFERROR(IF(ISBLANK(T32),IFERROR(VLOOKUP($E32,Sheet3!$H$2:$O$200,AA$1,FALSE),IFERROR(VLOOKUP($F32,Sheet3!$H$2:$O$200,AA$1,FALSE),VLOOKUP($G32,Sheet3!$H$2:$O$200,AA$1,FALSE))),$I$1),$I$1)</f>
        <v>0</v>
      </c>
      <c r="AB32" s="15">
        <f>IFERROR(IF(ISBLANK(U32),IFERROR(VLOOKUP($E32,Sheet3!$H$2:$O$200,AB$1,FALSE),IFERROR(VLOOKUP($F32,Sheet3!$H$2:$O$200,AB$1,FALSE),VLOOKUP($G32,Sheet3!$H$2:$O$200,AB$1,FALSE))),$I$1),$I$1)</f>
        <v>0</v>
      </c>
      <c r="AC32" s="15">
        <f>IFERROR(IF(ISBLANK(V32),IFERROR(VLOOKUP($E32,Sheet3!$H$2:$O$200,AC$1,FALSE),IFERROR(VLOOKUP($F32,Sheet3!$H$2:$O$200,AC$1,FALSE),VLOOKUP($G32,Sheet3!$H$2:$O$200,AC$1,FALSE))),$I$1),$I$1)</f>
        <v>0</v>
      </c>
      <c r="AD32" s="15">
        <f>IFERROR(IF(ISBLANK(W32),IFERROR(VLOOKUP($E32,Sheet3!$H$2:$O$200,AD$1,FALSE),IFERROR(VLOOKUP($F32,Sheet3!$H$2:$O$200,AD$1,FALSE),VLOOKUP($G32,Sheet3!$H$2:$O$200,AD$1,FALSE))),$I$1),$I$1)</f>
        <v>0</v>
      </c>
      <c r="AE32" s="15">
        <f>IFERROR(IF(ISBLANK(X32),IFERROR(VLOOKUP($F32,Sheet3!$H$2:$O$200,AE$1,FALSE),VLOOKUP($G32,Sheet3!$H$2:$O$200,AE$1,FALSE)),$I$1),$I$1)</f>
        <v>0</v>
      </c>
      <c r="AF32" s="15">
        <f>IFERROR(IF(ISBLANK(Y32),IFERROR(VLOOKUP($F32,Sheet3!$H$2:$O$200,AF$1,FALSE),VLOOKUP($G32,Sheet3!$H$2:$O$200,AF$1,FALSE)),$I$1),$I$1)</f>
        <v>0</v>
      </c>
      <c r="AG32" s="15">
        <f>IFERROR(IF(ISBLANK(Z32),IFERROR(VLOOKUP($F32,Sheet3!$H$2:$O$200,AG$1,FALSE),VLOOKUP($G32,Sheet3!$H$2:$O$200,AG$1,FALSE)),$I$1),$I$1)</f>
        <v>0</v>
      </c>
      <c r="AH32" s="15">
        <f>IFERROR(IF(ISBLANK(AA32),IFERROR(VLOOKUP($F32,Sheet3!$H$2:$O$200,AH$1,FALSE),VLOOKUP($G32,Sheet3!$H$2:$O$200,AH$1,FALSE)),$I$1),$I$1)</f>
        <v>0</v>
      </c>
      <c r="AI32" s="15">
        <f>IFERROR(IF(ISBLANK(AB32),IFERROR(VLOOKUP($F32,Sheet3!$H$2:$O$200,AI$1,FALSE),VLOOKUP($G32,Sheet3!$H$2:$O$200,AI$1,FALSE)),$I$1),$I$1)</f>
        <v>0</v>
      </c>
      <c r="AJ32" s="15">
        <f>IFERROR(IF(ISBLANK(AC32),IFERROR(VLOOKUP($F32,Sheet3!$H$2:$O$200,AJ$1,FALSE),VLOOKUP($G32,Sheet3!$H$2:$O$200,AJ$1,FALSE)),$I$1),$I$1)</f>
        <v>0</v>
      </c>
      <c r="AK32" s="15">
        <f>IFERROR(IF(ISBLANK(AD32),IFERROR(VLOOKUP($F32,Sheet3!$H$2:$O$200,AK$1,FALSE),VLOOKUP($G32,Sheet3!$H$2:$O$200,AK$1,FALSE)),$I$1),$I$1)</f>
        <v>0</v>
      </c>
      <c r="AL32" s="15">
        <f>IFERROR(IF(ISBLANK(AE32),VLOOKUP($G32,Sheet3!$H$2:$O$200,AL$1,FALSE),$I$1),$I$1)</f>
        <v>0</v>
      </c>
      <c r="AM32" s="15">
        <f>IFERROR(IF(ISBLANK(AF32),VLOOKUP($G32,Sheet3!$H$2:$O$200,AM$1,FALSE),$I$1),$I$1)</f>
        <v>0</v>
      </c>
      <c r="AN32" s="15">
        <f>IFERROR(IF(ISBLANK(AG32),VLOOKUP($G32,Sheet3!$H$2:$O$200,AN$1,FALSE),$I$1),$I$1)</f>
        <v>0</v>
      </c>
      <c r="AO32" s="15">
        <f>IFERROR(IF(ISBLANK(AH32),VLOOKUP($G32,Sheet3!$H$2:$O$200,AO$1,FALSE),$I$1),$I$1)</f>
        <v>0</v>
      </c>
      <c r="AP32" s="15">
        <f>IFERROR(IF(ISBLANK(AI32),VLOOKUP($G32,Sheet3!$H$2:$O$200,AP$1,FALSE),$I$1),$I$1)</f>
        <v>0</v>
      </c>
      <c r="AQ32" s="15">
        <f>IFERROR(IF(ISBLANK(AJ32),VLOOKUP($G32,Sheet3!$H$2:$O$200,AQ$1,FALSE),$I$1),$I$1)</f>
        <v>0</v>
      </c>
      <c r="AR32" s="15">
        <f>IFERROR(IF(ISBLANK(AK32),VLOOKUP($G32,Sheet3!$H$2:$O$200,AR$1,FALSE),$I$1),$I$1)</f>
        <v>0</v>
      </c>
      <c r="AS32" s="15">
        <f t="shared" si="1"/>
        <v>28</v>
      </c>
      <c r="AT32" s="15" t="b">
        <f t="shared" si="2"/>
        <v>0</v>
      </c>
    </row>
    <row r="33" spans="1:46" x14ac:dyDescent="0.2">
      <c r="A33" s="19" t="s">
        <v>109</v>
      </c>
      <c r="B33" s="19" t="s">
        <v>49</v>
      </c>
      <c r="C33" s="19" t="s">
        <v>62</v>
      </c>
      <c r="D33" s="19"/>
      <c r="E33" s="19"/>
      <c r="F33" s="19"/>
      <c r="G33" s="19"/>
      <c r="H33" s="19" t="s">
        <v>109</v>
      </c>
      <c r="I33" s="15">
        <f t="shared" si="0"/>
        <v>1</v>
      </c>
      <c r="J33" s="15">
        <f>IFERROR(VLOOKUP($C33,Sheet3!$H$2:$O$200,J$1,FALSE),IFERROR(VLOOKUP($D33,Sheet3!$H$2:$O$200,J$1,FALSE),VLOOKUP($E33,Sheet3!$H$2:$O$200,J$1,FALSE)))</f>
        <v>0</v>
      </c>
      <c r="K33" s="15" t="str">
        <f>IFERROR(VLOOKUP($C33,Sheet3!$H$2:$O$200,K$1,FALSE),IFERROR(VLOOKUP($D33,Sheet3!$H$2:$O$200,K$1,FALSE),VLOOKUP($E33,Sheet3!$H$2:$O$200,K$1,FALSE)))</f>
        <v>club soda</v>
      </c>
      <c r="L33" s="15">
        <f>IFERROR(VLOOKUP($C33,Sheet3!$H$2:$O$200,L$1,FALSE),IFERROR(VLOOKUP($D33,Sheet3!$H$2:$O$200,L$1,FALSE),VLOOKUP($E33,Sheet3!$H$2:$O$200,L$1,FALSE)))</f>
        <v>0</v>
      </c>
      <c r="M33" s="15">
        <f>IFERROR(VLOOKUP($C33,Sheet3!$H$2:$O$200,M$1,FALSE),IFERROR(VLOOKUP($D33,Sheet3!$H$2:$O$200,M$1,FALSE),VLOOKUP($E33,Sheet3!$H$2:$O$200,M$1,FALSE)))</f>
        <v>0</v>
      </c>
      <c r="N33" s="15">
        <f>IFERROR(VLOOKUP($C33,Sheet3!$H$2:$O$200,N$1,FALSE),IFERROR(VLOOKUP($D33,Sheet3!$H$2:$O$200,N$1,FALSE),VLOOKUP($E33,Sheet3!$H$2:$O$200,N$1,FALSE)))</f>
        <v>0</v>
      </c>
      <c r="O33" s="15">
        <f>IFERROR(VLOOKUP($C33,Sheet3!$H$2:$O$200,O$1,FALSE),IFERROR(VLOOKUP($D33,Sheet3!$H$2:$O$200,O$1,FALSE),VLOOKUP($E33,Sheet3!$H$2:$O$200,O$1,FALSE)))</f>
        <v>0</v>
      </c>
      <c r="P33" s="15">
        <f>IFERROR(VLOOKUP($C33,Sheet3!$H$2:$O$200,P$1,FALSE),IFERROR(VLOOKUP($D33,Sheet3!$H$2:$O$200,P$1,FALSE),VLOOKUP($E33,Sheet3!$H$2:$O$200,P$1,FALSE)))</f>
        <v>0</v>
      </c>
      <c r="Q33" s="15">
        <f>IFERROR(IF(ISBLANK(J33),IFERROR(VLOOKUP($D33,Sheet3!$H$2:$O$200,Q$1,FALSE),IFERROR(VLOOKUP($E33,Sheet3!$H$2:$O$200,Q$1,FALSE),VLOOKUP($F33,Sheet3!$H$2:$O$200,Q$1,FALSE))),$I$1),$I$1)</f>
        <v>0</v>
      </c>
      <c r="R33" s="15">
        <f>IFERROR(IF(ISBLANK(K33),IFERROR(VLOOKUP($D33,Sheet3!$H$2:$O$200,R$1,FALSE),IFERROR(VLOOKUP($E33,Sheet3!$H$2:$O$200,R$1,FALSE),VLOOKUP($F33,Sheet3!$H$2:$O$200,R$1,FALSE))),$I$1),$I$1)</f>
        <v>0</v>
      </c>
      <c r="S33" s="15">
        <f>IFERROR(IF(ISBLANK(L33),IFERROR(VLOOKUP($D33,Sheet3!$H$2:$O$200,S$1,FALSE),IFERROR(VLOOKUP($E33,Sheet3!$H$2:$O$200,S$1,FALSE),VLOOKUP($F33,Sheet3!$H$2:$O$200,S$1,FALSE))),$I$1),$I$1)</f>
        <v>0</v>
      </c>
      <c r="T33" s="15">
        <f>IFERROR(IF(ISBLANK(M33),IFERROR(VLOOKUP($D33,Sheet3!$H$2:$O$200,T$1,FALSE),IFERROR(VLOOKUP($E33,Sheet3!$H$2:$O$200,T$1,FALSE),VLOOKUP($F33,Sheet3!$H$2:$O$200,T$1,FALSE))),$I$1),$I$1)</f>
        <v>0</v>
      </c>
      <c r="U33" s="15">
        <f>IFERROR(IF(ISBLANK(N33),IFERROR(VLOOKUP($D33,Sheet3!$H$2:$O$200,U$1,FALSE),IFERROR(VLOOKUP($E33,Sheet3!$H$2:$O$200,U$1,FALSE),VLOOKUP($F33,Sheet3!$H$2:$O$200,U$1,FALSE))),$I$1),$I$1)</f>
        <v>0</v>
      </c>
      <c r="V33" s="15">
        <f>IFERROR(IF(ISBLANK(O33),IFERROR(VLOOKUP($D33,Sheet3!$H$2:$O$200,V$1,FALSE),IFERROR(VLOOKUP($E33,Sheet3!$H$2:$O$200,V$1,FALSE),VLOOKUP($F33,Sheet3!$H$2:$O$200,V$1,FALSE))),$I$1),$I$1)</f>
        <v>0</v>
      </c>
      <c r="W33" s="15">
        <f>IFERROR(IF(ISBLANK(P33),IFERROR(VLOOKUP($D33,Sheet3!$H$2:$O$200,W$1,FALSE),IFERROR(VLOOKUP($E33,Sheet3!$H$2:$O$200,W$1,FALSE),VLOOKUP($F33,Sheet3!$H$2:$O$200,W$1,FALSE))),$I$1),$I$1)</f>
        <v>0</v>
      </c>
      <c r="X33" s="15">
        <f>IFERROR(IF(ISBLANK(Q33),IFERROR(VLOOKUP($E33,Sheet3!$H$2:$O$200,X$1,FALSE),IFERROR(VLOOKUP($F33,Sheet3!$H$2:$O$200,X$1,FALSE),VLOOKUP($G33,Sheet3!$H$2:$O$200,X$1,FALSE))),$I$1),$I$1)</f>
        <v>0</v>
      </c>
      <c r="Y33" s="15">
        <f>IFERROR(IF(ISBLANK(R33),IFERROR(VLOOKUP($E33,Sheet3!$H$2:$O$200,Y$1,FALSE),IFERROR(VLOOKUP($F33,Sheet3!$H$2:$O$200,Y$1,FALSE),VLOOKUP($G33,Sheet3!$H$2:$O$200,Y$1,FALSE))),$I$1),$I$1)</f>
        <v>0</v>
      </c>
      <c r="Z33" s="15">
        <f>IFERROR(IF(ISBLANK(S33),IFERROR(VLOOKUP($E33,Sheet3!$H$2:$O$200,Z$1,FALSE),IFERROR(VLOOKUP($F33,Sheet3!$H$2:$O$200,Z$1,FALSE),VLOOKUP($G33,Sheet3!$H$2:$O$200,Z$1,FALSE))),$I$1),$I$1)</f>
        <v>0</v>
      </c>
      <c r="AA33" s="15">
        <f>IFERROR(IF(ISBLANK(T33),IFERROR(VLOOKUP($E33,Sheet3!$H$2:$O$200,AA$1,FALSE),IFERROR(VLOOKUP($F33,Sheet3!$H$2:$O$200,AA$1,FALSE),VLOOKUP($G33,Sheet3!$H$2:$O$200,AA$1,FALSE))),$I$1),$I$1)</f>
        <v>0</v>
      </c>
      <c r="AB33" s="15">
        <f>IFERROR(IF(ISBLANK(U33),IFERROR(VLOOKUP($E33,Sheet3!$H$2:$O$200,AB$1,FALSE),IFERROR(VLOOKUP($F33,Sheet3!$H$2:$O$200,AB$1,FALSE),VLOOKUP($G33,Sheet3!$H$2:$O$200,AB$1,FALSE))),$I$1),$I$1)</f>
        <v>0</v>
      </c>
      <c r="AC33" s="15">
        <f>IFERROR(IF(ISBLANK(V33),IFERROR(VLOOKUP($E33,Sheet3!$H$2:$O$200,AC$1,FALSE),IFERROR(VLOOKUP($F33,Sheet3!$H$2:$O$200,AC$1,FALSE),VLOOKUP($G33,Sheet3!$H$2:$O$200,AC$1,FALSE))),$I$1),$I$1)</f>
        <v>0</v>
      </c>
      <c r="AD33" s="15">
        <f>IFERROR(IF(ISBLANK(W33),IFERROR(VLOOKUP($E33,Sheet3!$H$2:$O$200,AD$1,FALSE),IFERROR(VLOOKUP($F33,Sheet3!$H$2:$O$200,AD$1,FALSE),VLOOKUP($G33,Sheet3!$H$2:$O$200,AD$1,FALSE))),$I$1),$I$1)</f>
        <v>0</v>
      </c>
      <c r="AE33" s="15">
        <f>IFERROR(IF(ISBLANK(X33),IFERROR(VLOOKUP($F33,Sheet3!$H$2:$O$200,AE$1,FALSE),VLOOKUP($G33,Sheet3!$H$2:$O$200,AE$1,FALSE)),$I$1),$I$1)</f>
        <v>0</v>
      </c>
      <c r="AF33" s="15">
        <f>IFERROR(IF(ISBLANK(Y33),IFERROR(VLOOKUP($F33,Sheet3!$H$2:$O$200,AF$1,FALSE),VLOOKUP($G33,Sheet3!$H$2:$O$200,AF$1,FALSE)),$I$1),$I$1)</f>
        <v>0</v>
      </c>
      <c r="AG33" s="15">
        <f>IFERROR(IF(ISBLANK(Z33),IFERROR(VLOOKUP($F33,Sheet3!$H$2:$O$200,AG$1,FALSE),VLOOKUP($G33,Sheet3!$H$2:$O$200,AG$1,FALSE)),$I$1),$I$1)</f>
        <v>0</v>
      </c>
      <c r="AH33" s="15">
        <f>IFERROR(IF(ISBLANK(AA33),IFERROR(VLOOKUP($F33,Sheet3!$H$2:$O$200,AH$1,FALSE),VLOOKUP($G33,Sheet3!$H$2:$O$200,AH$1,FALSE)),$I$1),$I$1)</f>
        <v>0</v>
      </c>
      <c r="AI33" s="15">
        <f>IFERROR(IF(ISBLANK(AB33),IFERROR(VLOOKUP($F33,Sheet3!$H$2:$O$200,AI$1,FALSE),VLOOKUP($G33,Sheet3!$H$2:$O$200,AI$1,FALSE)),$I$1),$I$1)</f>
        <v>0</v>
      </c>
      <c r="AJ33" s="15">
        <f>IFERROR(IF(ISBLANK(AC33),IFERROR(VLOOKUP($F33,Sheet3!$H$2:$O$200,AJ$1,FALSE),VLOOKUP($G33,Sheet3!$H$2:$O$200,AJ$1,FALSE)),$I$1),$I$1)</f>
        <v>0</v>
      </c>
      <c r="AK33" s="15">
        <f>IFERROR(IF(ISBLANK(AD33),IFERROR(VLOOKUP($F33,Sheet3!$H$2:$O$200,AK$1,FALSE),VLOOKUP($G33,Sheet3!$H$2:$O$200,AK$1,FALSE)),$I$1),$I$1)</f>
        <v>0</v>
      </c>
      <c r="AL33" s="15">
        <f>IFERROR(IF(ISBLANK(AE33),VLOOKUP($G33,Sheet3!$H$2:$O$200,AL$1,FALSE),$I$1),$I$1)</f>
        <v>0</v>
      </c>
      <c r="AM33" s="15">
        <f>IFERROR(IF(ISBLANK(AF33),VLOOKUP($G33,Sheet3!$H$2:$O$200,AM$1,FALSE),$I$1),$I$1)</f>
        <v>0</v>
      </c>
      <c r="AN33" s="15">
        <f>IFERROR(IF(ISBLANK(AG33),VLOOKUP($G33,Sheet3!$H$2:$O$200,AN$1,FALSE),$I$1),$I$1)</f>
        <v>0</v>
      </c>
      <c r="AO33" s="15">
        <f>IFERROR(IF(ISBLANK(AH33),VLOOKUP($G33,Sheet3!$H$2:$O$200,AO$1,FALSE),$I$1),$I$1)</f>
        <v>0</v>
      </c>
      <c r="AP33" s="15">
        <f>IFERROR(IF(ISBLANK(AI33),VLOOKUP($G33,Sheet3!$H$2:$O$200,AP$1,FALSE),$I$1),$I$1)</f>
        <v>0</v>
      </c>
      <c r="AQ33" s="15">
        <f>IFERROR(IF(ISBLANK(AJ33),VLOOKUP($G33,Sheet3!$H$2:$O$200,AQ$1,FALSE),$I$1),$I$1)</f>
        <v>0</v>
      </c>
      <c r="AR33" s="15">
        <f>IFERROR(IF(ISBLANK(AK33),VLOOKUP($G33,Sheet3!$H$2:$O$200,AR$1,FALSE),$I$1),$I$1)</f>
        <v>0</v>
      </c>
      <c r="AS33" s="15">
        <f t="shared" si="1"/>
        <v>28</v>
      </c>
      <c r="AT33" s="15" t="b">
        <f t="shared" si="2"/>
        <v>0</v>
      </c>
    </row>
    <row r="34" spans="1:46" x14ac:dyDescent="0.2">
      <c r="A34" s="19" t="s">
        <v>110</v>
      </c>
      <c r="B34" s="19" t="s">
        <v>49</v>
      </c>
      <c r="C34" s="19" t="s">
        <v>108</v>
      </c>
      <c r="D34" s="19" t="s">
        <v>38</v>
      </c>
      <c r="E34" s="19" t="s">
        <v>52</v>
      </c>
      <c r="F34" s="19"/>
      <c r="G34" s="19"/>
      <c r="H34" s="19" t="s">
        <v>110</v>
      </c>
      <c r="I34" s="15">
        <f t="shared" si="0"/>
        <v>3</v>
      </c>
      <c r="J34" s="15">
        <f>IFERROR(VLOOKUP($C34,Sheet3!$H$2:$O$200,J$1,FALSE),IFERROR(VLOOKUP($D34,Sheet3!$H$2:$O$200,J$1,FALSE),VLOOKUP($E34,Sheet3!$H$2:$O$200,J$1,FALSE)))</f>
        <v>0</v>
      </c>
      <c r="K34" s="15">
        <f>IFERROR(VLOOKUP($C34,Sheet3!$H$2:$O$200,K$1,FALSE),IFERROR(VLOOKUP($D34,Sheet3!$H$2:$O$200,K$1,FALSE),VLOOKUP($E34,Sheet3!$H$2:$O$200,K$1,FALSE)))</f>
        <v>0</v>
      </c>
      <c r="L34" s="15">
        <f>IFERROR(VLOOKUP($C34,Sheet3!$H$2:$O$200,L$1,FALSE),IFERROR(VLOOKUP($D34,Sheet3!$H$2:$O$200,L$1,FALSE),VLOOKUP($E34,Sheet3!$H$2:$O$200,L$1,FALSE)))</f>
        <v>0</v>
      </c>
      <c r="M34" s="15" t="str">
        <f>IFERROR(VLOOKUP($C34,Sheet3!$H$2:$O$200,M$1,FALSE),IFERROR(VLOOKUP($D34,Sheet3!$H$2:$O$200,M$1,FALSE),VLOOKUP($E34,Sheet3!$H$2:$O$200,M$1,FALSE)))</f>
        <v>crème de cassis</v>
      </c>
      <c r="N34" s="15">
        <f>IFERROR(VLOOKUP($C34,Sheet3!$H$2:$O$200,N$1,FALSE),IFERROR(VLOOKUP($D34,Sheet3!$H$2:$O$200,N$1,FALSE),VLOOKUP($E34,Sheet3!$H$2:$O$200,N$1,FALSE)))</f>
        <v>0</v>
      </c>
      <c r="O34" s="15">
        <f>IFERROR(VLOOKUP($C34,Sheet3!$H$2:$O$200,O$1,FALSE),IFERROR(VLOOKUP($D34,Sheet3!$H$2:$O$200,O$1,FALSE),VLOOKUP($E34,Sheet3!$H$2:$O$200,O$1,FALSE)))</f>
        <v>0</v>
      </c>
      <c r="P34" s="15">
        <f>IFERROR(VLOOKUP($C34,Sheet3!$H$2:$O$200,P$1,FALSE),IFERROR(VLOOKUP($D34,Sheet3!$H$2:$O$200,P$1,FALSE),VLOOKUP($E34,Sheet3!$H$2:$O$200,P$1,FALSE)))</f>
        <v>0</v>
      </c>
      <c r="Q34" s="15">
        <f>IFERROR(IF(ISBLANK(J34),IFERROR(VLOOKUP($D34,Sheet3!$H$2:$O$200,Q$1,FALSE),IFERROR(VLOOKUP($E34,Sheet3!$H$2:$O$200,Q$1,FALSE),VLOOKUP($F34,Sheet3!$H$2:$O$200,Q$1,FALSE))),$I$1),$I$1)</f>
        <v>0</v>
      </c>
      <c r="R34" s="15">
        <f>IFERROR(IF(ISBLANK(K34),IFERROR(VLOOKUP($D34,Sheet3!$H$2:$O$200,R$1,FALSE),IFERROR(VLOOKUP($E34,Sheet3!$H$2:$O$200,R$1,FALSE),VLOOKUP($F34,Sheet3!$H$2:$O$200,R$1,FALSE))),$I$1),$I$1)</f>
        <v>0</v>
      </c>
      <c r="S34" s="15">
        <f>IFERROR(IF(ISBLANK(L34),IFERROR(VLOOKUP($D34,Sheet3!$H$2:$O$200,S$1,FALSE),IFERROR(VLOOKUP($E34,Sheet3!$H$2:$O$200,S$1,FALSE),VLOOKUP($F34,Sheet3!$H$2:$O$200,S$1,FALSE))),$I$1),$I$1)</f>
        <v>0</v>
      </c>
      <c r="T34" s="15">
        <f>IFERROR(IF(ISBLANK(M34),IFERROR(VLOOKUP($D34,Sheet3!$H$2:$O$200,T$1,FALSE),IFERROR(VLOOKUP($E34,Sheet3!$H$2:$O$200,T$1,FALSE),VLOOKUP($F34,Sheet3!$H$2:$O$200,T$1,FALSE))),$I$1),$I$1)</f>
        <v>0</v>
      </c>
      <c r="U34" s="15">
        <f>IFERROR(IF(ISBLANK(N34),IFERROR(VLOOKUP($D34,Sheet3!$H$2:$O$200,U$1,FALSE),IFERROR(VLOOKUP($E34,Sheet3!$H$2:$O$200,U$1,FALSE),VLOOKUP($F34,Sheet3!$H$2:$O$200,U$1,FALSE))),$I$1),$I$1)</f>
        <v>0</v>
      </c>
      <c r="V34" s="15">
        <f>IFERROR(IF(ISBLANK(O34),IFERROR(VLOOKUP($D34,Sheet3!$H$2:$O$200,V$1,FALSE),IFERROR(VLOOKUP($E34,Sheet3!$H$2:$O$200,V$1,FALSE),VLOOKUP($F34,Sheet3!$H$2:$O$200,V$1,FALSE))),$I$1),$I$1)</f>
        <v>0</v>
      </c>
      <c r="W34" s="15">
        <f>IFERROR(IF(ISBLANK(P34),IFERROR(VLOOKUP($D34,Sheet3!$H$2:$O$200,W$1,FALSE),IFERROR(VLOOKUP($E34,Sheet3!$H$2:$O$200,W$1,FALSE),VLOOKUP($F34,Sheet3!$H$2:$O$200,W$1,FALSE))),$I$1),$I$1)</f>
        <v>0</v>
      </c>
      <c r="X34" s="15">
        <f>IFERROR(IF(ISBLANK(Q34),IFERROR(VLOOKUP($E34,Sheet3!$H$2:$O$200,X$1,FALSE),IFERROR(VLOOKUP($F34,Sheet3!$H$2:$O$200,X$1,FALSE),VLOOKUP($G34,Sheet3!$H$2:$O$200,X$1,FALSE))),$I$1),$I$1)</f>
        <v>0</v>
      </c>
      <c r="Y34" s="15">
        <f>IFERROR(IF(ISBLANK(R34),IFERROR(VLOOKUP($E34,Sheet3!$H$2:$O$200,Y$1,FALSE),IFERROR(VLOOKUP($F34,Sheet3!$H$2:$O$200,Y$1,FALSE),VLOOKUP($G34,Sheet3!$H$2:$O$200,Y$1,FALSE))),$I$1),$I$1)</f>
        <v>0</v>
      </c>
      <c r="Z34" s="15">
        <f>IFERROR(IF(ISBLANK(S34),IFERROR(VLOOKUP($E34,Sheet3!$H$2:$O$200,Z$1,FALSE),IFERROR(VLOOKUP($F34,Sheet3!$H$2:$O$200,Z$1,FALSE),VLOOKUP($G34,Sheet3!$H$2:$O$200,Z$1,FALSE))),$I$1),$I$1)</f>
        <v>0</v>
      </c>
      <c r="AA34" s="15">
        <f>IFERROR(IF(ISBLANK(T34),IFERROR(VLOOKUP($E34,Sheet3!$H$2:$O$200,AA$1,FALSE),IFERROR(VLOOKUP($F34,Sheet3!$H$2:$O$200,AA$1,FALSE),VLOOKUP($G34,Sheet3!$H$2:$O$200,AA$1,FALSE))),$I$1),$I$1)</f>
        <v>0</v>
      </c>
      <c r="AB34" s="15">
        <f>IFERROR(IF(ISBLANK(U34),IFERROR(VLOOKUP($E34,Sheet3!$H$2:$O$200,AB$1,FALSE),IFERROR(VLOOKUP($F34,Sheet3!$H$2:$O$200,AB$1,FALSE),VLOOKUP($G34,Sheet3!$H$2:$O$200,AB$1,FALSE))),$I$1),$I$1)</f>
        <v>0</v>
      </c>
      <c r="AC34" s="15">
        <f>IFERROR(IF(ISBLANK(V34),IFERROR(VLOOKUP($E34,Sheet3!$H$2:$O$200,AC$1,FALSE),IFERROR(VLOOKUP($F34,Sheet3!$H$2:$O$200,AC$1,FALSE),VLOOKUP($G34,Sheet3!$H$2:$O$200,AC$1,FALSE))),$I$1),$I$1)</f>
        <v>0</v>
      </c>
      <c r="AD34" s="15">
        <f>IFERROR(IF(ISBLANK(W34),IFERROR(VLOOKUP($E34,Sheet3!$H$2:$O$200,AD$1,FALSE),IFERROR(VLOOKUP($F34,Sheet3!$H$2:$O$200,AD$1,FALSE),VLOOKUP($G34,Sheet3!$H$2:$O$200,AD$1,FALSE))),$I$1),$I$1)</f>
        <v>0</v>
      </c>
      <c r="AE34" s="15">
        <f>IFERROR(IF(ISBLANK(X34),IFERROR(VLOOKUP($F34,Sheet3!$H$2:$O$200,AE$1,FALSE),VLOOKUP($G34,Sheet3!$H$2:$O$200,AE$1,FALSE)),$I$1),$I$1)</f>
        <v>0</v>
      </c>
      <c r="AF34" s="15">
        <f>IFERROR(IF(ISBLANK(Y34),IFERROR(VLOOKUP($F34,Sheet3!$H$2:$O$200,AF$1,FALSE),VLOOKUP($G34,Sheet3!$H$2:$O$200,AF$1,FALSE)),$I$1),$I$1)</f>
        <v>0</v>
      </c>
      <c r="AG34" s="15">
        <f>IFERROR(IF(ISBLANK(Z34),IFERROR(VLOOKUP($F34,Sheet3!$H$2:$O$200,AG$1,FALSE),VLOOKUP($G34,Sheet3!$H$2:$O$200,AG$1,FALSE)),$I$1),$I$1)</f>
        <v>0</v>
      </c>
      <c r="AH34" s="15">
        <f>IFERROR(IF(ISBLANK(AA34),IFERROR(VLOOKUP($F34,Sheet3!$H$2:$O$200,AH$1,FALSE),VLOOKUP($G34,Sheet3!$H$2:$O$200,AH$1,FALSE)),$I$1),$I$1)</f>
        <v>0</v>
      </c>
      <c r="AI34" s="15">
        <f>IFERROR(IF(ISBLANK(AB34),IFERROR(VLOOKUP($F34,Sheet3!$H$2:$O$200,AI$1,FALSE),VLOOKUP($G34,Sheet3!$H$2:$O$200,AI$1,FALSE)),$I$1),$I$1)</f>
        <v>0</v>
      </c>
      <c r="AJ34" s="15">
        <f>IFERROR(IF(ISBLANK(AC34),IFERROR(VLOOKUP($F34,Sheet3!$H$2:$O$200,AJ$1,FALSE),VLOOKUP($G34,Sheet3!$H$2:$O$200,AJ$1,FALSE)),$I$1),$I$1)</f>
        <v>0</v>
      </c>
      <c r="AK34" s="15">
        <f>IFERROR(IF(ISBLANK(AD34),IFERROR(VLOOKUP($F34,Sheet3!$H$2:$O$200,AK$1,FALSE),VLOOKUP($G34,Sheet3!$H$2:$O$200,AK$1,FALSE)),$I$1),$I$1)</f>
        <v>0</v>
      </c>
      <c r="AL34" s="15">
        <f>IFERROR(IF(ISBLANK(AE34),VLOOKUP($G34,Sheet3!$H$2:$O$200,AL$1,FALSE),$I$1),$I$1)</f>
        <v>0</v>
      </c>
      <c r="AM34" s="15">
        <f>IFERROR(IF(ISBLANK(AF34),VLOOKUP($G34,Sheet3!$H$2:$O$200,AM$1,FALSE),$I$1),$I$1)</f>
        <v>0</v>
      </c>
      <c r="AN34" s="15">
        <f>IFERROR(IF(ISBLANK(AG34),VLOOKUP($G34,Sheet3!$H$2:$O$200,AN$1,FALSE),$I$1),$I$1)</f>
        <v>0</v>
      </c>
      <c r="AO34" s="15">
        <f>IFERROR(IF(ISBLANK(AH34),VLOOKUP($G34,Sheet3!$H$2:$O$200,AO$1,FALSE),$I$1),$I$1)</f>
        <v>0</v>
      </c>
      <c r="AP34" s="15">
        <f>IFERROR(IF(ISBLANK(AI34),VLOOKUP($G34,Sheet3!$H$2:$O$200,AP$1,FALSE),$I$1),$I$1)</f>
        <v>0</v>
      </c>
      <c r="AQ34" s="15">
        <f>IFERROR(IF(ISBLANK(AJ34),VLOOKUP($G34,Sheet3!$H$2:$O$200,AQ$1,FALSE),$I$1),$I$1)</f>
        <v>0</v>
      </c>
      <c r="AR34" s="15">
        <f>IFERROR(IF(ISBLANK(AK34),VLOOKUP($G34,Sheet3!$H$2:$O$200,AR$1,FALSE),$I$1),$I$1)</f>
        <v>0</v>
      </c>
      <c r="AS34" s="15">
        <f t="shared" si="1"/>
        <v>28</v>
      </c>
      <c r="AT34" s="15" t="b">
        <f t="shared" si="2"/>
        <v>0</v>
      </c>
    </row>
    <row r="35" spans="1:46" x14ac:dyDescent="0.2">
      <c r="A35" s="19" t="s">
        <v>111</v>
      </c>
      <c r="B35" s="19" t="s">
        <v>49</v>
      </c>
      <c r="C35" s="19" t="s">
        <v>112</v>
      </c>
      <c r="D35" s="19" t="s">
        <v>113</v>
      </c>
      <c r="E35" s="19" t="s">
        <v>114</v>
      </c>
      <c r="F35" s="19"/>
      <c r="G35" s="19"/>
      <c r="H35" s="19" t="s">
        <v>111</v>
      </c>
      <c r="I35" s="15">
        <f t="shared" si="0"/>
        <v>3</v>
      </c>
      <c r="J35" s="15">
        <f>IFERROR(VLOOKUP($C35,Sheet3!$H$2:$O$200,J$1,FALSE),IFERROR(VLOOKUP($D35,Sheet3!$H$2:$O$200,J$1,FALSE),VLOOKUP($E35,Sheet3!$H$2:$O$200,J$1,FALSE)))</f>
        <v>0</v>
      </c>
      <c r="K35" s="15">
        <f>IFERROR(VLOOKUP($C35,Sheet3!$H$2:$O$200,K$1,FALSE),IFERROR(VLOOKUP($D35,Sheet3!$H$2:$O$200,K$1,FALSE),VLOOKUP($E35,Sheet3!$H$2:$O$200,K$1,FALSE)))</f>
        <v>0</v>
      </c>
      <c r="L35" s="15">
        <f>IFERROR(VLOOKUP($C35,Sheet3!$H$2:$O$200,L$1,FALSE),IFERROR(VLOOKUP($D35,Sheet3!$H$2:$O$200,L$1,FALSE),VLOOKUP($E35,Sheet3!$H$2:$O$200,L$1,FALSE)))</f>
        <v>0</v>
      </c>
      <c r="M35" s="15" t="str">
        <f>IFERROR(VLOOKUP($C35,Sheet3!$H$2:$O$200,M$1,FALSE),IFERROR(VLOOKUP($D35,Sheet3!$H$2:$O$200,M$1,FALSE),VLOOKUP($E35,Sheet3!$H$2:$O$200,M$1,FALSE)))</f>
        <v>Tuaca</v>
      </c>
      <c r="N35" s="15">
        <f>IFERROR(VLOOKUP($C35,Sheet3!$H$2:$O$200,N$1,FALSE),IFERROR(VLOOKUP($D35,Sheet3!$H$2:$O$200,N$1,FALSE),VLOOKUP($E35,Sheet3!$H$2:$O$200,N$1,FALSE)))</f>
        <v>0</v>
      </c>
      <c r="O35" s="15">
        <f>IFERROR(VLOOKUP($C35,Sheet3!$H$2:$O$200,O$1,FALSE),IFERROR(VLOOKUP($D35,Sheet3!$H$2:$O$200,O$1,FALSE),VLOOKUP($E35,Sheet3!$H$2:$O$200,O$1,FALSE)))</f>
        <v>0</v>
      </c>
      <c r="P35" s="15">
        <f>IFERROR(VLOOKUP($C35,Sheet3!$H$2:$O$200,P$1,FALSE),IFERROR(VLOOKUP($D35,Sheet3!$H$2:$O$200,P$1,FALSE),VLOOKUP($E35,Sheet3!$H$2:$O$200,P$1,FALSE)))</f>
        <v>0</v>
      </c>
      <c r="Q35" s="15">
        <f>IFERROR(IF(ISBLANK(J35),IFERROR(VLOOKUP($D35,Sheet3!$H$2:$O$200,Q$1,FALSE),IFERROR(VLOOKUP($E35,Sheet3!$H$2:$O$200,Q$1,FALSE),VLOOKUP($F35,Sheet3!$H$2:$O$200,Q$1,FALSE))),$I$1),$I$1)</f>
        <v>0</v>
      </c>
      <c r="R35" s="15">
        <f>IFERROR(IF(ISBLANK(K35),IFERROR(VLOOKUP($D35,Sheet3!$H$2:$O$200,R$1,FALSE),IFERROR(VLOOKUP($E35,Sheet3!$H$2:$O$200,R$1,FALSE),VLOOKUP($F35,Sheet3!$H$2:$O$200,R$1,FALSE))),$I$1),$I$1)</f>
        <v>0</v>
      </c>
      <c r="S35" s="15">
        <f>IFERROR(IF(ISBLANK(L35),IFERROR(VLOOKUP($D35,Sheet3!$H$2:$O$200,S$1,FALSE),IFERROR(VLOOKUP($E35,Sheet3!$H$2:$O$200,S$1,FALSE),VLOOKUP($F35,Sheet3!$H$2:$O$200,S$1,FALSE))),$I$1),$I$1)</f>
        <v>0</v>
      </c>
      <c r="T35" s="15">
        <f>IFERROR(IF(ISBLANK(M35),IFERROR(VLOOKUP($D35,Sheet3!$H$2:$O$200,T$1,FALSE),IFERROR(VLOOKUP($E35,Sheet3!$H$2:$O$200,T$1,FALSE),VLOOKUP($F35,Sheet3!$H$2:$O$200,T$1,FALSE))),$I$1),$I$1)</f>
        <v>0</v>
      </c>
      <c r="U35" s="15">
        <f>IFERROR(IF(ISBLANK(N35),IFERROR(VLOOKUP($D35,Sheet3!$H$2:$O$200,U$1,FALSE),IFERROR(VLOOKUP($E35,Sheet3!$H$2:$O$200,U$1,FALSE),VLOOKUP($F35,Sheet3!$H$2:$O$200,U$1,FALSE))),$I$1),$I$1)</f>
        <v>0</v>
      </c>
      <c r="V35" s="15">
        <f>IFERROR(IF(ISBLANK(O35),IFERROR(VLOOKUP($D35,Sheet3!$H$2:$O$200,V$1,FALSE),IFERROR(VLOOKUP($E35,Sheet3!$H$2:$O$200,V$1,FALSE),VLOOKUP($F35,Sheet3!$H$2:$O$200,V$1,FALSE))),$I$1),$I$1)</f>
        <v>0</v>
      </c>
      <c r="W35" s="15">
        <f>IFERROR(IF(ISBLANK(P35),IFERROR(VLOOKUP($D35,Sheet3!$H$2:$O$200,W$1,FALSE),IFERROR(VLOOKUP($E35,Sheet3!$H$2:$O$200,W$1,FALSE),VLOOKUP($F35,Sheet3!$H$2:$O$200,W$1,FALSE))),$I$1),$I$1)</f>
        <v>0</v>
      </c>
      <c r="X35" s="15">
        <f>IFERROR(IF(ISBLANK(Q35),IFERROR(VLOOKUP($E35,Sheet3!$H$2:$O$200,X$1,FALSE),IFERROR(VLOOKUP($F35,Sheet3!$H$2:$O$200,X$1,FALSE),VLOOKUP($G35,Sheet3!$H$2:$O$200,X$1,FALSE))),$I$1),$I$1)</f>
        <v>0</v>
      </c>
      <c r="Y35" s="15">
        <f>IFERROR(IF(ISBLANK(R35),IFERROR(VLOOKUP($E35,Sheet3!$H$2:$O$200,Y$1,FALSE),IFERROR(VLOOKUP($F35,Sheet3!$H$2:$O$200,Y$1,FALSE),VLOOKUP($G35,Sheet3!$H$2:$O$200,Y$1,FALSE))),$I$1),$I$1)</f>
        <v>0</v>
      </c>
      <c r="Z35" s="15">
        <f>IFERROR(IF(ISBLANK(S35),IFERROR(VLOOKUP($E35,Sheet3!$H$2:$O$200,Z$1,FALSE),IFERROR(VLOOKUP($F35,Sheet3!$H$2:$O$200,Z$1,FALSE),VLOOKUP($G35,Sheet3!$H$2:$O$200,Z$1,FALSE))),$I$1),$I$1)</f>
        <v>0</v>
      </c>
      <c r="AA35" s="15">
        <f>IFERROR(IF(ISBLANK(T35),IFERROR(VLOOKUP($E35,Sheet3!$H$2:$O$200,AA$1,FALSE),IFERROR(VLOOKUP($F35,Sheet3!$H$2:$O$200,AA$1,FALSE),VLOOKUP($G35,Sheet3!$H$2:$O$200,AA$1,FALSE))),$I$1),$I$1)</f>
        <v>0</v>
      </c>
      <c r="AB35" s="15">
        <f>IFERROR(IF(ISBLANK(U35),IFERROR(VLOOKUP($E35,Sheet3!$H$2:$O$200,AB$1,FALSE),IFERROR(VLOOKUP($F35,Sheet3!$H$2:$O$200,AB$1,FALSE),VLOOKUP($G35,Sheet3!$H$2:$O$200,AB$1,FALSE))),$I$1),$I$1)</f>
        <v>0</v>
      </c>
      <c r="AC35" s="15">
        <f>IFERROR(IF(ISBLANK(V35),IFERROR(VLOOKUP($E35,Sheet3!$H$2:$O$200,AC$1,FALSE),IFERROR(VLOOKUP($F35,Sheet3!$H$2:$O$200,AC$1,FALSE),VLOOKUP($G35,Sheet3!$H$2:$O$200,AC$1,FALSE))),$I$1),$I$1)</f>
        <v>0</v>
      </c>
      <c r="AD35" s="15">
        <f>IFERROR(IF(ISBLANK(W35),IFERROR(VLOOKUP($E35,Sheet3!$H$2:$O$200,AD$1,FALSE),IFERROR(VLOOKUP($F35,Sheet3!$H$2:$O$200,AD$1,FALSE),VLOOKUP($G35,Sheet3!$H$2:$O$200,AD$1,FALSE))),$I$1),$I$1)</f>
        <v>0</v>
      </c>
      <c r="AE35" s="15">
        <f>IFERROR(IF(ISBLANK(X35),IFERROR(VLOOKUP($F35,Sheet3!$H$2:$O$200,AE$1,FALSE),VLOOKUP($G35,Sheet3!$H$2:$O$200,AE$1,FALSE)),$I$1),$I$1)</f>
        <v>0</v>
      </c>
      <c r="AF35" s="15">
        <f>IFERROR(IF(ISBLANK(Y35),IFERROR(VLOOKUP($F35,Sheet3!$H$2:$O$200,AF$1,FALSE),VLOOKUP($G35,Sheet3!$H$2:$O$200,AF$1,FALSE)),$I$1),$I$1)</f>
        <v>0</v>
      </c>
      <c r="AG35" s="15">
        <f>IFERROR(IF(ISBLANK(Z35),IFERROR(VLOOKUP($F35,Sheet3!$H$2:$O$200,AG$1,FALSE),VLOOKUP($G35,Sheet3!$H$2:$O$200,AG$1,FALSE)),$I$1),$I$1)</f>
        <v>0</v>
      </c>
      <c r="AH35" s="15">
        <f>IFERROR(IF(ISBLANK(AA35),IFERROR(VLOOKUP($F35,Sheet3!$H$2:$O$200,AH$1,FALSE),VLOOKUP($G35,Sheet3!$H$2:$O$200,AH$1,FALSE)),$I$1),$I$1)</f>
        <v>0</v>
      </c>
      <c r="AI35" s="15">
        <f>IFERROR(IF(ISBLANK(AB35),IFERROR(VLOOKUP($F35,Sheet3!$H$2:$O$200,AI$1,FALSE),VLOOKUP($G35,Sheet3!$H$2:$O$200,AI$1,FALSE)),$I$1),$I$1)</f>
        <v>0</v>
      </c>
      <c r="AJ35" s="15">
        <f>IFERROR(IF(ISBLANK(AC35),IFERROR(VLOOKUP($F35,Sheet3!$H$2:$O$200,AJ$1,FALSE),VLOOKUP($G35,Sheet3!$H$2:$O$200,AJ$1,FALSE)),$I$1),$I$1)</f>
        <v>0</v>
      </c>
      <c r="AK35" s="15">
        <f>IFERROR(IF(ISBLANK(AD35),IFERROR(VLOOKUP($F35,Sheet3!$H$2:$O$200,AK$1,FALSE),VLOOKUP($G35,Sheet3!$H$2:$O$200,AK$1,FALSE)),$I$1),$I$1)</f>
        <v>0</v>
      </c>
      <c r="AL35" s="15">
        <f>IFERROR(IF(ISBLANK(AE35),VLOOKUP($G35,Sheet3!$H$2:$O$200,AL$1,FALSE),$I$1),$I$1)</f>
        <v>0</v>
      </c>
      <c r="AM35" s="15">
        <f>IFERROR(IF(ISBLANK(AF35),VLOOKUP($G35,Sheet3!$H$2:$O$200,AM$1,FALSE),$I$1),$I$1)</f>
        <v>0</v>
      </c>
      <c r="AN35" s="15">
        <f>IFERROR(IF(ISBLANK(AG35),VLOOKUP($G35,Sheet3!$H$2:$O$200,AN$1,FALSE),$I$1),$I$1)</f>
        <v>0</v>
      </c>
      <c r="AO35" s="15">
        <f>IFERROR(IF(ISBLANK(AH35),VLOOKUP($G35,Sheet3!$H$2:$O$200,AO$1,FALSE),$I$1),$I$1)</f>
        <v>0</v>
      </c>
      <c r="AP35" s="15">
        <f>IFERROR(IF(ISBLANK(AI35),VLOOKUP($G35,Sheet3!$H$2:$O$200,AP$1,FALSE),$I$1),$I$1)</f>
        <v>0</v>
      </c>
      <c r="AQ35" s="15">
        <f>IFERROR(IF(ISBLANK(AJ35),VLOOKUP($G35,Sheet3!$H$2:$O$200,AQ$1,FALSE),$I$1),$I$1)</f>
        <v>0</v>
      </c>
      <c r="AR35" s="15">
        <f>IFERROR(IF(ISBLANK(AK35),VLOOKUP($G35,Sheet3!$H$2:$O$200,AR$1,FALSE),$I$1),$I$1)</f>
        <v>0</v>
      </c>
      <c r="AS35" s="15">
        <f t="shared" si="1"/>
        <v>28</v>
      </c>
      <c r="AT35" s="15" t="b">
        <f t="shared" si="2"/>
        <v>0</v>
      </c>
    </row>
    <row r="36" spans="1:46" x14ac:dyDescent="0.2">
      <c r="A36" s="20" t="s">
        <v>116</v>
      </c>
      <c r="B36" s="20" t="s">
        <v>49</v>
      </c>
      <c r="C36" s="20" t="s">
        <v>100</v>
      </c>
      <c r="D36" s="20" t="s">
        <v>38</v>
      </c>
      <c r="E36" s="20"/>
      <c r="F36" s="20"/>
      <c r="G36" s="20"/>
      <c r="H36" s="20" t="s">
        <v>116</v>
      </c>
      <c r="I36" s="15">
        <f t="shared" si="0"/>
        <v>2</v>
      </c>
      <c r="J36" s="15">
        <f>IFERROR(VLOOKUP($C36,Sheet3!$H$2:$O$200,J$1,FALSE),IFERROR(VLOOKUP($D36,Sheet3!$H$2:$O$200,J$1,FALSE),VLOOKUP($E36,Sheet3!$H$2:$O$200,J$1,FALSE)))</f>
        <v>0</v>
      </c>
      <c r="K36" s="15">
        <f>IFERROR(VLOOKUP($C36,Sheet3!$H$2:$O$200,K$1,FALSE),IFERROR(VLOOKUP($D36,Sheet3!$H$2:$O$200,K$1,FALSE),VLOOKUP($E36,Sheet3!$H$2:$O$200,K$1,FALSE)))</f>
        <v>0</v>
      </c>
      <c r="L36" s="15">
        <f>IFERROR(VLOOKUP($C36,Sheet3!$H$2:$O$200,L$1,FALSE),IFERROR(VLOOKUP($D36,Sheet3!$H$2:$O$200,L$1,FALSE),VLOOKUP($E36,Sheet3!$H$2:$O$200,L$1,FALSE)))</f>
        <v>0</v>
      </c>
      <c r="M36" s="15" t="str">
        <f>IFERROR(VLOOKUP($C36,Sheet3!$H$2:$O$200,M$1,FALSE),IFERROR(VLOOKUP($D36,Sheet3!$H$2:$O$200,M$1,FALSE),VLOOKUP($E36,Sheet3!$H$2:$O$200,M$1,FALSE)))</f>
        <v>triple sec</v>
      </c>
      <c r="N36" s="15">
        <f>IFERROR(VLOOKUP($C36,Sheet3!$H$2:$O$200,N$1,FALSE),IFERROR(VLOOKUP($D36,Sheet3!$H$2:$O$200,N$1,FALSE),VLOOKUP($E36,Sheet3!$H$2:$O$200,N$1,FALSE)))</f>
        <v>0</v>
      </c>
      <c r="O36" s="15">
        <f>IFERROR(VLOOKUP($C36,Sheet3!$H$2:$O$200,O$1,FALSE),IFERROR(VLOOKUP($D36,Sheet3!$H$2:$O$200,O$1,FALSE),VLOOKUP($E36,Sheet3!$H$2:$O$200,O$1,FALSE)))</f>
        <v>0</v>
      </c>
      <c r="P36" s="15">
        <f>IFERROR(VLOOKUP($C36,Sheet3!$H$2:$O$200,P$1,FALSE),IFERROR(VLOOKUP($D36,Sheet3!$H$2:$O$200,P$1,FALSE),VLOOKUP($E36,Sheet3!$H$2:$O$200,P$1,FALSE)))</f>
        <v>0</v>
      </c>
      <c r="Q36" s="15">
        <f>IFERROR(IF(ISBLANK(J36),IFERROR(VLOOKUP($D36,Sheet3!$H$2:$O$200,Q$1,FALSE),IFERROR(VLOOKUP($E36,Sheet3!$H$2:$O$200,Q$1,FALSE),VLOOKUP($F36,Sheet3!$H$2:$O$200,Q$1,FALSE))),$I$1),$I$1)</f>
        <v>0</v>
      </c>
      <c r="R36" s="15">
        <f>IFERROR(IF(ISBLANK(K36),IFERROR(VLOOKUP($D36,Sheet3!$H$2:$O$200,R$1,FALSE),IFERROR(VLOOKUP($E36,Sheet3!$H$2:$O$200,R$1,FALSE),VLOOKUP($F36,Sheet3!$H$2:$O$200,R$1,FALSE))),$I$1),$I$1)</f>
        <v>0</v>
      </c>
      <c r="S36" s="15">
        <f>IFERROR(IF(ISBLANK(L36),IFERROR(VLOOKUP($D36,Sheet3!$H$2:$O$200,S$1,FALSE),IFERROR(VLOOKUP($E36,Sheet3!$H$2:$O$200,S$1,FALSE),VLOOKUP($F36,Sheet3!$H$2:$O$200,S$1,FALSE))),$I$1),$I$1)</f>
        <v>0</v>
      </c>
      <c r="T36" s="15">
        <f>IFERROR(IF(ISBLANK(M36),IFERROR(VLOOKUP($D36,Sheet3!$H$2:$O$200,T$1,FALSE),IFERROR(VLOOKUP($E36,Sheet3!$H$2:$O$200,T$1,FALSE),VLOOKUP($F36,Sheet3!$H$2:$O$200,T$1,FALSE))),$I$1),$I$1)</f>
        <v>0</v>
      </c>
      <c r="U36" s="15">
        <f>IFERROR(IF(ISBLANK(N36),IFERROR(VLOOKUP($D36,Sheet3!$H$2:$O$200,U$1,FALSE),IFERROR(VLOOKUP($E36,Sheet3!$H$2:$O$200,U$1,FALSE),VLOOKUP($F36,Sheet3!$H$2:$O$200,U$1,FALSE))),$I$1),$I$1)</f>
        <v>0</v>
      </c>
      <c r="V36" s="15">
        <f>IFERROR(IF(ISBLANK(O36),IFERROR(VLOOKUP($D36,Sheet3!$H$2:$O$200,V$1,FALSE),IFERROR(VLOOKUP($E36,Sheet3!$H$2:$O$200,V$1,FALSE),VLOOKUP($F36,Sheet3!$H$2:$O$200,V$1,FALSE))),$I$1),$I$1)</f>
        <v>0</v>
      </c>
      <c r="W36" s="15">
        <f>IFERROR(IF(ISBLANK(P36),IFERROR(VLOOKUP($D36,Sheet3!$H$2:$O$200,W$1,FALSE),IFERROR(VLOOKUP($E36,Sheet3!$H$2:$O$200,W$1,FALSE),VLOOKUP($F36,Sheet3!$H$2:$O$200,W$1,FALSE))),$I$1),$I$1)</f>
        <v>0</v>
      </c>
      <c r="X36" s="15">
        <f>IFERROR(IF(ISBLANK(Q36),IFERROR(VLOOKUP($E36,Sheet3!$H$2:$O$200,X$1,FALSE),IFERROR(VLOOKUP($F36,Sheet3!$H$2:$O$200,X$1,FALSE),VLOOKUP($G36,Sheet3!$H$2:$O$200,X$1,FALSE))),$I$1),$I$1)</f>
        <v>0</v>
      </c>
      <c r="Y36" s="15">
        <f>IFERROR(IF(ISBLANK(R36),IFERROR(VLOOKUP($E36,Sheet3!$H$2:$O$200,Y$1,FALSE),IFERROR(VLOOKUP($F36,Sheet3!$H$2:$O$200,Y$1,FALSE),VLOOKUP($G36,Sheet3!$H$2:$O$200,Y$1,FALSE))),$I$1),$I$1)</f>
        <v>0</v>
      </c>
      <c r="Z36" s="15">
        <f>IFERROR(IF(ISBLANK(S36),IFERROR(VLOOKUP($E36,Sheet3!$H$2:$O$200,Z$1,FALSE),IFERROR(VLOOKUP($F36,Sheet3!$H$2:$O$200,Z$1,FALSE),VLOOKUP($G36,Sheet3!$H$2:$O$200,Z$1,FALSE))),$I$1),$I$1)</f>
        <v>0</v>
      </c>
      <c r="AA36" s="15">
        <f>IFERROR(IF(ISBLANK(T36),IFERROR(VLOOKUP($E36,Sheet3!$H$2:$O$200,AA$1,FALSE),IFERROR(VLOOKUP($F36,Sheet3!$H$2:$O$200,AA$1,FALSE),VLOOKUP($G36,Sheet3!$H$2:$O$200,AA$1,FALSE))),$I$1),$I$1)</f>
        <v>0</v>
      </c>
      <c r="AB36" s="15">
        <f>IFERROR(IF(ISBLANK(U36),IFERROR(VLOOKUP($E36,Sheet3!$H$2:$O$200,AB$1,FALSE),IFERROR(VLOOKUP($F36,Sheet3!$H$2:$O$200,AB$1,FALSE),VLOOKUP($G36,Sheet3!$H$2:$O$200,AB$1,FALSE))),$I$1),$I$1)</f>
        <v>0</v>
      </c>
      <c r="AC36" s="15">
        <f>IFERROR(IF(ISBLANK(V36),IFERROR(VLOOKUP($E36,Sheet3!$H$2:$O$200,AC$1,FALSE),IFERROR(VLOOKUP($F36,Sheet3!$H$2:$O$200,AC$1,FALSE),VLOOKUP($G36,Sheet3!$H$2:$O$200,AC$1,FALSE))),$I$1),$I$1)</f>
        <v>0</v>
      </c>
      <c r="AD36" s="15">
        <f>IFERROR(IF(ISBLANK(W36),IFERROR(VLOOKUP($E36,Sheet3!$H$2:$O$200,AD$1,FALSE),IFERROR(VLOOKUP($F36,Sheet3!$H$2:$O$200,AD$1,FALSE),VLOOKUP($G36,Sheet3!$H$2:$O$200,AD$1,FALSE))),$I$1),$I$1)</f>
        <v>0</v>
      </c>
      <c r="AE36" s="15">
        <f>IFERROR(IF(ISBLANK(X36),IFERROR(VLOOKUP($F36,Sheet3!$H$2:$O$200,AE$1,FALSE),VLOOKUP($G36,Sheet3!$H$2:$O$200,AE$1,FALSE)),$I$1),$I$1)</f>
        <v>0</v>
      </c>
      <c r="AF36" s="15">
        <f>IFERROR(IF(ISBLANK(Y36),IFERROR(VLOOKUP($F36,Sheet3!$H$2:$O$200,AF$1,FALSE),VLOOKUP($G36,Sheet3!$H$2:$O$200,AF$1,FALSE)),$I$1),$I$1)</f>
        <v>0</v>
      </c>
      <c r="AG36" s="15">
        <f>IFERROR(IF(ISBLANK(Z36),IFERROR(VLOOKUP($F36,Sheet3!$H$2:$O$200,AG$1,FALSE),VLOOKUP($G36,Sheet3!$H$2:$O$200,AG$1,FALSE)),$I$1),$I$1)</f>
        <v>0</v>
      </c>
      <c r="AH36" s="15">
        <f>IFERROR(IF(ISBLANK(AA36),IFERROR(VLOOKUP($F36,Sheet3!$H$2:$O$200,AH$1,FALSE),VLOOKUP($G36,Sheet3!$H$2:$O$200,AH$1,FALSE)),$I$1),$I$1)</f>
        <v>0</v>
      </c>
      <c r="AI36" s="15">
        <f>IFERROR(IF(ISBLANK(AB36),IFERROR(VLOOKUP($F36,Sheet3!$H$2:$O$200,AI$1,FALSE),VLOOKUP($G36,Sheet3!$H$2:$O$200,AI$1,FALSE)),$I$1),$I$1)</f>
        <v>0</v>
      </c>
      <c r="AJ36" s="15">
        <f>IFERROR(IF(ISBLANK(AC36),IFERROR(VLOOKUP($F36,Sheet3!$H$2:$O$200,AJ$1,FALSE),VLOOKUP($G36,Sheet3!$H$2:$O$200,AJ$1,FALSE)),$I$1),$I$1)</f>
        <v>0</v>
      </c>
      <c r="AK36" s="15">
        <f>IFERROR(IF(ISBLANK(AD36),IFERROR(VLOOKUP($F36,Sheet3!$H$2:$O$200,AK$1,FALSE),VLOOKUP($G36,Sheet3!$H$2:$O$200,AK$1,FALSE)),$I$1),$I$1)</f>
        <v>0</v>
      </c>
      <c r="AL36" s="15">
        <f>IFERROR(IF(ISBLANK(AE36),VLOOKUP($G36,Sheet3!$H$2:$O$200,AL$1,FALSE),$I$1),$I$1)</f>
        <v>0</v>
      </c>
      <c r="AM36" s="15">
        <f>IFERROR(IF(ISBLANK(AF36),VLOOKUP($G36,Sheet3!$H$2:$O$200,AM$1,FALSE),$I$1),$I$1)</f>
        <v>0</v>
      </c>
      <c r="AN36" s="15">
        <f>IFERROR(IF(ISBLANK(AG36),VLOOKUP($G36,Sheet3!$H$2:$O$200,AN$1,FALSE),$I$1),$I$1)</f>
        <v>0</v>
      </c>
      <c r="AO36" s="15">
        <f>IFERROR(IF(ISBLANK(AH36),VLOOKUP($G36,Sheet3!$H$2:$O$200,AO$1,FALSE),$I$1),$I$1)</f>
        <v>0</v>
      </c>
      <c r="AP36" s="15">
        <f>IFERROR(IF(ISBLANK(AI36),VLOOKUP($G36,Sheet3!$H$2:$O$200,AP$1,FALSE),$I$1),$I$1)</f>
        <v>0</v>
      </c>
      <c r="AQ36" s="15">
        <f>IFERROR(IF(ISBLANK(AJ36),VLOOKUP($G36,Sheet3!$H$2:$O$200,AQ$1,FALSE),$I$1),$I$1)</f>
        <v>0</v>
      </c>
      <c r="AR36" s="15">
        <f>IFERROR(IF(ISBLANK(AK36),VLOOKUP($G36,Sheet3!$H$2:$O$200,AR$1,FALSE),$I$1),$I$1)</f>
        <v>0</v>
      </c>
      <c r="AS36" s="15">
        <f t="shared" si="1"/>
        <v>28</v>
      </c>
      <c r="AT36" s="15" t="b">
        <f t="shared" si="2"/>
        <v>0</v>
      </c>
    </row>
    <row r="37" spans="1:46" x14ac:dyDescent="0.2">
      <c r="A37" s="19" t="s">
        <v>117</v>
      </c>
      <c r="B37" s="19" t="s">
        <v>49</v>
      </c>
      <c r="C37" s="19" t="s">
        <v>100</v>
      </c>
      <c r="D37" s="19" t="s">
        <v>38</v>
      </c>
      <c r="E37" s="19" t="s">
        <v>118</v>
      </c>
      <c r="F37" s="19"/>
      <c r="G37" s="19"/>
      <c r="H37" s="19" t="s">
        <v>117</v>
      </c>
      <c r="I37" s="15">
        <f t="shared" si="0"/>
        <v>3</v>
      </c>
      <c r="J37" s="15">
        <f>IFERROR(VLOOKUP($C37,Sheet3!$H$2:$O$200,J$1,FALSE),IFERROR(VLOOKUP($D37,Sheet3!$H$2:$O$200,J$1,FALSE),VLOOKUP($E37,Sheet3!$H$2:$O$200,J$1,FALSE)))</f>
        <v>0</v>
      </c>
      <c r="K37" s="15">
        <f>IFERROR(VLOOKUP($C37,Sheet3!$H$2:$O$200,K$1,FALSE),IFERROR(VLOOKUP($D37,Sheet3!$H$2:$O$200,K$1,FALSE),VLOOKUP($E37,Sheet3!$H$2:$O$200,K$1,FALSE)))</f>
        <v>0</v>
      </c>
      <c r="L37" s="15">
        <f>IFERROR(VLOOKUP($C37,Sheet3!$H$2:$O$200,L$1,FALSE),IFERROR(VLOOKUP($D37,Sheet3!$H$2:$O$200,L$1,FALSE),VLOOKUP($E37,Sheet3!$H$2:$O$200,L$1,FALSE)))</f>
        <v>0</v>
      </c>
      <c r="M37" s="15" t="str">
        <f>IFERROR(VLOOKUP($C37,Sheet3!$H$2:$O$200,M$1,FALSE),IFERROR(VLOOKUP($D37,Sheet3!$H$2:$O$200,M$1,FALSE),VLOOKUP($E37,Sheet3!$H$2:$O$200,M$1,FALSE)))</f>
        <v>triple sec</v>
      </c>
      <c r="N37" s="15">
        <f>IFERROR(VLOOKUP($C37,Sheet3!$H$2:$O$200,N$1,FALSE),IFERROR(VLOOKUP($D37,Sheet3!$H$2:$O$200,N$1,FALSE),VLOOKUP($E37,Sheet3!$H$2:$O$200,N$1,FALSE)))</f>
        <v>0</v>
      </c>
      <c r="O37" s="15">
        <f>IFERROR(VLOOKUP($C37,Sheet3!$H$2:$O$200,O$1,FALSE),IFERROR(VLOOKUP($D37,Sheet3!$H$2:$O$200,O$1,FALSE),VLOOKUP($E37,Sheet3!$H$2:$O$200,O$1,FALSE)))</f>
        <v>0</v>
      </c>
      <c r="P37" s="15">
        <f>IFERROR(VLOOKUP($C37,Sheet3!$H$2:$O$200,P$1,FALSE),IFERROR(VLOOKUP($D37,Sheet3!$H$2:$O$200,P$1,FALSE),VLOOKUP($E37,Sheet3!$H$2:$O$200,P$1,FALSE)))</f>
        <v>0</v>
      </c>
      <c r="Q37" s="15">
        <f>IFERROR(IF(ISBLANK(J37),IFERROR(VLOOKUP($D37,Sheet3!$H$2:$O$200,Q$1,FALSE),IFERROR(VLOOKUP($E37,Sheet3!$H$2:$O$200,Q$1,FALSE),VLOOKUP($F37,Sheet3!$H$2:$O$200,Q$1,FALSE))),$I$1),$I$1)</f>
        <v>0</v>
      </c>
      <c r="R37" s="15">
        <f>IFERROR(IF(ISBLANK(K37),IFERROR(VLOOKUP($D37,Sheet3!$H$2:$O$200,R$1,FALSE),IFERROR(VLOOKUP($E37,Sheet3!$H$2:$O$200,R$1,FALSE),VLOOKUP($F37,Sheet3!$H$2:$O$200,R$1,FALSE))),$I$1),$I$1)</f>
        <v>0</v>
      </c>
      <c r="S37" s="15">
        <f>IFERROR(IF(ISBLANK(L37),IFERROR(VLOOKUP($D37,Sheet3!$H$2:$O$200,S$1,FALSE),IFERROR(VLOOKUP($E37,Sheet3!$H$2:$O$200,S$1,FALSE),VLOOKUP($F37,Sheet3!$H$2:$O$200,S$1,FALSE))),$I$1),$I$1)</f>
        <v>0</v>
      </c>
      <c r="T37" s="15">
        <f>IFERROR(IF(ISBLANK(M37),IFERROR(VLOOKUP($D37,Sheet3!$H$2:$O$200,T$1,FALSE),IFERROR(VLOOKUP($E37,Sheet3!$H$2:$O$200,T$1,FALSE),VLOOKUP($F37,Sheet3!$H$2:$O$200,T$1,FALSE))),$I$1),$I$1)</f>
        <v>0</v>
      </c>
      <c r="U37" s="15">
        <f>IFERROR(IF(ISBLANK(N37),IFERROR(VLOOKUP($D37,Sheet3!$H$2:$O$200,U$1,FALSE),IFERROR(VLOOKUP($E37,Sheet3!$H$2:$O$200,U$1,FALSE),VLOOKUP($F37,Sheet3!$H$2:$O$200,U$1,FALSE))),$I$1),$I$1)</f>
        <v>0</v>
      </c>
      <c r="V37" s="15">
        <f>IFERROR(IF(ISBLANK(O37),IFERROR(VLOOKUP($D37,Sheet3!$H$2:$O$200,V$1,FALSE),IFERROR(VLOOKUP($E37,Sheet3!$H$2:$O$200,V$1,FALSE),VLOOKUP($F37,Sheet3!$H$2:$O$200,V$1,FALSE))),$I$1),$I$1)</f>
        <v>0</v>
      </c>
      <c r="W37" s="15">
        <f>IFERROR(IF(ISBLANK(P37),IFERROR(VLOOKUP($D37,Sheet3!$H$2:$O$200,W$1,FALSE),IFERROR(VLOOKUP($E37,Sheet3!$H$2:$O$200,W$1,FALSE),VLOOKUP($F37,Sheet3!$H$2:$O$200,W$1,FALSE))),$I$1),$I$1)</f>
        <v>0</v>
      </c>
      <c r="X37" s="15">
        <f>IFERROR(IF(ISBLANK(Q37),IFERROR(VLOOKUP($E37,Sheet3!$H$2:$O$200,X$1,FALSE),IFERROR(VLOOKUP($F37,Sheet3!$H$2:$O$200,X$1,FALSE),VLOOKUP($G37,Sheet3!$H$2:$O$200,X$1,FALSE))),$I$1),$I$1)</f>
        <v>0</v>
      </c>
      <c r="Y37" s="15">
        <f>IFERROR(IF(ISBLANK(R37),IFERROR(VLOOKUP($E37,Sheet3!$H$2:$O$200,Y$1,FALSE),IFERROR(VLOOKUP($F37,Sheet3!$H$2:$O$200,Y$1,FALSE),VLOOKUP($G37,Sheet3!$H$2:$O$200,Y$1,FALSE))),$I$1),$I$1)</f>
        <v>0</v>
      </c>
      <c r="Z37" s="15">
        <f>IFERROR(IF(ISBLANK(S37),IFERROR(VLOOKUP($E37,Sheet3!$H$2:$O$200,Z$1,FALSE),IFERROR(VLOOKUP($F37,Sheet3!$H$2:$O$200,Z$1,FALSE),VLOOKUP($G37,Sheet3!$H$2:$O$200,Z$1,FALSE))),$I$1),$I$1)</f>
        <v>0</v>
      </c>
      <c r="AA37" s="15">
        <f>IFERROR(IF(ISBLANK(T37),IFERROR(VLOOKUP($E37,Sheet3!$H$2:$O$200,AA$1,FALSE),IFERROR(VLOOKUP($F37,Sheet3!$H$2:$O$200,AA$1,FALSE),VLOOKUP($G37,Sheet3!$H$2:$O$200,AA$1,FALSE))),$I$1),$I$1)</f>
        <v>0</v>
      </c>
      <c r="AB37" s="15">
        <f>IFERROR(IF(ISBLANK(U37),IFERROR(VLOOKUP($E37,Sheet3!$H$2:$O$200,AB$1,FALSE),IFERROR(VLOOKUP($F37,Sheet3!$H$2:$O$200,AB$1,FALSE),VLOOKUP($G37,Sheet3!$H$2:$O$200,AB$1,FALSE))),$I$1),$I$1)</f>
        <v>0</v>
      </c>
      <c r="AC37" s="15">
        <f>IFERROR(IF(ISBLANK(V37),IFERROR(VLOOKUP($E37,Sheet3!$H$2:$O$200,AC$1,FALSE),IFERROR(VLOOKUP($F37,Sheet3!$H$2:$O$200,AC$1,FALSE),VLOOKUP($G37,Sheet3!$H$2:$O$200,AC$1,FALSE))),$I$1),$I$1)</f>
        <v>0</v>
      </c>
      <c r="AD37" s="15">
        <f>IFERROR(IF(ISBLANK(W37),IFERROR(VLOOKUP($E37,Sheet3!$H$2:$O$200,AD$1,FALSE),IFERROR(VLOOKUP($F37,Sheet3!$H$2:$O$200,AD$1,FALSE),VLOOKUP($G37,Sheet3!$H$2:$O$200,AD$1,FALSE))),$I$1),$I$1)</f>
        <v>0</v>
      </c>
      <c r="AE37" s="15">
        <f>IFERROR(IF(ISBLANK(X37),IFERROR(VLOOKUP($F37,Sheet3!$H$2:$O$200,AE$1,FALSE),VLOOKUP($G37,Sheet3!$H$2:$O$200,AE$1,FALSE)),$I$1),$I$1)</f>
        <v>0</v>
      </c>
      <c r="AF37" s="15">
        <f>IFERROR(IF(ISBLANK(Y37),IFERROR(VLOOKUP($F37,Sheet3!$H$2:$O$200,AF$1,FALSE),VLOOKUP($G37,Sheet3!$H$2:$O$200,AF$1,FALSE)),$I$1),$I$1)</f>
        <v>0</v>
      </c>
      <c r="AG37" s="15">
        <f>IFERROR(IF(ISBLANK(Z37),IFERROR(VLOOKUP($F37,Sheet3!$H$2:$O$200,AG$1,FALSE),VLOOKUP($G37,Sheet3!$H$2:$O$200,AG$1,FALSE)),$I$1),$I$1)</f>
        <v>0</v>
      </c>
      <c r="AH37" s="15">
        <f>IFERROR(IF(ISBLANK(AA37),IFERROR(VLOOKUP($F37,Sheet3!$H$2:$O$200,AH$1,FALSE),VLOOKUP($G37,Sheet3!$H$2:$O$200,AH$1,FALSE)),$I$1),$I$1)</f>
        <v>0</v>
      </c>
      <c r="AI37" s="15">
        <f>IFERROR(IF(ISBLANK(AB37),IFERROR(VLOOKUP($F37,Sheet3!$H$2:$O$200,AI$1,FALSE),VLOOKUP($G37,Sheet3!$H$2:$O$200,AI$1,FALSE)),$I$1),$I$1)</f>
        <v>0</v>
      </c>
      <c r="AJ37" s="15">
        <f>IFERROR(IF(ISBLANK(AC37),IFERROR(VLOOKUP($F37,Sheet3!$H$2:$O$200,AJ$1,FALSE),VLOOKUP($G37,Sheet3!$H$2:$O$200,AJ$1,FALSE)),$I$1),$I$1)</f>
        <v>0</v>
      </c>
      <c r="AK37" s="15">
        <f>IFERROR(IF(ISBLANK(AD37),IFERROR(VLOOKUP($F37,Sheet3!$H$2:$O$200,AK$1,FALSE),VLOOKUP($G37,Sheet3!$H$2:$O$200,AK$1,FALSE)),$I$1),$I$1)</f>
        <v>0</v>
      </c>
      <c r="AL37" s="15">
        <f>IFERROR(IF(ISBLANK(AE37),VLOOKUP($G37,Sheet3!$H$2:$O$200,AL$1,FALSE),$I$1),$I$1)</f>
        <v>0</v>
      </c>
      <c r="AM37" s="15">
        <f>IFERROR(IF(ISBLANK(AF37),VLOOKUP($G37,Sheet3!$H$2:$O$200,AM$1,FALSE),$I$1),$I$1)</f>
        <v>0</v>
      </c>
      <c r="AN37" s="15">
        <f>IFERROR(IF(ISBLANK(AG37),VLOOKUP($G37,Sheet3!$H$2:$O$200,AN$1,FALSE),$I$1),$I$1)</f>
        <v>0</v>
      </c>
      <c r="AO37" s="15">
        <f>IFERROR(IF(ISBLANK(AH37),VLOOKUP($G37,Sheet3!$H$2:$O$200,AO$1,FALSE),$I$1),$I$1)</f>
        <v>0</v>
      </c>
      <c r="AP37" s="15">
        <f>IFERROR(IF(ISBLANK(AI37),VLOOKUP($G37,Sheet3!$H$2:$O$200,AP$1,FALSE),$I$1),$I$1)</f>
        <v>0</v>
      </c>
      <c r="AQ37" s="15">
        <f>IFERROR(IF(ISBLANK(AJ37),VLOOKUP($G37,Sheet3!$H$2:$O$200,AQ$1,FALSE),$I$1),$I$1)</f>
        <v>0</v>
      </c>
      <c r="AR37" s="15">
        <f>IFERROR(IF(ISBLANK(AK37),VLOOKUP($G37,Sheet3!$H$2:$O$200,AR$1,FALSE),$I$1),$I$1)</f>
        <v>0</v>
      </c>
      <c r="AS37" s="15">
        <f t="shared" si="1"/>
        <v>28</v>
      </c>
      <c r="AT37" s="15" t="b">
        <f t="shared" si="2"/>
        <v>0</v>
      </c>
    </row>
    <row r="38" spans="1:46" x14ac:dyDescent="0.2">
      <c r="A38" s="19" t="s">
        <v>119</v>
      </c>
      <c r="B38" s="19" t="s">
        <v>49</v>
      </c>
      <c r="C38" s="19" t="s">
        <v>100</v>
      </c>
      <c r="D38" s="19" t="s">
        <v>38</v>
      </c>
      <c r="E38" s="19" t="s">
        <v>120</v>
      </c>
      <c r="F38" s="19"/>
      <c r="G38" s="19"/>
      <c r="H38" s="19" t="s">
        <v>119</v>
      </c>
      <c r="I38" s="15">
        <f t="shared" si="0"/>
        <v>3</v>
      </c>
      <c r="J38" s="15">
        <f>IFERROR(VLOOKUP($C38,Sheet3!$H$2:$O$200,J$1,FALSE),IFERROR(VLOOKUP($D38,Sheet3!$H$2:$O$200,J$1,FALSE),VLOOKUP($E38,Sheet3!$H$2:$O$200,J$1,FALSE)))</f>
        <v>0</v>
      </c>
      <c r="K38" s="15">
        <f>IFERROR(VLOOKUP($C38,Sheet3!$H$2:$O$200,K$1,FALSE),IFERROR(VLOOKUP($D38,Sheet3!$H$2:$O$200,K$1,FALSE),VLOOKUP($E38,Sheet3!$H$2:$O$200,K$1,FALSE)))</f>
        <v>0</v>
      </c>
      <c r="L38" s="15">
        <f>IFERROR(VLOOKUP($C38,Sheet3!$H$2:$O$200,L$1,FALSE),IFERROR(VLOOKUP($D38,Sheet3!$H$2:$O$200,L$1,FALSE),VLOOKUP($E38,Sheet3!$H$2:$O$200,L$1,FALSE)))</f>
        <v>0</v>
      </c>
      <c r="M38" s="15" t="str">
        <f>IFERROR(VLOOKUP($C38,Sheet3!$H$2:$O$200,M$1,FALSE),IFERROR(VLOOKUP($D38,Sheet3!$H$2:$O$200,M$1,FALSE),VLOOKUP($E38,Sheet3!$H$2:$O$200,M$1,FALSE)))</f>
        <v>triple sec</v>
      </c>
      <c r="N38" s="15">
        <f>IFERROR(VLOOKUP($C38,Sheet3!$H$2:$O$200,N$1,FALSE),IFERROR(VLOOKUP($D38,Sheet3!$H$2:$O$200,N$1,FALSE),VLOOKUP($E38,Sheet3!$H$2:$O$200,N$1,FALSE)))</f>
        <v>0</v>
      </c>
      <c r="O38" s="15">
        <f>IFERROR(VLOOKUP($C38,Sheet3!$H$2:$O$200,O$1,FALSE),IFERROR(VLOOKUP($D38,Sheet3!$H$2:$O$200,O$1,FALSE),VLOOKUP($E38,Sheet3!$H$2:$O$200,O$1,FALSE)))</f>
        <v>0</v>
      </c>
      <c r="P38" s="15">
        <f>IFERROR(VLOOKUP($C38,Sheet3!$H$2:$O$200,P$1,FALSE),IFERROR(VLOOKUP($D38,Sheet3!$H$2:$O$200,P$1,FALSE),VLOOKUP($E38,Sheet3!$H$2:$O$200,P$1,FALSE)))</f>
        <v>0</v>
      </c>
      <c r="Q38" s="15">
        <f>IFERROR(IF(ISBLANK(J38),IFERROR(VLOOKUP($D38,Sheet3!$H$2:$O$200,Q$1,FALSE),IFERROR(VLOOKUP($E38,Sheet3!$H$2:$O$200,Q$1,FALSE),VLOOKUP($F38,Sheet3!$H$2:$O$200,Q$1,FALSE))),$I$1),$I$1)</f>
        <v>0</v>
      </c>
      <c r="R38" s="15">
        <f>IFERROR(IF(ISBLANK(K38),IFERROR(VLOOKUP($D38,Sheet3!$H$2:$O$200,R$1,FALSE),IFERROR(VLOOKUP($E38,Sheet3!$H$2:$O$200,R$1,FALSE),VLOOKUP($F38,Sheet3!$H$2:$O$200,R$1,FALSE))),$I$1),$I$1)</f>
        <v>0</v>
      </c>
      <c r="S38" s="15">
        <f>IFERROR(IF(ISBLANK(L38),IFERROR(VLOOKUP($D38,Sheet3!$H$2:$O$200,S$1,FALSE),IFERROR(VLOOKUP($E38,Sheet3!$H$2:$O$200,S$1,FALSE),VLOOKUP($F38,Sheet3!$H$2:$O$200,S$1,FALSE))),$I$1),$I$1)</f>
        <v>0</v>
      </c>
      <c r="T38" s="15">
        <f>IFERROR(IF(ISBLANK(M38),IFERROR(VLOOKUP($D38,Sheet3!$H$2:$O$200,T$1,FALSE),IFERROR(VLOOKUP($E38,Sheet3!$H$2:$O$200,T$1,FALSE),VLOOKUP($F38,Sheet3!$H$2:$O$200,T$1,FALSE))),$I$1),$I$1)</f>
        <v>0</v>
      </c>
      <c r="U38" s="15">
        <f>IFERROR(IF(ISBLANK(N38),IFERROR(VLOOKUP($D38,Sheet3!$H$2:$O$200,U$1,FALSE),IFERROR(VLOOKUP($E38,Sheet3!$H$2:$O$200,U$1,FALSE),VLOOKUP($F38,Sheet3!$H$2:$O$200,U$1,FALSE))),$I$1),$I$1)</f>
        <v>0</v>
      </c>
      <c r="V38" s="15">
        <f>IFERROR(IF(ISBLANK(O38),IFERROR(VLOOKUP($D38,Sheet3!$H$2:$O$200,V$1,FALSE),IFERROR(VLOOKUP($E38,Sheet3!$H$2:$O$200,V$1,FALSE),VLOOKUP($F38,Sheet3!$H$2:$O$200,V$1,FALSE))),$I$1),$I$1)</f>
        <v>0</v>
      </c>
      <c r="W38" s="15">
        <f>IFERROR(IF(ISBLANK(P38),IFERROR(VLOOKUP($D38,Sheet3!$H$2:$O$200,W$1,FALSE),IFERROR(VLOOKUP($E38,Sheet3!$H$2:$O$200,W$1,FALSE),VLOOKUP($F38,Sheet3!$H$2:$O$200,W$1,FALSE))),$I$1),$I$1)</f>
        <v>0</v>
      </c>
      <c r="X38" s="15">
        <f>IFERROR(IF(ISBLANK(Q38),IFERROR(VLOOKUP($E38,Sheet3!$H$2:$O$200,X$1,FALSE),IFERROR(VLOOKUP($F38,Sheet3!$H$2:$O$200,X$1,FALSE),VLOOKUP($G38,Sheet3!$H$2:$O$200,X$1,FALSE))),$I$1),$I$1)</f>
        <v>0</v>
      </c>
      <c r="Y38" s="15">
        <f>IFERROR(IF(ISBLANK(R38),IFERROR(VLOOKUP($E38,Sheet3!$H$2:$O$200,Y$1,FALSE),IFERROR(VLOOKUP($F38,Sheet3!$H$2:$O$200,Y$1,FALSE),VLOOKUP($G38,Sheet3!$H$2:$O$200,Y$1,FALSE))),$I$1),$I$1)</f>
        <v>0</v>
      </c>
      <c r="Z38" s="15">
        <f>IFERROR(IF(ISBLANK(S38),IFERROR(VLOOKUP($E38,Sheet3!$H$2:$O$200,Z$1,FALSE),IFERROR(VLOOKUP($F38,Sheet3!$H$2:$O$200,Z$1,FALSE),VLOOKUP($G38,Sheet3!$H$2:$O$200,Z$1,FALSE))),$I$1),$I$1)</f>
        <v>0</v>
      </c>
      <c r="AA38" s="15">
        <f>IFERROR(IF(ISBLANK(T38),IFERROR(VLOOKUP($E38,Sheet3!$H$2:$O$200,AA$1,FALSE),IFERROR(VLOOKUP($F38,Sheet3!$H$2:$O$200,AA$1,FALSE),VLOOKUP($G38,Sheet3!$H$2:$O$200,AA$1,FALSE))),$I$1),$I$1)</f>
        <v>0</v>
      </c>
      <c r="AB38" s="15">
        <f>IFERROR(IF(ISBLANK(U38),IFERROR(VLOOKUP($E38,Sheet3!$H$2:$O$200,AB$1,FALSE),IFERROR(VLOOKUP($F38,Sheet3!$H$2:$O$200,AB$1,FALSE),VLOOKUP($G38,Sheet3!$H$2:$O$200,AB$1,FALSE))),$I$1),$I$1)</f>
        <v>0</v>
      </c>
      <c r="AC38" s="15">
        <f>IFERROR(IF(ISBLANK(V38),IFERROR(VLOOKUP($E38,Sheet3!$H$2:$O$200,AC$1,FALSE),IFERROR(VLOOKUP($F38,Sheet3!$H$2:$O$200,AC$1,FALSE),VLOOKUP($G38,Sheet3!$H$2:$O$200,AC$1,FALSE))),$I$1),$I$1)</f>
        <v>0</v>
      </c>
      <c r="AD38" s="15">
        <f>IFERROR(IF(ISBLANK(W38),IFERROR(VLOOKUP($E38,Sheet3!$H$2:$O$200,AD$1,FALSE),IFERROR(VLOOKUP($F38,Sheet3!$H$2:$O$200,AD$1,FALSE),VLOOKUP($G38,Sheet3!$H$2:$O$200,AD$1,FALSE))),$I$1),$I$1)</f>
        <v>0</v>
      </c>
      <c r="AE38" s="15">
        <f>IFERROR(IF(ISBLANK(X38),IFERROR(VLOOKUP($F38,Sheet3!$H$2:$O$200,AE$1,FALSE),VLOOKUP($G38,Sheet3!$H$2:$O$200,AE$1,FALSE)),$I$1),$I$1)</f>
        <v>0</v>
      </c>
      <c r="AF38" s="15">
        <f>IFERROR(IF(ISBLANK(Y38),IFERROR(VLOOKUP($F38,Sheet3!$H$2:$O$200,AF$1,FALSE),VLOOKUP($G38,Sheet3!$H$2:$O$200,AF$1,FALSE)),$I$1),$I$1)</f>
        <v>0</v>
      </c>
      <c r="AG38" s="15">
        <f>IFERROR(IF(ISBLANK(Z38),IFERROR(VLOOKUP($F38,Sheet3!$H$2:$O$200,AG$1,FALSE),VLOOKUP($G38,Sheet3!$H$2:$O$200,AG$1,FALSE)),$I$1),$I$1)</f>
        <v>0</v>
      </c>
      <c r="AH38" s="15">
        <f>IFERROR(IF(ISBLANK(AA38),IFERROR(VLOOKUP($F38,Sheet3!$H$2:$O$200,AH$1,FALSE),VLOOKUP($G38,Sheet3!$H$2:$O$200,AH$1,FALSE)),$I$1),$I$1)</f>
        <v>0</v>
      </c>
      <c r="AI38" s="15">
        <f>IFERROR(IF(ISBLANK(AB38),IFERROR(VLOOKUP($F38,Sheet3!$H$2:$O$200,AI$1,FALSE),VLOOKUP($G38,Sheet3!$H$2:$O$200,AI$1,FALSE)),$I$1),$I$1)</f>
        <v>0</v>
      </c>
      <c r="AJ38" s="15">
        <f>IFERROR(IF(ISBLANK(AC38),IFERROR(VLOOKUP($F38,Sheet3!$H$2:$O$200,AJ$1,FALSE),VLOOKUP($G38,Sheet3!$H$2:$O$200,AJ$1,FALSE)),$I$1),$I$1)</f>
        <v>0</v>
      </c>
      <c r="AK38" s="15">
        <f>IFERROR(IF(ISBLANK(AD38),IFERROR(VLOOKUP($F38,Sheet3!$H$2:$O$200,AK$1,FALSE),VLOOKUP($G38,Sheet3!$H$2:$O$200,AK$1,FALSE)),$I$1),$I$1)</f>
        <v>0</v>
      </c>
      <c r="AL38" s="15">
        <f>IFERROR(IF(ISBLANK(AE38),VLOOKUP($G38,Sheet3!$H$2:$O$200,AL$1,FALSE),$I$1),$I$1)</f>
        <v>0</v>
      </c>
      <c r="AM38" s="15">
        <f>IFERROR(IF(ISBLANK(AF38),VLOOKUP($G38,Sheet3!$H$2:$O$200,AM$1,FALSE),$I$1),$I$1)</f>
        <v>0</v>
      </c>
      <c r="AN38" s="15">
        <f>IFERROR(IF(ISBLANK(AG38),VLOOKUP($G38,Sheet3!$H$2:$O$200,AN$1,FALSE),$I$1),$I$1)</f>
        <v>0</v>
      </c>
      <c r="AO38" s="15">
        <f>IFERROR(IF(ISBLANK(AH38),VLOOKUP($G38,Sheet3!$H$2:$O$200,AO$1,FALSE),$I$1),$I$1)</f>
        <v>0</v>
      </c>
      <c r="AP38" s="15">
        <f>IFERROR(IF(ISBLANK(AI38),VLOOKUP($G38,Sheet3!$H$2:$O$200,AP$1,FALSE),$I$1),$I$1)</f>
        <v>0</v>
      </c>
      <c r="AQ38" s="15">
        <f>IFERROR(IF(ISBLANK(AJ38),VLOOKUP($G38,Sheet3!$H$2:$O$200,AQ$1,FALSE),$I$1),$I$1)</f>
        <v>0</v>
      </c>
      <c r="AR38" s="15">
        <f>IFERROR(IF(ISBLANK(AK38),VLOOKUP($G38,Sheet3!$H$2:$O$200,AR$1,FALSE),$I$1),$I$1)</f>
        <v>0</v>
      </c>
      <c r="AS38" s="15">
        <f t="shared" si="1"/>
        <v>28</v>
      </c>
      <c r="AT38" s="15" t="b">
        <f t="shared" si="2"/>
        <v>0</v>
      </c>
    </row>
    <row r="39" spans="1:46" x14ac:dyDescent="0.2">
      <c r="A39" s="19" t="s">
        <v>121</v>
      </c>
      <c r="B39" s="19" t="s">
        <v>49</v>
      </c>
      <c r="C39" s="19" t="s">
        <v>100</v>
      </c>
      <c r="D39" s="19" t="s">
        <v>38</v>
      </c>
      <c r="E39" s="19" t="s">
        <v>70</v>
      </c>
      <c r="F39" s="19"/>
      <c r="G39" s="19"/>
      <c r="H39" s="19" t="s">
        <v>121</v>
      </c>
      <c r="I39" s="15">
        <f t="shared" si="0"/>
        <v>3</v>
      </c>
      <c r="J39" s="15">
        <f>IFERROR(VLOOKUP($C39,Sheet3!$H$2:$O$200,J$1,FALSE),IFERROR(VLOOKUP($D39,Sheet3!$H$2:$O$200,J$1,FALSE),VLOOKUP($E39,Sheet3!$H$2:$O$200,J$1,FALSE)))</f>
        <v>0</v>
      </c>
      <c r="K39" s="15">
        <f>IFERROR(VLOOKUP($C39,Sheet3!$H$2:$O$200,K$1,FALSE),IFERROR(VLOOKUP($D39,Sheet3!$H$2:$O$200,K$1,FALSE),VLOOKUP($E39,Sheet3!$H$2:$O$200,K$1,FALSE)))</f>
        <v>0</v>
      </c>
      <c r="L39" s="15">
        <f>IFERROR(VLOOKUP($C39,Sheet3!$H$2:$O$200,L$1,FALSE),IFERROR(VLOOKUP($D39,Sheet3!$H$2:$O$200,L$1,FALSE),VLOOKUP($E39,Sheet3!$H$2:$O$200,L$1,FALSE)))</f>
        <v>0</v>
      </c>
      <c r="M39" s="15" t="str">
        <f>IFERROR(VLOOKUP($C39,Sheet3!$H$2:$O$200,M$1,FALSE),IFERROR(VLOOKUP($D39,Sheet3!$H$2:$O$200,M$1,FALSE),VLOOKUP($E39,Sheet3!$H$2:$O$200,M$1,FALSE)))</f>
        <v>triple sec</v>
      </c>
      <c r="N39" s="15">
        <f>IFERROR(VLOOKUP($C39,Sheet3!$H$2:$O$200,N$1,FALSE),IFERROR(VLOOKUP($D39,Sheet3!$H$2:$O$200,N$1,FALSE),VLOOKUP($E39,Sheet3!$H$2:$O$200,N$1,FALSE)))</f>
        <v>0</v>
      </c>
      <c r="O39" s="15">
        <f>IFERROR(VLOOKUP($C39,Sheet3!$H$2:$O$200,O$1,FALSE),IFERROR(VLOOKUP($D39,Sheet3!$H$2:$O$200,O$1,FALSE),VLOOKUP($E39,Sheet3!$H$2:$O$200,O$1,FALSE)))</f>
        <v>0</v>
      </c>
      <c r="P39" s="15">
        <f>IFERROR(VLOOKUP($C39,Sheet3!$H$2:$O$200,P$1,FALSE),IFERROR(VLOOKUP($D39,Sheet3!$H$2:$O$200,P$1,FALSE),VLOOKUP($E39,Sheet3!$H$2:$O$200,P$1,FALSE)))</f>
        <v>0</v>
      </c>
      <c r="Q39" s="15">
        <f>IFERROR(IF(ISBLANK(J39),IFERROR(VLOOKUP($D39,Sheet3!$H$2:$O$200,Q$1,FALSE),IFERROR(VLOOKUP($E39,Sheet3!$H$2:$O$200,Q$1,FALSE),VLOOKUP($F39,Sheet3!$H$2:$O$200,Q$1,FALSE))),$I$1),$I$1)</f>
        <v>0</v>
      </c>
      <c r="R39" s="15">
        <f>IFERROR(IF(ISBLANK(K39),IFERROR(VLOOKUP($D39,Sheet3!$H$2:$O$200,R$1,FALSE),IFERROR(VLOOKUP($E39,Sheet3!$H$2:$O$200,R$1,FALSE),VLOOKUP($F39,Sheet3!$H$2:$O$200,R$1,FALSE))),$I$1),$I$1)</f>
        <v>0</v>
      </c>
      <c r="S39" s="15">
        <f>IFERROR(IF(ISBLANK(L39),IFERROR(VLOOKUP($D39,Sheet3!$H$2:$O$200,S$1,FALSE),IFERROR(VLOOKUP($E39,Sheet3!$H$2:$O$200,S$1,FALSE),VLOOKUP($F39,Sheet3!$H$2:$O$200,S$1,FALSE))),$I$1),$I$1)</f>
        <v>0</v>
      </c>
      <c r="T39" s="15">
        <f>IFERROR(IF(ISBLANK(M39),IFERROR(VLOOKUP($D39,Sheet3!$H$2:$O$200,T$1,FALSE),IFERROR(VLOOKUP($E39,Sheet3!$H$2:$O$200,T$1,FALSE),VLOOKUP($F39,Sheet3!$H$2:$O$200,T$1,FALSE))),$I$1),$I$1)</f>
        <v>0</v>
      </c>
      <c r="U39" s="15">
        <f>IFERROR(IF(ISBLANK(N39),IFERROR(VLOOKUP($D39,Sheet3!$H$2:$O$200,U$1,FALSE),IFERROR(VLOOKUP($E39,Sheet3!$H$2:$O$200,U$1,FALSE),VLOOKUP($F39,Sheet3!$H$2:$O$200,U$1,FALSE))),$I$1),$I$1)</f>
        <v>0</v>
      </c>
      <c r="V39" s="15">
        <f>IFERROR(IF(ISBLANK(O39),IFERROR(VLOOKUP($D39,Sheet3!$H$2:$O$200,V$1,FALSE),IFERROR(VLOOKUP($E39,Sheet3!$H$2:$O$200,V$1,FALSE),VLOOKUP($F39,Sheet3!$H$2:$O$200,V$1,FALSE))),$I$1),$I$1)</f>
        <v>0</v>
      </c>
      <c r="W39" s="15">
        <f>IFERROR(IF(ISBLANK(P39),IFERROR(VLOOKUP($D39,Sheet3!$H$2:$O$200,W$1,FALSE),IFERROR(VLOOKUP($E39,Sheet3!$H$2:$O$200,W$1,FALSE),VLOOKUP($F39,Sheet3!$H$2:$O$200,W$1,FALSE))),$I$1),$I$1)</f>
        <v>0</v>
      </c>
      <c r="X39" s="15">
        <f>IFERROR(IF(ISBLANK(Q39),IFERROR(VLOOKUP($E39,Sheet3!$H$2:$O$200,X$1,FALSE),IFERROR(VLOOKUP($F39,Sheet3!$H$2:$O$200,X$1,FALSE),VLOOKUP($G39,Sheet3!$H$2:$O$200,X$1,FALSE))),$I$1),$I$1)</f>
        <v>0</v>
      </c>
      <c r="Y39" s="15">
        <f>IFERROR(IF(ISBLANK(R39),IFERROR(VLOOKUP($E39,Sheet3!$H$2:$O$200,Y$1,FALSE),IFERROR(VLOOKUP($F39,Sheet3!$H$2:$O$200,Y$1,FALSE),VLOOKUP($G39,Sheet3!$H$2:$O$200,Y$1,FALSE))),$I$1),$I$1)</f>
        <v>0</v>
      </c>
      <c r="Z39" s="15">
        <f>IFERROR(IF(ISBLANK(S39),IFERROR(VLOOKUP($E39,Sheet3!$H$2:$O$200,Z$1,FALSE),IFERROR(VLOOKUP($F39,Sheet3!$H$2:$O$200,Z$1,FALSE),VLOOKUP($G39,Sheet3!$H$2:$O$200,Z$1,FALSE))),$I$1),$I$1)</f>
        <v>0</v>
      </c>
      <c r="AA39" s="15">
        <f>IFERROR(IF(ISBLANK(T39),IFERROR(VLOOKUP($E39,Sheet3!$H$2:$O$200,AA$1,FALSE),IFERROR(VLOOKUP($F39,Sheet3!$H$2:$O$200,AA$1,FALSE),VLOOKUP($G39,Sheet3!$H$2:$O$200,AA$1,FALSE))),$I$1),$I$1)</f>
        <v>0</v>
      </c>
      <c r="AB39" s="15">
        <f>IFERROR(IF(ISBLANK(U39),IFERROR(VLOOKUP($E39,Sheet3!$H$2:$O$200,AB$1,FALSE),IFERROR(VLOOKUP($F39,Sheet3!$H$2:$O$200,AB$1,FALSE),VLOOKUP($G39,Sheet3!$H$2:$O$200,AB$1,FALSE))),$I$1),$I$1)</f>
        <v>0</v>
      </c>
      <c r="AC39" s="15">
        <f>IFERROR(IF(ISBLANK(V39),IFERROR(VLOOKUP($E39,Sheet3!$H$2:$O$200,AC$1,FALSE),IFERROR(VLOOKUP($F39,Sheet3!$H$2:$O$200,AC$1,FALSE),VLOOKUP($G39,Sheet3!$H$2:$O$200,AC$1,FALSE))),$I$1),$I$1)</f>
        <v>0</v>
      </c>
      <c r="AD39" s="15">
        <f>IFERROR(IF(ISBLANK(W39),IFERROR(VLOOKUP($E39,Sheet3!$H$2:$O$200,AD$1,FALSE),IFERROR(VLOOKUP($F39,Sheet3!$H$2:$O$200,AD$1,FALSE),VLOOKUP($G39,Sheet3!$H$2:$O$200,AD$1,FALSE))),$I$1),$I$1)</f>
        <v>0</v>
      </c>
      <c r="AE39" s="15">
        <f>IFERROR(IF(ISBLANK(X39),IFERROR(VLOOKUP($F39,Sheet3!$H$2:$O$200,AE$1,FALSE),VLOOKUP($G39,Sheet3!$H$2:$O$200,AE$1,FALSE)),$I$1),$I$1)</f>
        <v>0</v>
      </c>
      <c r="AF39" s="15">
        <f>IFERROR(IF(ISBLANK(Y39),IFERROR(VLOOKUP($F39,Sheet3!$H$2:$O$200,AF$1,FALSE),VLOOKUP($G39,Sheet3!$H$2:$O$200,AF$1,FALSE)),$I$1),$I$1)</f>
        <v>0</v>
      </c>
      <c r="AG39" s="15">
        <f>IFERROR(IF(ISBLANK(Z39),IFERROR(VLOOKUP($F39,Sheet3!$H$2:$O$200,AG$1,FALSE),VLOOKUP($G39,Sheet3!$H$2:$O$200,AG$1,FALSE)),$I$1),$I$1)</f>
        <v>0</v>
      </c>
      <c r="AH39" s="15">
        <f>IFERROR(IF(ISBLANK(AA39),IFERROR(VLOOKUP($F39,Sheet3!$H$2:$O$200,AH$1,FALSE),VLOOKUP($G39,Sheet3!$H$2:$O$200,AH$1,FALSE)),$I$1),$I$1)</f>
        <v>0</v>
      </c>
      <c r="AI39" s="15">
        <f>IFERROR(IF(ISBLANK(AB39),IFERROR(VLOOKUP($F39,Sheet3!$H$2:$O$200,AI$1,FALSE),VLOOKUP($G39,Sheet3!$H$2:$O$200,AI$1,FALSE)),$I$1),$I$1)</f>
        <v>0</v>
      </c>
      <c r="AJ39" s="15">
        <f>IFERROR(IF(ISBLANK(AC39),IFERROR(VLOOKUP($F39,Sheet3!$H$2:$O$200,AJ$1,FALSE),VLOOKUP($G39,Sheet3!$H$2:$O$200,AJ$1,FALSE)),$I$1),$I$1)</f>
        <v>0</v>
      </c>
      <c r="AK39" s="15">
        <f>IFERROR(IF(ISBLANK(AD39),IFERROR(VLOOKUP($F39,Sheet3!$H$2:$O$200,AK$1,FALSE),VLOOKUP($G39,Sheet3!$H$2:$O$200,AK$1,FALSE)),$I$1),$I$1)</f>
        <v>0</v>
      </c>
      <c r="AL39" s="15">
        <f>IFERROR(IF(ISBLANK(AE39),VLOOKUP($G39,Sheet3!$H$2:$O$200,AL$1,FALSE),$I$1),$I$1)</f>
        <v>0</v>
      </c>
      <c r="AM39" s="15">
        <f>IFERROR(IF(ISBLANK(AF39),VLOOKUP($G39,Sheet3!$H$2:$O$200,AM$1,FALSE),$I$1),$I$1)</f>
        <v>0</v>
      </c>
      <c r="AN39" s="15">
        <f>IFERROR(IF(ISBLANK(AG39),VLOOKUP($G39,Sheet3!$H$2:$O$200,AN$1,FALSE),$I$1),$I$1)</f>
        <v>0</v>
      </c>
      <c r="AO39" s="15">
        <f>IFERROR(IF(ISBLANK(AH39),VLOOKUP($G39,Sheet3!$H$2:$O$200,AO$1,FALSE),$I$1),$I$1)</f>
        <v>0</v>
      </c>
      <c r="AP39" s="15">
        <f>IFERROR(IF(ISBLANK(AI39),VLOOKUP($G39,Sheet3!$H$2:$O$200,AP$1,FALSE),$I$1),$I$1)</f>
        <v>0</v>
      </c>
      <c r="AQ39" s="15">
        <f>IFERROR(IF(ISBLANK(AJ39),VLOOKUP($G39,Sheet3!$H$2:$O$200,AQ$1,FALSE),$I$1),$I$1)</f>
        <v>0</v>
      </c>
      <c r="AR39" s="15">
        <f>IFERROR(IF(ISBLANK(AK39),VLOOKUP($G39,Sheet3!$H$2:$O$200,AR$1,FALSE),$I$1),$I$1)</f>
        <v>0</v>
      </c>
      <c r="AS39" s="15">
        <f t="shared" si="1"/>
        <v>28</v>
      </c>
      <c r="AT39" s="15" t="b">
        <f t="shared" si="2"/>
        <v>0</v>
      </c>
    </row>
    <row r="40" spans="1:46" x14ac:dyDescent="0.2">
      <c r="A40" s="19" t="s">
        <v>122</v>
      </c>
      <c r="B40" s="19" t="s">
        <v>49</v>
      </c>
      <c r="C40" s="19" t="s">
        <v>100</v>
      </c>
      <c r="D40" s="19" t="s">
        <v>38</v>
      </c>
      <c r="E40" s="19" t="s">
        <v>66</v>
      </c>
      <c r="F40" s="19" t="s">
        <v>78</v>
      </c>
      <c r="G40" s="19"/>
      <c r="H40" s="19" t="s">
        <v>122</v>
      </c>
      <c r="I40" s="15">
        <f t="shared" si="0"/>
        <v>4</v>
      </c>
      <c r="J40" s="15">
        <f>IFERROR(VLOOKUP($C40,Sheet3!$H$2:$O$200,J$1,FALSE),IFERROR(VLOOKUP($D40,Sheet3!$H$2:$O$200,J$1,FALSE),VLOOKUP($E40,Sheet3!$H$2:$O$200,J$1,FALSE)))</f>
        <v>0</v>
      </c>
      <c r="K40" s="15">
        <f>IFERROR(VLOOKUP($C40,Sheet3!$H$2:$O$200,K$1,FALSE),IFERROR(VLOOKUP($D40,Sheet3!$H$2:$O$200,K$1,FALSE),VLOOKUP($E40,Sheet3!$H$2:$O$200,K$1,FALSE)))</f>
        <v>0</v>
      </c>
      <c r="L40" s="15">
        <f>IFERROR(VLOOKUP($C40,Sheet3!$H$2:$O$200,L$1,FALSE),IFERROR(VLOOKUP($D40,Sheet3!$H$2:$O$200,L$1,FALSE),VLOOKUP($E40,Sheet3!$H$2:$O$200,L$1,FALSE)))</f>
        <v>0</v>
      </c>
      <c r="M40" s="15" t="str">
        <f>IFERROR(VLOOKUP($C40,Sheet3!$H$2:$O$200,M$1,FALSE),IFERROR(VLOOKUP($D40,Sheet3!$H$2:$O$200,M$1,FALSE),VLOOKUP($E40,Sheet3!$H$2:$O$200,M$1,FALSE)))</f>
        <v>triple sec</v>
      </c>
      <c r="N40" s="15">
        <f>IFERROR(VLOOKUP($C40,Sheet3!$H$2:$O$200,N$1,FALSE),IFERROR(VLOOKUP($D40,Sheet3!$H$2:$O$200,N$1,FALSE),VLOOKUP($E40,Sheet3!$H$2:$O$200,N$1,FALSE)))</f>
        <v>0</v>
      </c>
      <c r="O40" s="15">
        <f>IFERROR(VLOOKUP($C40,Sheet3!$H$2:$O$200,O$1,FALSE),IFERROR(VLOOKUP($D40,Sheet3!$H$2:$O$200,O$1,FALSE),VLOOKUP($E40,Sheet3!$H$2:$O$200,O$1,FALSE)))</f>
        <v>0</v>
      </c>
      <c r="P40" s="15">
        <f>IFERROR(VLOOKUP($C40,Sheet3!$H$2:$O$200,P$1,FALSE),IFERROR(VLOOKUP($D40,Sheet3!$H$2:$O$200,P$1,FALSE),VLOOKUP($E40,Sheet3!$H$2:$O$200,P$1,FALSE)))</f>
        <v>0</v>
      </c>
      <c r="Q40" s="15">
        <f>IFERROR(IF(ISBLANK(J40),IFERROR(VLOOKUP($D40,Sheet3!$H$2:$O$200,Q$1,FALSE),IFERROR(VLOOKUP($E40,Sheet3!$H$2:$O$200,Q$1,FALSE),VLOOKUP($F40,Sheet3!$H$2:$O$200,Q$1,FALSE))),$I$1),$I$1)</f>
        <v>0</v>
      </c>
      <c r="R40" s="15">
        <f>IFERROR(IF(ISBLANK(K40),IFERROR(VLOOKUP($D40,Sheet3!$H$2:$O$200,R$1,FALSE),IFERROR(VLOOKUP($E40,Sheet3!$H$2:$O$200,R$1,FALSE),VLOOKUP($F40,Sheet3!$H$2:$O$200,R$1,FALSE))),$I$1),$I$1)</f>
        <v>0</v>
      </c>
      <c r="S40" s="15">
        <f>IFERROR(IF(ISBLANK(L40),IFERROR(VLOOKUP($D40,Sheet3!$H$2:$O$200,S$1,FALSE),IFERROR(VLOOKUP($E40,Sheet3!$H$2:$O$200,S$1,FALSE),VLOOKUP($F40,Sheet3!$H$2:$O$200,S$1,FALSE))),$I$1),$I$1)</f>
        <v>0</v>
      </c>
      <c r="T40" s="15">
        <f>IFERROR(IF(ISBLANK(M40),IFERROR(VLOOKUP($D40,Sheet3!$H$2:$O$200,T$1,FALSE),IFERROR(VLOOKUP($E40,Sheet3!$H$2:$O$200,T$1,FALSE),VLOOKUP($F40,Sheet3!$H$2:$O$200,T$1,FALSE))),$I$1),$I$1)</f>
        <v>0</v>
      </c>
      <c r="U40" s="15">
        <f>IFERROR(IF(ISBLANK(N40),IFERROR(VLOOKUP($D40,Sheet3!$H$2:$O$200,U$1,FALSE),IFERROR(VLOOKUP($E40,Sheet3!$H$2:$O$200,U$1,FALSE),VLOOKUP($F40,Sheet3!$H$2:$O$200,U$1,FALSE))),$I$1),$I$1)</f>
        <v>0</v>
      </c>
      <c r="V40" s="15">
        <f>IFERROR(IF(ISBLANK(O40),IFERROR(VLOOKUP($D40,Sheet3!$H$2:$O$200,V$1,FALSE),IFERROR(VLOOKUP($E40,Sheet3!$H$2:$O$200,V$1,FALSE),VLOOKUP($F40,Sheet3!$H$2:$O$200,V$1,FALSE))),$I$1),$I$1)</f>
        <v>0</v>
      </c>
      <c r="W40" s="15">
        <f>IFERROR(IF(ISBLANK(P40),IFERROR(VLOOKUP($D40,Sheet3!$H$2:$O$200,W$1,FALSE),IFERROR(VLOOKUP($E40,Sheet3!$H$2:$O$200,W$1,FALSE),VLOOKUP($F40,Sheet3!$H$2:$O$200,W$1,FALSE))),$I$1),$I$1)</f>
        <v>0</v>
      </c>
      <c r="X40" s="15">
        <f>IFERROR(IF(ISBLANK(Q40),IFERROR(VLOOKUP($E40,Sheet3!$H$2:$O$200,X$1,FALSE),IFERROR(VLOOKUP($F40,Sheet3!$H$2:$O$200,X$1,FALSE),VLOOKUP($G40,Sheet3!$H$2:$O$200,X$1,FALSE))),$I$1),$I$1)</f>
        <v>0</v>
      </c>
      <c r="Y40" s="15">
        <f>IFERROR(IF(ISBLANK(R40),IFERROR(VLOOKUP($E40,Sheet3!$H$2:$O$200,Y$1,FALSE),IFERROR(VLOOKUP($F40,Sheet3!$H$2:$O$200,Y$1,FALSE),VLOOKUP($G40,Sheet3!$H$2:$O$200,Y$1,FALSE))),$I$1),$I$1)</f>
        <v>0</v>
      </c>
      <c r="Z40" s="15">
        <f>IFERROR(IF(ISBLANK(S40),IFERROR(VLOOKUP($E40,Sheet3!$H$2:$O$200,Z$1,FALSE),IFERROR(VLOOKUP($F40,Sheet3!$H$2:$O$200,Z$1,FALSE),VLOOKUP($G40,Sheet3!$H$2:$O$200,Z$1,FALSE))),$I$1),$I$1)</f>
        <v>0</v>
      </c>
      <c r="AA40" s="15">
        <f>IFERROR(IF(ISBLANK(T40),IFERROR(VLOOKUP($E40,Sheet3!$H$2:$O$200,AA$1,FALSE),IFERROR(VLOOKUP($F40,Sheet3!$H$2:$O$200,AA$1,FALSE),VLOOKUP($G40,Sheet3!$H$2:$O$200,AA$1,FALSE))),$I$1),$I$1)</f>
        <v>0</v>
      </c>
      <c r="AB40" s="15">
        <f>IFERROR(IF(ISBLANK(U40),IFERROR(VLOOKUP($E40,Sheet3!$H$2:$O$200,AB$1,FALSE),IFERROR(VLOOKUP($F40,Sheet3!$H$2:$O$200,AB$1,FALSE),VLOOKUP($G40,Sheet3!$H$2:$O$200,AB$1,FALSE))),$I$1),$I$1)</f>
        <v>0</v>
      </c>
      <c r="AC40" s="15">
        <f>IFERROR(IF(ISBLANK(V40),IFERROR(VLOOKUP($E40,Sheet3!$H$2:$O$200,AC$1,FALSE),IFERROR(VLOOKUP($F40,Sheet3!$H$2:$O$200,AC$1,FALSE),VLOOKUP($G40,Sheet3!$H$2:$O$200,AC$1,FALSE))),$I$1),$I$1)</f>
        <v>0</v>
      </c>
      <c r="AD40" s="15">
        <f>IFERROR(IF(ISBLANK(W40),IFERROR(VLOOKUP($E40,Sheet3!$H$2:$O$200,AD$1,FALSE),IFERROR(VLOOKUP($F40,Sheet3!$H$2:$O$200,AD$1,FALSE),VLOOKUP($G40,Sheet3!$H$2:$O$200,AD$1,FALSE))),$I$1),$I$1)</f>
        <v>0</v>
      </c>
      <c r="AE40" s="15">
        <f>IFERROR(IF(ISBLANK(X40),IFERROR(VLOOKUP($F40,Sheet3!$H$2:$O$200,AE$1,FALSE),VLOOKUP($G40,Sheet3!$H$2:$O$200,AE$1,FALSE)),$I$1),$I$1)</f>
        <v>0</v>
      </c>
      <c r="AF40" s="15">
        <f>IFERROR(IF(ISBLANK(Y40),IFERROR(VLOOKUP($F40,Sheet3!$H$2:$O$200,AF$1,FALSE),VLOOKUP($G40,Sheet3!$H$2:$O$200,AF$1,FALSE)),$I$1),$I$1)</f>
        <v>0</v>
      </c>
      <c r="AG40" s="15">
        <f>IFERROR(IF(ISBLANK(Z40),IFERROR(VLOOKUP($F40,Sheet3!$H$2:$O$200,AG$1,FALSE),VLOOKUP($G40,Sheet3!$H$2:$O$200,AG$1,FALSE)),$I$1),$I$1)</f>
        <v>0</v>
      </c>
      <c r="AH40" s="15">
        <f>IFERROR(IF(ISBLANK(AA40),IFERROR(VLOOKUP($F40,Sheet3!$H$2:$O$200,AH$1,FALSE),VLOOKUP($G40,Sheet3!$H$2:$O$200,AH$1,FALSE)),$I$1),$I$1)</f>
        <v>0</v>
      </c>
      <c r="AI40" s="15">
        <f>IFERROR(IF(ISBLANK(AB40),IFERROR(VLOOKUP($F40,Sheet3!$H$2:$O$200,AI$1,FALSE),VLOOKUP($G40,Sheet3!$H$2:$O$200,AI$1,FALSE)),$I$1),$I$1)</f>
        <v>0</v>
      </c>
      <c r="AJ40" s="15">
        <f>IFERROR(IF(ISBLANK(AC40),IFERROR(VLOOKUP($F40,Sheet3!$H$2:$O$200,AJ$1,FALSE),VLOOKUP($G40,Sheet3!$H$2:$O$200,AJ$1,FALSE)),$I$1),$I$1)</f>
        <v>0</v>
      </c>
      <c r="AK40" s="15">
        <f>IFERROR(IF(ISBLANK(AD40),IFERROR(VLOOKUP($F40,Sheet3!$H$2:$O$200,AK$1,FALSE),VLOOKUP($G40,Sheet3!$H$2:$O$200,AK$1,FALSE)),$I$1),$I$1)</f>
        <v>0</v>
      </c>
      <c r="AL40" s="15">
        <f>IFERROR(IF(ISBLANK(AE40),VLOOKUP($G40,Sheet3!$H$2:$O$200,AL$1,FALSE),$I$1),$I$1)</f>
        <v>0</v>
      </c>
      <c r="AM40" s="15">
        <f>IFERROR(IF(ISBLANK(AF40),VLOOKUP($G40,Sheet3!$H$2:$O$200,AM$1,FALSE),$I$1),$I$1)</f>
        <v>0</v>
      </c>
      <c r="AN40" s="15">
        <f>IFERROR(IF(ISBLANK(AG40),VLOOKUP($G40,Sheet3!$H$2:$O$200,AN$1,FALSE),$I$1),$I$1)</f>
        <v>0</v>
      </c>
      <c r="AO40" s="15">
        <f>IFERROR(IF(ISBLANK(AH40),VLOOKUP($G40,Sheet3!$H$2:$O$200,AO$1,FALSE),$I$1),$I$1)</f>
        <v>0</v>
      </c>
      <c r="AP40" s="15">
        <f>IFERROR(IF(ISBLANK(AI40),VLOOKUP($G40,Sheet3!$H$2:$O$200,AP$1,FALSE),$I$1),$I$1)</f>
        <v>0</v>
      </c>
      <c r="AQ40" s="15">
        <f>IFERROR(IF(ISBLANK(AJ40),VLOOKUP($G40,Sheet3!$H$2:$O$200,AQ$1,FALSE),$I$1),$I$1)</f>
        <v>0</v>
      </c>
      <c r="AR40" s="15">
        <f>IFERROR(IF(ISBLANK(AK40),VLOOKUP($G40,Sheet3!$H$2:$O$200,AR$1,FALSE),$I$1),$I$1)</f>
        <v>0</v>
      </c>
      <c r="AS40" s="15">
        <f t="shared" si="1"/>
        <v>28</v>
      </c>
      <c r="AT40" s="15" t="b">
        <f t="shared" si="2"/>
        <v>0</v>
      </c>
    </row>
    <row r="41" spans="1:46" x14ac:dyDescent="0.2">
      <c r="A41" s="19" t="s">
        <v>123</v>
      </c>
      <c r="B41" s="19" t="s">
        <v>49</v>
      </c>
      <c r="C41" s="19" t="s">
        <v>57</v>
      </c>
      <c r="D41" s="19" t="s">
        <v>38</v>
      </c>
      <c r="E41" s="19"/>
      <c r="F41" s="19"/>
      <c r="G41" s="19"/>
      <c r="H41" s="19" t="s">
        <v>123</v>
      </c>
      <c r="I41" s="15">
        <f t="shared" si="0"/>
        <v>2</v>
      </c>
      <c r="J41" s="15">
        <f>IFERROR(VLOOKUP($C41,Sheet3!$H$2:$O$200,J$1,FALSE),IFERROR(VLOOKUP($D41,Sheet3!$H$2:$O$200,J$1,FALSE),VLOOKUP($E41,Sheet3!$H$2:$O$200,J$1,FALSE)))</f>
        <v>0</v>
      </c>
      <c r="K41" s="15">
        <f>IFERROR(VLOOKUP($C41,Sheet3!$H$2:$O$200,K$1,FALSE),IFERROR(VLOOKUP($D41,Sheet3!$H$2:$O$200,K$1,FALSE),VLOOKUP($E41,Sheet3!$H$2:$O$200,K$1,FALSE)))</f>
        <v>0</v>
      </c>
      <c r="L41" s="15">
        <f>IFERROR(VLOOKUP($C41,Sheet3!$H$2:$O$200,L$1,FALSE),IFERROR(VLOOKUP($D41,Sheet3!$H$2:$O$200,L$1,FALSE),VLOOKUP($E41,Sheet3!$H$2:$O$200,L$1,FALSE)))</f>
        <v>0</v>
      </c>
      <c r="M41" s="15" t="str">
        <f>IFERROR(VLOOKUP($C41,Sheet3!$H$2:$O$200,M$1,FALSE),IFERROR(VLOOKUP($D41,Sheet3!$H$2:$O$200,M$1,FALSE),VLOOKUP($E41,Sheet3!$H$2:$O$200,M$1,FALSE)))</f>
        <v>crème de noyau</v>
      </c>
      <c r="N41" s="15">
        <f>IFERROR(VLOOKUP($C41,Sheet3!$H$2:$O$200,N$1,FALSE),IFERROR(VLOOKUP($D41,Sheet3!$H$2:$O$200,N$1,FALSE),VLOOKUP($E41,Sheet3!$H$2:$O$200,N$1,FALSE)))</f>
        <v>0</v>
      </c>
      <c r="O41" s="15">
        <f>IFERROR(VLOOKUP($C41,Sheet3!$H$2:$O$200,O$1,FALSE),IFERROR(VLOOKUP($D41,Sheet3!$H$2:$O$200,O$1,FALSE),VLOOKUP($E41,Sheet3!$H$2:$O$200,O$1,FALSE)))</f>
        <v>0</v>
      </c>
      <c r="P41" s="15">
        <f>IFERROR(VLOOKUP($C41,Sheet3!$H$2:$O$200,P$1,FALSE),IFERROR(VLOOKUP($D41,Sheet3!$H$2:$O$200,P$1,FALSE),VLOOKUP($E41,Sheet3!$H$2:$O$200,P$1,FALSE)))</f>
        <v>0</v>
      </c>
      <c r="Q41" s="15">
        <f>IFERROR(IF(ISBLANK(J41),IFERROR(VLOOKUP($D41,Sheet3!$H$2:$O$200,Q$1,FALSE),IFERROR(VLOOKUP($E41,Sheet3!$H$2:$O$200,Q$1,FALSE),VLOOKUP($F41,Sheet3!$H$2:$O$200,Q$1,FALSE))),$I$1),$I$1)</f>
        <v>0</v>
      </c>
      <c r="R41" s="15">
        <f>IFERROR(IF(ISBLANK(K41),IFERROR(VLOOKUP($D41,Sheet3!$H$2:$O$200,R$1,FALSE),IFERROR(VLOOKUP($E41,Sheet3!$H$2:$O$200,R$1,FALSE),VLOOKUP($F41,Sheet3!$H$2:$O$200,R$1,FALSE))),$I$1),$I$1)</f>
        <v>0</v>
      </c>
      <c r="S41" s="15">
        <f>IFERROR(IF(ISBLANK(L41),IFERROR(VLOOKUP($D41,Sheet3!$H$2:$O$200,S$1,FALSE),IFERROR(VLOOKUP($E41,Sheet3!$H$2:$O$200,S$1,FALSE),VLOOKUP($F41,Sheet3!$H$2:$O$200,S$1,FALSE))),$I$1),$I$1)</f>
        <v>0</v>
      </c>
      <c r="T41" s="15">
        <f>IFERROR(IF(ISBLANK(M41),IFERROR(VLOOKUP($D41,Sheet3!$H$2:$O$200,T$1,FALSE),IFERROR(VLOOKUP($E41,Sheet3!$H$2:$O$200,T$1,FALSE),VLOOKUP($F41,Sheet3!$H$2:$O$200,T$1,FALSE))),$I$1),$I$1)</f>
        <v>0</v>
      </c>
      <c r="U41" s="15">
        <f>IFERROR(IF(ISBLANK(N41),IFERROR(VLOOKUP($D41,Sheet3!$H$2:$O$200,U$1,FALSE),IFERROR(VLOOKUP($E41,Sheet3!$H$2:$O$200,U$1,FALSE),VLOOKUP($F41,Sheet3!$H$2:$O$200,U$1,FALSE))),$I$1),$I$1)</f>
        <v>0</v>
      </c>
      <c r="V41" s="15">
        <f>IFERROR(IF(ISBLANK(O41),IFERROR(VLOOKUP($D41,Sheet3!$H$2:$O$200,V$1,FALSE),IFERROR(VLOOKUP($E41,Sheet3!$H$2:$O$200,V$1,FALSE),VLOOKUP($F41,Sheet3!$H$2:$O$200,V$1,FALSE))),$I$1),$I$1)</f>
        <v>0</v>
      </c>
      <c r="W41" s="15">
        <f>IFERROR(IF(ISBLANK(P41),IFERROR(VLOOKUP($D41,Sheet3!$H$2:$O$200,W$1,FALSE),IFERROR(VLOOKUP($E41,Sheet3!$H$2:$O$200,W$1,FALSE),VLOOKUP($F41,Sheet3!$H$2:$O$200,W$1,FALSE))),$I$1),$I$1)</f>
        <v>0</v>
      </c>
      <c r="X41" s="15">
        <f>IFERROR(IF(ISBLANK(Q41),IFERROR(VLOOKUP($E41,Sheet3!$H$2:$O$200,X$1,FALSE),IFERROR(VLOOKUP($F41,Sheet3!$H$2:$O$200,X$1,FALSE),VLOOKUP($G41,Sheet3!$H$2:$O$200,X$1,FALSE))),$I$1),$I$1)</f>
        <v>0</v>
      </c>
      <c r="Y41" s="15">
        <f>IFERROR(IF(ISBLANK(R41),IFERROR(VLOOKUP($E41,Sheet3!$H$2:$O$200,Y$1,FALSE),IFERROR(VLOOKUP($F41,Sheet3!$H$2:$O$200,Y$1,FALSE),VLOOKUP($G41,Sheet3!$H$2:$O$200,Y$1,FALSE))),$I$1),$I$1)</f>
        <v>0</v>
      </c>
      <c r="Z41" s="15">
        <f>IFERROR(IF(ISBLANK(S41),IFERROR(VLOOKUP($E41,Sheet3!$H$2:$O$200,Z$1,FALSE),IFERROR(VLOOKUP($F41,Sheet3!$H$2:$O$200,Z$1,FALSE),VLOOKUP($G41,Sheet3!$H$2:$O$200,Z$1,FALSE))),$I$1),$I$1)</f>
        <v>0</v>
      </c>
      <c r="AA41" s="15">
        <f>IFERROR(IF(ISBLANK(T41),IFERROR(VLOOKUP($E41,Sheet3!$H$2:$O$200,AA$1,FALSE),IFERROR(VLOOKUP($F41,Sheet3!$H$2:$O$200,AA$1,FALSE),VLOOKUP($G41,Sheet3!$H$2:$O$200,AA$1,FALSE))),$I$1),$I$1)</f>
        <v>0</v>
      </c>
      <c r="AB41" s="15">
        <f>IFERROR(IF(ISBLANK(U41),IFERROR(VLOOKUP($E41,Sheet3!$H$2:$O$200,AB$1,FALSE),IFERROR(VLOOKUP($F41,Sheet3!$H$2:$O$200,AB$1,FALSE),VLOOKUP($G41,Sheet3!$H$2:$O$200,AB$1,FALSE))),$I$1),$I$1)</f>
        <v>0</v>
      </c>
      <c r="AC41" s="15">
        <f>IFERROR(IF(ISBLANK(V41),IFERROR(VLOOKUP($E41,Sheet3!$H$2:$O$200,AC$1,FALSE),IFERROR(VLOOKUP($F41,Sheet3!$H$2:$O$200,AC$1,FALSE),VLOOKUP($G41,Sheet3!$H$2:$O$200,AC$1,FALSE))),$I$1),$I$1)</f>
        <v>0</v>
      </c>
      <c r="AD41" s="15">
        <f>IFERROR(IF(ISBLANK(W41),IFERROR(VLOOKUP($E41,Sheet3!$H$2:$O$200,AD$1,FALSE),IFERROR(VLOOKUP($F41,Sheet3!$H$2:$O$200,AD$1,FALSE),VLOOKUP($G41,Sheet3!$H$2:$O$200,AD$1,FALSE))),$I$1),$I$1)</f>
        <v>0</v>
      </c>
      <c r="AE41" s="15">
        <f>IFERROR(IF(ISBLANK(X41),IFERROR(VLOOKUP($F41,Sheet3!$H$2:$O$200,AE$1,FALSE),VLOOKUP($G41,Sheet3!$H$2:$O$200,AE$1,FALSE)),$I$1),$I$1)</f>
        <v>0</v>
      </c>
      <c r="AF41" s="15">
        <f>IFERROR(IF(ISBLANK(Y41),IFERROR(VLOOKUP($F41,Sheet3!$H$2:$O$200,AF$1,FALSE),VLOOKUP($G41,Sheet3!$H$2:$O$200,AF$1,FALSE)),$I$1),$I$1)</f>
        <v>0</v>
      </c>
      <c r="AG41" s="15">
        <f>IFERROR(IF(ISBLANK(Z41),IFERROR(VLOOKUP($F41,Sheet3!$H$2:$O$200,AG$1,FALSE),VLOOKUP($G41,Sheet3!$H$2:$O$200,AG$1,FALSE)),$I$1),$I$1)</f>
        <v>0</v>
      </c>
      <c r="AH41" s="15">
        <f>IFERROR(IF(ISBLANK(AA41),IFERROR(VLOOKUP($F41,Sheet3!$H$2:$O$200,AH$1,FALSE),VLOOKUP($G41,Sheet3!$H$2:$O$200,AH$1,FALSE)),$I$1),$I$1)</f>
        <v>0</v>
      </c>
      <c r="AI41" s="15">
        <f>IFERROR(IF(ISBLANK(AB41),IFERROR(VLOOKUP($F41,Sheet3!$H$2:$O$200,AI$1,FALSE),VLOOKUP($G41,Sheet3!$H$2:$O$200,AI$1,FALSE)),$I$1),$I$1)</f>
        <v>0</v>
      </c>
      <c r="AJ41" s="15">
        <f>IFERROR(IF(ISBLANK(AC41),IFERROR(VLOOKUP($F41,Sheet3!$H$2:$O$200,AJ$1,FALSE),VLOOKUP($G41,Sheet3!$H$2:$O$200,AJ$1,FALSE)),$I$1),$I$1)</f>
        <v>0</v>
      </c>
      <c r="AK41" s="15">
        <f>IFERROR(IF(ISBLANK(AD41),IFERROR(VLOOKUP($F41,Sheet3!$H$2:$O$200,AK$1,FALSE),VLOOKUP($G41,Sheet3!$H$2:$O$200,AK$1,FALSE)),$I$1),$I$1)</f>
        <v>0</v>
      </c>
      <c r="AL41" s="15">
        <f>IFERROR(IF(ISBLANK(AE41),VLOOKUP($G41,Sheet3!$H$2:$O$200,AL$1,FALSE),$I$1),$I$1)</f>
        <v>0</v>
      </c>
      <c r="AM41" s="15">
        <f>IFERROR(IF(ISBLANK(AF41),VLOOKUP($G41,Sheet3!$H$2:$O$200,AM$1,FALSE),$I$1),$I$1)</f>
        <v>0</v>
      </c>
      <c r="AN41" s="15">
        <f>IFERROR(IF(ISBLANK(AG41),VLOOKUP($G41,Sheet3!$H$2:$O$200,AN$1,FALSE),$I$1),$I$1)</f>
        <v>0</v>
      </c>
      <c r="AO41" s="15">
        <f>IFERROR(IF(ISBLANK(AH41),VLOOKUP($G41,Sheet3!$H$2:$O$200,AO$1,FALSE),$I$1),$I$1)</f>
        <v>0</v>
      </c>
      <c r="AP41" s="15">
        <f>IFERROR(IF(ISBLANK(AI41),VLOOKUP($G41,Sheet3!$H$2:$O$200,AP$1,FALSE),$I$1),$I$1)</f>
        <v>0</v>
      </c>
      <c r="AQ41" s="15">
        <f>IFERROR(IF(ISBLANK(AJ41),VLOOKUP($G41,Sheet3!$H$2:$O$200,AQ$1,FALSE),$I$1),$I$1)</f>
        <v>0</v>
      </c>
      <c r="AR41" s="15">
        <f>IFERROR(IF(ISBLANK(AK41),VLOOKUP($G41,Sheet3!$H$2:$O$200,AR$1,FALSE),$I$1),$I$1)</f>
        <v>0</v>
      </c>
      <c r="AS41" s="15">
        <f t="shared" si="1"/>
        <v>28</v>
      </c>
      <c r="AT41" s="15" t="b">
        <f t="shared" si="2"/>
        <v>0</v>
      </c>
    </row>
    <row r="42" spans="1:46" x14ac:dyDescent="0.2">
      <c r="A42" s="19" t="s">
        <v>124</v>
      </c>
      <c r="B42" s="19" t="s">
        <v>125</v>
      </c>
      <c r="C42" s="19" t="s">
        <v>100</v>
      </c>
      <c r="D42" s="19" t="s">
        <v>38</v>
      </c>
      <c r="E42" s="19" t="s">
        <v>74</v>
      </c>
      <c r="F42" s="19" t="s">
        <v>126</v>
      </c>
      <c r="G42" s="19"/>
      <c r="H42" s="19" t="s">
        <v>124</v>
      </c>
      <c r="I42" s="15">
        <f t="shared" si="0"/>
        <v>4</v>
      </c>
      <c r="J42" s="15">
        <f>IFERROR(VLOOKUP($C42,Sheet3!$H$2:$O$200,J$1,FALSE),IFERROR(VLOOKUP($D42,Sheet3!$H$2:$O$200,J$1,FALSE),VLOOKUP($E42,Sheet3!$H$2:$O$200,J$1,FALSE)))</f>
        <v>0</v>
      </c>
      <c r="K42" s="15">
        <f>IFERROR(VLOOKUP($C42,Sheet3!$H$2:$O$200,K$1,FALSE),IFERROR(VLOOKUP($D42,Sheet3!$H$2:$O$200,K$1,FALSE),VLOOKUP($E42,Sheet3!$H$2:$O$200,K$1,FALSE)))</f>
        <v>0</v>
      </c>
      <c r="L42" s="15">
        <f>IFERROR(VLOOKUP($C42,Sheet3!$H$2:$O$200,L$1,FALSE),IFERROR(VLOOKUP($D42,Sheet3!$H$2:$O$200,L$1,FALSE),VLOOKUP($E42,Sheet3!$H$2:$O$200,L$1,FALSE)))</f>
        <v>0</v>
      </c>
      <c r="M42" s="15" t="str">
        <f>IFERROR(VLOOKUP($C42,Sheet3!$H$2:$O$200,M$1,FALSE),IFERROR(VLOOKUP($D42,Sheet3!$H$2:$O$200,M$1,FALSE),VLOOKUP($E42,Sheet3!$H$2:$O$200,M$1,FALSE)))</f>
        <v>triple sec</v>
      </c>
      <c r="N42" s="15">
        <f>IFERROR(VLOOKUP($C42,Sheet3!$H$2:$O$200,N$1,FALSE),IFERROR(VLOOKUP($D42,Sheet3!$H$2:$O$200,N$1,FALSE),VLOOKUP($E42,Sheet3!$H$2:$O$200,N$1,FALSE)))</f>
        <v>0</v>
      </c>
      <c r="O42" s="15">
        <f>IFERROR(VLOOKUP($C42,Sheet3!$H$2:$O$200,O$1,FALSE),IFERROR(VLOOKUP($D42,Sheet3!$H$2:$O$200,O$1,FALSE),VLOOKUP($E42,Sheet3!$H$2:$O$200,O$1,FALSE)))</f>
        <v>0</v>
      </c>
      <c r="P42" s="15">
        <f>IFERROR(VLOOKUP($C42,Sheet3!$H$2:$O$200,P$1,FALSE),IFERROR(VLOOKUP($D42,Sheet3!$H$2:$O$200,P$1,FALSE),VLOOKUP($E42,Sheet3!$H$2:$O$200,P$1,FALSE)))</f>
        <v>0</v>
      </c>
      <c r="Q42" s="15">
        <f>IFERROR(IF(ISBLANK(J42),IFERROR(VLOOKUP($D42,Sheet3!$H$2:$O$200,Q$1,FALSE),IFERROR(VLOOKUP($E42,Sheet3!$H$2:$O$200,Q$1,FALSE),VLOOKUP($F42,Sheet3!$H$2:$O$200,Q$1,FALSE))),$I$1),$I$1)</f>
        <v>0</v>
      </c>
      <c r="R42" s="15">
        <f>IFERROR(IF(ISBLANK(K42),IFERROR(VLOOKUP($D42,Sheet3!$H$2:$O$200,R$1,FALSE),IFERROR(VLOOKUP($E42,Sheet3!$H$2:$O$200,R$1,FALSE),VLOOKUP($F42,Sheet3!$H$2:$O$200,R$1,FALSE))),$I$1),$I$1)</f>
        <v>0</v>
      </c>
      <c r="S42" s="15">
        <f>IFERROR(IF(ISBLANK(L42),IFERROR(VLOOKUP($D42,Sheet3!$H$2:$O$200,S$1,FALSE),IFERROR(VLOOKUP($E42,Sheet3!$H$2:$O$200,S$1,FALSE),VLOOKUP($F42,Sheet3!$H$2:$O$200,S$1,FALSE))),$I$1),$I$1)</f>
        <v>0</v>
      </c>
      <c r="T42" s="15">
        <f>IFERROR(IF(ISBLANK(M42),IFERROR(VLOOKUP($D42,Sheet3!$H$2:$O$200,T$1,FALSE),IFERROR(VLOOKUP($E42,Sheet3!$H$2:$O$200,T$1,FALSE),VLOOKUP($F42,Sheet3!$H$2:$O$200,T$1,FALSE))),$I$1),$I$1)</f>
        <v>0</v>
      </c>
      <c r="U42" s="15">
        <f>IFERROR(IF(ISBLANK(N42),IFERROR(VLOOKUP($D42,Sheet3!$H$2:$O$200,U$1,FALSE),IFERROR(VLOOKUP($E42,Sheet3!$H$2:$O$200,U$1,FALSE),VLOOKUP($F42,Sheet3!$H$2:$O$200,U$1,FALSE))),$I$1),$I$1)</f>
        <v>0</v>
      </c>
      <c r="V42" s="15">
        <f>IFERROR(IF(ISBLANK(O42),IFERROR(VLOOKUP($D42,Sheet3!$H$2:$O$200,V$1,FALSE),IFERROR(VLOOKUP($E42,Sheet3!$H$2:$O$200,V$1,FALSE),VLOOKUP($F42,Sheet3!$H$2:$O$200,V$1,FALSE))),$I$1),$I$1)</f>
        <v>0</v>
      </c>
      <c r="W42" s="15">
        <f>IFERROR(IF(ISBLANK(P42),IFERROR(VLOOKUP($D42,Sheet3!$H$2:$O$200,W$1,FALSE),IFERROR(VLOOKUP($E42,Sheet3!$H$2:$O$200,W$1,FALSE),VLOOKUP($F42,Sheet3!$H$2:$O$200,W$1,FALSE))),$I$1),$I$1)</f>
        <v>0</v>
      </c>
      <c r="X42" s="15">
        <f>IFERROR(IF(ISBLANK(Q42),IFERROR(VLOOKUP($E42,Sheet3!$H$2:$O$200,X$1,FALSE),IFERROR(VLOOKUP($F42,Sheet3!$H$2:$O$200,X$1,FALSE),VLOOKUP($G42,Sheet3!$H$2:$O$200,X$1,FALSE))),$I$1),$I$1)</f>
        <v>0</v>
      </c>
      <c r="Y42" s="15">
        <f>IFERROR(IF(ISBLANK(R42),IFERROR(VLOOKUP($E42,Sheet3!$H$2:$O$200,Y$1,FALSE),IFERROR(VLOOKUP($F42,Sheet3!$H$2:$O$200,Y$1,FALSE),VLOOKUP($G42,Sheet3!$H$2:$O$200,Y$1,FALSE))),$I$1),$I$1)</f>
        <v>0</v>
      </c>
      <c r="Z42" s="15">
        <f>IFERROR(IF(ISBLANK(S42),IFERROR(VLOOKUP($E42,Sheet3!$H$2:$O$200,Z$1,FALSE),IFERROR(VLOOKUP($F42,Sheet3!$H$2:$O$200,Z$1,FALSE),VLOOKUP($G42,Sheet3!$H$2:$O$200,Z$1,FALSE))),$I$1),$I$1)</f>
        <v>0</v>
      </c>
      <c r="AA42" s="15">
        <f>IFERROR(IF(ISBLANK(T42),IFERROR(VLOOKUP($E42,Sheet3!$H$2:$O$200,AA$1,FALSE),IFERROR(VLOOKUP($F42,Sheet3!$H$2:$O$200,AA$1,FALSE),VLOOKUP($G42,Sheet3!$H$2:$O$200,AA$1,FALSE))),$I$1),$I$1)</f>
        <v>0</v>
      </c>
      <c r="AB42" s="15">
        <f>IFERROR(IF(ISBLANK(U42),IFERROR(VLOOKUP($E42,Sheet3!$H$2:$O$200,AB$1,FALSE),IFERROR(VLOOKUP($F42,Sheet3!$H$2:$O$200,AB$1,FALSE),VLOOKUP($G42,Sheet3!$H$2:$O$200,AB$1,FALSE))),$I$1),$I$1)</f>
        <v>0</v>
      </c>
      <c r="AC42" s="15">
        <f>IFERROR(IF(ISBLANK(V42),IFERROR(VLOOKUP($E42,Sheet3!$H$2:$O$200,AC$1,FALSE),IFERROR(VLOOKUP($F42,Sheet3!$H$2:$O$200,AC$1,FALSE),VLOOKUP($G42,Sheet3!$H$2:$O$200,AC$1,FALSE))),$I$1),$I$1)</f>
        <v>0</v>
      </c>
      <c r="AD42" s="15">
        <f>IFERROR(IF(ISBLANK(W42),IFERROR(VLOOKUP($E42,Sheet3!$H$2:$O$200,AD$1,FALSE),IFERROR(VLOOKUP($F42,Sheet3!$H$2:$O$200,AD$1,FALSE),VLOOKUP($G42,Sheet3!$H$2:$O$200,AD$1,FALSE))),$I$1),$I$1)</f>
        <v>0</v>
      </c>
      <c r="AE42" s="15">
        <f>IFERROR(IF(ISBLANK(X42),IFERROR(VLOOKUP($F42,Sheet3!$H$2:$O$200,AE$1,FALSE),VLOOKUP($G42,Sheet3!$H$2:$O$200,AE$1,FALSE)),$I$1),$I$1)</f>
        <v>0</v>
      </c>
      <c r="AF42" s="15">
        <f>IFERROR(IF(ISBLANK(Y42),IFERROR(VLOOKUP($F42,Sheet3!$H$2:$O$200,AF$1,FALSE),VLOOKUP($G42,Sheet3!$H$2:$O$200,AF$1,FALSE)),$I$1),$I$1)</f>
        <v>0</v>
      </c>
      <c r="AG42" s="15">
        <f>IFERROR(IF(ISBLANK(Z42),IFERROR(VLOOKUP($F42,Sheet3!$H$2:$O$200,AG$1,FALSE),VLOOKUP($G42,Sheet3!$H$2:$O$200,AG$1,FALSE)),$I$1),$I$1)</f>
        <v>0</v>
      </c>
      <c r="AH42" s="15">
        <f>IFERROR(IF(ISBLANK(AA42),IFERROR(VLOOKUP($F42,Sheet3!$H$2:$O$200,AH$1,FALSE),VLOOKUP($G42,Sheet3!$H$2:$O$200,AH$1,FALSE)),$I$1),$I$1)</f>
        <v>0</v>
      </c>
      <c r="AI42" s="15">
        <f>IFERROR(IF(ISBLANK(AB42),IFERROR(VLOOKUP($F42,Sheet3!$H$2:$O$200,AI$1,FALSE),VLOOKUP($G42,Sheet3!$H$2:$O$200,AI$1,FALSE)),$I$1),$I$1)</f>
        <v>0</v>
      </c>
      <c r="AJ42" s="15">
        <f>IFERROR(IF(ISBLANK(AC42),IFERROR(VLOOKUP($F42,Sheet3!$H$2:$O$200,AJ$1,FALSE),VLOOKUP($G42,Sheet3!$H$2:$O$200,AJ$1,FALSE)),$I$1),$I$1)</f>
        <v>0</v>
      </c>
      <c r="AK42" s="15">
        <f>IFERROR(IF(ISBLANK(AD42),IFERROR(VLOOKUP($F42,Sheet3!$H$2:$O$200,AK$1,FALSE),VLOOKUP($G42,Sheet3!$H$2:$O$200,AK$1,FALSE)),$I$1),$I$1)</f>
        <v>0</v>
      </c>
      <c r="AL42" s="15">
        <f>IFERROR(IF(ISBLANK(AE42),VLOOKUP($G42,Sheet3!$H$2:$O$200,AL$1,FALSE),$I$1),$I$1)</f>
        <v>0</v>
      </c>
      <c r="AM42" s="15">
        <f>IFERROR(IF(ISBLANK(AF42),VLOOKUP($G42,Sheet3!$H$2:$O$200,AM$1,FALSE),$I$1),$I$1)</f>
        <v>0</v>
      </c>
      <c r="AN42" s="15">
        <f>IFERROR(IF(ISBLANK(AG42),VLOOKUP($G42,Sheet3!$H$2:$O$200,AN$1,FALSE),$I$1),$I$1)</f>
        <v>0</v>
      </c>
      <c r="AO42" s="15">
        <f>IFERROR(IF(ISBLANK(AH42),VLOOKUP($G42,Sheet3!$H$2:$O$200,AO$1,FALSE),$I$1),$I$1)</f>
        <v>0</v>
      </c>
      <c r="AP42" s="15">
        <f>IFERROR(IF(ISBLANK(AI42),VLOOKUP($G42,Sheet3!$H$2:$O$200,AP$1,FALSE),$I$1),$I$1)</f>
        <v>0</v>
      </c>
      <c r="AQ42" s="15">
        <f>IFERROR(IF(ISBLANK(AJ42),VLOOKUP($G42,Sheet3!$H$2:$O$200,AQ$1,FALSE),$I$1),$I$1)</f>
        <v>0</v>
      </c>
      <c r="AR42" s="15">
        <f>IFERROR(IF(ISBLANK(AK42),VLOOKUP($G42,Sheet3!$H$2:$O$200,AR$1,FALSE),$I$1),$I$1)</f>
        <v>0</v>
      </c>
      <c r="AS42" s="15">
        <f t="shared" si="1"/>
        <v>28</v>
      </c>
      <c r="AT42" s="15" t="b">
        <f t="shared" si="2"/>
        <v>0</v>
      </c>
    </row>
    <row r="43" spans="1:46" x14ac:dyDescent="0.2">
      <c r="A43" s="19" t="s">
        <v>127</v>
      </c>
      <c r="B43" s="19" t="s">
        <v>128</v>
      </c>
      <c r="C43" s="19" t="s">
        <v>100</v>
      </c>
      <c r="D43" s="19" t="s">
        <v>90</v>
      </c>
      <c r="E43" s="19" t="s">
        <v>66</v>
      </c>
      <c r="F43" s="19" t="s">
        <v>129</v>
      </c>
      <c r="G43" s="19"/>
      <c r="H43" s="19" t="s">
        <v>127</v>
      </c>
      <c r="I43" s="15">
        <f t="shared" si="0"/>
        <v>4</v>
      </c>
      <c r="J43" s="15">
        <f>IFERROR(VLOOKUP($C43,Sheet3!$H$2:$O$200,J$1,FALSE),IFERROR(VLOOKUP($D43,Sheet3!$H$2:$O$200,J$1,FALSE),VLOOKUP($E43,Sheet3!$H$2:$O$200,J$1,FALSE)))</f>
        <v>0</v>
      </c>
      <c r="K43" s="15">
        <f>IFERROR(VLOOKUP($C43,Sheet3!$H$2:$O$200,K$1,FALSE),IFERROR(VLOOKUP($D43,Sheet3!$H$2:$O$200,K$1,FALSE),VLOOKUP($E43,Sheet3!$H$2:$O$200,K$1,FALSE)))</f>
        <v>0</v>
      </c>
      <c r="L43" s="15">
        <f>IFERROR(VLOOKUP($C43,Sheet3!$H$2:$O$200,L$1,FALSE),IFERROR(VLOOKUP($D43,Sheet3!$H$2:$O$200,L$1,FALSE),VLOOKUP($E43,Sheet3!$H$2:$O$200,L$1,FALSE)))</f>
        <v>0</v>
      </c>
      <c r="M43" s="15" t="str">
        <f>IFERROR(VLOOKUP($C43,Sheet3!$H$2:$O$200,M$1,FALSE),IFERROR(VLOOKUP($D43,Sheet3!$H$2:$O$200,M$1,FALSE),VLOOKUP($E43,Sheet3!$H$2:$O$200,M$1,FALSE)))</f>
        <v>triple sec</v>
      </c>
      <c r="N43" s="15">
        <f>IFERROR(VLOOKUP($C43,Sheet3!$H$2:$O$200,N$1,FALSE),IFERROR(VLOOKUP($D43,Sheet3!$H$2:$O$200,N$1,FALSE),VLOOKUP($E43,Sheet3!$H$2:$O$200,N$1,FALSE)))</f>
        <v>0</v>
      </c>
      <c r="O43" s="15">
        <f>IFERROR(VLOOKUP($C43,Sheet3!$H$2:$O$200,O$1,FALSE),IFERROR(VLOOKUP($D43,Sheet3!$H$2:$O$200,O$1,FALSE),VLOOKUP($E43,Sheet3!$H$2:$O$200,O$1,FALSE)))</f>
        <v>0</v>
      </c>
      <c r="P43" s="15">
        <f>IFERROR(VLOOKUP($C43,Sheet3!$H$2:$O$200,P$1,FALSE),IFERROR(VLOOKUP($D43,Sheet3!$H$2:$O$200,P$1,FALSE),VLOOKUP($E43,Sheet3!$H$2:$O$200,P$1,FALSE)))</f>
        <v>0</v>
      </c>
      <c r="Q43" s="15">
        <f>IFERROR(IF(ISBLANK(J43),IFERROR(VLOOKUP($D43,Sheet3!$H$2:$O$200,Q$1,FALSE),IFERROR(VLOOKUP($E43,Sheet3!$H$2:$O$200,Q$1,FALSE),VLOOKUP($F43,Sheet3!$H$2:$O$200,Q$1,FALSE))),$I$1),$I$1)</f>
        <v>0</v>
      </c>
      <c r="R43" s="15">
        <f>IFERROR(IF(ISBLANK(K43),IFERROR(VLOOKUP($D43,Sheet3!$H$2:$O$200,R$1,FALSE),IFERROR(VLOOKUP($E43,Sheet3!$H$2:$O$200,R$1,FALSE),VLOOKUP($F43,Sheet3!$H$2:$O$200,R$1,FALSE))),$I$1),$I$1)</f>
        <v>0</v>
      </c>
      <c r="S43" s="15">
        <f>IFERROR(IF(ISBLANK(L43),IFERROR(VLOOKUP($D43,Sheet3!$H$2:$O$200,S$1,FALSE),IFERROR(VLOOKUP($E43,Sheet3!$H$2:$O$200,S$1,FALSE),VLOOKUP($F43,Sheet3!$H$2:$O$200,S$1,FALSE))),$I$1),$I$1)</f>
        <v>0</v>
      </c>
      <c r="T43" s="15">
        <f>IFERROR(IF(ISBLANK(M43),IFERROR(VLOOKUP($D43,Sheet3!$H$2:$O$200,T$1,FALSE),IFERROR(VLOOKUP($E43,Sheet3!$H$2:$O$200,T$1,FALSE),VLOOKUP($F43,Sheet3!$H$2:$O$200,T$1,FALSE))),$I$1),$I$1)</f>
        <v>0</v>
      </c>
      <c r="U43" s="15">
        <f>IFERROR(IF(ISBLANK(N43),IFERROR(VLOOKUP($D43,Sheet3!$H$2:$O$200,U$1,FALSE),IFERROR(VLOOKUP($E43,Sheet3!$H$2:$O$200,U$1,FALSE),VLOOKUP($F43,Sheet3!$H$2:$O$200,U$1,FALSE))),$I$1),$I$1)</f>
        <v>0</v>
      </c>
      <c r="V43" s="15">
        <f>IFERROR(IF(ISBLANK(O43),IFERROR(VLOOKUP($D43,Sheet3!$H$2:$O$200,V$1,FALSE),IFERROR(VLOOKUP($E43,Sheet3!$H$2:$O$200,V$1,FALSE),VLOOKUP($F43,Sheet3!$H$2:$O$200,V$1,FALSE))),$I$1),$I$1)</f>
        <v>0</v>
      </c>
      <c r="W43" s="15">
        <f>IFERROR(IF(ISBLANK(P43),IFERROR(VLOOKUP($D43,Sheet3!$H$2:$O$200,W$1,FALSE),IFERROR(VLOOKUP($E43,Sheet3!$H$2:$O$200,W$1,FALSE),VLOOKUP($F43,Sheet3!$H$2:$O$200,W$1,FALSE))),$I$1),$I$1)</f>
        <v>0</v>
      </c>
      <c r="X43" s="15">
        <f>IFERROR(IF(ISBLANK(Q43),IFERROR(VLOOKUP($E43,Sheet3!$H$2:$O$200,X$1,FALSE),IFERROR(VLOOKUP($F43,Sheet3!$H$2:$O$200,X$1,FALSE),VLOOKUP($G43,Sheet3!$H$2:$O$200,X$1,FALSE))),$I$1),$I$1)</f>
        <v>0</v>
      </c>
      <c r="Y43" s="15">
        <f>IFERROR(IF(ISBLANK(R43),IFERROR(VLOOKUP($E43,Sheet3!$H$2:$O$200,Y$1,FALSE),IFERROR(VLOOKUP($F43,Sheet3!$H$2:$O$200,Y$1,FALSE),VLOOKUP($G43,Sheet3!$H$2:$O$200,Y$1,FALSE))),$I$1),$I$1)</f>
        <v>0</v>
      </c>
      <c r="Z43" s="15">
        <f>IFERROR(IF(ISBLANK(S43),IFERROR(VLOOKUP($E43,Sheet3!$H$2:$O$200,Z$1,FALSE),IFERROR(VLOOKUP($F43,Sheet3!$H$2:$O$200,Z$1,FALSE),VLOOKUP($G43,Sheet3!$H$2:$O$200,Z$1,FALSE))),$I$1),$I$1)</f>
        <v>0</v>
      </c>
      <c r="AA43" s="15">
        <f>IFERROR(IF(ISBLANK(T43),IFERROR(VLOOKUP($E43,Sheet3!$H$2:$O$200,AA$1,FALSE),IFERROR(VLOOKUP($F43,Sheet3!$H$2:$O$200,AA$1,FALSE),VLOOKUP($G43,Sheet3!$H$2:$O$200,AA$1,FALSE))),$I$1),$I$1)</f>
        <v>0</v>
      </c>
      <c r="AB43" s="15">
        <f>IFERROR(IF(ISBLANK(U43),IFERROR(VLOOKUP($E43,Sheet3!$H$2:$O$200,AB$1,FALSE),IFERROR(VLOOKUP($F43,Sheet3!$H$2:$O$200,AB$1,FALSE),VLOOKUP($G43,Sheet3!$H$2:$O$200,AB$1,FALSE))),$I$1),$I$1)</f>
        <v>0</v>
      </c>
      <c r="AC43" s="15">
        <f>IFERROR(IF(ISBLANK(V43),IFERROR(VLOOKUP($E43,Sheet3!$H$2:$O$200,AC$1,FALSE),IFERROR(VLOOKUP($F43,Sheet3!$H$2:$O$200,AC$1,FALSE),VLOOKUP($G43,Sheet3!$H$2:$O$200,AC$1,FALSE))),$I$1),$I$1)</f>
        <v>0</v>
      </c>
      <c r="AD43" s="15">
        <f>IFERROR(IF(ISBLANK(W43),IFERROR(VLOOKUP($E43,Sheet3!$H$2:$O$200,AD$1,FALSE),IFERROR(VLOOKUP($F43,Sheet3!$H$2:$O$200,AD$1,FALSE),VLOOKUP($G43,Sheet3!$H$2:$O$200,AD$1,FALSE))),$I$1),$I$1)</f>
        <v>0</v>
      </c>
      <c r="AE43" s="15">
        <f>IFERROR(IF(ISBLANK(X43),IFERROR(VLOOKUP($F43,Sheet3!$H$2:$O$200,AE$1,FALSE),VLOOKUP($G43,Sheet3!$H$2:$O$200,AE$1,FALSE)),$I$1),$I$1)</f>
        <v>0</v>
      </c>
      <c r="AF43" s="15">
        <f>IFERROR(IF(ISBLANK(Y43),IFERROR(VLOOKUP($F43,Sheet3!$H$2:$O$200,AF$1,FALSE),VLOOKUP($G43,Sheet3!$H$2:$O$200,AF$1,FALSE)),$I$1),$I$1)</f>
        <v>0</v>
      </c>
      <c r="AG43" s="15">
        <f>IFERROR(IF(ISBLANK(Z43),IFERROR(VLOOKUP($F43,Sheet3!$H$2:$O$200,AG$1,FALSE),VLOOKUP($G43,Sheet3!$H$2:$O$200,AG$1,FALSE)),$I$1),$I$1)</f>
        <v>0</v>
      </c>
      <c r="AH43" s="15">
        <f>IFERROR(IF(ISBLANK(AA43),IFERROR(VLOOKUP($F43,Sheet3!$H$2:$O$200,AH$1,FALSE),VLOOKUP($G43,Sheet3!$H$2:$O$200,AH$1,FALSE)),$I$1),$I$1)</f>
        <v>0</v>
      </c>
      <c r="AI43" s="15">
        <f>IFERROR(IF(ISBLANK(AB43),IFERROR(VLOOKUP($F43,Sheet3!$H$2:$O$200,AI$1,FALSE),VLOOKUP($G43,Sheet3!$H$2:$O$200,AI$1,FALSE)),$I$1),$I$1)</f>
        <v>0</v>
      </c>
      <c r="AJ43" s="15">
        <f>IFERROR(IF(ISBLANK(AC43),IFERROR(VLOOKUP($F43,Sheet3!$H$2:$O$200,AJ$1,FALSE),VLOOKUP($G43,Sheet3!$H$2:$O$200,AJ$1,FALSE)),$I$1),$I$1)</f>
        <v>0</v>
      </c>
      <c r="AK43" s="15">
        <f>IFERROR(IF(ISBLANK(AD43),IFERROR(VLOOKUP($F43,Sheet3!$H$2:$O$200,AK$1,FALSE),VLOOKUP($G43,Sheet3!$H$2:$O$200,AK$1,FALSE)),$I$1),$I$1)</f>
        <v>0</v>
      </c>
      <c r="AL43" s="15">
        <f>IFERROR(IF(ISBLANK(AE43),VLOOKUP($G43,Sheet3!$H$2:$O$200,AL$1,FALSE),$I$1),$I$1)</f>
        <v>0</v>
      </c>
      <c r="AM43" s="15">
        <f>IFERROR(IF(ISBLANK(AF43),VLOOKUP($G43,Sheet3!$H$2:$O$200,AM$1,FALSE),$I$1),$I$1)</f>
        <v>0</v>
      </c>
      <c r="AN43" s="15">
        <f>IFERROR(IF(ISBLANK(AG43),VLOOKUP($G43,Sheet3!$H$2:$O$200,AN$1,FALSE),$I$1),$I$1)</f>
        <v>0</v>
      </c>
      <c r="AO43" s="15">
        <f>IFERROR(IF(ISBLANK(AH43),VLOOKUP($G43,Sheet3!$H$2:$O$200,AO$1,FALSE),$I$1),$I$1)</f>
        <v>0</v>
      </c>
      <c r="AP43" s="15">
        <f>IFERROR(IF(ISBLANK(AI43),VLOOKUP($G43,Sheet3!$H$2:$O$200,AP$1,FALSE),$I$1),$I$1)</f>
        <v>0</v>
      </c>
      <c r="AQ43" s="15">
        <f>IFERROR(IF(ISBLANK(AJ43),VLOOKUP($G43,Sheet3!$H$2:$O$200,AQ$1,FALSE),$I$1),$I$1)</f>
        <v>0</v>
      </c>
      <c r="AR43" s="15">
        <f>IFERROR(IF(ISBLANK(AK43),VLOOKUP($G43,Sheet3!$H$2:$O$200,AR$1,FALSE),$I$1),$I$1)</f>
        <v>0</v>
      </c>
      <c r="AS43" s="15">
        <f t="shared" si="1"/>
        <v>28</v>
      </c>
      <c r="AT43" s="15" t="b">
        <f t="shared" si="2"/>
        <v>0</v>
      </c>
    </row>
    <row r="44" spans="1:46" x14ac:dyDescent="0.2">
      <c r="A44" s="19" t="s">
        <v>130</v>
      </c>
      <c r="B44" s="19" t="s">
        <v>131</v>
      </c>
      <c r="C44" s="19"/>
      <c r="D44" s="19" t="s">
        <v>38</v>
      </c>
      <c r="E44" s="19" t="s">
        <v>86</v>
      </c>
      <c r="F44" s="19"/>
      <c r="G44" s="19"/>
      <c r="H44" s="19" t="s">
        <v>130</v>
      </c>
      <c r="I44" s="15">
        <f t="shared" si="0"/>
        <v>2</v>
      </c>
      <c r="J44" s="15">
        <f>IFERROR(VLOOKUP($C44,Sheet3!$H$2:$O$200,J$1,FALSE),IFERROR(VLOOKUP($D44,Sheet3!$H$2:$O$200,J$1,FALSE),VLOOKUP($E44,Sheet3!$H$2:$O$200,J$1,FALSE)))</f>
        <v>0</v>
      </c>
      <c r="K44" s="15">
        <f>IFERROR(VLOOKUP($C44,Sheet3!$H$2:$O$200,K$1,FALSE),IFERROR(VLOOKUP($D44,Sheet3!$H$2:$O$200,K$1,FALSE),VLOOKUP($E44,Sheet3!$H$2:$O$200,K$1,FALSE)))</f>
        <v>0</v>
      </c>
      <c r="L44" s="15" t="str">
        <f>IFERROR(VLOOKUP($C44,Sheet3!$H$2:$O$200,L$1,FALSE),IFERROR(VLOOKUP($D44,Sheet3!$H$2:$O$200,L$1,FALSE),VLOOKUP($E44,Sheet3!$H$2:$O$200,L$1,FALSE)))</f>
        <v>lemon juice</v>
      </c>
      <c r="M44" s="15">
        <f>IFERROR(VLOOKUP($C44,Sheet3!$H$2:$O$200,M$1,FALSE),IFERROR(VLOOKUP($D44,Sheet3!$H$2:$O$200,M$1,FALSE),VLOOKUP($E44,Sheet3!$H$2:$O$200,M$1,FALSE)))</f>
        <v>0</v>
      </c>
      <c r="N44" s="15">
        <f>IFERROR(VLOOKUP($C44,Sheet3!$H$2:$O$200,N$1,FALSE),IFERROR(VLOOKUP($D44,Sheet3!$H$2:$O$200,N$1,FALSE),VLOOKUP($E44,Sheet3!$H$2:$O$200,N$1,FALSE)))</f>
        <v>0</v>
      </c>
      <c r="O44" s="15">
        <f>IFERROR(VLOOKUP($C44,Sheet3!$H$2:$O$200,O$1,FALSE),IFERROR(VLOOKUP($D44,Sheet3!$H$2:$O$200,O$1,FALSE),VLOOKUP($E44,Sheet3!$H$2:$O$200,O$1,FALSE)))</f>
        <v>0</v>
      </c>
      <c r="P44" s="15">
        <f>IFERROR(VLOOKUP($C44,Sheet3!$H$2:$O$200,P$1,FALSE),IFERROR(VLOOKUP($D44,Sheet3!$H$2:$O$200,P$1,FALSE),VLOOKUP($E44,Sheet3!$H$2:$O$200,P$1,FALSE)))</f>
        <v>0</v>
      </c>
      <c r="Q44" s="15">
        <f>IFERROR(IF(ISBLANK(J44),IFERROR(VLOOKUP($D44,Sheet3!$H$2:$O$200,Q$1,FALSE),IFERROR(VLOOKUP($E44,Sheet3!$H$2:$O$200,Q$1,FALSE),VLOOKUP($F44,Sheet3!$H$2:$O$200,Q$1,FALSE))),$I$1),$I$1)</f>
        <v>0</v>
      </c>
      <c r="R44" s="15">
        <f>IFERROR(IF(ISBLANK(K44),IFERROR(VLOOKUP($D44,Sheet3!$H$2:$O$200,R$1,FALSE),IFERROR(VLOOKUP($E44,Sheet3!$H$2:$O$200,R$1,FALSE),VLOOKUP($F44,Sheet3!$H$2:$O$200,R$1,FALSE))),$I$1),$I$1)</f>
        <v>0</v>
      </c>
      <c r="S44" s="15">
        <f>IFERROR(IF(ISBLANK(L44),IFERROR(VLOOKUP($D44,Sheet3!$H$2:$O$200,S$1,FALSE),IFERROR(VLOOKUP($E44,Sheet3!$H$2:$O$200,S$1,FALSE),VLOOKUP($F44,Sheet3!$H$2:$O$200,S$1,FALSE))),$I$1),$I$1)</f>
        <v>0</v>
      </c>
      <c r="T44" s="15">
        <f>IFERROR(IF(ISBLANK(M44),IFERROR(VLOOKUP($D44,Sheet3!$H$2:$O$200,T$1,FALSE),IFERROR(VLOOKUP($E44,Sheet3!$H$2:$O$200,T$1,FALSE),VLOOKUP($F44,Sheet3!$H$2:$O$200,T$1,FALSE))),$I$1),$I$1)</f>
        <v>0</v>
      </c>
      <c r="U44" s="15">
        <f>IFERROR(IF(ISBLANK(N44),IFERROR(VLOOKUP($D44,Sheet3!$H$2:$O$200,U$1,FALSE),IFERROR(VLOOKUP($E44,Sheet3!$H$2:$O$200,U$1,FALSE),VLOOKUP($F44,Sheet3!$H$2:$O$200,U$1,FALSE))),$I$1),$I$1)</f>
        <v>0</v>
      </c>
      <c r="V44" s="15">
        <f>IFERROR(IF(ISBLANK(O44),IFERROR(VLOOKUP($D44,Sheet3!$H$2:$O$200,V$1,FALSE),IFERROR(VLOOKUP($E44,Sheet3!$H$2:$O$200,V$1,FALSE),VLOOKUP($F44,Sheet3!$H$2:$O$200,V$1,FALSE))),$I$1),$I$1)</f>
        <v>0</v>
      </c>
      <c r="W44" s="15">
        <f>IFERROR(IF(ISBLANK(P44),IFERROR(VLOOKUP($D44,Sheet3!$H$2:$O$200,W$1,FALSE),IFERROR(VLOOKUP($E44,Sheet3!$H$2:$O$200,W$1,FALSE),VLOOKUP($F44,Sheet3!$H$2:$O$200,W$1,FALSE))),$I$1),$I$1)</f>
        <v>0</v>
      </c>
      <c r="X44" s="15">
        <f>IFERROR(IF(ISBLANK(Q44),IFERROR(VLOOKUP($E44,Sheet3!$H$2:$O$200,X$1,FALSE),IFERROR(VLOOKUP($F44,Sheet3!$H$2:$O$200,X$1,FALSE),VLOOKUP($G44,Sheet3!$H$2:$O$200,X$1,FALSE))),$I$1),$I$1)</f>
        <v>0</v>
      </c>
      <c r="Y44" s="15">
        <f>IFERROR(IF(ISBLANK(R44),IFERROR(VLOOKUP($E44,Sheet3!$H$2:$O$200,Y$1,FALSE),IFERROR(VLOOKUP($F44,Sheet3!$H$2:$O$200,Y$1,FALSE),VLOOKUP($G44,Sheet3!$H$2:$O$200,Y$1,FALSE))),$I$1),$I$1)</f>
        <v>0</v>
      </c>
      <c r="Z44" s="15">
        <f>IFERROR(IF(ISBLANK(S44),IFERROR(VLOOKUP($E44,Sheet3!$H$2:$O$200,Z$1,FALSE),IFERROR(VLOOKUP($F44,Sheet3!$H$2:$O$200,Z$1,FALSE),VLOOKUP($G44,Sheet3!$H$2:$O$200,Z$1,FALSE))),$I$1),$I$1)</f>
        <v>0</v>
      </c>
      <c r="AA44" s="15">
        <f>IFERROR(IF(ISBLANK(T44),IFERROR(VLOOKUP($E44,Sheet3!$H$2:$O$200,AA$1,FALSE),IFERROR(VLOOKUP($F44,Sheet3!$H$2:$O$200,AA$1,FALSE),VLOOKUP($G44,Sheet3!$H$2:$O$200,AA$1,FALSE))),$I$1),$I$1)</f>
        <v>0</v>
      </c>
      <c r="AB44" s="15">
        <f>IFERROR(IF(ISBLANK(U44),IFERROR(VLOOKUP($E44,Sheet3!$H$2:$O$200,AB$1,FALSE),IFERROR(VLOOKUP($F44,Sheet3!$H$2:$O$200,AB$1,FALSE),VLOOKUP($G44,Sheet3!$H$2:$O$200,AB$1,FALSE))),$I$1),$I$1)</f>
        <v>0</v>
      </c>
      <c r="AC44" s="15">
        <f>IFERROR(IF(ISBLANK(V44),IFERROR(VLOOKUP($E44,Sheet3!$H$2:$O$200,AC$1,FALSE),IFERROR(VLOOKUP($F44,Sheet3!$H$2:$O$200,AC$1,FALSE),VLOOKUP($G44,Sheet3!$H$2:$O$200,AC$1,FALSE))),$I$1),$I$1)</f>
        <v>0</v>
      </c>
      <c r="AD44" s="15">
        <f>IFERROR(IF(ISBLANK(W44),IFERROR(VLOOKUP($E44,Sheet3!$H$2:$O$200,AD$1,FALSE),IFERROR(VLOOKUP($F44,Sheet3!$H$2:$O$200,AD$1,FALSE),VLOOKUP($G44,Sheet3!$H$2:$O$200,AD$1,FALSE))),$I$1),$I$1)</f>
        <v>0</v>
      </c>
      <c r="AE44" s="15">
        <f>IFERROR(IF(ISBLANK(X44),IFERROR(VLOOKUP($F44,Sheet3!$H$2:$O$200,AE$1,FALSE),VLOOKUP($G44,Sheet3!$H$2:$O$200,AE$1,FALSE)),$I$1),$I$1)</f>
        <v>0</v>
      </c>
      <c r="AF44" s="15">
        <f>IFERROR(IF(ISBLANK(Y44),IFERROR(VLOOKUP($F44,Sheet3!$H$2:$O$200,AF$1,FALSE),VLOOKUP($G44,Sheet3!$H$2:$O$200,AF$1,FALSE)),$I$1),$I$1)</f>
        <v>0</v>
      </c>
      <c r="AG44" s="15">
        <f>IFERROR(IF(ISBLANK(Z44),IFERROR(VLOOKUP($F44,Sheet3!$H$2:$O$200,AG$1,FALSE),VLOOKUP($G44,Sheet3!$H$2:$O$200,AG$1,FALSE)),$I$1),$I$1)</f>
        <v>0</v>
      </c>
      <c r="AH44" s="15">
        <f>IFERROR(IF(ISBLANK(AA44),IFERROR(VLOOKUP($F44,Sheet3!$H$2:$O$200,AH$1,FALSE),VLOOKUP($G44,Sheet3!$H$2:$O$200,AH$1,FALSE)),$I$1),$I$1)</f>
        <v>0</v>
      </c>
      <c r="AI44" s="15">
        <f>IFERROR(IF(ISBLANK(AB44),IFERROR(VLOOKUP($F44,Sheet3!$H$2:$O$200,AI$1,FALSE),VLOOKUP($G44,Sheet3!$H$2:$O$200,AI$1,FALSE)),$I$1),$I$1)</f>
        <v>0</v>
      </c>
      <c r="AJ44" s="15">
        <f>IFERROR(IF(ISBLANK(AC44),IFERROR(VLOOKUP($F44,Sheet3!$H$2:$O$200,AJ$1,FALSE),VLOOKUP($G44,Sheet3!$H$2:$O$200,AJ$1,FALSE)),$I$1),$I$1)</f>
        <v>0</v>
      </c>
      <c r="AK44" s="15">
        <f>IFERROR(IF(ISBLANK(AD44),IFERROR(VLOOKUP($F44,Sheet3!$H$2:$O$200,AK$1,FALSE),VLOOKUP($G44,Sheet3!$H$2:$O$200,AK$1,FALSE)),$I$1),$I$1)</f>
        <v>0</v>
      </c>
      <c r="AL44" s="15">
        <f>IFERROR(IF(ISBLANK(AE44),VLOOKUP($G44,Sheet3!$H$2:$O$200,AL$1,FALSE),$I$1),$I$1)</f>
        <v>0</v>
      </c>
      <c r="AM44" s="15">
        <f>IFERROR(IF(ISBLANK(AF44),VLOOKUP($G44,Sheet3!$H$2:$O$200,AM$1,FALSE),$I$1),$I$1)</f>
        <v>0</v>
      </c>
      <c r="AN44" s="15">
        <f>IFERROR(IF(ISBLANK(AG44),VLOOKUP($G44,Sheet3!$H$2:$O$200,AN$1,FALSE),$I$1),$I$1)</f>
        <v>0</v>
      </c>
      <c r="AO44" s="15">
        <f>IFERROR(IF(ISBLANK(AH44),VLOOKUP($G44,Sheet3!$H$2:$O$200,AO$1,FALSE),$I$1),$I$1)</f>
        <v>0</v>
      </c>
      <c r="AP44" s="15">
        <f>IFERROR(IF(ISBLANK(AI44),VLOOKUP($G44,Sheet3!$H$2:$O$200,AP$1,FALSE),$I$1),$I$1)</f>
        <v>0</v>
      </c>
      <c r="AQ44" s="15">
        <f>IFERROR(IF(ISBLANK(AJ44),VLOOKUP($G44,Sheet3!$H$2:$O$200,AQ$1,FALSE),$I$1),$I$1)</f>
        <v>0</v>
      </c>
      <c r="AR44" s="15">
        <f>IFERROR(IF(ISBLANK(AK44),VLOOKUP($G44,Sheet3!$H$2:$O$200,AR$1,FALSE),$I$1),$I$1)</f>
        <v>0</v>
      </c>
      <c r="AS44" s="15">
        <f t="shared" si="1"/>
        <v>28</v>
      </c>
      <c r="AT44" s="15" t="b">
        <f t="shared" si="2"/>
        <v>0</v>
      </c>
    </row>
    <row r="45" spans="1:46" x14ac:dyDescent="0.2">
      <c r="A45" s="20" t="s">
        <v>132</v>
      </c>
      <c r="B45" s="20" t="s">
        <v>131</v>
      </c>
      <c r="C45" s="20" t="s">
        <v>100</v>
      </c>
      <c r="D45" s="20" t="s">
        <v>90</v>
      </c>
      <c r="E45" s="20" t="s">
        <v>45</v>
      </c>
      <c r="F45" s="20"/>
      <c r="G45" s="20"/>
      <c r="H45" s="20" t="s">
        <v>132</v>
      </c>
      <c r="I45" s="15">
        <f t="shared" si="0"/>
        <v>3</v>
      </c>
      <c r="J45" s="15">
        <f>IFERROR(VLOOKUP($C45,Sheet3!$H$2:$O$200,J$1,FALSE),IFERROR(VLOOKUP($D45,Sheet3!$H$2:$O$200,J$1,FALSE),VLOOKUP($E45,Sheet3!$H$2:$O$200,J$1,FALSE)))</f>
        <v>0</v>
      </c>
      <c r="K45" s="15">
        <f>IFERROR(VLOOKUP($C45,Sheet3!$H$2:$O$200,K$1,FALSE),IFERROR(VLOOKUP($D45,Sheet3!$H$2:$O$200,K$1,FALSE),VLOOKUP($E45,Sheet3!$H$2:$O$200,K$1,FALSE)))</f>
        <v>0</v>
      </c>
      <c r="L45" s="15">
        <f>IFERROR(VLOOKUP($C45,Sheet3!$H$2:$O$200,L$1,FALSE),IFERROR(VLOOKUP($D45,Sheet3!$H$2:$O$200,L$1,FALSE),VLOOKUP($E45,Sheet3!$H$2:$O$200,L$1,FALSE)))</f>
        <v>0</v>
      </c>
      <c r="M45" s="15" t="str">
        <f>IFERROR(VLOOKUP($C45,Sheet3!$H$2:$O$200,M$1,FALSE),IFERROR(VLOOKUP($D45,Sheet3!$H$2:$O$200,M$1,FALSE),VLOOKUP($E45,Sheet3!$H$2:$O$200,M$1,FALSE)))</f>
        <v>triple sec</v>
      </c>
      <c r="N45" s="15">
        <f>IFERROR(VLOOKUP($C45,Sheet3!$H$2:$O$200,N$1,FALSE),IFERROR(VLOOKUP($D45,Sheet3!$H$2:$O$200,N$1,FALSE),VLOOKUP($E45,Sheet3!$H$2:$O$200,N$1,FALSE)))</f>
        <v>0</v>
      </c>
      <c r="O45" s="15">
        <f>IFERROR(VLOOKUP($C45,Sheet3!$H$2:$O$200,O$1,FALSE),IFERROR(VLOOKUP($D45,Sheet3!$H$2:$O$200,O$1,FALSE),VLOOKUP($E45,Sheet3!$H$2:$O$200,O$1,FALSE)))</f>
        <v>0</v>
      </c>
      <c r="P45" s="15">
        <f>IFERROR(VLOOKUP($C45,Sheet3!$H$2:$O$200,P$1,FALSE),IFERROR(VLOOKUP($D45,Sheet3!$H$2:$O$200,P$1,FALSE),VLOOKUP($E45,Sheet3!$H$2:$O$200,P$1,FALSE)))</f>
        <v>0</v>
      </c>
      <c r="Q45" s="15">
        <f>IFERROR(IF(ISBLANK(J45),IFERROR(VLOOKUP($D45,Sheet3!$H$2:$O$200,Q$1,FALSE),IFERROR(VLOOKUP($E45,Sheet3!$H$2:$O$200,Q$1,FALSE),VLOOKUP($F45,Sheet3!$H$2:$O$200,Q$1,FALSE))),$I$1),$I$1)</f>
        <v>0</v>
      </c>
      <c r="R45" s="15">
        <f>IFERROR(IF(ISBLANK(K45),IFERROR(VLOOKUP($D45,Sheet3!$H$2:$O$200,R$1,FALSE),IFERROR(VLOOKUP($E45,Sheet3!$H$2:$O$200,R$1,FALSE),VLOOKUP($F45,Sheet3!$H$2:$O$200,R$1,FALSE))),$I$1),$I$1)</f>
        <v>0</v>
      </c>
      <c r="S45" s="15">
        <f>IFERROR(IF(ISBLANK(L45),IFERROR(VLOOKUP($D45,Sheet3!$H$2:$O$200,S$1,FALSE),IFERROR(VLOOKUP($E45,Sheet3!$H$2:$O$200,S$1,FALSE),VLOOKUP($F45,Sheet3!$H$2:$O$200,S$1,FALSE))),$I$1),$I$1)</f>
        <v>0</v>
      </c>
      <c r="T45" s="15">
        <f>IFERROR(IF(ISBLANK(M45),IFERROR(VLOOKUP($D45,Sheet3!$H$2:$O$200,T$1,FALSE),IFERROR(VLOOKUP($E45,Sheet3!$H$2:$O$200,T$1,FALSE),VLOOKUP($F45,Sheet3!$H$2:$O$200,T$1,FALSE))),$I$1),$I$1)</f>
        <v>0</v>
      </c>
      <c r="U45" s="15">
        <f>IFERROR(IF(ISBLANK(N45),IFERROR(VLOOKUP($D45,Sheet3!$H$2:$O$200,U$1,FALSE),IFERROR(VLOOKUP($E45,Sheet3!$H$2:$O$200,U$1,FALSE),VLOOKUP($F45,Sheet3!$H$2:$O$200,U$1,FALSE))),$I$1),$I$1)</f>
        <v>0</v>
      </c>
      <c r="V45" s="15">
        <f>IFERROR(IF(ISBLANK(O45),IFERROR(VLOOKUP($D45,Sheet3!$H$2:$O$200,V$1,FALSE),IFERROR(VLOOKUP($E45,Sheet3!$H$2:$O$200,V$1,FALSE),VLOOKUP($F45,Sheet3!$H$2:$O$200,V$1,FALSE))),$I$1),$I$1)</f>
        <v>0</v>
      </c>
      <c r="W45" s="15">
        <f>IFERROR(IF(ISBLANK(P45),IFERROR(VLOOKUP($D45,Sheet3!$H$2:$O$200,W$1,FALSE),IFERROR(VLOOKUP($E45,Sheet3!$H$2:$O$200,W$1,FALSE),VLOOKUP($F45,Sheet3!$H$2:$O$200,W$1,FALSE))),$I$1),$I$1)</f>
        <v>0</v>
      </c>
      <c r="X45" s="15">
        <f>IFERROR(IF(ISBLANK(Q45),IFERROR(VLOOKUP($E45,Sheet3!$H$2:$O$200,X$1,FALSE),IFERROR(VLOOKUP($F45,Sheet3!$H$2:$O$200,X$1,FALSE),VLOOKUP($G45,Sheet3!$H$2:$O$200,X$1,FALSE))),$I$1),$I$1)</f>
        <v>0</v>
      </c>
      <c r="Y45" s="15">
        <f>IFERROR(IF(ISBLANK(R45),IFERROR(VLOOKUP($E45,Sheet3!$H$2:$O$200,Y$1,FALSE),IFERROR(VLOOKUP($F45,Sheet3!$H$2:$O$200,Y$1,FALSE),VLOOKUP($G45,Sheet3!$H$2:$O$200,Y$1,FALSE))),$I$1),$I$1)</f>
        <v>0</v>
      </c>
      <c r="Z45" s="15">
        <f>IFERROR(IF(ISBLANK(S45),IFERROR(VLOOKUP($E45,Sheet3!$H$2:$O$200,Z$1,FALSE),IFERROR(VLOOKUP($F45,Sheet3!$H$2:$O$200,Z$1,FALSE),VLOOKUP($G45,Sheet3!$H$2:$O$200,Z$1,FALSE))),$I$1),$I$1)</f>
        <v>0</v>
      </c>
      <c r="AA45" s="15">
        <f>IFERROR(IF(ISBLANK(T45),IFERROR(VLOOKUP($E45,Sheet3!$H$2:$O$200,AA$1,FALSE),IFERROR(VLOOKUP($F45,Sheet3!$H$2:$O$200,AA$1,FALSE),VLOOKUP($G45,Sheet3!$H$2:$O$200,AA$1,FALSE))),$I$1),$I$1)</f>
        <v>0</v>
      </c>
      <c r="AB45" s="15">
        <f>IFERROR(IF(ISBLANK(U45),IFERROR(VLOOKUP($E45,Sheet3!$H$2:$O$200,AB$1,FALSE),IFERROR(VLOOKUP($F45,Sheet3!$H$2:$O$200,AB$1,FALSE),VLOOKUP($G45,Sheet3!$H$2:$O$200,AB$1,FALSE))),$I$1),$I$1)</f>
        <v>0</v>
      </c>
      <c r="AC45" s="15">
        <f>IFERROR(IF(ISBLANK(V45),IFERROR(VLOOKUP($E45,Sheet3!$H$2:$O$200,AC$1,FALSE),IFERROR(VLOOKUP($F45,Sheet3!$H$2:$O$200,AC$1,FALSE),VLOOKUP($G45,Sheet3!$H$2:$O$200,AC$1,FALSE))),$I$1),$I$1)</f>
        <v>0</v>
      </c>
      <c r="AD45" s="15">
        <f>IFERROR(IF(ISBLANK(W45),IFERROR(VLOOKUP($E45,Sheet3!$H$2:$O$200,AD$1,FALSE),IFERROR(VLOOKUP($F45,Sheet3!$H$2:$O$200,AD$1,FALSE),VLOOKUP($G45,Sheet3!$H$2:$O$200,AD$1,FALSE))),$I$1),$I$1)</f>
        <v>0</v>
      </c>
      <c r="AE45" s="15">
        <f>IFERROR(IF(ISBLANK(X45),IFERROR(VLOOKUP($F45,Sheet3!$H$2:$O$200,AE$1,FALSE),VLOOKUP($G45,Sheet3!$H$2:$O$200,AE$1,FALSE)),$I$1),$I$1)</f>
        <v>0</v>
      </c>
      <c r="AF45" s="15">
        <f>IFERROR(IF(ISBLANK(Y45),IFERROR(VLOOKUP($F45,Sheet3!$H$2:$O$200,AF$1,FALSE),VLOOKUP($G45,Sheet3!$H$2:$O$200,AF$1,FALSE)),$I$1),$I$1)</f>
        <v>0</v>
      </c>
      <c r="AG45" s="15">
        <f>IFERROR(IF(ISBLANK(Z45),IFERROR(VLOOKUP($F45,Sheet3!$H$2:$O$200,AG$1,FALSE),VLOOKUP($G45,Sheet3!$H$2:$O$200,AG$1,FALSE)),$I$1),$I$1)</f>
        <v>0</v>
      </c>
      <c r="AH45" s="15">
        <f>IFERROR(IF(ISBLANK(AA45),IFERROR(VLOOKUP($F45,Sheet3!$H$2:$O$200,AH$1,FALSE),VLOOKUP($G45,Sheet3!$H$2:$O$200,AH$1,FALSE)),$I$1),$I$1)</f>
        <v>0</v>
      </c>
      <c r="AI45" s="15">
        <f>IFERROR(IF(ISBLANK(AB45),IFERROR(VLOOKUP($F45,Sheet3!$H$2:$O$200,AI$1,FALSE),VLOOKUP($G45,Sheet3!$H$2:$O$200,AI$1,FALSE)),$I$1),$I$1)</f>
        <v>0</v>
      </c>
      <c r="AJ45" s="15">
        <f>IFERROR(IF(ISBLANK(AC45),IFERROR(VLOOKUP($F45,Sheet3!$H$2:$O$200,AJ$1,FALSE),VLOOKUP($G45,Sheet3!$H$2:$O$200,AJ$1,FALSE)),$I$1),$I$1)</f>
        <v>0</v>
      </c>
      <c r="AK45" s="15">
        <f>IFERROR(IF(ISBLANK(AD45),IFERROR(VLOOKUP($F45,Sheet3!$H$2:$O$200,AK$1,FALSE),VLOOKUP($G45,Sheet3!$H$2:$O$200,AK$1,FALSE)),$I$1),$I$1)</f>
        <v>0</v>
      </c>
      <c r="AL45" s="15">
        <f>IFERROR(IF(ISBLANK(AE45),VLOOKUP($G45,Sheet3!$H$2:$O$200,AL$1,FALSE),$I$1),$I$1)</f>
        <v>0</v>
      </c>
      <c r="AM45" s="15">
        <f>IFERROR(IF(ISBLANK(AF45),VLOOKUP($G45,Sheet3!$H$2:$O$200,AM$1,FALSE),$I$1),$I$1)</f>
        <v>0</v>
      </c>
      <c r="AN45" s="15">
        <f>IFERROR(IF(ISBLANK(AG45),VLOOKUP($G45,Sheet3!$H$2:$O$200,AN$1,FALSE),$I$1),$I$1)</f>
        <v>0</v>
      </c>
      <c r="AO45" s="15">
        <f>IFERROR(IF(ISBLANK(AH45),VLOOKUP($G45,Sheet3!$H$2:$O$200,AO$1,FALSE),$I$1),$I$1)</f>
        <v>0</v>
      </c>
      <c r="AP45" s="15">
        <f>IFERROR(IF(ISBLANK(AI45),VLOOKUP($G45,Sheet3!$H$2:$O$200,AP$1,FALSE),$I$1),$I$1)</f>
        <v>0</v>
      </c>
      <c r="AQ45" s="15">
        <f>IFERROR(IF(ISBLANK(AJ45),VLOOKUP($G45,Sheet3!$H$2:$O$200,AQ$1,FALSE),$I$1),$I$1)</f>
        <v>0</v>
      </c>
      <c r="AR45" s="15">
        <f>IFERROR(IF(ISBLANK(AK45),VLOOKUP($G45,Sheet3!$H$2:$O$200,AR$1,FALSE),$I$1),$I$1)</f>
        <v>0</v>
      </c>
      <c r="AS45" s="15">
        <f t="shared" si="1"/>
        <v>28</v>
      </c>
      <c r="AT45" s="15" t="b">
        <f t="shared" si="2"/>
        <v>0</v>
      </c>
    </row>
    <row r="46" spans="1:46" x14ac:dyDescent="0.2">
      <c r="A46" s="19" t="s">
        <v>133</v>
      </c>
      <c r="B46" s="19" t="s">
        <v>131</v>
      </c>
      <c r="C46" s="19" t="s">
        <v>100</v>
      </c>
      <c r="D46" s="19" t="s">
        <v>90</v>
      </c>
      <c r="E46" s="19" t="s">
        <v>134</v>
      </c>
      <c r="F46" s="19"/>
      <c r="G46" s="19"/>
      <c r="H46" s="19" t="s">
        <v>133</v>
      </c>
      <c r="I46" s="15">
        <f t="shared" si="0"/>
        <v>3</v>
      </c>
      <c r="J46" s="15">
        <f>IFERROR(VLOOKUP($C46,Sheet3!$H$2:$O$200,J$1,FALSE),IFERROR(VLOOKUP($D46,Sheet3!$H$2:$O$200,J$1,FALSE),VLOOKUP($E46,Sheet3!$H$2:$O$200,J$1,FALSE)))</f>
        <v>0</v>
      </c>
      <c r="K46" s="15">
        <f>IFERROR(VLOOKUP($C46,Sheet3!$H$2:$O$200,K$1,FALSE),IFERROR(VLOOKUP($D46,Sheet3!$H$2:$O$200,K$1,FALSE),VLOOKUP($E46,Sheet3!$H$2:$O$200,K$1,FALSE)))</f>
        <v>0</v>
      </c>
      <c r="L46" s="15">
        <f>IFERROR(VLOOKUP($C46,Sheet3!$H$2:$O$200,L$1,FALSE),IFERROR(VLOOKUP($D46,Sheet3!$H$2:$O$200,L$1,FALSE),VLOOKUP($E46,Sheet3!$H$2:$O$200,L$1,FALSE)))</f>
        <v>0</v>
      </c>
      <c r="M46" s="15" t="str">
        <f>IFERROR(VLOOKUP($C46,Sheet3!$H$2:$O$200,M$1,FALSE),IFERROR(VLOOKUP($D46,Sheet3!$H$2:$O$200,M$1,FALSE),VLOOKUP($E46,Sheet3!$H$2:$O$200,M$1,FALSE)))</f>
        <v>triple sec</v>
      </c>
      <c r="N46" s="15">
        <f>IFERROR(VLOOKUP($C46,Sheet3!$H$2:$O$200,N$1,FALSE),IFERROR(VLOOKUP($D46,Sheet3!$H$2:$O$200,N$1,FALSE),VLOOKUP($E46,Sheet3!$H$2:$O$200,N$1,FALSE)))</f>
        <v>0</v>
      </c>
      <c r="O46" s="15">
        <f>IFERROR(VLOOKUP($C46,Sheet3!$H$2:$O$200,O$1,FALSE),IFERROR(VLOOKUP($D46,Sheet3!$H$2:$O$200,O$1,FALSE),VLOOKUP($E46,Sheet3!$H$2:$O$200,O$1,FALSE)))</f>
        <v>0</v>
      </c>
      <c r="P46" s="15">
        <f>IFERROR(VLOOKUP($C46,Sheet3!$H$2:$O$200,P$1,FALSE),IFERROR(VLOOKUP($D46,Sheet3!$H$2:$O$200,P$1,FALSE),VLOOKUP($E46,Sheet3!$H$2:$O$200,P$1,FALSE)))</f>
        <v>0</v>
      </c>
      <c r="Q46" s="15">
        <f>IFERROR(IF(ISBLANK(J46),IFERROR(VLOOKUP($D46,Sheet3!$H$2:$O$200,Q$1,FALSE),IFERROR(VLOOKUP($E46,Sheet3!$H$2:$O$200,Q$1,FALSE),VLOOKUP($F46,Sheet3!$H$2:$O$200,Q$1,FALSE))),$I$1),$I$1)</f>
        <v>0</v>
      </c>
      <c r="R46" s="15">
        <f>IFERROR(IF(ISBLANK(K46),IFERROR(VLOOKUP($D46,Sheet3!$H$2:$O$200,R$1,FALSE),IFERROR(VLOOKUP($E46,Sheet3!$H$2:$O$200,R$1,FALSE),VLOOKUP($F46,Sheet3!$H$2:$O$200,R$1,FALSE))),$I$1),$I$1)</f>
        <v>0</v>
      </c>
      <c r="S46" s="15">
        <f>IFERROR(IF(ISBLANK(L46),IFERROR(VLOOKUP($D46,Sheet3!$H$2:$O$200,S$1,FALSE),IFERROR(VLOOKUP($E46,Sheet3!$H$2:$O$200,S$1,FALSE),VLOOKUP($F46,Sheet3!$H$2:$O$200,S$1,FALSE))),$I$1),$I$1)</f>
        <v>0</v>
      </c>
      <c r="T46" s="15">
        <f>IFERROR(IF(ISBLANK(M46),IFERROR(VLOOKUP($D46,Sheet3!$H$2:$O$200,T$1,FALSE),IFERROR(VLOOKUP($E46,Sheet3!$H$2:$O$200,T$1,FALSE),VLOOKUP($F46,Sheet3!$H$2:$O$200,T$1,FALSE))),$I$1),$I$1)</f>
        <v>0</v>
      </c>
      <c r="U46" s="15">
        <f>IFERROR(IF(ISBLANK(N46),IFERROR(VLOOKUP($D46,Sheet3!$H$2:$O$200,U$1,FALSE),IFERROR(VLOOKUP($E46,Sheet3!$H$2:$O$200,U$1,FALSE),VLOOKUP($F46,Sheet3!$H$2:$O$200,U$1,FALSE))),$I$1),$I$1)</f>
        <v>0</v>
      </c>
      <c r="V46" s="15">
        <f>IFERROR(IF(ISBLANK(O46),IFERROR(VLOOKUP($D46,Sheet3!$H$2:$O$200,V$1,FALSE),IFERROR(VLOOKUP($E46,Sheet3!$H$2:$O$200,V$1,FALSE),VLOOKUP($F46,Sheet3!$H$2:$O$200,V$1,FALSE))),$I$1),$I$1)</f>
        <v>0</v>
      </c>
      <c r="W46" s="15">
        <f>IFERROR(IF(ISBLANK(P46),IFERROR(VLOOKUP($D46,Sheet3!$H$2:$O$200,W$1,FALSE),IFERROR(VLOOKUP($E46,Sheet3!$H$2:$O$200,W$1,FALSE),VLOOKUP($F46,Sheet3!$H$2:$O$200,W$1,FALSE))),$I$1),$I$1)</f>
        <v>0</v>
      </c>
      <c r="X46" s="15">
        <f>IFERROR(IF(ISBLANK(Q46),IFERROR(VLOOKUP($E46,Sheet3!$H$2:$O$200,X$1,FALSE),IFERROR(VLOOKUP($F46,Sheet3!$H$2:$O$200,X$1,FALSE),VLOOKUP($G46,Sheet3!$H$2:$O$200,X$1,FALSE))),$I$1),$I$1)</f>
        <v>0</v>
      </c>
      <c r="Y46" s="15">
        <f>IFERROR(IF(ISBLANK(R46),IFERROR(VLOOKUP($E46,Sheet3!$H$2:$O$200,Y$1,FALSE),IFERROR(VLOOKUP($F46,Sheet3!$H$2:$O$200,Y$1,FALSE),VLOOKUP($G46,Sheet3!$H$2:$O$200,Y$1,FALSE))),$I$1),$I$1)</f>
        <v>0</v>
      </c>
      <c r="Z46" s="15">
        <f>IFERROR(IF(ISBLANK(S46),IFERROR(VLOOKUP($E46,Sheet3!$H$2:$O$200,Z$1,FALSE),IFERROR(VLOOKUP($F46,Sheet3!$H$2:$O$200,Z$1,FALSE),VLOOKUP($G46,Sheet3!$H$2:$O$200,Z$1,FALSE))),$I$1),$I$1)</f>
        <v>0</v>
      </c>
      <c r="AA46" s="15">
        <f>IFERROR(IF(ISBLANK(T46),IFERROR(VLOOKUP($E46,Sheet3!$H$2:$O$200,AA$1,FALSE),IFERROR(VLOOKUP($F46,Sheet3!$H$2:$O$200,AA$1,FALSE),VLOOKUP($G46,Sheet3!$H$2:$O$200,AA$1,FALSE))),$I$1),$I$1)</f>
        <v>0</v>
      </c>
      <c r="AB46" s="15">
        <f>IFERROR(IF(ISBLANK(U46),IFERROR(VLOOKUP($E46,Sheet3!$H$2:$O$200,AB$1,FALSE),IFERROR(VLOOKUP($F46,Sheet3!$H$2:$O$200,AB$1,FALSE),VLOOKUP($G46,Sheet3!$H$2:$O$200,AB$1,FALSE))),$I$1),$I$1)</f>
        <v>0</v>
      </c>
      <c r="AC46" s="15">
        <f>IFERROR(IF(ISBLANK(V46),IFERROR(VLOOKUP($E46,Sheet3!$H$2:$O$200,AC$1,FALSE),IFERROR(VLOOKUP($F46,Sheet3!$H$2:$O$200,AC$1,FALSE),VLOOKUP($G46,Sheet3!$H$2:$O$200,AC$1,FALSE))),$I$1),$I$1)</f>
        <v>0</v>
      </c>
      <c r="AD46" s="15">
        <f>IFERROR(IF(ISBLANK(W46),IFERROR(VLOOKUP($E46,Sheet3!$H$2:$O$200,AD$1,FALSE),IFERROR(VLOOKUP($F46,Sheet3!$H$2:$O$200,AD$1,FALSE),VLOOKUP($G46,Sheet3!$H$2:$O$200,AD$1,FALSE))),$I$1),$I$1)</f>
        <v>0</v>
      </c>
      <c r="AE46" s="15">
        <f>IFERROR(IF(ISBLANK(X46),IFERROR(VLOOKUP($F46,Sheet3!$H$2:$O$200,AE$1,FALSE),VLOOKUP($G46,Sheet3!$H$2:$O$200,AE$1,FALSE)),$I$1),$I$1)</f>
        <v>0</v>
      </c>
      <c r="AF46" s="15">
        <f>IFERROR(IF(ISBLANK(Y46),IFERROR(VLOOKUP($F46,Sheet3!$H$2:$O$200,AF$1,FALSE),VLOOKUP($G46,Sheet3!$H$2:$O$200,AF$1,FALSE)),$I$1),$I$1)</f>
        <v>0</v>
      </c>
      <c r="AG46" s="15">
        <f>IFERROR(IF(ISBLANK(Z46),IFERROR(VLOOKUP($F46,Sheet3!$H$2:$O$200,AG$1,FALSE),VLOOKUP($G46,Sheet3!$H$2:$O$200,AG$1,FALSE)),$I$1),$I$1)</f>
        <v>0</v>
      </c>
      <c r="AH46" s="15">
        <f>IFERROR(IF(ISBLANK(AA46),IFERROR(VLOOKUP($F46,Sheet3!$H$2:$O$200,AH$1,FALSE),VLOOKUP($G46,Sheet3!$H$2:$O$200,AH$1,FALSE)),$I$1),$I$1)</f>
        <v>0</v>
      </c>
      <c r="AI46" s="15">
        <f>IFERROR(IF(ISBLANK(AB46),IFERROR(VLOOKUP($F46,Sheet3!$H$2:$O$200,AI$1,FALSE),VLOOKUP($G46,Sheet3!$H$2:$O$200,AI$1,FALSE)),$I$1),$I$1)</f>
        <v>0</v>
      </c>
      <c r="AJ46" s="15">
        <f>IFERROR(IF(ISBLANK(AC46),IFERROR(VLOOKUP($F46,Sheet3!$H$2:$O$200,AJ$1,FALSE),VLOOKUP($G46,Sheet3!$H$2:$O$200,AJ$1,FALSE)),$I$1),$I$1)</f>
        <v>0</v>
      </c>
      <c r="AK46" s="15">
        <f>IFERROR(IF(ISBLANK(AD46),IFERROR(VLOOKUP($F46,Sheet3!$H$2:$O$200,AK$1,FALSE),VLOOKUP($G46,Sheet3!$H$2:$O$200,AK$1,FALSE)),$I$1),$I$1)</f>
        <v>0</v>
      </c>
      <c r="AL46" s="15">
        <f>IFERROR(IF(ISBLANK(AE46),VLOOKUP($G46,Sheet3!$H$2:$O$200,AL$1,FALSE),$I$1),$I$1)</f>
        <v>0</v>
      </c>
      <c r="AM46" s="15">
        <f>IFERROR(IF(ISBLANK(AF46),VLOOKUP($G46,Sheet3!$H$2:$O$200,AM$1,FALSE),$I$1),$I$1)</f>
        <v>0</v>
      </c>
      <c r="AN46" s="15">
        <f>IFERROR(IF(ISBLANK(AG46),VLOOKUP($G46,Sheet3!$H$2:$O$200,AN$1,FALSE),$I$1),$I$1)</f>
        <v>0</v>
      </c>
      <c r="AO46" s="15">
        <f>IFERROR(IF(ISBLANK(AH46),VLOOKUP($G46,Sheet3!$H$2:$O$200,AO$1,FALSE),$I$1),$I$1)</f>
        <v>0</v>
      </c>
      <c r="AP46" s="15">
        <f>IFERROR(IF(ISBLANK(AI46),VLOOKUP($G46,Sheet3!$H$2:$O$200,AP$1,FALSE),$I$1),$I$1)</f>
        <v>0</v>
      </c>
      <c r="AQ46" s="15">
        <f>IFERROR(IF(ISBLANK(AJ46),VLOOKUP($G46,Sheet3!$H$2:$O$200,AQ$1,FALSE),$I$1),$I$1)</f>
        <v>0</v>
      </c>
      <c r="AR46" s="15">
        <f>IFERROR(IF(ISBLANK(AK46),VLOOKUP($G46,Sheet3!$H$2:$O$200,AR$1,FALSE),$I$1),$I$1)</f>
        <v>0</v>
      </c>
      <c r="AS46" s="15">
        <f t="shared" si="1"/>
        <v>28</v>
      </c>
      <c r="AT46" s="15" t="b">
        <f t="shared" si="2"/>
        <v>0</v>
      </c>
    </row>
    <row r="47" spans="1:46" x14ac:dyDescent="0.2">
      <c r="A47" s="19" t="s">
        <v>135</v>
      </c>
      <c r="B47" s="19" t="s">
        <v>136</v>
      </c>
      <c r="C47" s="19" t="s">
        <v>137</v>
      </c>
      <c r="D47" s="19"/>
      <c r="E47" s="19" t="s">
        <v>32</v>
      </c>
      <c r="F47" s="19"/>
      <c r="G47" s="19"/>
      <c r="H47" s="19" t="s">
        <v>135</v>
      </c>
      <c r="I47" s="15">
        <f t="shared" si="0"/>
        <v>2</v>
      </c>
      <c r="J47" s="15">
        <f>IFERROR(VLOOKUP($C47,Sheet3!$H$2:$O$200,J$1,FALSE),IFERROR(VLOOKUP($D47,Sheet3!$H$2:$O$200,J$1,FALSE),VLOOKUP($E47,Sheet3!$H$2:$O$200,J$1,FALSE)))</f>
        <v>0</v>
      </c>
      <c r="K47" s="15">
        <f>IFERROR(VLOOKUP($C47,Sheet3!$H$2:$O$200,K$1,FALSE),IFERROR(VLOOKUP($D47,Sheet3!$H$2:$O$200,K$1,FALSE),VLOOKUP($E47,Sheet3!$H$2:$O$200,K$1,FALSE)))</f>
        <v>0</v>
      </c>
      <c r="L47" s="15">
        <f>IFERROR(VLOOKUP($C47,Sheet3!$H$2:$O$200,L$1,FALSE),IFERROR(VLOOKUP($D47,Sheet3!$H$2:$O$200,L$1,FALSE),VLOOKUP($E47,Sheet3!$H$2:$O$200,L$1,FALSE)))</f>
        <v>0</v>
      </c>
      <c r="M47" s="15" t="str">
        <f>IFERROR(VLOOKUP($C47,Sheet3!$H$2:$O$200,M$1,FALSE),IFERROR(VLOOKUP($D47,Sheet3!$H$2:$O$200,M$1,FALSE),VLOOKUP($E47,Sheet3!$H$2:$O$200,M$1,FALSE)))</f>
        <v>dark crème de cacao</v>
      </c>
      <c r="N47" s="15">
        <f>IFERROR(VLOOKUP($C47,Sheet3!$H$2:$O$200,N$1,FALSE),IFERROR(VLOOKUP($D47,Sheet3!$H$2:$O$200,N$1,FALSE),VLOOKUP($E47,Sheet3!$H$2:$O$200,N$1,FALSE)))</f>
        <v>0</v>
      </c>
      <c r="O47" s="15">
        <f>IFERROR(VLOOKUP($C47,Sheet3!$H$2:$O$200,O$1,FALSE),IFERROR(VLOOKUP($D47,Sheet3!$H$2:$O$200,O$1,FALSE),VLOOKUP($E47,Sheet3!$H$2:$O$200,O$1,FALSE)))</f>
        <v>0</v>
      </c>
      <c r="P47" s="15">
        <f>IFERROR(VLOOKUP($C47,Sheet3!$H$2:$O$200,P$1,FALSE),IFERROR(VLOOKUP($D47,Sheet3!$H$2:$O$200,P$1,FALSE),VLOOKUP($E47,Sheet3!$H$2:$O$200,P$1,FALSE)))</f>
        <v>0</v>
      </c>
      <c r="Q47" s="15">
        <f>IFERROR(IF(ISBLANK(J47),IFERROR(VLOOKUP($D47,Sheet3!$H$2:$O$200,Q$1,FALSE),IFERROR(VLOOKUP($E47,Sheet3!$H$2:$O$200,Q$1,FALSE),VLOOKUP($F47,Sheet3!$H$2:$O$200,Q$1,FALSE))),$I$1),$I$1)</f>
        <v>0</v>
      </c>
      <c r="R47" s="15">
        <f>IFERROR(IF(ISBLANK(K47),IFERROR(VLOOKUP($D47,Sheet3!$H$2:$O$200,R$1,FALSE),IFERROR(VLOOKUP($E47,Sheet3!$H$2:$O$200,R$1,FALSE),VLOOKUP($F47,Sheet3!$H$2:$O$200,R$1,FALSE))),$I$1),$I$1)</f>
        <v>0</v>
      </c>
      <c r="S47" s="15">
        <f>IFERROR(IF(ISBLANK(L47),IFERROR(VLOOKUP($D47,Sheet3!$H$2:$O$200,S$1,FALSE),IFERROR(VLOOKUP($E47,Sheet3!$H$2:$O$200,S$1,FALSE),VLOOKUP($F47,Sheet3!$H$2:$O$200,S$1,FALSE))),$I$1),$I$1)</f>
        <v>0</v>
      </c>
      <c r="T47" s="15">
        <f>IFERROR(IF(ISBLANK(M47),IFERROR(VLOOKUP($D47,Sheet3!$H$2:$O$200,T$1,FALSE),IFERROR(VLOOKUP($E47,Sheet3!$H$2:$O$200,T$1,FALSE),VLOOKUP($F47,Sheet3!$H$2:$O$200,T$1,FALSE))),$I$1),$I$1)</f>
        <v>0</v>
      </c>
      <c r="U47" s="15">
        <f>IFERROR(IF(ISBLANK(N47),IFERROR(VLOOKUP($D47,Sheet3!$H$2:$O$200,U$1,FALSE),IFERROR(VLOOKUP($E47,Sheet3!$H$2:$O$200,U$1,FALSE),VLOOKUP($F47,Sheet3!$H$2:$O$200,U$1,FALSE))),$I$1),$I$1)</f>
        <v>0</v>
      </c>
      <c r="V47" s="15">
        <f>IFERROR(IF(ISBLANK(O47),IFERROR(VLOOKUP($D47,Sheet3!$H$2:$O$200,V$1,FALSE),IFERROR(VLOOKUP($E47,Sheet3!$H$2:$O$200,V$1,FALSE),VLOOKUP($F47,Sheet3!$H$2:$O$200,V$1,FALSE))),$I$1),$I$1)</f>
        <v>0</v>
      </c>
      <c r="W47" s="15">
        <f>IFERROR(IF(ISBLANK(P47),IFERROR(VLOOKUP($D47,Sheet3!$H$2:$O$200,W$1,FALSE),IFERROR(VLOOKUP($E47,Sheet3!$H$2:$O$200,W$1,FALSE),VLOOKUP($F47,Sheet3!$H$2:$O$200,W$1,FALSE))),$I$1),$I$1)</f>
        <v>0</v>
      </c>
      <c r="X47" s="15">
        <f>IFERROR(IF(ISBLANK(Q47),IFERROR(VLOOKUP($E47,Sheet3!$H$2:$O$200,X$1,FALSE),IFERROR(VLOOKUP($F47,Sheet3!$H$2:$O$200,X$1,FALSE),VLOOKUP($G47,Sheet3!$H$2:$O$200,X$1,FALSE))),$I$1),$I$1)</f>
        <v>0</v>
      </c>
      <c r="Y47" s="15">
        <f>IFERROR(IF(ISBLANK(R47),IFERROR(VLOOKUP($E47,Sheet3!$H$2:$O$200,Y$1,FALSE),IFERROR(VLOOKUP($F47,Sheet3!$H$2:$O$200,Y$1,FALSE),VLOOKUP($G47,Sheet3!$H$2:$O$200,Y$1,FALSE))),$I$1),$I$1)</f>
        <v>0</v>
      </c>
      <c r="Z47" s="15">
        <f>IFERROR(IF(ISBLANK(S47),IFERROR(VLOOKUP($E47,Sheet3!$H$2:$O$200,Z$1,FALSE),IFERROR(VLOOKUP($F47,Sheet3!$H$2:$O$200,Z$1,FALSE),VLOOKUP($G47,Sheet3!$H$2:$O$200,Z$1,FALSE))),$I$1),$I$1)</f>
        <v>0</v>
      </c>
      <c r="AA47" s="15">
        <f>IFERROR(IF(ISBLANK(T47),IFERROR(VLOOKUP($E47,Sheet3!$H$2:$O$200,AA$1,FALSE),IFERROR(VLOOKUP($F47,Sheet3!$H$2:$O$200,AA$1,FALSE),VLOOKUP($G47,Sheet3!$H$2:$O$200,AA$1,FALSE))),$I$1),$I$1)</f>
        <v>0</v>
      </c>
      <c r="AB47" s="15">
        <f>IFERROR(IF(ISBLANK(U47),IFERROR(VLOOKUP($E47,Sheet3!$H$2:$O$200,AB$1,FALSE),IFERROR(VLOOKUP($F47,Sheet3!$H$2:$O$200,AB$1,FALSE),VLOOKUP($G47,Sheet3!$H$2:$O$200,AB$1,FALSE))),$I$1),$I$1)</f>
        <v>0</v>
      </c>
      <c r="AC47" s="15">
        <f>IFERROR(IF(ISBLANK(V47),IFERROR(VLOOKUP($E47,Sheet3!$H$2:$O$200,AC$1,FALSE),IFERROR(VLOOKUP($F47,Sheet3!$H$2:$O$200,AC$1,FALSE),VLOOKUP($G47,Sheet3!$H$2:$O$200,AC$1,FALSE))),$I$1),$I$1)</f>
        <v>0</v>
      </c>
      <c r="AD47" s="15">
        <f>IFERROR(IF(ISBLANK(W47),IFERROR(VLOOKUP($E47,Sheet3!$H$2:$O$200,AD$1,FALSE),IFERROR(VLOOKUP($F47,Sheet3!$H$2:$O$200,AD$1,FALSE),VLOOKUP($G47,Sheet3!$H$2:$O$200,AD$1,FALSE))),$I$1),$I$1)</f>
        <v>0</v>
      </c>
      <c r="AE47" s="15">
        <f>IFERROR(IF(ISBLANK(X47),IFERROR(VLOOKUP($F47,Sheet3!$H$2:$O$200,AE$1,FALSE),VLOOKUP($G47,Sheet3!$H$2:$O$200,AE$1,FALSE)),$I$1),$I$1)</f>
        <v>0</v>
      </c>
      <c r="AF47" s="15">
        <f>IFERROR(IF(ISBLANK(Y47),IFERROR(VLOOKUP($F47,Sheet3!$H$2:$O$200,AF$1,FALSE),VLOOKUP($G47,Sheet3!$H$2:$O$200,AF$1,FALSE)),$I$1),$I$1)</f>
        <v>0</v>
      </c>
      <c r="AG47" s="15">
        <f>IFERROR(IF(ISBLANK(Z47),IFERROR(VLOOKUP($F47,Sheet3!$H$2:$O$200,AG$1,FALSE),VLOOKUP($G47,Sheet3!$H$2:$O$200,AG$1,FALSE)),$I$1),$I$1)</f>
        <v>0</v>
      </c>
      <c r="AH47" s="15">
        <f>IFERROR(IF(ISBLANK(AA47),IFERROR(VLOOKUP($F47,Sheet3!$H$2:$O$200,AH$1,FALSE),VLOOKUP($G47,Sheet3!$H$2:$O$200,AH$1,FALSE)),$I$1),$I$1)</f>
        <v>0</v>
      </c>
      <c r="AI47" s="15">
        <f>IFERROR(IF(ISBLANK(AB47),IFERROR(VLOOKUP($F47,Sheet3!$H$2:$O$200,AI$1,FALSE),VLOOKUP($G47,Sheet3!$H$2:$O$200,AI$1,FALSE)),$I$1),$I$1)</f>
        <v>0</v>
      </c>
      <c r="AJ47" s="15">
        <f>IFERROR(IF(ISBLANK(AC47),IFERROR(VLOOKUP($F47,Sheet3!$H$2:$O$200,AJ$1,FALSE),VLOOKUP($G47,Sheet3!$H$2:$O$200,AJ$1,FALSE)),$I$1),$I$1)</f>
        <v>0</v>
      </c>
      <c r="AK47" s="15">
        <f>IFERROR(IF(ISBLANK(AD47),IFERROR(VLOOKUP($F47,Sheet3!$H$2:$O$200,AK$1,FALSE),VLOOKUP($G47,Sheet3!$H$2:$O$200,AK$1,FALSE)),$I$1),$I$1)</f>
        <v>0</v>
      </c>
      <c r="AL47" s="15">
        <f>IFERROR(IF(ISBLANK(AE47),VLOOKUP($G47,Sheet3!$H$2:$O$200,AL$1,FALSE),$I$1),$I$1)</f>
        <v>0</v>
      </c>
      <c r="AM47" s="15">
        <f>IFERROR(IF(ISBLANK(AF47),VLOOKUP($G47,Sheet3!$H$2:$O$200,AM$1,FALSE),$I$1),$I$1)</f>
        <v>0</v>
      </c>
      <c r="AN47" s="15">
        <f>IFERROR(IF(ISBLANK(AG47),VLOOKUP($G47,Sheet3!$H$2:$O$200,AN$1,FALSE),$I$1),$I$1)</f>
        <v>0</v>
      </c>
      <c r="AO47" s="15">
        <f>IFERROR(IF(ISBLANK(AH47),VLOOKUP($G47,Sheet3!$H$2:$O$200,AO$1,FALSE),$I$1),$I$1)</f>
        <v>0</v>
      </c>
      <c r="AP47" s="15">
        <f>IFERROR(IF(ISBLANK(AI47),VLOOKUP($G47,Sheet3!$H$2:$O$200,AP$1,FALSE),$I$1),$I$1)</f>
        <v>0</v>
      </c>
      <c r="AQ47" s="15">
        <f>IFERROR(IF(ISBLANK(AJ47),VLOOKUP($G47,Sheet3!$H$2:$O$200,AQ$1,FALSE),$I$1),$I$1)</f>
        <v>0</v>
      </c>
      <c r="AR47" s="15">
        <f>IFERROR(IF(ISBLANK(AK47),VLOOKUP($G47,Sheet3!$H$2:$O$200,AR$1,FALSE),$I$1),$I$1)</f>
        <v>0</v>
      </c>
      <c r="AS47" s="15">
        <f t="shared" si="1"/>
        <v>28</v>
      </c>
      <c r="AT47" s="15" t="b">
        <f t="shared" si="2"/>
        <v>0</v>
      </c>
    </row>
    <row r="48" spans="1:46" x14ac:dyDescent="0.2">
      <c r="A48" s="19" t="s">
        <v>138</v>
      </c>
      <c r="B48" s="19" t="s">
        <v>136</v>
      </c>
      <c r="C48" s="19" t="s">
        <v>139</v>
      </c>
      <c r="D48" s="19"/>
      <c r="E48" s="19"/>
      <c r="F48" s="19"/>
      <c r="G48" s="19"/>
      <c r="H48" s="19" t="s">
        <v>138</v>
      </c>
      <c r="I48" s="15">
        <f t="shared" si="0"/>
        <v>1</v>
      </c>
      <c r="J48" s="15">
        <f>IFERROR(VLOOKUP($C48,Sheet3!$H$2:$O$200,J$1,FALSE),IFERROR(VLOOKUP($D48,Sheet3!$H$2:$O$200,J$1,FALSE),VLOOKUP($E48,Sheet3!$H$2:$O$200,J$1,FALSE)))</f>
        <v>0</v>
      </c>
      <c r="K48" s="15">
        <f>IFERROR(VLOOKUP($C48,Sheet3!$H$2:$O$200,K$1,FALSE),IFERROR(VLOOKUP($D48,Sheet3!$H$2:$O$200,K$1,FALSE),VLOOKUP($E48,Sheet3!$H$2:$O$200,K$1,FALSE)))</f>
        <v>0</v>
      </c>
      <c r="L48" s="15">
        <f>IFERROR(VLOOKUP($C48,Sheet3!$H$2:$O$200,L$1,FALSE),IFERROR(VLOOKUP($D48,Sheet3!$H$2:$O$200,L$1,FALSE),VLOOKUP($E48,Sheet3!$H$2:$O$200,L$1,FALSE)))</f>
        <v>0</v>
      </c>
      <c r="M48" s="15" t="str">
        <f>IFERROR(VLOOKUP($C48,Sheet3!$H$2:$O$200,M$1,FALSE),IFERROR(VLOOKUP($D48,Sheet3!$H$2:$O$200,M$1,FALSE),VLOOKUP($E48,Sheet3!$H$2:$O$200,M$1,FALSE)))</f>
        <v>Grand Marnier</v>
      </c>
      <c r="N48" s="15">
        <f>IFERROR(VLOOKUP($C48,Sheet3!$H$2:$O$200,N$1,FALSE),IFERROR(VLOOKUP($D48,Sheet3!$H$2:$O$200,N$1,FALSE),VLOOKUP($E48,Sheet3!$H$2:$O$200,N$1,FALSE)))</f>
        <v>0</v>
      </c>
      <c r="O48" s="15">
        <f>IFERROR(VLOOKUP($C48,Sheet3!$H$2:$O$200,O$1,FALSE),IFERROR(VLOOKUP($D48,Sheet3!$H$2:$O$200,O$1,FALSE),VLOOKUP($E48,Sheet3!$H$2:$O$200,O$1,FALSE)))</f>
        <v>0</v>
      </c>
      <c r="P48" s="15">
        <f>IFERROR(VLOOKUP($C48,Sheet3!$H$2:$O$200,P$1,FALSE),IFERROR(VLOOKUP($D48,Sheet3!$H$2:$O$200,P$1,FALSE),VLOOKUP($E48,Sheet3!$H$2:$O$200,P$1,FALSE)))</f>
        <v>0</v>
      </c>
      <c r="Q48" s="15">
        <f>IFERROR(IF(ISBLANK(J48),IFERROR(VLOOKUP($D48,Sheet3!$H$2:$O$200,Q$1,FALSE),IFERROR(VLOOKUP($E48,Sheet3!$H$2:$O$200,Q$1,FALSE),VLOOKUP($F48,Sheet3!$H$2:$O$200,Q$1,FALSE))),$I$1),$I$1)</f>
        <v>0</v>
      </c>
      <c r="R48" s="15">
        <f>IFERROR(IF(ISBLANK(K48),IFERROR(VLOOKUP($D48,Sheet3!$H$2:$O$200,R$1,FALSE),IFERROR(VLOOKUP($E48,Sheet3!$H$2:$O$200,R$1,FALSE),VLOOKUP($F48,Sheet3!$H$2:$O$200,R$1,FALSE))),$I$1),$I$1)</f>
        <v>0</v>
      </c>
      <c r="S48" s="15">
        <f>IFERROR(IF(ISBLANK(L48),IFERROR(VLOOKUP($D48,Sheet3!$H$2:$O$200,S$1,FALSE),IFERROR(VLOOKUP($E48,Sheet3!$H$2:$O$200,S$1,FALSE),VLOOKUP($F48,Sheet3!$H$2:$O$200,S$1,FALSE))),$I$1),$I$1)</f>
        <v>0</v>
      </c>
      <c r="T48" s="15">
        <f>IFERROR(IF(ISBLANK(M48),IFERROR(VLOOKUP($D48,Sheet3!$H$2:$O$200,T$1,FALSE),IFERROR(VLOOKUP($E48,Sheet3!$H$2:$O$200,T$1,FALSE),VLOOKUP($F48,Sheet3!$H$2:$O$200,T$1,FALSE))),$I$1),$I$1)</f>
        <v>0</v>
      </c>
      <c r="U48" s="15">
        <f>IFERROR(IF(ISBLANK(N48),IFERROR(VLOOKUP($D48,Sheet3!$H$2:$O$200,U$1,FALSE),IFERROR(VLOOKUP($E48,Sheet3!$H$2:$O$200,U$1,FALSE),VLOOKUP($F48,Sheet3!$H$2:$O$200,U$1,FALSE))),$I$1),$I$1)</f>
        <v>0</v>
      </c>
      <c r="V48" s="15">
        <f>IFERROR(IF(ISBLANK(O48),IFERROR(VLOOKUP($D48,Sheet3!$H$2:$O$200,V$1,FALSE),IFERROR(VLOOKUP($E48,Sheet3!$H$2:$O$200,V$1,FALSE),VLOOKUP($F48,Sheet3!$H$2:$O$200,V$1,FALSE))),$I$1),$I$1)</f>
        <v>0</v>
      </c>
      <c r="W48" s="15">
        <f>IFERROR(IF(ISBLANK(P48),IFERROR(VLOOKUP($D48,Sheet3!$H$2:$O$200,W$1,FALSE),IFERROR(VLOOKUP($E48,Sheet3!$H$2:$O$200,W$1,FALSE),VLOOKUP($F48,Sheet3!$H$2:$O$200,W$1,FALSE))),$I$1),$I$1)</f>
        <v>0</v>
      </c>
      <c r="X48" s="15">
        <f>IFERROR(IF(ISBLANK(Q48),IFERROR(VLOOKUP($E48,Sheet3!$H$2:$O$200,X$1,FALSE),IFERROR(VLOOKUP($F48,Sheet3!$H$2:$O$200,X$1,FALSE),VLOOKUP($G48,Sheet3!$H$2:$O$200,X$1,FALSE))),$I$1),$I$1)</f>
        <v>0</v>
      </c>
      <c r="Y48" s="15">
        <f>IFERROR(IF(ISBLANK(R48),IFERROR(VLOOKUP($E48,Sheet3!$H$2:$O$200,Y$1,FALSE),IFERROR(VLOOKUP($F48,Sheet3!$H$2:$O$200,Y$1,FALSE),VLOOKUP($G48,Sheet3!$H$2:$O$200,Y$1,FALSE))),$I$1),$I$1)</f>
        <v>0</v>
      </c>
      <c r="Z48" s="15">
        <f>IFERROR(IF(ISBLANK(S48),IFERROR(VLOOKUP($E48,Sheet3!$H$2:$O$200,Z$1,FALSE),IFERROR(VLOOKUP($F48,Sheet3!$H$2:$O$200,Z$1,FALSE),VLOOKUP($G48,Sheet3!$H$2:$O$200,Z$1,FALSE))),$I$1),$I$1)</f>
        <v>0</v>
      </c>
      <c r="AA48" s="15">
        <f>IFERROR(IF(ISBLANK(T48),IFERROR(VLOOKUP($E48,Sheet3!$H$2:$O$200,AA$1,FALSE),IFERROR(VLOOKUP($F48,Sheet3!$H$2:$O$200,AA$1,FALSE),VLOOKUP($G48,Sheet3!$H$2:$O$200,AA$1,FALSE))),$I$1),$I$1)</f>
        <v>0</v>
      </c>
      <c r="AB48" s="15">
        <f>IFERROR(IF(ISBLANK(U48),IFERROR(VLOOKUP($E48,Sheet3!$H$2:$O$200,AB$1,FALSE),IFERROR(VLOOKUP($F48,Sheet3!$H$2:$O$200,AB$1,FALSE),VLOOKUP($G48,Sheet3!$H$2:$O$200,AB$1,FALSE))),$I$1),$I$1)</f>
        <v>0</v>
      </c>
      <c r="AC48" s="15">
        <f>IFERROR(IF(ISBLANK(V48),IFERROR(VLOOKUP($E48,Sheet3!$H$2:$O$200,AC$1,FALSE),IFERROR(VLOOKUP($F48,Sheet3!$H$2:$O$200,AC$1,FALSE),VLOOKUP($G48,Sheet3!$H$2:$O$200,AC$1,FALSE))),$I$1),$I$1)</f>
        <v>0</v>
      </c>
      <c r="AD48" s="15">
        <f>IFERROR(IF(ISBLANK(W48),IFERROR(VLOOKUP($E48,Sheet3!$H$2:$O$200,AD$1,FALSE),IFERROR(VLOOKUP($F48,Sheet3!$H$2:$O$200,AD$1,FALSE),VLOOKUP($G48,Sheet3!$H$2:$O$200,AD$1,FALSE))),$I$1),$I$1)</f>
        <v>0</v>
      </c>
      <c r="AE48" s="15">
        <f>IFERROR(IF(ISBLANK(X48),IFERROR(VLOOKUP($F48,Sheet3!$H$2:$O$200,AE$1,FALSE),VLOOKUP($G48,Sheet3!$H$2:$O$200,AE$1,FALSE)),$I$1),$I$1)</f>
        <v>0</v>
      </c>
      <c r="AF48" s="15">
        <f>IFERROR(IF(ISBLANK(Y48),IFERROR(VLOOKUP($F48,Sheet3!$H$2:$O$200,AF$1,FALSE),VLOOKUP($G48,Sheet3!$H$2:$O$200,AF$1,FALSE)),$I$1),$I$1)</f>
        <v>0</v>
      </c>
      <c r="AG48" s="15">
        <f>IFERROR(IF(ISBLANK(Z48),IFERROR(VLOOKUP($F48,Sheet3!$H$2:$O$200,AG$1,FALSE),VLOOKUP($G48,Sheet3!$H$2:$O$200,AG$1,FALSE)),$I$1),$I$1)</f>
        <v>0</v>
      </c>
      <c r="AH48" s="15">
        <f>IFERROR(IF(ISBLANK(AA48),IFERROR(VLOOKUP($F48,Sheet3!$H$2:$O$200,AH$1,FALSE),VLOOKUP($G48,Sheet3!$H$2:$O$200,AH$1,FALSE)),$I$1),$I$1)</f>
        <v>0</v>
      </c>
      <c r="AI48" s="15">
        <f>IFERROR(IF(ISBLANK(AB48),IFERROR(VLOOKUP($F48,Sheet3!$H$2:$O$200,AI$1,FALSE),VLOOKUP($G48,Sheet3!$H$2:$O$200,AI$1,FALSE)),$I$1),$I$1)</f>
        <v>0</v>
      </c>
      <c r="AJ48" s="15">
        <f>IFERROR(IF(ISBLANK(AC48),IFERROR(VLOOKUP($F48,Sheet3!$H$2:$O$200,AJ$1,FALSE),VLOOKUP($G48,Sheet3!$H$2:$O$200,AJ$1,FALSE)),$I$1),$I$1)</f>
        <v>0</v>
      </c>
      <c r="AK48" s="15">
        <f>IFERROR(IF(ISBLANK(AD48),IFERROR(VLOOKUP($F48,Sheet3!$H$2:$O$200,AK$1,FALSE),VLOOKUP($G48,Sheet3!$H$2:$O$200,AK$1,FALSE)),$I$1),$I$1)</f>
        <v>0</v>
      </c>
      <c r="AL48" s="15">
        <f>IFERROR(IF(ISBLANK(AE48),VLOOKUP($G48,Sheet3!$H$2:$O$200,AL$1,FALSE),$I$1),$I$1)</f>
        <v>0</v>
      </c>
      <c r="AM48" s="15">
        <f>IFERROR(IF(ISBLANK(AF48),VLOOKUP($G48,Sheet3!$H$2:$O$200,AM$1,FALSE),$I$1),$I$1)</f>
        <v>0</v>
      </c>
      <c r="AN48" s="15">
        <f>IFERROR(IF(ISBLANK(AG48),VLOOKUP($G48,Sheet3!$H$2:$O$200,AN$1,FALSE),$I$1),$I$1)</f>
        <v>0</v>
      </c>
      <c r="AO48" s="15">
        <f>IFERROR(IF(ISBLANK(AH48),VLOOKUP($G48,Sheet3!$H$2:$O$200,AO$1,FALSE),$I$1),$I$1)</f>
        <v>0</v>
      </c>
      <c r="AP48" s="15">
        <f>IFERROR(IF(ISBLANK(AI48),VLOOKUP($G48,Sheet3!$H$2:$O$200,AP$1,FALSE),$I$1),$I$1)</f>
        <v>0</v>
      </c>
      <c r="AQ48" s="15">
        <f>IFERROR(IF(ISBLANK(AJ48),VLOOKUP($G48,Sheet3!$H$2:$O$200,AQ$1,FALSE),$I$1),$I$1)</f>
        <v>0</v>
      </c>
      <c r="AR48" s="15">
        <f>IFERROR(IF(ISBLANK(AK48),VLOOKUP($G48,Sheet3!$H$2:$O$200,AR$1,FALSE),$I$1),$I$1)</f>
        <v>0</v>
      </c>
      <c r="AS48" s="15">
        <f t="shared" si="1"/>
        <v>28</v>
      </c>
      <c r="AT48" s="15" t="b">
        <f t="shared" si="2"/>
        <v>0</v>
      </c>
    </row>
    <row r="49" spans="1:46" x14ac:dyDescent="0.2">
      <c r="A49" s="19" t="s">
        <v>140</v>
      </c>
      <c r="B49" s="19" t="s">
        <v>136</v>
      </c>
      <c r="C49" s="19" t="s">
        <v>104</v>
      </c>
      <c r="D49" s="19"/>
      <c r="E49" s="19"/>
      <c r="F49" s="19"/>
      <c r="G49" s="19"/>
      <c r="H49" s="19" t="s">
        <v>140</v>
      </c>
      <c r="I49" s="15">
        <f t="shared" si="0"/>
        <v>1</v>
      </c>
      <c r="J49" s="15">
        <f>IFERROR(VLOOKUP($C49,Sheet3!$H$2:$O$200,J$1,FALSE),IFERROR(VLOOKUP($D49,Sheet3!$H$2:$O$200,J$1,FALSE),VLOOKUP($E49,Sheet3!$H$2:$O$200,J$1,FALSE)))</f>
        <v>0</v>
      </c>
      <c r="K49" s="15">
        <f>IFERROR(VLOOKUP($C49,Sheet3!$H$2:$O$200,K$1,FALSE),IFERROR(VLOOKUP($D49,Sheet3!$H$2:$O$200,K$1,FALSE),VLOOKUP($E49,Sheet3!$H$2:$O$200,K$1,FALSE)))</f>
        <v>0</v>
      </c>
      <c r="L49" s="15">
        <f>IFERROR(VLOOKUP($C49,Sheet3!$H$2:$O$200,L$1,FALSE),IFERROR(VLOOKUP($D49,Sheet3!$H$2:$O$200,L$1,FALSE),VLOOKUP($E49,Sheet3!$H$2:$O$200,L$1,FALSE)))</f>
        <v>0</v>
      </c>
      <c r="M49" s="15" t="str">
        <f>IFERROR(VLOOKUP($C49,Sheet3!$H$2:$O$200,M$1,FALSE),IFERROR(VLOOKUP($D49,Sheet3!$H$2:$O$200,M$1,FALSE),VLOOKUP($E49,Sheet3!$H$2:$O$200,M$1,FALSE)))</f>
        <v>absinthe</v>
      </c>
      <c r="N49" s="15">
        <f>IFERROR(VLOOKUP($C49,Sheet3!$H$2:$O$200,N$1,FALSE),IFERROR(VLOOKUP($D49,Sheet3!$H$2:$O$200,N$1,FALSE),VLOOKUP($E49,Sheet3!$H$2:$O$200,N$1,FALSE)))</f>
        <v>0</v>
      </c>
      <c r="O49" s="15">
        <f>IFERROR(VLOOKUP($C49,Sheet3!$H$2:$O$200,O$1,FALSE),IFERROR(VLOOKUP($D49,Sheet3!$H$2:$O$200,O$1,FALSE),VLOOKUP($E49,Sheet3!$H$2:$O$200,O$1,FALSE)))</f>
        <v>0</v>
      </c>
      <c r="P49" s="15">
        <f>IFERROR(VLOOKUP($C49,Sheet3!$H$2:$O$200,P$1,FALSE),IFERROR(VLOOKUP($D49,Sheet3!$H$2:$O$200,P$1,FALSE),VLOOKUP($E49,Sheet3!$H$2:$O$200,P$1,FALSE)))</f>
        <v>0</v>
      </c>
      <c r="Q49" s="15">
        <f>IFERROR(IF(ISBLANK(J49),IFERROR(VLOOKUP($D49,Sheet3!$H$2:$O$200,Q$1,FALSE),IFERROR(VLOOKUP($E49,Sheet3!$H$2:$O$200,Q$1,FALSE),VLOOKUP($F49,Sheet3!$H$2:$O$200,Q$1,FALSE))),$I$1),$I$1)</f>
        <v>0</v>
      </c>
      <c r="R49" s="15">
        <f>IFERROR(IF(ISBLANK(K49),IFERROR(VLOOKUP($D49,Sheet3!$H$2:$O$200,R$1,FALSE),IFERROR(VLOOKUP($E49,Sheet3!$H$2:$O$200,R$1,FALSE),VLOOKUP($F49,Sheet3!$H$2:$O$200,R$1,FALSE))),$I$1),$I$1)</f>
        <v>0</v>
      </c>
      <c r="S49" s="15">
        <f>IFERROR(IF(ISBLANK(L49),IFERROR(VLOOKUP($D49,Sheet3!$H$2:$O$200,S$1,FALSE),IFERROR(VLOOKUP($E49,Sheet3!$H$2:$O$200,S$1,FALSE),VLOOKUP($F49,Sheet3!$H$2:$O$200,S$1,FALSE))),$I$1),$I$1)</f>
        <v>0</v>
      </c>
      <c r="T49" s="15">
        <f>IFERROR(IF(ISBLANK(M49),IFERROR(VLOOKUP($D49,Sheet3!$H$2:$O$200,T$1,FALSE),IFERROR(VLOOKUP($E49,Sheet3!$H$2:$O$200,T$1,FALSE),VLOOKUP($F49,Sheet3!$H$2:$O$200,T$1,FALSE))),$I$1),$I$1)</f>
        <v>0</v>
      </c>
      <c r="U49" s="15">
        <f>IFERROR(IF(ISBLANK(N49),IFERROR(VLOOKUP($D49,Sheet3!$H$2:$O$200,U$1,FALSE),IFERROR(VLOOKUP($E49,Sheet3!$H$2:$O$200,U$1,FALSE),VLOOKUP($F49,Sheet3!$H$2:$O$200,U$1,FALSE))),$I$1),$I$1)</f>
        <v>0</v>
      </c>
      <c r="V49" s="15">
        <f>IFERROR(IF(ISBLANK(O49),IFERROR(VLOOKUP($D49,Sheet3!$H$2:$O$200,V$1,FALSE),IFERROR(VLOOKUP($E49,Sheet3!$H$2:$O$200,V$1,FALSE),VLOOKUP($F49,Sheet3!$H$2:$O$200,V$1,FALSE))),$I$1),$I$1)</f>
        <v>0</v>
      </c>
      <c r="W49" s="15">
        <f>IFERROR(IF(ISBLANK(P49),IFERROR(VLOOKUP($D49,Sheet3!$H$2:$O$200,W$1,FALSE),IFERROR(VLOOKUP($E49,Sheet3!$H$2:$O$200,W$1,FALSE),VLOOKUP($F49,Sheet3!$H$2:$O$200,W$1,FALSE))),$I$1),$I$1)</f>
        <v>0</v>
      </c>
      <c r="X49" s="15">
        <f>IFERROR(IF(ISBLANK(Q49),IFERROR(VLOOKUP($E49,Sheet3!$H$2:$O$200,X$1,FALSE),IFERROR(VLOOKUP($F49,Sheet3!$H$2:$O$200,X$1,FALSE),VLOOKUP($G49,Sheet3!$H$2:$O$200,X$1,FALSE))),$I$1),$I$1)</f>
        <v>0</v>
      </c>
      <c r="Y49" s="15">
        <f>IFERROR(IF(ISBLANK(R49),IFERROR(VLOOKUP($E49,Sheet3!$H$2:$O$200,Y$1,FALSE),IFERROR(VLOOKUP($F49,Sheet3!$H$2:$O$200,Y$1,FALSE),VLOOKUP($G49,Sheet3!$H$2:$O$200,Y$1,FALSE))),$I$1),$I$1)</f>
        <v>0</v>
      </c>
      <c r="Z49" s="15">
        <f>IFERROR(IF(ISBLANK(S49),IFERROR(VLOOKUP($E49,Sheet3!$H$2:$O$200,Z$1,FALSE),IFERROR(VLOOKUP($F49,Sheet3!$H$2:$O$200,Z$1,FALSE),VLOOKUP($G49,Sheet3!$H$2:$O$200,Z$1,FALSE))),$I$1),$I$1)</f>
        <v>0</v>
      </c>
      <c r="AA49" s="15">
        <f>IFERROR(IF(ISBLANK(T49),IFERROR(VLOOKUP($E49,Sheet3!$H$2:$O$200,AA$1,FALSE),IFERROR(VLOOKUP($F49,Sheet3!$H$2:$O$200,AA$1,FALSE),VLOOKUP($G49,Sheet3!$H$2:$O$200,AA$1,FALSE))),$I$1),$I$1)</f>
        <v>0</v>
      </c>
      <c r="AB49" s="15">
        <f>IFERROR(IF(ISBLANK(U49),IFERROR(VLOOKUP($E49,Sheet3!$H$2:$O$200,AB$1,FALSE),IFERROR(VLOOKUP($F49,Sheet3!$H$2:$O$200,AB$1,FALSE),VLOOKUP($G49,Sheet3!$H$2:$O$200,AB$1,FALSE))),$I$1),$I$1)</f>
        <v>0</v>
      </c>
      <c r="AC49" s="15">
        <f>IFERROR(IF(ISBLANK(V49),IFERROR(VLOOKUP($E49,Sheet3!$H$2:$O$200,AC$1,FALSE),IFERROR(VLOOKUP($F49,Sheet3!$H$2:$O$200,AC$1,FALSE),VLOOKUP($G49,Sheet3!$H$2:$O$200,AC$1,FALSE))),$I$1),$I$1)</f>
        <v>0</v>
      </c>
      <c r="AD49" s="15">
        <f>IFERROR(IF(ISBLANK(W49),IFERROR(VLOOKUP($E49,Sheet3!$H$2:$O$200,AD$1,FALSE),IFERROR(VLOOKUP($F49,Sheet3!$H$2:$O$200,AD$1,FALSE),VLOOKUP($G49,Sheet3!$H$2:$O$200,AD$1,FALSE))),$I$1),$I$1)</f>
        <v>0</v>
      </c>
      <c r="AE49" s="15">
        <f>IFERROR(IF(ISBLANK(X49),IFERROR(VLOOKUP($F49,Sheet3!$H$2:$O$200,AE$1,FALSE),VLOOKUP($G49,Sheet3!$H$2:$O$200,AE$1,FALSE)),$I$1),$I$1)</f>
        <v>0</v>
      </c>
      <c r="AF49" s="15">
        <f>IFERROR(IF(ISBLANK(Y49),IFERROR(VLOOKUP($F49,Sheet3!$H$2:$O$200,AF$1,FALSE),VLOOKUP($G49,Sheet3!$H$2:$O$200,AF$1,FALSE)),$I$1),$I$1)</f>
        <v>0</v>
      </c>
      <c r="AG49" s="15">
        <f>IFERROR(IF(ISBLANK(Z49),IFERROR(VLOOKUP($F49,Sheet3!$H$2:$O$200,AG$1,FALSE),VLOOKUP($G49,Sheet3!$H$2:$O$200,AG$1,FALSE)),$I$1),$I$1)</f>
        <v>0</v>
      </c>
      <c r="AH49" s="15">
        <f>IFERROR(IF(ISBLANK(AA49),IFERROR(VLOOKUP($F49,Sheet3!$H$2:$O$200,AH$1,FALSE),VLOOKUP($G49,Sheet3!$H$2:$O$200,AH$1,FALSE)),$I$1),$I$1)</f>
        <v>0</v>
      </c>
      <c r="AI49" s="15">
        <f>IFERROR(IF(ISBLANK(AB49),IFERROR(VLOOKUP($F49,Sheet3!$H$2:$O$200,AI$1,FALSE),VLOOKUP($G49,Sheet3!$H$2:$O$200,AI$1,FALSE)),$I$1),$I$1)</f>
        <v>0</v>
      </c>
      <c r="AJ49" s="15">
        <f>IFERROR(IF(ISBLANK(AC49),IFERROR(VLOOKUP($F49,Sheet3!$H$2:$O$200,AJ$1,FALSE),VLOOKUP($G49,Sheet3!$H$2:$O$200,AJ$1,FALSE)),$I$1),$I$1)</f>
        <v>0</v>
      </c>
      <c r="AK49" s="15">
        <f>IFERROR(IF(ISBLANK(AD49),IFERROR(VLOOKUP($F49,Sheet3!$H$2:$O$200,AK$1,FALSE),VLOOKUP($G49,Sheet3!$H$2:$O$200,AK$1,FALSE)),$I$1),$I$1)</f>
        <v>0</v>
      </c>
      <c r="AL49" s="15">
        <f>IFERROR(IF(ISBLANK(AE49),VLOOKUP($G49,Sheet3!$H$2:$O$200,AL$1,FALSE),$I$1),$I$1)</f>
        <v>0</v>
      </c>
      <c r="AM49" s="15">
        <f>IFERROR(IF(ISBLANK(AF49),VLOOKUP($G49,Sheet3!$H$2:$O$200,AM$1,FALSE),$I$1),$I$1)</f>
        <v>0</v>
      </c>
      <c r="AN49" s="15">
        <f>IFERROR(IF(ISBLANK(AG49),VLOOKUP($G49,Sheet3!$H$2:$O$200,AN$1,FALSE),$I$1),$I$1)</f>
        <v>0</v>
      </c>
      <c r="AO49" s="15">
        <f>IFERROR(IF(ISBLANK(AH49),VLOOKUP($G49,Sheet3!$H$2:$O$200,AO$1,FALSE),$I$1),$I$1)</f>
        <v>0</v>
      </c>
      <c r="AP49" s="15">
        <f>IFERROR(IF(ISBLANK(AI49),VLOOKUP($G49,Sheet3!$H$2:$O$200,AP$1,FALSE),$I$1),$I$1)</f>
        <v>0</v>
      </c>
      <c r="AQ49" s="15">
        <f>IFERROR(IF(ISBLANK(AJ49),VLOOKUP($G49,Sheet3!$H$2:$O$200,AQ$1,FALSE),$I$1),$I$1)</f>
        <v>0</v>
      </c>
      <c r="AR49" s="15">
        <f>IFERROR(IF(ISBLANK(AK49),VLOOKUP($G49,Sheet3!$H$2:$O$200,AR$1,FALSE),$I$1),$I$1)</f>
        <v>0</v>
      </c>
      <c r="AS49" s="15">
        <f t="shared" si="1"/>
        <v>28</v>
      </c>
      <c r="AT49" s="15" t="b">
        <f t="shared" si="2"/>
        <v>0</v>
      </c>
    </row>
    <row r="50" spans="1:46" x14ac:dyDescent="0.2">
      <c r="A50" s="19" t="s">
        <v>141</v>
      </c>
      <c r="B50" s="19" t="s">
        <v>136</v>
      </c>
      <c r="C50" s="19" t="s">
        <v>114</v>
      </c>
      <c r="D50" s="19"/>
      <c r="E50" s="19"/>
      <c r="F50" s="19"/>
      <c r="G50" s="19"/>
      <c r="H50" s="19" t="s">
        <v>141</v>
      </c>
      <c r="I50" s="15">
        <f t="shared" si="0"/>
        <v>1</v>
      </c>
      <c r="J50" s="15">
        <f>IFERROR(VLOOKUP($C50,Sheet3!$H$2:$O$200,J$1,FALSE),IFERROR(VLOOKUP($D50,Sheet3!$H$2:$O$200,J$1,FALSE),VLOOKUP($E50,Sheet3!$H$2:$O$200,J$1,FALSE)))</f>
        <v>0</v>
      </c>
      <c r="K50" s="15">
        <f>IFERROR(VLOOKUP($C50,Sheet3!$H$2:$O$200,K$1,FALSE),IFERROR(VLOOKUP($D50,Sheet3!$H$2:$O$200,K$1,FALSE),VLOOKUP($E50,Sheet3!$H$2:$O$200,K$1,FALSE)))</f>
        <v>0</v>
      </c>
      <c r="L50" s="15">
        <f>IFERROR(VLOOKUP($C50,Sheet3!$H$2:$O$200,L$1,FALSE),IFERROR(VLOOKUP($D50,Sheet3!$H$2:$O$200,L$1,FALSE),VLOOKUP($E50,Sheet3!$H$2:$O$200,L$1,FALSE)))</f>
        <v>0</v>
      </c>
      <c r="M50" s="15" t="str">
        <f>IFERROR(VLOOKUP($C50,Sheet3!$H$2:$O$200,M$1,FALSE),IFERROR(VLOOKUP($D50,Sheet3!$H$2:$O$200,M$1,FALSE),VLOOKUP($E50,Sheet3!$H$2:$O$200,M$1,FALSE)))</f>
        <v>Frangelico</v>
      </c>
      <c r="N50" s="15">
        <f>IFERROR(VLOOKUP($C50,Sheet3!$H$2:$O$200,N$1,FALSE),IFERROR(VLOOKUP($D50,Sheet3!$H$2:$O$200,N$1,FALSE),VLOOKUP($E50,Sheet3!$H$2:$O$200,N$1,FALSE)))</f>
        <v>0</v>
      </c>
      <c r="O50" s="15">
        <f>IFERROR(VLOOKUP($C50,Sheet3!$H$2:$O$200,O$1,FALSE),IFERROR(VLOOKUP($D50,Sheet3!$H$2:$O$200,O$1,FALSE),VLOOKUP($E50,Sheet3!$H$2:$O$200,O$1,FALSE)))</f>
        <v>0</v>
      </c>
      <c r="P50" s="15">
        <f>IFERROR(VLOOKUP($C50,Sheet3!$H$2:$O$200,P$1,FALSE),IFERROR(VLOOKUP($D50,Sheet3!$H$2:$O$200,P$1,FALSE),VLOOKUP($E50,Sheet3!$H$2:$O$200,P$1,FALSE)))</f>
        <v>0</v>
      </c>
      <c r="Q50" s="15">
        <f>IFERROR(IF(ISBLANK(J50),IFERROR(VLOOKUP($D50,Sheet3!$H$2:$O$200,Q$1,FALSE),IFERROR(VLOOKUP($E50,Sheet3!$H$2:$O$200,Q$1,FALSE),VLOOKUP($F50,Sheet3!$H$2:$O$200,Q$1,FALSE))),$I$1),$I$1)</f>
        <v>0</v>
      </c>
      <c r="R50" s="15">
        <f>IFERROR(IF(ISBLANK(K50),IFERROR(VLOOKUP($D50,Sheet3!$H$2:$O$200,R$1,FALSE),IFERROR(VLOOKUP($E50,Sheet3!$H$2:$O$200,R$1,FALSE),VLOOKUP($F50,Sheet3!$H$2:$O$200,R$1,FALSE))),$I$1),$I$1)</f>
        <v>0</v>
      </c>
      <c r="S50" s="15">
        <f>IFERROR(IF(ISBLANK(L50),IFERROR(VLOOKUP($D50,Sheet3!$H$2:$O$200,S$1,FALSE),IFERROR(VLOOKUP($E50,Sheet3!$H$2:$O$200,S$1,FALSE),VLOOKUP($F50,Sheet3!$H$2:$O$200,S$1,FALSE))),$I$1),$I$1)</f>
        <v>0</v>
      </c>
      <c r="T50" s="15">
        <f>IFERROR(IF(ISBLANK(M50),IFERROR(VLOOKUP($D50,Sheet3!$H$2:$O$200,T$1,FALSE),IFERROR(VLOOKUP($E50,Sheet3!$H$2:$O$200,T$1,FALSE),VLOOKUP($F50,Sheet3!$H$2:$O$200,T$1,FALSE))),$I$1),$I$1)</f>
        <v>0</v>
      </c>
      <c r="U50" s="15">
        <f>IFERROR(IF(ISBLANK(N50),IFERROR(VLOOKUP($D50,Sheet3!$H$2:$O$200,U$1,FALSE),IFERROR(VLOOKUP($E50,Sheet3!$H$2:$O$200,U$1,FALSE),VLOOKUP($F50,Sheet3!$H$2:$O$200,U$1,FALSE))),$I$1),$I$1)</f>
        <v>0</v>
      </c>
      <c r="V50" s="15">
        <f>IFERROR(IF(ISBLANK(O50),IFERROR(VLOOKUP($D50,Sheet3!$H$2:$O$200,V$1,FALSE),IFERROR(VLOOKUP($E50,Sheet3!$H$2:$O$200,V$1,FALSE),VLOOKUP($F50,Sheet3!$H$2:$O$200,V$1,FALSE))),$I$1),$I$1)</f>
        <v>0</v>
      </c>
      <c r="W50" s="15">
        <f>IFERROR(IF(ISBLANK(P50),IFERROR(VLOOKUP($D50,Sheet3!$H$2:$O$200,W$1,FALSE),IFERROR(VLOOKUP($E50,Sheet3!$H$2:$O$200,W$1,FALSE),VLOOKUP($F50,Sheet3!$H$2:$O$200,W$1,FALSE))),$I$1),$I$1)</f>
        <v>0</v>
      </c>
      <c r="X50" s="15">
        <f>IFERROR(IF(ISBLANK(Q50),IFERROR(VLOOKUP($E50,Sheet3!$H$2:$O$200,X$1,FALSE),IFERROR(VLOOKUP($F50,Sheet3!$H$2:$O$200,X$1,FALSE),VLOOKUP($G50,Sheet3!$H$2:$O$200,X$1,FALSE))),$I$1),$I$1)</f>
        <v>0</v>
      </c>
      <c r="Y50" s="15">
        <f>IFERROR(IF(ISBLANK(R50),IFERROR(VLOOKUP($E50,Sheet3!$H$2:$O$200,Y$1,FALSE),IFERROR(VLOOKUP($F50,Sheet3!$H$2:$O$200,Y$1,FALSE),VLOOKUP($G50,Sheet3!$H$2:$O$200,Y$1,FALSE))),$I$1),$I$1)</f>
        <v>0</v>
      </c>
      <c r="Z50" s="15">
        <f>IFERROR(IF(ISBLANK(S50),IFERROR(VLOOKUP($E50,Sheet3!$H$2:$O$200,Z$1,FALSE),IFERROR(VLOOKUP($F50,Sheet3!$H$2:$O$200,Z$1,FALSE),VLOOKUP($G50,Sheet3!$H$2:$O$200,Z$1,FALSE))),$I$1),$I$1)</f>
        <v>0</v>
      </c>
      <c r="AA50" s="15">
        <f>IFERROR(IF(ISBLANK(T50),IFERROR(VLOOKUP($E50,Sheet3!$H$2:$O$200,AA$1,FALSE),IFERROR(VLOOKUP($F50,Sheet3!$H$2:$O$200,AA$1,FALSE),VLOOKUP($G50,Sheet3!$H$2:$O$200,AA$1,FALSE))),$I$1),$I$1)</f>
        <v>0</v>
      </c>
      <c r="AB50" s="15">
        <f>IFERROR(IF(ISBLANK(U50),IFERROR(VLOOKUP($E50,Sheet3!$H$2:$O$200,AB$1,FALSE),IFERROR(VLOOKUP($F50,Sheet3!$H$2:$O$200,AB$1,FALSE),VLOOKUP($G50,Sheet3!$H$2:$O$200,AB$1,FALSE))),$I$1),$I$1)</f>
        <v>0</v>
      </c>
      <c r="AC50" s="15">
        <f>IFERROR(IF(ISBLANK(V50),IFERROR(VLOOKUP($E50,Sheet3!$H$2:$O$200,AC$1,FALSE),IFERROR(VLOOKUP($F50,Sheet3!$H$2:$O$200,AC$1,FALSE),VLOOKUP($G50,Sheet3!$H$2:$O$200,AC$1,FALSE))),$I$1),$I$1)</f>
        <v>0</v>
      </c>
      <c r="AD50" s="15">
        <f>IFERROR(IF(ISBLANK(W50),IFERROR(VLOOKUP($E50,Sheet3!$H$2:$O$200,AD$1,FALSE),IFERROR(VLOOKUP($F50,Sheet3!$H$2:$O$200,AD$1,FALSE),VLOOKUP($G50,Sheet3!$H$2:$O$200,AD$1,FALSE))),$I$1),$I$1)</f>
        <v>0</v>
      </c>
      <c r="AE50" s="15">
        <f>IFERROR(IF(ISBLANK(X50),IFERROR(VLOOKUP($F50,Sheet3!$H$2:$O$200,AE$1,FALSE),VLOOKUP($G50,Sheet3!$H$2:$O$200,AE$1,FALSE)),$I$1),$I$1)</f>
        <v>0</v>
      </c>
      <c r="AF50" s="15">
        <f>IFERROR(IF(ISBLANK(Y50),IFERROR(VLOOKUP($F50,Sheet3!$H$2:$O$200,AF$1,FALSE),VLOOKUP($G50,Sheet3!$H$2:$O$200,AF$1,FALSE)),$I$1),$I$1)</f>
        <v>0</v>
      </c>
      <c r="AG50" s="15">
        <f>IFERROR(IF(ISBLANK(Z50),IFERROR(VLOOKUP($F50,Sheet3!$H$2:$O$200,AG$1,FALSE),VLOOKUP($G50,Sheet3!$H$2:$O$200,AG$1,FALSE)),$I$1),$I$1)</f>
        <v>0</v>
      </c>
      <c r="AH50" s="15">
        <f>IFERROR(IF(ISBLANK(AA50),IFERROR(VLOOKUP($F50,Sheet3!$H$2:$O$200,AH$1,FALSE),VLOOKUP($G50,Sheet3!$H$2:$O$200,AH$1,FALSE)),$I$1),$I$1)</f>
        <v>0</v>
      </c>
      <c r="AI50" s="15">
        <f>IFERROR(IF(ISBLANK(AB50),IFERROR(VLOOKUP($F50,Sheet3!$H$2:$O$200,AI$1,FALSE),VLOOKUP($G50,Sheet3!$H$2:$O$200,AI$1,FALSE)),$I$1),$I$1)</f>
        <v>0</v>
      </c>
      <c r="AJ50" s="15">
        <f>IFERROR(IF(ISBLANK(AC50),IFERROR(VLOOKUP($F50,Sheet3!$H$2:$O$200,AJ$1,FALSE),VLOOKUP($G50,Sheet3!$H$2:$O$200,AJ$1,FALSE)),$I$1),$I$1)</f>
        <v>0</v>
      </c>
      <c r="AK50" s="15">
        <f>IFERROR(IF(ISBLANK(AD50),IFERROR(VLOOKUP($F50,Sheet3!$H$2:$O$200,AK$1,FALSE),VLOOKUP($G50,Sheet3!$H$2:$O$200,AK$1,FALSE)),$I$1),$I$1)</f>
        <v>0</v>
      </c>
      <c r="AL50" s="15">
        <f>IFERROR(IF(ISBLANK(AE50),VLOOKUP($G50,Sheet3!$H$2:$O$200,AL$1,FALSE),$I$1),$I$1)</f>
        <v>0</v>
      </c>
      <c r="AM50" s="15">
        <f>IFERROR(IF(ISBLANK(AF50),VLOOKUP($G50,Sheet3!$H$2:$O$200,AM$1,FALSE),$I$1),$I$1)</f>
        <v>0</v>
      </c>
      <c r="AN50" s="15">
        <f>IFERROR(IF(ISBLANK(AG50),VLOOKUP($G50,Sheet3!$H$2:$O$200,AN$1,FALSE),$I$1),$I$1)</f>
        <v>0</v>
      </c>
      <c r="AO50" s="15">
        <f>IFERROR(IF(ISBLANK(AH50),VLOOKUP($G50,Sheet3!$H$2:$O$200,AO$1,FALSE),$I$1),$I$1)</f>
        <v>0</v>
      </c>
      <c r="AP50" s="15">
        <f>IFERROR(IF(ISBLANK(AI50),VLOOKUP($G50,Sheet3!$H$2:$O$200,AP$1,FALSE),$I$1),$I$1)</f>
        <v>0</v>
      </c>
      <c r="AQ50" s="15">
        <f>IFERROR(IF(ISBLANK(AJ50),VLOOKUP($G50,Sheet3!$H$2:$O$200,AQ$1,FALSE),$I$1),$I$1)</f>
        <v>0</v>
      </c>
      <c r="AR50" s="15">
        <f>IFERROR(IF(ISBLANK(AK50),VLOOKUP($G50,Sheet3!$H$2:$O$200,AR$1,FALSE),$I$1),$I$1)</f>
        <v>0</v>
      </c>
      <c r="AS50" s="15">
        <f t="shared" si="1"/>
        <v>28</v>
      </c>
      <c r="AT50" s="15" t="b">
        <f t="shared" si="2"/>
        <v>0</v>
      </c>
    </row>
    <row r="51" spans="1:46" x14ac:dyDescent="0.2">
      <c r="A51" s="19" t="s">
        <v>142</v>
      </c>
      <c r="B51" s="19" t="s">
        <v>57</v>
      </c>
      <c r="C51" s="19" t="s">
        <v>31</v>
      </c>
      <c r="D51" s="19"/>
      <c r="E51" s="19" t="s">
        <v>32</v>
      </c>
      <c r="F51" s="19"/>
      <c r="G51" s="19"/>
      <c r="H51" s="19" t="s">
        <v>142</v>
      </c>
      <c r="I51" s="15">
        <f t="shared" si="0"/>
        <v>2</v>
      </c>
      <c r="J51" s="15">
        <f>IFERROR(VLOOKUP($C51,Sheet3!$H$2:$O$200,J$1,FALSE),IFERROR(VLOOKUP($D51,Sheet3!$H$2:$O$200,J$1,FALSE),VLOOKUP($E51,Sheet3!$H$2:$O$200,J$1,FALSE)))</f>
        <v>0</v>
      </c>
      <c r="K51" s="15">
        <f>IFERROR(VLOOKUP($C51,Sheet3!$H$2:$O$200,K$1,FALSE),IFERROR(VLOOKUP($D51,Sheet3!$H$2:$O$200,K$1,FALSE),VLOOKUP($E51,Sheet3!$H$2:$O$200,K$1,FALSE)))</f>
        <v>0</v>
      </c>
      <c r="L51" s="15">
        <f>IFERROR(VLOOKUP($C51,Sheet3!$H$2:$O$200,L$1,FALSE),IFERROR(VLOOKUP($D51,Sheet3!$H$2:$O$200,L$1,FALSE),VLOOKUP($E51,Sheet3!$H$2:$O$200,L$1,FALSE)))</f>
        <v>0</v>
      </c>
      <c r="M51" s="15" t="str">
        <f>IFERROR(VLOOKUP($C51,Sheet3!$H$2:$O$200,M$1,FALSE),IFERROR(VLOOKUP($D51,Sheet3!$H$2:$O$200,M$1,FALSE),VLOOKUP($E51,Sheet3!$H$2:$O$200,M$1,FALSE)))</f>
        <v>white crème de cacao</v>
      </c>
      <c r="N51" s="15">
        <f>IFERROR(VLOOKUP($C51,Sheet3!$H$2:$O$200,N$1,FALSE),IFERROR(VLOOKUP($D51,Sheet3!$H$2:$O$200,N$1,FALSE),VLOOKUP($E51,Sheet3!$H$2:$O$200,N$1,FALSE)))</f>
        <v>0</v>
      </c>
      <c r="O51" s="15">
        <f>IFERROR(VLOOKUP($C51,Sheet3!$H$2:$O$200,O$1,FALSE),IFERROR(VLOOKUP($D51,Sheet3!$H$2:$O$200,O$1,FALSE),VLOOKUP($E51,Sheet3!$H$2:$O$200,O$1,FALSE)))</f>
        <v>0</v>
      </c>
      <c r="P51" s="15">
        <f>IFERROR(VLOOKUP($C51,Sheet3!$H$2:$O$200,P$1,FALSE),IFERROR(VLOOKUP($D51,Sheet3!$H$2:$O$200,P$1,FALSE),VLOOKUP($E51,Sheet3!$H$2:$O$200,P$1,FALSE)))</f>
        <v>0</v>
      </c>
      <c r="Q51" s="15">
        <f>IFERROR(IF(ISBLANK(J51),IFERROR(VLOOKUP($D51,Sheet3!$H$2:$O$200,Q$1,FALSE),IFERROR(VLOOKUP($E51,Sheet3!$H$2:$O$200,Q$1,FALSE),VLOOKUP($F51,Sheet3!$H$2:$O$200,Q$1,FALSE))),$I$1),$I$1)</f>
        <v>0</v>
      </c>
      <c r="R51" s="15">
        <f>IFERROR(IF(ISBLANK(K51),IFERROR(VLOOKUP($D51,Sheet3!$H$2:$O$200,R$1,FALSE),IFERROR(VLOOKUP($E51,Sheet3!$H$2:$O$200,R$1,FALSE),VLOOKUP($F51,Sheet3!$H$2:$O$200,R$1,FALSE))),$I$1),$I$1)</f>
        <v>0</v>
      </c>
      <c r="S51" s="15">
        <f>IFERROR(IF(ISBLANK(L51),IFERROR(VLOOKUP($D51,Sheet3!$H$2:$O$200,S$1,FALSE),IFERROR(VLOOKUP($E51,Sheet3!$H$2:$O$200,S$1,FALSE),VLOOKUP($F51,Sheet3!$H$2:$O$200,S$1,FALSE))),$I$1),$I$1)</f>
        <v>0</v>
      </c>
      <c r="T51" s="15">
        <f>IFERROR(IF(ISBLANK(M51),IFERROR(VLOOKUP($D51,Sheet3!$H$2:$O$200,T$1,FALSE),IFERROR(VLOOKUP($E51,Sheet3!$H$2:$O$200,T$1,FALSE),VLOOKUP($F51,Sheet3!$H$2:$O$200,T$1,FALSE))),$I$1),$I$1)</f>
        <v>0</v>
      </c>
      <c r="U51" s="15">
        <f>IFERROR(IF(ISBLANK(N51),IFERROR(VLOOKUP($D51,Sheet3!$H$2:$O$200,U$1,FALSE),IFERROR(VLOOKUP($E51,Sheet3!$H$2:$O$200,U$1,FALSE),VLOOKUP($F51,Sheet3!$H$2:$O$200,U$1,FALSE))),$I$1),$I$1)</f>
        <v>0</v>
      </c>
      <c r="V51" s="15">
        <f>IFERROR(IF(ISBLANK(O51),IFERROR(VLOOKUP($D51,Sheet3!$H$2:$O$200,V$1,FALSE),IFERROR(VLOOKUP($E51,Sheet3!$H$2:$O$200,V$1,FALSE),VLOOKUP($F51,Sheet3!$H$2:$O$200,V$1,FALSE))),$I$1),$I$1)</f>
        <v>0</v>
      </c>
      <c r="W51" s="15">
        <f>IFERROR(IF(ISBLANK(P51),IFERROR(VLOOKUP($D51,Sheet3!$H$2:$O$200,W$1,FALSE),IFERROR(VLOOKUP($E51,Sheet3!$H$2:$O$200,W$1,FALSE),VLOOKUP($F51,Sheet3!$H$2:$O$200,W$1,FALSE))),$I$1),$I$1)</f>
        <v>0</v>
      </c>
      <c r="X51" s="15">
        <f>IFERROR(IF(ISBLANK(Q51),IFERROR(VLOOKUP($E51,Sheet3!$H$2:$O$200,X$1,FALSE),IFERROR(VLOOKUP($F51,Sheet3!$H$2:$O$200,X$1,FALSE),VLOOKUP($G51,Sheet3!$H$2:$O$200,X$1,FALSE))),$I$1),$I$1)</f>
        <v>0</v>
      </c>
      <c r="Y51" s="15">
        <f>IFERROR(IF(ISBLANK(R51),IFERROR(VLOOKUP($E51,Sheet3!$H$2:$O$200,Y$1,FALSE),IFERROR(VLOOKUP($F51,Sheet3!$H$2:$O$200,Y$1,FALSE),VLOOKUP($G51,Sheet3!$H$2:$O$200,Y$1,FALSE))),$I$1),$I$1)</f>
        <v>0</v>
      </c>
      <c r="Z51" s="15">
        <f>IFERROR(IF(ISBLANK(S51),IFERROR(VLOOKUP($E51,Sheet3!$H$2:$O$200,Z$1,FALSE),IFERROR(VLOOKUP($F51,Sheet3!$H$2:$O$200,Z$1,FALSE),VLOOKUP($G51,Sheet3!$H$2:$O$200,Z$1,FALSE))),$I$1),$I$1)</f>
        <v>0</v>
      </c>
      <c r="AA51" s="15">
        <f>IFERROR(IF(ISBLANK(T51),IFERROR(VLOOKUP($E51,Sheet3!$H$2:$O$200,AA$1,FALSE),IFERROR(VLOOKUP($F51,Sheet3!$H$2:$O$200,AA$1,FALSE),VLOOKUP($G51,Sheet3!$H$2:$O$200,AA$1,FALSE))),$I$1),$I$1)</f>
        <v>0</v>
      </c>
      <c r="AB51" s="15">
        <f>IFERROR(IF(ISBLANK(U51),IFERROR(VLOOKUP($E51,Sheet3!$H$2:$O$200,AB$1,FALSE),IFERROR(VLOOKUP($F51,Sheet3!$H$2:$O$200,AB$1,FALSE),VLOOKUP($G51,Sheet3!$H$2:$O$200,AB$1,FALSE))),$I$1),$I$1)</f>
        <v>0</v>
      </c>
      <c r="AC51" s="15">
        <f>IFERROR(IF(ISBLANK(V51),IFERROR(VLOOKUP($E51,Sheet3!$H$2:$O$200,AC$1,FALSE),IFERROR(VLOOKUP($F51,Sheet3!$H$2:$O$200,AC$1,FALSE),VLOOKUP($G51,Sheet3!$H$2:$O$200,AC$1,FALSE))),$I$1),$I$1)</f>
        <v>0</v>
      </c>
      <c r="AD51" s="15">
        <f>IFERROR(IF(ISBLANK(W51),IFERROR(VLOOKUP($E51,Sheet3!$H$2:$O$200,AD$1,FALSE),IFERROR(VLOOKUP($F51,Sheet3!$H$2:$O$200,AD$1,FALSE),VLOOKUP($G51,Sheet3!$H$2:$O$200,AD$1,FALSE))),$I$1),$I$1)</f>
        <v>0</v>
      </c>
      <c r="AE51" s="15">
        <f>IFERROR(IF(ISBLANK(X51),IFERROR(VLOOKUP($F51,Sheet3!$H$2:$O$200,AE$1,FALSE),VLOOKUP($G51,Sheet3!$H$2:$O$200,AE$1,FALSE)),$I$1),$I$1)</f>
        <v>0</v>
      </c>
      <c r="AF51" s="15">
        <f>IFERROR(IF(ISBLANK(Y51),IFERROR(VLOOKUP($F51,Sheet3!$H$2:$O$200,AF$1,FALSE),VLOOKUP($G51,Sheet3!$H$2:$O$200,AF$1,FALSE)),$I$1),$I$1)</f>
        <v>0</v>
      </c>
      <c r="AG51" s="15">
        <f>IFERROR(IF(ISBLANK(Z51),IFERROR(VLOOKUP($F51,Sheet3!$H$2:$O$200,AG$1,FALSE),VLOOKUP($G51,Sheet3!$H$2:$O$200,AG$1,FALSE)),$I$1),$I$1)</f>
        <v>0</v>
      </c>
      <c r="AH51" s="15">
        <f>IFERROR(IF(ISBLANK(AA51),IFERROR(VLOOKUP($F51,Sheet3!$H$2:$O$200,AH$1,FALSE),VLOOKUP($G51,Sheet3!$H$2:$O$200,AH$1,FALSE)),$I$1),$I$1)</f>
        <v>0</v>
      </c>
      <c r="AI51" s="15">
        <f>IFERROR(IF(ISBLANK(AB51),IFERROR(VLOOKUP($F51,Sheet3!$H$2:$O$200,AI$1,FALSE),VLOOKUP($G51,Sheet3!$H$2:$O$200,AI$1,FALSE)),$I$1),$I$1)</f>
        <v>0</v>
      </c>
      <c r="AJ51" s="15">
        <f>IFERROR(IF(ISBLANK(AC51),IFERROR(VLOOKUP($F51,Sheet3!$H$2:$O$200,AJ$1,FALSE),VLOOKUP($G51,Sheet3!$H$2:$O$200,AJ$1,FALSE)),$I$1),$I$1)</f>
        <v>0</v>
      </c>
      <c r="AK51" s="15">
        <f>IFERROR(IF(ISBLANK(AD51),IFERROR(VLOOKUP($F51,Sheet3!$H$2:$O$200,AK$1,FALSE),VLOOKUP($G51,Sheet3!$H$2:$O$200,AK$1,FALSE)),$I$1),$I$1)</f>
        <v>0</v>
      </c>
      <c r="AL51" s="15">
        <f>IFERROR(IF(ISBLANK(AE51),VLOOKUP($G51,Sheet3!$H$2:$O$200,AL$1,FALSE),$I$1),$I$1)</f>
        <v>0</v>
      </c>
      <c r="AM51" s="15">
        <f>IFERROR(IF(ISBLANK(AF51),VLOOKUP($G51,Sheet3!$H$2:$O$200,AM$1,FALSE),$I$1),$I$1)</f>
        <v>0</v>
      </c>
      <c r="AN51" s="15">
        <f>IFERROR(IF(ISBLANK(AG51),VLOOKUP($G51,Sheet3!$H$2:$O$200,AN$1,FALSE),$I$1),$I$1)</f>
        <v>0</v>
      </c>
      <c r="AO51" s="15">
        <f>IFERROR(IF(ISBLANK(AH51),VLOOKUP($G51,Sheet3!$H$2:$O$200,AO$1,FALSE),$I$1),$I$1)</f>
        <v>0</v>
      </c>
      <c r="AP51" s="15">
        <f>IFERROR(IF(ISBLANK(AI51),VLOOKUP($G51,Sheet3!$H$2:$O$200,AP$1,FALSE),$I$1),$I$1)</f>
        <v>0</v>
      </c>
      <c r="AQ51" s="15">
        <f>IFERROR(IF(ISBLANK(AJ51),VLOOKUP($G51,Sheet3!$H$2:$O$200,AQ$1,FALSE),$I$1),$I$1)</f>
        <v>0</v>
      </c>
      <c r="AR51" s="15">
        <f>IFERROR(IF(ISBLANK(AK51),VLOOKUP($G51,Sheet3!$H$2:$O$200,AR$1,FALSE),$I$1),$I$1)</f>
        <v>0</v>
      </c>
      <c r="AS51" s="15">
        <f t="shared" si="1"/>
        <v>28</v>
      </c>
      <c r="AT51" s="15" t="b">
        <f t="shared" si="2"/>
        <v>0</v>
      </c>
    </row>
    <row r="52" spans="1:46" x14ac:dyDescent="0.2">
      <c r="A52" s="19" t="s">
        <v>143</v>
      </c>
      <c r="B52" s="19" t="s">
        <v>144</v>
      </c>
      <c r="C52" s="19" t="s">
        <v>100</v>
      </c>
      <c r="D52" s="19" t="s">
        <v>90</v>
      </c>
      <c r="E52" s="19" t="s">
        <v>45</v>
      </c>
      <c r="F52" s="19"/>
      <c r="G52" s="19"/>
      <c r="H52" s="19" t="s">
        <v>143</v>
      </c>
      <c r="I52" s="15">
        <f t="shared" si="0"/>
        <v>3</v>
      </c>
      <c r="J52" s="15">
        <f>IFERROR(VLOOKUP($C52,Sheet3!$H$2:$O$200,J$1,FALSE),IFERROR(VLOOKUP($D52,Sheet3!$H$2:$O$200,J$1,FALSE),VLOOKUP($E52,Sheet3!$H$2:$O$200,J$1,FALSE)))</f>
        <v>0</v>
      </c>
      <c r="K52" s="15">
        <f>IFERROR(VLOOKUP($C52,Sheet3!$H$2:$O$200,K$1,FALSE),IFERROR(VLOOKUP($D52,Sheet3!$H$2:$O$200,K$1,FALSE),VLOOKUP($E52,Sheet3!$H$2:$O$200,K$1,FALSE)))</f>
        <v>0</v>
      </c>
      <c r="L52" s="15">
        <f>IFERROR(VLOOKUP($C52,Sheet3!$H$2:$O$200,L$1,FALSE),IFERROR(VLOOKUP($D52,Sheet3!$H$2:$O$200,L$1,FALSE),VLOOKUP($E52,Sheet3!$H$2:$O$200,L$1,FALSE)))</f>
        <v>0</v>
      </c>
      <c r="M52" s="15" t="str">
        <f>IFERROR(VLOOKUP($C52,Sheet3!$H$2:$O$200,M$1,FALSE),IFERROR(VLOOKUP($D52,Sheet3!$H$2:$O$200,M$1,FALSE),VLOOKUP($E52,Sheet3!$H$2:$O$200,M$1,FALSE)))</f>
        <v>triple sec</v>
      </c>
      <c r="N52" s="15">
        <f>IFERROR(VLOOKUP($C52,Sheet3!$H$2:$O$200,N$1,FALSE),IFERROR(VLOOKUP($D52,Sheet3!$H$2:$O$200,N$1,FALSE),VLOOKUP($E52,Sheet3!$H$2:$O$200,N$1,FALSE)))</f>
        <v>0</v>
      </c>
      <c r="O52" s="15">
        <f>IFERROR(VLOOKUP($C52,Sheet3!$H$2:$O$200,O$1,FALSE),IFERROR(VLOOKUP($D52,Sheet3!$H$2:$O$200,O$1,FALSE),VLOOKUP($E52,Sheet3!$H$2:$O$200,O$1,FALSE)))</f>
        <v>0</v>
      </c>
      <c r="P52" s="15">
        <f>IFERROR(VLOOKUP($C52,Sheet3!$H$2:$O$200,P$1,FALSE),IFERROR(VLOOKUP($D52,Sheet3!$H$2:$O$200,P$1,FALSE),VLOOKUP($E52,Sheet3!$H$2:$O$200,P$1,FALSE)))</f>
        <v>0</v>
      </c>
      <c r="Q52" s="15">
        <f>IFERROR(IF(ISBLANK(J52),IFERROR(VLOOKUP($D52,Sheet3!$H$2:$O$200,Q$1,FALSE),IFERROR(VLOOKUP($E52,Sheet3!$H$2:$O$200,Q$1,FALSE),VLOOKUP($F52,Sheet3!$H$2:$O$200,Q$1,FALSE))),$I$1),$I$1)</f>
        <v>0</v>
      </c>
      <c r="R52" s="15">
        <f>IFERROR(IF(ISBLANK(K52),IFERROR(VLOOKUP($D52,Sheet3!$H$2:$O$200,R$1,FALSE),IFERROR(VLOOKUP($E52,Sheet3!$H$2:$O$200,R$1,FALSE),VLOOKUP($F52,Sheet3!$H$2:$O$200,R$1,FALSE))),$I$1),$I$1)</f>
        <v>0</v>
      </c>
      <c r="S52" s="15">
        <f>IFERROR(IF(ISBLANK(L52),IFERROR(VLOOKUP($D52,Sheet3!$H$2:$O$200,S$1,FALSE),IFERROR(VLOOKUP($E52,Sheet3!$H$2:$O$200,S$1,FALSE),VLOOKUP($F52,Sheet3!$H$2:$O$200,S$1,FALSE))),$I$1),$I$1)</f>
        <v>0</v>
      </c>
      <c r="T52" s="15">
        <f>IFERROR(IF(ISBLANK(M52),IFERROR(VLOOKUP($D52,Sheet3!$H$2:$O$200,T$1,FALSE),IFERROR(VLOOKUP($E52,Sheet3!$H$2:$O$200,T$1,FALSE),VLOOKUP($F52,Sheet3!$H$2:$O$200,T$1,FALSE))),$I$1),$I$1)</f>
        <v>0</v>
      </c>
      <c r="U52" s="15">
        <f>IFERROR(IF(ISBLANK(N52),IFERROR(VLOOKUP($D52,Sheet3!$H$2:$O$200,U$1,FALSE),IFERROR(VLOOKUP($E52,Sheet3!$H$2:$O$200,U$1,FALSE),VLOOKUP($F52,Sheet3!$H$2:$O$200,U$1,FALSE))),$I$1),$I$1)</f>
        <v>0</v>
      </c>
      <c r="V52" s="15">
        <f>IFERROR(IF(ISBLANK(O52),IFERROR(VLOOKUP($D52,Sheet3!$H$2:$O$200,V$1,FALSE),IFERROR(VLOOKUP($E52,Sheet3!$H$2:$O$200,V$1,FALSE),VLOOKUP($F52,Sheet3!$H$2:$O$200,V$1,FALSE))),$I$1),$I$1)</f>
        <v>0</v>
      </c>
      <c r="W52" s="15">
        <f>IFERROR(IF(ISBLANK(P52),IFERROR(VLOOKUP($D52,Sheet3!$H$2:$O$200,W$1,FALSE),IFERROR(VLOOKUP($E52,Sheet3!$H$2:$O$200,W$1,FALSE),VLOOKUP($F52,Sheet3!$H$2:$O$200,W$1,FALSE))),$I$1),$I$1)</f>
        <v>0</v>
      </c>
      <c r="X52" s="15">
        <f>IFERROR(IF(ISBLANK(Q52),IFERROR(VLOOKUP($E52,Sheet3!$H$2:$O$200,X$1,FALSE),IFERROR(VLOOKUP($F52,Sheet3!$H$2:$O$200,X$1,FALSE),VLOOKUP($G52,Sheet3!$H$2:$O$200,X$1,FALSE))),$I$1),$I$1)</f>
        <v>0</v>
      </c>
      <c r="Y52" s="15">
        <f>IFERROR(IF(ISBLANK(R52),IFERROR(VLOOKUP($E52,Sheet3!$H$2:$O$200,Y$1,FALSE),IFERROR(VLOOKUP($F52,Sheet3!$H$2:$O$200,Y$1,FALSE),VLOOKUP($G52,Sheet3!$H$2:$O$200,Y$1,FALSE))),$I$1),$I$1)</f>
        <v>0</v>
      </c>
      <c r="Z52" s="15">
        <f>IFERROR(IF(ISBLANK(S52),IFERROR(VLOOKUP($E52,Sheet3!$H$2:$O$200,Z$1,FALSE),IFERROR(VLOOKUP($F52,Sheet3!$H$2:$O$200,Z$1,FALSE),VLOOKUP($G52,Sheet3!$H$2:$O$200,Z$1,FALSE))),$I$1),$I$1)</f>
        <v>0</v>
      </c>
      <c r="AA52" s="15">
        <f>IFERROR(IF(ISBLANK(T52),IFERROR(VLOOKUP($E52,Sheet3!$H$2:$O$200,AA$1,FALSE),IFERROR(VLOOKUP($F52,Sheet3!$H$2:$O$200,AA$1,FALSE),VLOOKUP($G52,Sheet3!$H$2:$O$200,AA$1,FALSE))),$I$1),$I$1)</f>
        <v>0</v>
      </c>
      <c r="AB52" s="15">
        <f>IFERROR(IF(ISBLANK(U52),IFERROR(VLOOKUP($E52,Sheet3!$H$2:$O$200,AB$1,FALSE),IFERROR(VLOOKUP($F52,Sheet3!$H$2:$O$200,AB$1,FALSE),VLOOKUP($G52,Sheet3!$H$2:$O$200,AB$1,FALSE))),$I$1),$I$1)</f>
        <v>0</v>
      </c>
      <c r="AC52" s="15">
        <f>IFERROR(IF(ISBLANK(V52),IFERROR(VLOOKUP($E52,Sheet3!$H$2:$O$200,AC$1,FALSE),IFERROR(VLOOKUP($F52,Sheet3!$H$2:$O$200,AC$1,FALSE),VLOOKUP($G52,Sheet3!$H$2:$O$200,AC$1,FALSE))),$I$1),$I$1)</f>
        <v>0</v>
      </c>
      <c r="AD52" s="15">
        <f>IFERROR(IF(ISBLANK(W52),IFERROR(VLOOKUP($E52,Sheet3!$H$2:$O$200,AD$1,FALSE),IFERROR(VLOOKUP($F52,Sheet3!$H$2:$O$200,AD$1,FALSE),VLOOKUP($G52,Sheet3!$H$2:$O$200,AD$1,FALSE))),$I$1),$I$1)</f>
        <v>0</v>
      </c>
      <c r="AE52" s="15">
        <f>IFERROR(IF(ISBLANK(X52),IFERROR(VLOOKUP($F52,Sheet3!$H$2:$O$200,AE$1,FALSE),VLOOKUP($G52,Sheet3!$H$2:$O$200,AE$1,FALSE)),$I$1),$I$1)</f>
        <v>0</v>
      </c>
      <c r="AF52" s="15">
        <f>IFERROR(IF(ISBLANK(Y52),IFERROR(VLOOKUP($F52,Sheet3!$H$2:$O$200,AF$1,FALSE),VLOOKUP($G52,Sheet3!$H$2:$O$200,AF$1,FALSE)),$I$1),$I$1)</f>
        <v>0</v>
      </c>
      <c r="AG52" s="15">
        <f>IFERROR(IF(ISBLANK(Z52),IFERROR(VLOOKUP($F52,Sheet3!$H$2:$O$200,AG$1,FALSE),VLOOKUP($G52,Sheet3!$H$2:$O$200,AG$1,FALSE)),$I$1),$I$1)</f>
        <v>0</v>
      </c>
      <c r="AH52" s="15">
        <f>IFERROR(IF(ISBLANK(AA52),IFERROR(VLOOKUP($F52,Sheet3!$H$2:$O$200,AH$1,FALSE),VLOOKUP($G52,Sheet3!$H$2:$O$200,AH$1,FALSE)),$I$1),$I$1)</f>
        <v>0</v>
      </c>
      <c r="AI52" s="15">
        <f>IFERROR(IF(ISBLANK(AB52),IFERROR(VLOOKUP($F52,Sheet3!$H$2:$O$200,AI$1,FALSE),VLOOKUP($G52,Sheet3!$H$2:$O$200,AI$1,FALSE)),$I$1),$I$1)</f>
        <v>0</v>
      </c>
      <c r="AJ52" s="15">
        <f>IFERROR(IF(ISBLANK(AC52),IFERROR(VLOOKUP($F52,Sheet3!$H$2:$O$200,AJ$1,FALSE),VLOOKUP($G52,Sheet3!$H$2:$O$200,AJ$1,FALSE)),$I$1),$I$1)</f>
        <v>0</v>
      </c>
      <c r="AK52" s="15">
        <f>IFERROR(IF(ISBLANK(AD52),IFERROR(VLOOKUP($F52,Sheet3!$H$2:$O$200,AK$1,FALSE),VLOOKUP($G52,Sheet3!$H$2:$O$200,AK$1,FALSE)),$I$1),$I$1)</f>
        <v>0</v>
      </c>
      <c r="AL52" s="15">
        <f>IFERROR(IF(ISBLANK(AE52),VLOOKUP($G52,Sheet3!$H$2:$O$200,AL$1,FALSE),$I$1),$I$1)</f>
        <v>0</v>
      </c>
      <c r="AM52" s="15">
        <f>IFERROR(IF(ISBLANK(AF52),VLOOKUP($G52,Sheet3!$H$2:$O$200,AM$1,FALSE),$I$1),$I$1)</f>
        <v>0</v>
      </c>
      <c r="AN52" s="15">
        <f>IFERROR(IF(ISBLANK(AG52),VLOOKUP($G52,Sheet3!$H$2:$O$200,AN$1,FALSE),$I$1),$I$1)</f>
        <v>0</v>
      </c>
      <c r="AO52" s="15">
        <f>IFERROR(IF(ISBLANK(AH52),VLOOKUP($G52,Sheet3!$H$2:$O$200,AO$1,FALSE),$I$1),$I$1)</f>
        <v>0</v>
      </c>
      <c r="AP52" s="15">
        <f>IFERROR(IF(ISBLANK(AI52),VLOOKUP($G52,Sheet3!$H$2:$O$200,AP$1,FALSE),$I$1),$I$1)</f>
        <v>0</v>
      </c>
      <c r="AQ52" s="15">
        <f>IFERROR(IF(ISBLANK(AJ52),VLOOKUP($G52,Sheet3!$H$2:$O$200,AQ$1,FALSE),$I$1),$I$1)</f>
        <v>0</v>
      </c>
      <c r="AR52" s="15">
        <f>IFERROR(IF(ISBLANK(AK52),VLOOKUP($G52,Sheet3!$H$2:$O$200,AR$1,FALSE),$I$1),$I$1)</f>
        <v>0</v>
      </c>
      <c r="AS52" s="15">
        <f t="shared" si="1"/>
        <v>28</v>
      </c>
      <c r="AT52" s="15" t="b">
        <f t="shared" si="2"/>
        <v>0</v>
      </c>
    </row>
    <row r="53" spans="1:46" x14ac:dyDescent="0.2">
      <c r="A53" s="19" t="s">
        <v>145</v>
      </c>
      <c r="B53" s="19" t="s">
        <v>146</v>
      </c>
      <c r="C53" s="19" t="s">
        <v>31</v>
      </c>
      <c r="D53" s="19"/>
      <c r="E53" s="19" t="s">
        <v>32</v>
      </c>
      <c r="F53" s="19"/>
      <c r="G53" s="19"/>
      <c r="H53" s="19" t="s">
        <v>145</v>
      </c>
      <c r="I53" s="15">
        <f t="shared" si="0"/>
        <v>2</v>
      </c>
      <c r="J53" s="15">
        <f>IFERROR(VLOOKUP($C53,Sheet3!$H$2:$O$200,J$1,FALSE),IFERROR(VLOOKUP($D53,Sheet3!$H$2:$O$200,J$1,FALSE),VLOOKUP($E53,Sheet3!$H$2:$O$200,J$1,FALSE)))</f>
        <v>0</v>
      </c>
      <c r="K53" s="15">
        <f>IFERROR(VLOOKUP($C53,Sheet3!$H$2:$O$200,K$1,FALSE),IFERROR(VLOOKUP($D53,Sheet3!$H$2:$O$200,K$1,FALSE),VLOOKUP($E53,Sheet3!$H$2:$O$200,K$1,FALSE)))</f>
        <v>0</v>
      </c>
      <c r="L53" s="15">
        <f>IFERROR(VLOOKUP($C53,Sheet3!$H$2:$O$200,L$1,FALSE),IFERROR(VLOOKUP($D53,Sheet3!$H$2:$O$200,L$1,FALSE),VLOOKUP($E53,Sheet3!$H$2:$O$200,L$1,FALSE)))</f>
        <v>0</v>
      </c>
      <c r="M53" s="15" t="str">
        <f>IFERROR(VLOOKUP($C53,Sheet3!$H$2:$O$200,M$1,FALSE),IFERROR(VLOOKUP($D53,Sheet3!$H$2:$O$200,M$1,FALSE),VLOOKUP($E53,Sheet3!$H$2:$O$200,M$1,FALSE)))</f>
        <v>white crème de cacao</v>
      </c>
      <c r="N53" s="15">
        <f>IFERROR(VLOOKUP($C53,Sheet3!$H$2:$O$200,N$1,FALSE),IFERROR(VLOOKUP($D53,Sheet3!$H$2:$O$200,N$1,FALSE),VLOOKUP($E53,Sheet3!$H$2:$O$200,N$1,FALSE)))</f>
        <v>0</v>
      </c>
      <c r="O53" s="15">
        <f>IFERROR(VLOOKUP($C53,Sheet3!$H$2:$O$200,O$1,FALSE),IFERROR(VLOOKUP($D53,Sheet3!$H$2:$O$200,O$1,FALSE),VLOOKUP($E53,Sheet3!$H$2:$O$200,O$1,FALSE)))</f>
        <v>0</v>
      </c>
      <c r="P53" s="15">
        <f>IFERROR(VLOOKUP($C53,Sheet3!$H$2:$O$200,P$1,FALSE),IFERROR(VLOOKUP($D53,Sheet3!$H$2:$O$200,P$1,FALSE),VLOOKUP($E53,Sheet3!$H$2:$O$200,P$1,FALSE)))</f>
        <v>0</v>
      </c>
      <c r="Q53" s="15">
        <f>IFERROR(IF(ISBLANK(J53),IFERROR(VLOOKUP($D53,Sheet3!$H$2:$O$200,Q$1,FALSE),IFERROR(VLOOKUP($E53,Sheet3!$H$2:$O$200,Q$1,FALSE),VLOOKUP($F53,Sheet3!$H$2:$O$200,Q$1,FALSE))),$I$1),$I$1)</f>
        <v>0</v>
      </c>
      <c r="R53" s="15">
        <f>IFERROR(IF(ISBLANK(K53),IFERROR(VLOOKUP($D53,Sheet3!$H$2:$O$200,R$1,FALSE),IFERROR(VLOOKUP($E53,Sheet3!$H$2:$O$200,R$1,FALSE),VLOOKUP($F53,Sheet3!$H$2:$O$200,R$1,FALSE))),$I$1),$I$1)</f>
        <v>0</v>
      </c>
      <c r="S53" s="15">
        <f>IFERROR(IF(ISBLANK(L53),IFERROR(VLOOKUP($D53,Sheet3!$H$2:$O$200,S$1,FALSE),IFERROR(VLOOKUP($E53,Sheet3!$H$2:$O$200,S$1,FALSE),VLOOKUP($F53,Sheet3!$H$2:$O$200,S$1,FALSE))),$I$1),$I$1)</f>
        <v>0</v>
      </c>
      <c r="T53" s="15">
        <f>IFERROR(IF(ISBLANK(M53),IFERROR(VLOOKUP($D53,Sheet3!$H$2:$O$200,T$1,FALSE),IFERROR(VLOOKUP($E53,Sheet3!$H$2:$O$200,T$1,FALSE),VLOOKUP($F53,Sheet3!$H$2:$O$200,T$1,FALSE))),$I$1),$I$1)</f>
        <v>0</v>
      </c>
      <c r="U53" s="15">
        <f>IFERROR(IF(ISBLANK(N53),IFERROR(VLOOKUP($D53,Sheet3!$H$2:$O$200,U$1,FALSE),IFERROR(VLOOKUP($E53,Sheet3!$H$2:$O$200,U$1,FALSE),VLOOKUP($F53,Sheet3!$H$2:$O$200,U$1,FALSE))),$I$1),$I$1)</f>
        <v>0</v>
      </c>
      <c r="V53" s="15">
        <f>IFERROR(IF(ISBLANK(O53),IFERROR(VLOOKUP($D53,Sheet3!$H$2:$O$200,V$1,FALSE),IFERROR(VLOOKUP($E53,Sheet3!$H$2:$O$200,V$1,FALSE),VLOOKUP($F53,Sheet3!$H$2:$O$200,V$1,FALSE))),$I$1),$I$1)</f>
        <v>0</v>
      </c>
      <c r="W53" s="15">
        <f>IFERROR(IF(ISBLANK(P53),IFERROR(VLOOKUP($D53,Sheet3!$H$2:$O$200,W$1,FALSE),IFERROR(VLOOKUP($E53,Sheet3!$H$2:$O$200,W$1,FALSE),VLOOKUP($F53,Sheet3!$H$2:$O$200,W$1,FALSE))),$I$1),$I$1)</f>
        <v>0</v>
      </c>
      <c r="X53" s="15">
        <f>IFERROR(IF(ISBLANK(Q53),IFERROR(VLOOKUP($E53,Sheet3!$H$2:$O$200,X$1,FALSE),IFERROR(VLOOKUP($F53,Sheet3!$H$2:$O$200,X$1,FALSE),VLOOKUP($G53,Sheet3!$H$2:$O$200,X$1,FALSE))),$I$1),$I$1)</f>
        <v>0</v>
      </c>
      <c r="Y53" s="15">
        <f>IFERROR(IF(ISBLANK(R53),IFERROR(VLOOKUP($E53,Sheet3!$H$2:$O$200,Y$1,FALSE),IFERROR(VLOOKUP($F53,Sheet3!$H$2:$O$200,Y$1,FALSE),VLOOKUP($G53,Sheet3!$H$2:$O$200,Y$1,FALSE))),$I$1),$I$1)</f>
        <v>0</v>
      </c>
      <c r="Z53" s="15">
        <f>IFERROR(IF(ISBLANK(S53),IFERROR(VLOOKUP($E53,Sheet3!$H$2:$O$200,Z$1,FALSE),IFERROR(VLOOKUP($F53,Sheet3!$H$2:$O$200,Z$1,FALSE),VLOOKUP($G53,Sheet3!$H$2:$O$200,Z$1,FALSE))),$I$1),$I$1)</f>
        <v>0</v>
      </c>
      <c r="AA53" s="15">
        <f>IFERROR(IF(ISBLANK(T53),IFERROR(VLOOKUP($E53,Sheet3!$H$2:$O$200,AA$1,FALSE),IFERROR(VLOOKUP($F53,Sheet3!$H$2:$O$200,AA$1,FALSE),VLOOKUP($G53,Sheet3!$H$2:$O$200,AA$1,FALSE))),$I$1),$I$1)</f>
        <v>0</v>
      </c>
      <c r="AB53" s="15">
        <f>IFERROR(IF(ISBLANK(U53),IFERROR(VLOOKUP($E53,Sheet3!$H$2:$O$200,AB$1,FALSE),IFERROR(VLOOKUP($F53,Sheet3!$H$2:$O$200,AB$1,FALSE),VLOOKUP($G53,Sheet3!$H$2:$O$200,AB$1,FALSE))),$I$1),$I$1)</f>
        <v>0</v>
      </c>
      <c r="AC53" s="15">
        <f>IFERROR(IF(ISBLANK(V53),IFERROR(VLOOKUP($E53,Sheet3!$H$2:$O$200,AC$1,FALSE),IFERROR(VLOOKUP($F53,Sheet3!$H$2:$O$200,AC$1,FALSE),VLOOKUP($G53,Sheet3!$H$2:$O$200,AC$1,FALSE))),$I$1),$I$1)</f>
        <v>0</v>
      </c>
      <c r="AD53" s="15">
        <f>IFERROR(IF(ISBLANK(W53),IFERROR(VLOOKUP($E53,Sheet3!$H$2:$O$200,AD$1,FALSE),IFERROR(VLOOKUP($F53,Sheet3!$H$2:$O$200,AD$1,FALSE),VLOOKUP($G53,Sheet3!$H$2:$O$200,AD$1,FALSE))),$I$1),$I$1)</f>
        <v>0</v>
      </c>
      <c r="AE53" s="15">
        <f>IFERROR(IF(ISBLANK(X53),IFERROR(VLOOKUP($F53,Sheet3!$H$2:$O$200,AE$1,FALSE),VLOOKUP($G53,Sheet3!$H$2:$O$200,AE$1,FALSE)),$I$1),$I$1)</f>
        <v>0</v>
      </c>
      <c r="AF53" s="15">
        <f>IFERROR(IF(ISBLANK(Y53),IFERROR(VLOOKUP($F53,Sheet3!$H$2:$O$200,AF$1,FALSE),VLOOKUP($G53,Sheet3!$H$2:$O$200,AF$1,FALSE)),$I$1),$I$1)</f>
        <v>0</v>
      </c>
      <c r="AG53" s="15">
        <f>IFERROR(IF(ISBLANK(Z53),IFERROR(VLOOKUP($F53,Sheet3!$H$2:$O$200,AG$1,FALSE),VLOOKUP($G53,Sheet3!$H$2:$O$200,AG$1,FALSE)),$I$1),$I$1)</f>
        <v>0</v>
      </c>
      <c r="AH53" s="15">
        <f>IFERROR(IF(ISBLANK(AA53),IFERROR(VLOOKUP($F53,Sheet3!$H$2:$O$200,AH$1,FALSE),VLOOKUP($G53,Sheet3!$H$2:$O$200,AH$1,FALSE)),$I$1),$I$1)</f>
        <v>0</v>
      </c>
      <c r="AI53" s="15">
        <f>IFERROR(IF(ISBLANK(AB53),IFERROR(VLOOKUP($F53,Sheet3!$H$2:$O$200,AI$1,FALSE),VLOOKUP($G53,Sheet3!$H$2:$O$200,AI$1,FALSE)),$I$1),$I$1)</f>
        <v>0</v>
      </c>
      <c r="AJ53" s="15">
        <f>IFERROR(IF(ISBLANK(AC53),IFERROR(VLOOKUP($F53,Sheet3!$H$2:$O$200,AJ$1,FALSE),VLOOKUP($G53,Sheet3!$H$2:$O$200,AJ$1,FALSE)),$I$1),$I$1)</f>
        <v>0</v>
      </c>
      <c r="AK53" s="15">
        <f>IFERROR(IF(ISBLANK(AD53),IFERROR(VLOOKUP($F53,Sheet3!$H$2:$O$200,AK$1,FALSE),VLOOKUP($G53,Sheet3!$H$2:$O$200,AK$1,FALSE)),$I$1),$I$1)</f>
        <v>0</v>
      </c>
      <c r="AL53" s="15">
        <f>IFERROR(IF(ISBLANK(AE53),VLOOKUP($G53,Sheet3!$H$2:$O$200,AL$1,FALSE),$I$1),$I$1)</f>
        <v>0</v>
      </c>
      <c r="AM53" s="15">
        <f>IFERROR(IF(ISBLANK(AF53),VLOOKUP($G53,Sheet3!$H$2:$O$200,AM$1,FALSE),$I$1),$I$1)</f>
        <v>0</v>
      </c>
      <c r="AN53" s="15">
        <f>IFERROR(IF(ISBLANK(AG53),VLOOKUP($G53,Sheet3!$H$2:$O$200,AN$1,FALSE),$I$1),$I$1)</f>
        <v>0</v>
      </c>
      <c r="AO53" s="15">
        <f>IFERROR(IF(ISBLANK(AH53),VLOOKUP($G53,Sheet3!$H$2:$O$200,AO$1,FALSE),$I$1),$I$1)</f>
        <v>0</v>
      </c>
      <c r="AP53" s="15">
        <f>IFERROR(IF(ISBLANK(AI53),VLOOKUP($G53,Sheet3!$H$2:$O$200,AP$1,FALSE),$I$1),$I$1)</f>
        <v>0</v>
      </c>
      <c r="AQ53" s="15">
        <f>IFERROR(IF(ISBLANK(AJ53),VLOOKUP($G53,Sheet3!$H$2:$O$200,AQ$1,FALSE),$I$1),$I$1)</f>
        <v>0</v>
      </c>
      <c r="AR53" s="15">
        <f>IFERROR(IF(ISBLANK(AK53),VLOOKUP($G53,Sheet3!$H$2:$O$200,AR$1,FALSE),$I$1),$I$1)</f>
        <v>0</v>
      </c>
      <c r="AS53" s="15">
        <f t="shared" si="1"/>
        <v>28</v>
      </c>
      <c r="AT53" s="15" t="b">
        <f t="shared" si="2"/>
        <v>0</v>
      </c>
    </row>
    <row r="54" spans="1:46" x14ac:dyDescent="0.2">
      <c r="A54" s="19" t="s">
        <v>147</v>
      </c>
      <c r="B54" s="19" t="s">
        <v>148</v>
      </c>
      <c r="C54" s="19" t="s">
        <v>31</v>
      </c>
      <c r="D54" s="19"/>
      <c r="E54" s="19" t="s">
        <v>32</v>
      </c>
      <c r="F54" s="19"/>
      <c r="G54" s="19"/>
      <c r="H54" s="19" t="s">
        <v>147</v>
      </c>
      <c r="I54" s="15">
        <f t="shared" si="0"/>
        <v>2</v>
      </c>
      <c r="J54" s="15">
        <f>IFERROR(VLOOKUP($C54,Sheet3!$H$2:$O$200,J$1,FALSE),IFERROR(VLOOKUP($D54,Sheet3!$H$2:$O$200,J$1,FALSE),VLOOKUP($E54,Sheet3!$H$2:$O$200,J$1,FALSE)))</f>
        <v>0</v>
      </c>
      <c r="K54" s="15">
        <f>IFERROR(VLOOKUP($C54,Sheet3!$H$2:$O$200,K$1,FALSE),IFERROR(VLOOKUP($D54,Sheet3!$H$2:$O$200,K$1,FALSE),VLOOKUP($E54,Sheet3!$H$2:$O$200,K$1,FALSE)))</f>
        <v>0</v>
      </c>
      <c r="L54" s="15">
        <f>IFERROR(VLOOKUP($C54,Sheet3!$H$2:$O$200,L$1,FALSE),IFERROR(VLOOKUP($D54,Sheet3!$H$2:$O$200,L$1,FALSE),VLOOKUP($E54,Sheet3!$H$2:$O$200,L$1,FALSE)))</f>
        <v>0</v>
      </c>
      <c r="M54" s="15" t="str">
        <f>IFERROR(VLOOKUP($C54,Sheet3!$H$2:$O$200,M$1,FALSE),IFERROR(VLOOKUP($D54,Sheet3!$H$2:$O$200,M$1,FALSE),VLOOKUP($E54,Sheet3!$H$2:$O$200,M$1,FALSE)))</f>
        <v>white crème de cacao</v>
      </c>
      <c r="N54" s="15">
        <f>IFERROR(VLOOKUP($C54,Sheet3!$H$2:$O$200,N$1,FALSE),IFERROR(VLOOKUP($D54,Sheet3!$H$2:$O$200,N$1,FALSE),VLOOKUP($E54,Sheet3!$H$2:$O$200,N$1,FALSE)))</f>
        <v>0</v>
      </c>
      <c r="O54" s="15">
        <f>IFERROR(VLOOKUP($C54,Sheet3!$H$2:$O$200,O$1,FALSE),IFERROR(VLOOKUP($D54,Sheet3!$H$2:$O$200,O$1,FALSE),VLOOKUP($E54,Sheet3!$H$2:$O$200,O$1,FALSE)))</f>
        <v>0</v>
      </c>
      <c r="P54" s="15">
        <f>IFERROR(VLOOKUP($C54,Sheet3!$H$2:$O$200,P$1,FALSE),IFERROR(VLOOKUP($D54,Sheet3!$H$2:$O$200,P$1,FALSE),VLOOKUP($E54,Sheet3!$H$2:$O$200,P$1,FALSE)))</f>
        <v>0</v>
      </c>
      <c r="Q54" s="15">
        <f>IFERROR(IF(ISBLANK(J54),IFERROR(VLOOKUP($D54,Sheet3!$H$2:$O$200,Q$1,FALSE),IFERROR(VLOOKUP($E54,Sheet3!$H$2:$O$200,Q$1,FALSE),VLOOKUP($F54,Sheet3!$H$2:$O$200,Q$1,FALSE))),$I$1),$I$1)</f>
        <v>0</v>
      </c>
      <c r="R54" s="15">
        <f>IFERROR(IF(ISBLANK(K54),IFERROR(VLOOKUP($D54,Sheet3!$H$2:$O$200,R$1,FALSE),IFERROR(VLOOKUP($E54,Sheet3!$H$2:$O$200,R$1,FALSE),VLOOKUP($F54,Sheet3!$H$2:$O$200,R$1,FALSE))),$I$1),$I$1)</f>
        <v>0</v>
      </c>
      <c r="S54" s="15">
        <f>IFERROR(IF(ISBLANK(L54),IFERROR(VLOOKUP($D54,Sheet3!$H$2:$O$200,S$1,FALSE),IFERROR(VLOOKUP($E54,Sheet3!$H$2:$O$200,S$1,FALSE),VLOOKUP($F54,Sheet3!$H$2:$O$200,S$1,FALSE))),$I$1),$I$1)</f>
        <v>0</v>
      </c>
      <c r="T54" s="15">
        <f>IFERROR(IF(ISBLANK(M54),IFERROR(VLOOKUP($D54,Sheet3!$H$2:$O$200,T$1,FALSE),IFERROR(VLOOKUP($E54,Sheet3!$H$2:$O$200,T$1,FALSE),VLOOKUP($F54,Sheet3!$H$2:$O$200,T$1,FALSE))),$I$1),$I$1)</f>
        <v>0</v>
      </c>
      <c r="U54" s="15">
        <f>IFERROR(IF(ISBLANK(N54),IFERROR(VLOOKUP($D54,Sheet3!$H$2:$O$200,U$1,FALSE),IFERROR(VLOOKUP($E54,Sheet3!$H$2:$O$200,U$1,FALSE),VLOOKUP($F54,Sheet3!$H$2:$O$200,U$1,FALSE))),$I$1),$I$1)</f>
        <v>0</v>
      </c>
      <c r="V54" s="15">
        <f>IFERROR(IF(ISBLANK(O54),IFERROR(VLOOKUP($D54,Sheet3!$H$2:$O$200,V$1,FALSE),IFERROR(VLOOKUP($E54,Sheet3!$H$2:$O$200,V$1,FALSE),VLOOKUP($F54,Sheet3!$H$2:$O$200,V$1,FALSE))),$I$1),$I$1)</f>
        <v>0</v>
      </c>
      <c r="W54" s="15">
        <f>IFERROR(IF(ISBLANK(P54),IFERROR(VLOOKUP($D54,Sheet3!$H$2:$O$200,W$1,FALSE),IFERROR(VLOOKUP($E54,Sheet3!$H$2:$O$200,W$1,FALSE),VLOOKUP($F54,Sheet3!$H$2:$O$200,W$1,FALSE))),$I$1),$I$1)</f>
        <v>0</v>
      </c>
      <c r="X54" s="15">
        <f>IFERROR(IF(ISBLANK(Q54),IFERROR(VLOOKUP($E54,Sheet3!$H$2:$O$200,X$1,FALSE),IFERROR(VLOOKUP($F54,Sheet3!$H$2:$O$200,X$1,FALSE),VLOOKUP($G54,Sheet3!$H$2:$O$200,X$1,FALSE))),$I$1),$I$1)</f>
        <v>0</v>
      </c>
      <c r="Y54" s="15">
        <f>IFERROR(IF(ISBLANK(R54),IFERROR(VLOOKUP($E54,Sheet3!$H$2:$O$200,Y$1,FALSE),IFERROR(VLOOKUP($F54,Sheet3!$H$2:$O$200,Y$1,FALSE),VLOOKUP($G54,Sheet3!$H$2:$O$200,Y$1,FALSE))),$I$1),$I$1)</f>
        <v>0</v>
      </c>
      <c r="Z54" s="15">
        <f>IFERROR(IF(ISBLANK(S54),IFERROR(VLOOKUP($E54,Sheet3!$H$2:$O$200,Z$1,FALSE),IFERROR(VLOOKUP($F54,Sheet3!$H$2:$O$200,Z$1,FALSE),VLOOKUP($G54,Sheet3!$H$2:$O$200,Z$1,FALSE))),$I$1),$I$1)</f>
        <v>0</v>
      </c>
      <c r="AA54" s="15">
        <f>IFERROR(IF(ISBLANK(T54),IFERROR(VLOOKUP($E54,Sheet3!$H$2:$O$200,AA$1,FALSE),IFERROR(VLOOKUP($F54,Sheet3!$H$2:$O$200,AA$1,FALSE),VLOOKUP($G54,Sheet3!$H$2:$O$200,AA$1,FALSE))),$I$1),$I$1)</f>
        <v>0</v>
      </c>
      <c r="AB54" s="15">
        <f>IFERROR(IF(ISBLANK(U54),IFERROR(VLOOKUP($E54,Sheet3!$H$2:$O$200,AB$1,FALSE),IFERROR(VLOOKUP($F54,Sheet3!$H$2:$O$200,AB$1,FALSE),VLOOKUP($G54,Sheet3!$H$2:$O$200,AB$1,FALSE))),$I$1),$I$1)</f>
        <v>0</v>
      </c>
      <c r="AC54" s="15">
        <f>IFERROR(IF(ISBLANK(V54),IFERROR(VLOOKUP($E54,Sheet3!$H$2:$O$200,AC$1,FALSE),IFERROR(VLOOKUP($F54,Sheet3!$H$2:$O$200,AC$1,FALSE),VLOOKUP($G54,Sheet3!$H$2:$O$200,AC$1,FALSE))),$I$1),$I$1)</f>
        <v>0</v>
      </c>
      <c r="AD54" s="15">
        <f>IFERROR(IF(ISBLANK(W54),IFERROR(VLOOKUP($E54,Sheet3!$H$2:$O$200,AD$1,FALSE),IFERROR(VLOOKUP($F54,Sheet3!$H$2:$O$200,AD$1,FALSE),VLOOKUP($G54,Sheet3!$H$2:$O$200,AD$1,FALSE))),$I$1),$I$1)</f>
        <v>0</v>
      </c>
      <c r="AE54" s="15">
        <f>IFERROR(IF(ISBLANK(X54),IFERROR(VLOOKUP($F54,Sheet3!$H$2:$O$200,AE$1,FALSE),VLOOKUP($G54,Sheet3!$H$2:$O$200,AE$1,FALSE)),$I$1),$I$1)</f>
        <v>0</v>
      </c>
      <c r="AF54" s="15">
        <f>IFERROR(IF(ISBLANK(Y54),IFERROR(VLOOKUP($F54,Sheet3!$H$2:$O$200,AF$1,FALSE),VLOOKUP($G54,Sheet3!$H$2:$O$200,AF$1,FALSE)),$I$1),$I$1)</f>
        <v>0</v>
      </c>
      <c r="AG54" s="15">
        <f>IFERROR(IF(ISBLANK(Z54),IFERROR(VLOOKUP($F54,Sheet3!$H$2:$O$200,AG$1,FALSE),VLOOKUP($G54,Sheet3!$H$2:$O$200,AG$1,FALSE)),$I$1),$I$1)</f>
        <v>0</v>
      </c>
      <c r="AH54" s="15">
        <f>IFERROR(IF(ISBLANK(AA54),IFERROR(VLOOKUP($F54,Sheet3!$H$2:$O$200,AH$1,FALSE),VLOOKUP($G54,Sheet3!$H$2:$O$200,AH$1,FALSE)),$I$1),$I$1)</f>
        <v>0</v>
      </c>
      <c r="AI54" s="15">
        <f>IFERROR(IF(ISBLANK(AB54),IFERROR(VLOOKUP($F54,Sheet3!$H$2:$O$200,AI$1,FALSE),VLOOKUP($G54,Sheet3!$H$2:$O$200,AI$1,FALSE)),$I$1),$I$1)</f>
        <v>0</v>
      </c>
      <c r="AJ54" s="15">
        <f>IFERROR(IF(ISBLANK(AC54),IFERROR(VLOOKUP($F54,Sheet3!$H$2:$O$200,AJ$1,FALSE),VLOOKUP($G54,Sheet3!$H$2:$O$200,AJ$1,FALSE)),$I$1),$I$1)</f>
        <v>0</v>
      </c>
      <c r="AK54" s="15">
        <f>IFERROR(IF(ISBLANK(AD54),IFERROR(VLOOKUP($F54,Sheet3!$H$2:$O$200,AK$1,FALSE),VLOOKUP($G54,Sheet3!$H$2:$O$200,AK$1,FALSE)),$I$1),$I$1)</f>
        <v>0</v>
      </c>
      <c r="AL54" s="15">
        <f>IFERROR(IF(ISBLANK(AE54),VLOOKUP($G54,Sheet3!$H$2:$O$200,AL$1,FALSE),$I$1),$I$1)</f>
        <v>0</v>
      </c>
      <c r="AM54" s="15">
        <f>IFERROR(IF(ISBLANK(AF54),VLOOKUP($G54,Sheet3!$H$2:$O$200,AM$1,FALSE),$I$1),$I$1)</f>
        <v>0</v>
      </c>
      <c r="AN54" s="15">
        <f>IFERROR(IF(ISBLANK(AG54),VLOOKUP($G54,Sheet3!$H$2:$O$200,AN$1,FALSE),$I$1),$I$1)</f>
        <v>0</v>
      </c>
      <c r="AO54" s="15">
        <f>IFERROR(IF(ISBLANK(AH54),VLOOKUP($G54,Sheet3!$H$2:$O$200,AO$1,FALSE),$I$1),$I$1)</f>
        <v>0</v>
      </c>
      <c r="AP54" s="15">
        <f>IFERROR(IF(ISBLANK(AI54),VLOOKUP($G54,Sheet3!$H$2:$O$200,AP$1,FALSE),$I$1),$I$1)</f>
        <v>0</v>
      </c>
      <c r="AQ54" s="15">
        <f>IFERROR(IF(ISBLANK(AJ54),VLOOKUP($G54,Sheet3!$H$2:$O$200,AQ$1,FALSE),$I$1),$I$1)</f>
        <v>0</v>
      </c>
      <c r="AR54" s="15">
        <f>IFERROR(IF(ISBLANK(AK54),VLOOKUP($G54,Sheet3!$H$2:$O$200,AR$1,FALSE),$I$1),$I$1)</f>
        <v>0</v>
      </c>
      <c r="AS54" s="15">
        <f t="shared" si="1"/>
        <v>28</v>
      </c>
      <c r="AT54" s="15" t="b">
        <f t="shared" si="2"/>
        <v>0</v>
      </c>
    </row>
    <row r="55" spans="1:46" x14ac:dyDescent="0.2">
      <c r="A55" s="19" t="s">
        <v>149</v>
      </c>
      <c r="B55" s="19" t="s">
        <v>148</v>
      </c>
      <c r="C55" s="19" t="s">
        <v>53</v>
      </c>
      <c r="D55" s="19"/>
      <c r="E55" s="19"/>
      <c r="F55" s="19"/>
      <c r="G55" s="19"/>
      <c r="H55" s="19" t="s">
        <v>149</v>
      </c>
      <c r="I55" s="15">
        <f t="shared" si="0"/>
        <v>1</v>
      </c>
      <c r="J55" s="15">
        <f>IFERROR(VLOOKUP($C55,Sheet3!$H$2:$O$200,J$1,FALSE),IFERROR(VLOOKUP($D55,Sheet3!$H$2:$O$200,J$1,FALSE),VLOOKUP($E55,Sheet3!$H$2:$O$200,J$1,FALSE)))</f>
        <v>0</v>
      </c>
      <c r="K55" s="15">
        <f>IFERROR(VLOOKUP($C55,Sheet3!$H$2:$O$200,K$1,FALSE),IFERROR(VLOOKUP($D55,Sheet3!$H$2:$O$200,K$1,FALSE),VLOOKUP($E55,Sheet3!$H$2:$O$200,K$1,FALSE)))</f>
        <v>0</v>
      </c>
      <c r="L55" s="15">
        <f>IFERROR(VLOOKUP($C55,Sheet3!$H$2:$O$200,L$1,FALSE),IFERROR(VLOOKUP($D55,Sheet3!$H$2:$O$200,L$1,FALSE),VLOOKUP($E55,Sheet3!$H$2:$O$200,L$1,FALSE)))</f>
        <v>0</v>
      </c>
      <c r="M55" s="15" t="str">
        <f>IFERROR(VLOOKUP($C55,Sheet3!$H$2:$O$200,M$1,FALSE),IFERROR(VLOOKUP($D55,Sheet3!$H$2:$O$200,M$1,FALSE),VLOOKUP($E55,Sheet3!$H$2:$O$200,M$1,FALSE)))</f>
        <v>Dubonnet</v>
      </c>
      <c r="N55" s="15">
        <f>IFERROR(VLOOKUP($C55,Sheet3!$H$2:$O$200,N$1,FALSE),IFERROR(VLOOKUP($D55,Sheet3!$H$2:$O$200,N$1,FALSE),VLOOKUP($E55,Sheet3!$H$2:$O$200,N$1,FALSE)))</f>
        <v>0</v>
      </c>
      <c r="O55" s="15">
        <f>IFERROR(VLOOKUP($C55,Sheet3!$H$2:$O$200,O$1,FALSE),IFERROR(VLOOKUP($D55,Sheet3!$H$2:$O$200,O$1,FALSE),VLOOKUP($E55,Sheet3!$H$2:$O$200,O$1,FALSE)))</f>
        <v>0</v>
      </c>
      <c r="P55" s="15">
        <f>IFERROR(VLOOKUP($C55,Sheet3!$H$2:$O$200,P$1,FALSE),IFERROR(VLOOKUP($D55,Sheet3!$H$2:$O$200,P$1,FALSE),VLOOKUP($E55,Sheet3!$H$2:$O$200,P$1,FALSE)))</f>
        <v>0</v>
      </c>
      <c r="Q55" s="15">
        <f>IFERROR(IF(ISBLANK(J55),IFERROR(VLOOKUP($D55,Sheet3!$H$2:$O$200,Q$1,FALSE),IFERROR(VLOOKUP($E55,Sheet3!$H$2:$O$200,Q$1,FALSE),VLOOKUP($F55,Sheet3!$H$2:$O$200,Q$1,FALSE))),$I$1),$I$1)</f>
        <v>0</v>
      </c>
      <c r="R55" s="15">
        <f>IFERROR(IF(ISBLANK(K55),IFERROR(VLOOKUP($D55,Sheet3!$H$2:$O$200,R$1,FALSE),IFERROR(VLOOKUP($E55,Sheet3!$H$2:$O$200,R$1,FALSE),VLOOKUP($F55,Sheet3!$H$2:$O$200,R$1,FALSE))),$I$1),$I$1)</f>
        <v>0</v>
      </c>
      <c r="S55" s="15">
        <f>IFERROR(IF(ISBLANK(L55),IFERROR(VLOOKUP($D55,Sheet3!$H$2:$O$200,S$1,FALSE),IFERROR(VLOOKUP($E55,Sheet3!$H$2:$O$200,S$1,FALSE),VLOOKUP($F55,Sheet3!$H$2:$O$200,S$1,FALSE))),$I$1),$I$1)</f>
        <v>0</v>
      </c>
      <c r="T55" s="15">
        <f>IFERROR(IF(ISBLANK(M55),IFERROR(VLOOKUP($D55,Sheet3!$H$2:$O$200,T$1,FALSE),IFERROR(VLOOKUP($E55,Sheet3!$H$2:$O$200,T$1,FALSE),VLOOKUP($F55,Sheet3!$H$2:$O$200,T$1,FALSE))),$I$1),$I$1)</f>
        <v>0</v>
      </c>
      <c r="U55" s="15">
        <f>IFERROR(IF(ISBLANK(N55),IFERROR(VLOOKUP($D55,Sheet3!$H$2:$O$200,U$1,FALSE),IFERROR(VLOOKUP($E55,Sheet3!$H$2:$O$200,U$1,FALSE),VLOOKUP($F55,Sheet3!$H$2:$O$200,U$1,FALSE))),$I$1),$I$1)</f>
        <v>0</v>
      </c>
      <c r="V55" s="15">
        <f>IFERROR(IF(ISBLANK(O55),IFERROR(VLOOKUP($D55,Sheet3!$H$2:$O$200,V$1,FALSE),IFERROR(VLOOKUP($E55,Sheet3!$H$2:$O$200,V$1,FALSE),VLOOKUP($F55,Sheet3!$H$2:$O$200,V$1,FALSE))),$I$1),$I$1)</f>
        <v>0</v>
      </c>
      <c r="W55" s="15">
        <f>IFERROR(IF(ISBLANK(P55),IFERROR(VLOOKUP($D55,Sheet3!$H$2:$O$200,W$1,FALSE),IFERROR(VLOOKUP($E55,Sheet3!$H$2:$O$200,W$1,FALSE),VLOOKUP($F55,Sheet3!$H$2:$O$200,W$1,FALSE))),$I$1),$I$1)</f>
        <v>0</v>
      </c>
      <c r="X55" s="15">
        <f>IFERROR(IF(ISBLANK(Q55),IFERROR(VLOOKUP($E55,Sheet3!$H$2:$O$200,X$1,FALSE),IFERROR(VLOOKUP($F55,Sheet3!$H$2:$O$200,X$1,FALSE),VLOOKUP($G55,Sheet3!$H$2:$O$200,X$1,FALSE))),$I$1),$I$1)</f>
        <v>0</v>
      </c>
      <c r="Y55" s="15">
        <f>IFERROR(IF(ISBLANK(R55),IFERROR(VLOOKUP($E55,Sheet3!$H$2:$O$200,Y$1,FALSE),IFERROR(VLOOKUP($F55,Sheet3!$H$2:$O$200,Y$1,FALSE),VLOOKUP($G55,Sheet3!$H$2:$O$200,Y$1,FALSE))),$I$1),$I$1)</f>
        <v>0</v>
      </c>
      <c r="Z55" s="15">
        <f>IFERROR(IF(ISBLANK(S55),IFERROR(VLOOKUP($E55,Sheet3!$H$2:$O$200,Z$1,FALSE),IFERROR(VLOOKUP($F55,Sheet3!$H$2:$O$200,Z$1,FALSE),VLOOKUP($G55,Sheet3!$H$2:$O$200,Z$1,FALSE))),$I$1),$I$1)</f>
        <v>0</v>
      </c>
      <c r="AA55" s="15">
        <f>IFERROR(IF(ISBLANK(T55),IFERROR(VLOOKUP($E55,Sheet3!$H$2:$O$200,AA$1,FALSE),IFERROR(VLOOKUP($F55,Sheet3!$H$2:$O$200,AA$1,FALSE),VLOOKUP($G55,Sheet3!$H$2:$O$200,AA$1,FALSE))),$I$1),$I$1)</f>
        <v>0</v>
      </c>
      <c r="AB55" s="15">
        <f>IFERROR(IF(ISBLANK(U55),IFERROR(VLOOKUP($E55,Sheet3!$H$2:$O$200,AB$1,FALSE),IFERROR(VLOOKUP($F55,Sheet3!$H$2:$O$200,AB$1,FALSE),VLOOKUP($G55,Sheet3!$H$2:$O$200,AB$1,FALSE))),$I$1),$I$1)</f>
        <v>0</v>
      </c>
      <c r="AC55" s="15">
        <f>IFERROR(IF(ISBLANK(V55),IFERROR(VLOOKUP($E55,Sheet3!$H$2:$O$200,AC$1,FALSE),IFERROR(VLOOKUP($F55,Sheet3!$H$2:$O$200,AC$1,FALSE),VLOOKUP($G55,Sheet3!$H$2:$O$200,AC$1,FALSE))),$I$1),$I$1)</f>
        <v>0</v>
      </c>
      <c r="AD55" s="15">
        <f>IFERROR(IF(ISBLANK(W55),IFERROR(VLOOKUP($E55,Sheet3!$H$2:$O$200,AD$1,FALSE),IFERROR(VLOOKUP($F55,Sheet3!$H$2:$O$200,AD$1,FALSE),VLOOKUP($G55,Sheet3!$H$2:$O$200,AD$1,FALSE))),$I$1),$I$1)</f>
        <v>0</v>
      </c>
      <c r="AE55" s="15">
        <f>IFERROR(IF(ISBLANK(X55),IFERROR(VLOOKUP($F55,Sheet3!$H$2:$O$200,AE$1,FALSE),VLOOKUP($G55,Sheet3!$H$2:$O$200,AE$1,FALSE)),$I$1),$I$1)</f>
        <v>0</v>
      </c>
      <c r="AF55" s="15">
        <f>IFERROR(IF(ISBLANK(Y55),IFERROR(VLOOKUP($F55,Sheet3!$H$2:$O$200,AF$1,FALSE),VLOOKUP($G55,Sheet3!$H$2:$O$200,AF$1,FALSE)),$I$1),$I$1)</f>
        <v>0</v>
      </c>
      <c r="AG55" s="15">
        <f>IFERROR(IF(ISBLANK(Z55),IFERROR(VLOOKUP($F55,Sheet3!$H$2:$O$200,AG$1,FALSE),VLOOKUP($G55,Sheet3!$H$2:$O$200,AG$1,FALSE)),$I$1),$I$1)</f>
        <v>0</v>
      </c>
      <c r="AH55" s="15">
        <f>IFERROR(IF(ISBLANK(AA55),IFERROR(VLOOKUP($F55,Sheet3!$H$2:$O$200,AH$1,FALSE),VLOOKUP($G55,Sheet3!$H$2:$O$200,AH$1,FALSE)),$I$1),$I$1)</f>
        <v>0</v>
      </c>
      <c r="AI55" s="15">
        <f>IFERROR(IF(ISBLANK(AB55),IFERROR(VLOOKUP($F55,Sheet3!$H$2:$O$200,AI$1,FALSE),VLOOKUP($G55,Sheet3!$H$2:$O$200,AI$1,FALSE)),$I$1),$I$1)</f>
        <v>0</v>
      </c>
      <c r="AJ55" s="15">
        <f>IFERROR(IF(ISBLANK(AC55),IFERROR(VLOOKUP($F55,Sheet3!$H$2:$O$200,AJ$1,FALSE),VLOOKUP($G55,Sheet3!$H$2:$O$200,AJ$1,FALSE)),$I$1),$I$1)</f>
        <v>0</v>
      </c>
      <c r="AK55" s="15">
        <f>IFERROR(IF(ISBLANK(AD55),IFERROR(VLOOKUP($F55,Sheet3!$H$2:$O$200,AK$1,FALSE),VLOOKUP($G55,Sheet3!$H$2:$O$200,AK$1,FALSE)),$I$1),$I$1)</f>
        <v>0</v>
      </c>
      <c r="AL55" s="15">
        <f>IFERROR(IF(ISBLANK(AE55),VLOOKUP($G55,Sheet3!$H$2:$O$200,AL$1,FALSE),$I$1),$I$1)</f>
        <v>0</v>
      </c>
      <c r="AM55" s="15">
        <f>IFERROR(IF(ISBLANK(AF55),VLOOKUP($G55,Sheet3!$H$2:$O$200,AM$1,FALSE),$I$1),$I$1)</f>
        <v>0</v>
      </c>
      <c r="AN55" s="15">
        <f>IFERROR(IF(ISBLANK(AG55),VLOOKUP($G55,Sheet3!$H$2:$O$200,AN$1,FALSE),$I$1),$I$1)</f>
        <v>0</v>
      </c>
      <c r="AO55" s="15">
        <f>IFERROR(IF(ISBLANK(AH55),VLOOKUP($G55,Sheet3!$H$2:$O$200,AO$1,FALSE),$I$1),$I$1)</f>
        <v>0</v>
      </c>
      <c r="AP55" s="15">
        <f>IFERROR(IF(ISBLANK(AI55),VLOOKUP($G55,Sheet3!$H$2:$O$200,AP$1,FALSE),$I$1),$I$1)</f>
        <v>0</v>
      </c>
      <c r="AQ55" s="15">
        <f>IFERROR(IF(ISBLANK(AJ55),VLOOKUP($G55,Sheet3!$H$2:$O$200,AQ$1,FALSE),$I$1),$I$1)</f>
        <v>0</v>
      </c>
      <c r="AR55" s="15">
        <f>IFERROR(IF(ISBLANK(AK55),VLOOKUP($G55,Sheet3!$H$2:$O$200,AR$1,FALSE),$I$1),$I$1)</f>
        <v>0</v>
      </c>
      <c r="AS55" s="15">
        <f t="shared" si="1"/>
        <v>28</v>
      </c>
      <c r="AT55" s="15" t="b">
        <f t="shared" si="2"/>
        <v>0</v>
      </c>
    </row>
    <row r="56" spans="1:46" x14ac:dyDescent="0.2">
      <c r="A56" s="19" t="s">
        <v>150</v>
      </c>
      <c r="B56" s="19" t="s">
        <v>148</v>
      </c>
      <c r="C56" s="19" t="s">
        <v>151</v>
      </c>
      <c r="D56" s="19"/>
      <c r="E56" s="19"/>
      <c r="F56" s="19"/>
      <c r="G56" s="19"/>
      <c r="H56" s="19" t="s">
        <v>150</v>
      </c>
      <c r="I56" s="15">
        <f t="shared" si="0"/>
        <v>1</v>
      </c>
      <c r="J56" s="15">
        <f>IFERROR(VLOOKUP($C56,Sheet3!$H$2:$O$200,J$1,FALSE),IFERROR(VLOOKUP($D56,Sheet3!$H$2:$O$200,J$1,FALSE),VLOOKUP($E56,Sheet3!$H$2:$O$200,J$1,FALSE)))</f>
        <v>0</v>
      </c>
      <c r="K56" s="15">
        <f>IFERROR(VLOOKUP($C56,Sheet3!$H$2:$O$200,K$1,FALSE),IFERROR(VLOOKUP($D56,Sheet3!$H$2:$O$200,K$1,FALSE),VLOOKUP($E56,Sheet3!$H$2:$O$200,K$1,FALSE)))</f>
        <v>0</v>
      </c>
      <c r="L56" s="15">
        <f>IFERROR(VLOOKUP($C56,Sheet3!$H$2:$O$200,L$1,FALSE),IFERROR(VLOOKUP($D56,Sheet3!$H$2:$O$200,L$1,FALSE),VLOOKUP($E56,Sheet3!$H$2:$O$200,L$1,FALSE)))</f>
        <v>0</v>
      </c>
      <c r="M56" s="15" t="str">
        <f>IFERROR(VLOOKUP($C56,Sheet3!$H$2:$O$200,M$1,FALSE),IFERROR(VLOOKUP($D56,Sheet3!$H$2:$O$200,M$1,FALSE),VLOOKUP($E56,Sheet3!$H$2:$O$200,M$1,FALSE)))</f>
        <v>Goldschlager</v>
      </c>
      <c r="N56" s="15">
        <f>IFERROR(VLOOKUP($C56,Sheet3!$H$2:$O$200,N$1,FALSE),IFERROR(VLOOKUP($D56,Sheet3!$H$2:$O$200,N$1,FALSE),VLOOKUP($E56,Sheet3!$H$2:$O$200,N$1,FALSE)))</f>
        <v>0</v>
      </c>
      <c r="O56" s="15">
        <f>IFERROR(VLOOKUP($C56,Sheet3!$H$2:$O$200,O$1,FALSE),IFERROR(VLOOKUP($D56,Sheet3!$H$2:$O$200,O$1,FALSE),VLOOKUP($E56,Sheet3!$H$2:$O$200,O$1,FALSE)))</f>
        <v>0</v>
      </c>
      <c r="P56" s="15">
        <f>IFERROR(VLOOKUP($C56,Sheet3!$H$2:$O$200,P$1,FALSE),IFERROR(VLOOKUP($D56,Sheet3!$H$2:$O$200,P$1,FALSE),VLOOKUP($E56,Sheet3!$H$2:$O$200,P$1,FALSE)))</f>
        <v>0</v>
      </c>
      <c r="Q56" s="15">
        <f>IFERROR(IF(ISBLANK(J56),IFERROR(VLOOKUP($D56,Sheet3!$H$2:$O$200,Q$1,FALSE),IFERROR(VLOOKUP($E56,Sheet3!$H$2:$O$200,Q$1,FALSE),VLOOKUP($F56,Sheet3!$H$2:$O$200,Q$1,FALSE))),$I$1),$I$1)</f>
        <v>0</v>
      </c>
      <c r="R56" s="15">
        <f>IFERROR(IF(ISBLANK(K56),IFERROR(VLOOKUP($D56,Sheet3!$H$2:$O$200,R$1,FALSE),IFERROR(VLOOKUP($E56,Sheet3!$H$2:$O$200,R$1,FALSE),VLOOKUP($F56,Sheet3!$H$2:$O$200,R$1,FALSE))),$I$1),$I$1)</f>
        <v>0</v>
      </c>
      <c r="S56" s="15">
        <f>IFERROR(IF(ISBLANK(L56),IFERROR(VLOOKUP($D56,Sheet3!$H$2:$O$200,S$1,FALSE),IFERROR(VLOOKUP($E56,Sheet3!$H$2:$O$200,S$1,FALSE),VLOOKUP($F56,Sheet3!$H$2:$O$200,S$1,FALSE))),$I$1),$I$1)</f>
        <v>0</v>
      </c>
      <c r="T56" s="15">
        <f>IFERROR(IF(ISBLANK(M56),IFERROR(VLOOKUP($D56,Sheet3!$H$2:$O$200,T$1,FALSE),IFERROR(VLOOKUP($E56,Sheet3!$H$2:$O$200,T$1,FALSE),VLOOKUP($F56,Sheet3!$H$2:$O$200,T$1,FALSE))),$I$1),$I$1)</f>
        <v>0</v>
      </c>
      <c r="U56" s="15">
        <f>IFERROR(IF(ISBLANK(N56),IFERROR(VLOOKUP($D56,Sheet3!$H$2:$O$200,U$1,FALSE),IFERROR(VLOOKUP($E56,Sheet3!$H$2:$O$200,U$1,FALSE),VLOOKUP($F56,Sheet3!$H$2:$O$200,U$1,FALSE))),$I$1),$I$1)</f>
        <v>0</v>
      </c>
      <c r="V56" s="15">
        <f>IFERROR(IF(ISBLANK(O56),IFERROR(VLOOKUP($D56,Sheet3!$H$2:$O$200,V$1,FALSE),IFERROR(VLOOKUP($E56,Sheet3!$H$2:$O$200,V$1,FALSE),VLOOKUP($F56,Sheet3!$H$2:$O$200,V$1,FALSE))),$I$1),$I$1)</f>
        <v>0</v>
      </c>
      <c r="W56" s="15">
        <f>IFERROR(IF(ISBLANK(P56),IFERROR(VLOOKUP($D56,Sheet3!$H$2:$O$200,W$1,FALSE),IFERROR(VLOOKUP($E56,Sheet3!$H$2:$O$200,W$1,FALSE),VLOOKUP($F56,Sheet3!$H$2:$O$200,W$1,FALSE))),$I$1),$I$1)</f>
        <v>0</v>
      </c>
      <c r="X56" s="15">
        <f>IFERROR(IF(ISBLANK(Q56),IFERROR(VLOOKUP($E56,Sheet3!$H$2:$O$200,X$1,FALSE),IFERROR(VLOOKUP($F56,Sheet3!$H$2:$O$200,X$1,FALSE),VLOOKUP($G56,Sheet3!$H$2:$O$200,X$1,FALSE))),$I$1),$I$1)</f>
        <v>0</v>
      </c>
      <c r="Y56" s="15">
        <f>IFERROR(IF(ISBLANK(R56),IFERROR(VLOOKUP($E56,Sheet3!$H$2:$O$200,Y$1,FALSE),IFERROR(VLOOKUP($F56,Sheet3!$H$2:$O$200,Y$1,FALSE),VLOOKUP($G56,Sheet3!$H$2:$O$200,Y$1,FALSE))),$I$1),$I$1)</f>
        <v>0</v>
      </c>
      <c r="Z56" s="15">
        <f>IFERROR(IF(ISBLANK(S56),IFERROR(VLOOKUP($E56,Sheet3!$H$2:$O$200,Z$1,FALSE),IFERROR(VLOOKUP($F56,Sheet3!$H$2:$O$200,Z$1,FALSE),VLOOKUP($G56,Sheet3!$H$2:$O$200,Z$1,FALSE))),$I$1),$I$1)</f>
        <v>0</v>
      </c>
      <c r="AA56" s="15">
        <f>IFERROR(IF(ISBLANK(T56),IFERROR(VLOOKUP($E56,Sheet3!$H$2:$O$200,AA$1,FALSE),IFERROR(VLOOKUP($F56,Sheet3!$H$2:$O$200,AA$1,FALSE),VLOOKUP($G56,Sheet3!$H$2:$O$200,AA$1,FALSE))),$I$1),$I$1)</f>
        <v>0</v>
      </c>
      <c r="AB56" s="15">
        <f>IFERROR(IF(ISBLANK(U56),IFERROR(VLOOKUP($E56,Sheet3!$H$2:$O$200,AB$1,FALSE),IFERROR(VLOOKUP($F56,Sheet3!$H$2:$O$200,AB$1,FALSE),VLOOKUP($G56,Sheet3!$H$2:$O$200,AB$1,FALSE))),$I$1),$I$1)</f>
        <v>0</v>
      </c>
      <c r="AC56" s="15">
        <f>IFERROR(IF(ISBLANK(V56),IFERROR(VLOOKUP($E56,Sheet3!$H$2:$O$200,AC$1,FALSE),IFERROR(VLOOKUP($F56,Sheet3!$H$2:$O$200,AC$1,FALSE),VLOOKUP($G56,Sheet3!$H$2:$O$200,AC$1,FALSE))),$I$1),$I$1)</f>
        <v>0</v>
      </c>
      <c r="AD56" s="15">
        <f>IFERROR(IF(ISBLANK(W56),IFERROR(VLOOKUP($E56,Sheet3!$H$2:$O$200,AD$1,FALSE),IFERROR(VLOOKUP($F56,Sheet3!$H$2:$O$200,AD$1,FALSE),VLOOKUP($G56,Sheet3!$H$2:$O$200,AD$1,FALSE))),$I$1),$I$1)</f>
        <v>0</v>
      </c>
      <c r="AE56" s="15">
        <f>IFERROR(IF(ISBLANK(X56),IFERROR(VLOOKUP($F56,Sheet3!$H$2:$O$200,AE$1,FALSE),VLOOKUP($G56,Sheet3!$H$2:$O$200,AE$1,FALSE)),$I$1),$I$1)</f>
        <v>0</v>
      </c>
      <c r="AF56" s="15">
        <f>IFERROR(IF(ISBLANK(Y56),IFERROR(VLOOKUP($F56,Sheet3!$H$2:$O$200,AF$1,FALSE),VLOOKUP($G56,Sheet3!$H$2:$O$200,AF$1,FALSE)),$I$1),$I$1)</f>
        <v>0</v>
      </c>
      <c r="AG56" s="15">
        <f>IFERROR(IF(ISBLANK(Z56),IFERROR(VLOOKUP($F56,Sheet3!$H$2:$O$200,AG$1,FALSE),VLOOKUP($G56,Sheet3!$H$2:$O$200,AG$1,FALSE)),$I$1),$I$1)</f>
        <v>0</v>
      </c>
      <c r="AH56" s="15">
        <f>IFERROR(IF(ISBLANK(AA56),IFERROR(VLOOKUP($F56,Sheet3!$H$2:$O$200,AH$1,FALSE),VLOOKUP($G56,Sheet3!$H$2:$O$200,AH$1,FALSE)),$I$1),$I$1)</f>
        <v>0</v>
      </c>
      <c r="AI56" s="15">
        <f>IFERROR(IF(ISBLANK(AB56),IFERROR(VLOOKUP($F56,Sheet3!$H$2:$O$200,AI$1,FALSE),VLOOKUP($G56,Sheet3!$H$2:$O$200,AI$1,FALSE)),$I$1),$I$1)</f>
        <v>0</v>
      </c>
      <c r="AJ56" s="15">
        <f>IFERROR(IF(ISBLANK(AC56),IFERROR(VLOOKUP($F56,Sheet3!$H$2:$O$200,AJ$1,FALSE),VLOOKUP($G56,Sheet3!$H$2:$O$200,AJ$1,FALSE)),$I$1),$I$1)</f>
        <v>0</v>
      </c>
      <c r="AK56" s="15">
        <f>IFERROR(IF(ISBLANK(AD56),IFERROR(VLOOKUP($F56,Sheet3!$H$2:$O$200,AK$1,FALSE),VLOOKUP($G56,Sheet3!$H$2:$O$200,AK$1,FALSE)),$I$1),$I$1)</f>
        <v>0</v>
      </c>
      <c r="AL56" s="15">
        <f>IFERROR(IF(ISBLANK(AE56),VLOOKUP($G56,Sheet3!$H$2:$O$200,AL$1,FALSE),$I$1),$I$1)</f>
        <v>0</v>
      </c>
      <c r="AM56" s="15">
        <f>IFERROR(IF(ISBLANK(AF56),VLOOKUP($G56,Sheet3!$H$2:$O$200,AM$1,FALSE),$I$1),$I$1)</f>
        <v>0</v>
      </c>
      <c r="AN56" s="15">
        <f>IFERROR(IF(ISBLANK(AG56),VLOOKUP($G56,Sheet3!$H$2:$O$200,AN$1,FALSE),$I$1),$I$1)</f>
        <v>0</v>
      </c>
      <c r="AO56" s="15">
        <f>IFERROR(IF(ISBLANK(AH56),VLOOKUP($G56,Sheet3!$H$2:$O$200,AO$1,FALSE),$I$1),$I$1)</f>
        <v>0</v>
      </c>
      <c r="AP56" s="15">
        <f>IFERROR(IF(ISBLANK(AI56),VLOOKUP($G56,Sheet3!$H$2:$O$200,AP$1,FALSE),$I$1),$I$1)</f>
        <v>0</v>
      </c>
      <c r="AQ56" s="15">
        <f>IFERROR(IF(ISBLANK(AJ56),VLOOKUP($G56,Sheet3!$H$2:$O$200,AQ$1,FALSE),$I$1),$I$1)</f>
        <v>0</v>
      </c>
      <c r="AR56" s="15">
        <f>IFERROR(IF(ISBLANK(AK56),VLOOKUP($G56,Sheet3!$H$2:$O$200,AR$1,FALSE),$I$1),$I$1)</f>
        <v>0</v>
      </c>
      <c r="AS56" s="15">
        <f t="shared" si="1"/>
        <v>28</v>
      </c>
      <c r="AT56" s="15" t="b">
        <f t="shared" si="2"/>
        <v>0</v>
      </c>
    </row>
    <row r="57" spans="1:46" x14ac:dyDescent="0.2">
      <c r="A57" s="19" t="s">
        <v>152</v>
      </c>
      <c r="B57" s="19" t="s">
        <v>148</v>
      </c>
      <c r="C57" s="19" t="s">
        <v>153</v>
      </c>
      <c r="D57" s="19"/>
      <c r="E57" s="19"/>
      <c r="F57" s="19"/>
      <c r="G57" s="19"/>
      <c r="H57" s="19" t="s">
        <v>152</v>
      </c>
      <c r="I57" s="15">
        <f t="shared" si="0"/>
        <v>1</v>
      </c>
      <c r="J57" s="15">
        <f>IFERROR(VLOOKUP($C57,Sheet3!$H$2:$O$200,J$1,FALSE),IFERROR(VLOOKUP($D57,Sheet3!$H$2:$O$200,J$1,FALSE),VLOOKUP($E57,Sheet3!$H$2:$O$200,J$1,FALSE)))</f>
        <v>0</v>
      </c>
      <c r="K57" s="15">
        <f>IFERROR(VLOOKUP($C57,Sheet3!$H$2:$O$200,K$1,FALSE),IFERROR(VLOOKUP($D57,Sheet3!$H$2:$O$200,K$1,FALSE),VLOOKUP($E57,Sheet3!$H$2:$O$200,K$1,FALSE)))</f>
        <v>0</v>
      </c>
      <c r="L57" s="15">
        <f>IFERROR(VLOOKUP($C57,Sheet3!$H$2:$O$200,L$1,FALSE),IFERROR(VLOOKUP($D57,Sheet3!$H$2:$O$200,L$1,FALSE),VLOOKUP($E57,Sheet3!$H$2:$O$200,L$1,FALSE)))</f>
        <v>0</v>
      </c>
      <c r="M57" s="15" t="str">
        <f>IFERROR(VLOOKUP($C57,Sheet3!$H$2:$O$200,M$1,FALSE),IFERROR(VLOOKUP($D57,Sheet3!$H$2:$O$200,M$1,FALSE),VLOOKUP($E57,Sheet3!$H$2:$O$200,M$1,FALSE)))</f>
        <v>yellow Chartreuse</v>
      </c>
      <c r="N57" s="15">
        <f>IFERROR(VLOOKUP($C57,Sheet3!$H$2:$O$200,N$1,FALSE),IFERROR(VLOOKUP($D57,Sheet3!$H$2:$O$200,N$1,FALSE),VLOOKUP($E57,Sheet3!$H$2:$O$200,N$1,FALSE)))</f>
        <v>0</v>
      </c>
      <c r="O57" s="15">
        <f>IFERROR(VLOOKUP($C57,Sheet3!$H$2:$O$200,O$1,FALSE),IFERROR(VLOOKUP($D57,Sheet3!$H$2:$O$200,O$1,FALSE),VLOOKUP($E57,Sheet3!$H$2:$O$200,O$1,FALSE)))</f>
        <v>0</v>
      </c>
      <c r="P57" s="15">
        <f>IFERROR(VLOOKUP($C57,Sheet3!$H$2:$O$200,P$1,FALSE),IFERROR(VLOOKUP($D57,Sheet3!$H$2:$O$200,P$1,FALSE),VLOOKUP($E57,Sheet3!$H$2:$O$200,P$1,FALSE)))</f>
        <v>0</v>
      </c>
      <c r="Q57" s="15">
        <f>IFERROR(IF(ISBLANK(J57),IFERROR(VLOOKUP($D57,Sheet3!$H$2:$O$200,Q$1,FALSE),IFERROR(VLOOKUP($E57,Sheet3!$H$2:$O$200,Q$1,FALSE),VLOOKUP($F57,Sheet3!$H$2:$O$200,Q$1,FALSE))),$I$1),$I$1)</f>
        <v>0</v>
      </c>
      <c r="R57" s="15">
        <f>IFERROR(IF(ISBLANK(K57),IFERROR(VLOOKUP($D57,Sheet3!$H$2:$O$200,R$1,FALSE),IFERROR(VLOOKUP($E57,Sheet3!$H$2:$O$200,R$1,FALSE),VLOOKUP($F57,Sheet3!$H$2:$O$200,R$1,FALSE))),$I$1),$I$1)</f>
        <v>0</v>
      </c>
      <c r="S57" s="15">
        <f>IFERROR(IF(ISBLANK(L57),IFERROR(VLOOKUP($D57,Sheet3!$H$2:$O$200,S$1,FALSE),IFERROR(VLOOKUP($E57,Sheet3!$H$2:$O$200,S$1,FALSE),VLOOKUP($F57,Sheet3!$H$2:$O$200,S$1,FALSE))),$I$1),$I$1)</f>
        <v>0</v>
      </c>
      <c r="T57" s="15">
        <f>IFERROR(IF(ISBLANK(M57),IFERROR(VLOOKUP($D57,Sheet3!$H$2:$O$200,T$1,FALSE),IFERROR(VLOOKUP($E57,Sheet3!$H$2:$O$200,T$1,FALSE),VLOOKUP($F57,Sheet3!$H$2:$O$200,T$1,FALSE))),$I$1),$I$1)</f>
        <v>0</v>
      </c>
      <c r="U57" s="15">
        <f>IFERROR(IF(ISBLANK(N57),IFERROR(VLOOKUP($D57,Sheet3!$H$2:$O$200,U$1,FALSE),IFERROR(VLOOKUP($E57,Sheet3!$H$2:$O$200,U$1,FALSE),VLOOKUP($F57,Sheet3!$H$2:$O$200,U$1,FALSE))),$I$1),$I$1)</f>
        <v>0</v>
      </c>
      <c r="V57" s="15">
        <f>IFERROR(IF(ISBLANK(O57),IFERROR(VLOOKUP($D57,Sheet3!$H$2:$O$200,V$1,FALSE),IFERROR(VLOOKUP($E57,Sheet3!$H$2:$O$200,V$1,FALSE),VLOOKUP($F57,Sheet3!$H$2:$O$200,V$1,FALSE))),$I$1),$I$1)</f>
        <v>0</v>
      </c>
      <c r="W57" s="15">
        <f>IFERROR(IF(ISBLANK(P57),IFERROR(VLOOKUP($D57,Sheet3!$H$2:$O$200,W$1,FALSE),IFERROR(VLOOKUP($E57,Sheet3!$H$2:$O$200,W$1,FALSE),VLOOKUP($F57,Sheet3!$H$2:$O$200,W$1,FALSE))),$I$1),$I$1)</f>
        <v>0</v>
      </c>
      <c r="X57" s="15">
        <f>IFERROR(IF(ISBLANK(Q57),IFERROR(VLOOKUP($E57,Sheet3!$H$2:$O$200,X$1,FALSE),IFERROR(VLOOKUP($F57,Sheet3!$H$2:$O$200,X$1,FALSE),VLOOKUP($G57,Sheet3!$H$2:$O$200,X$1,FALSE))),$I$1),$I$1)</f>
        <v>0</v>
      </c>
      <c r="Y57" s="15">
        <f>IFERROR(IF(ISBLANK(R57),IFERROR(VLOOKUP($E57,Sheet3!$H$2:$O$200,Y$1,FALSE),IFERROR(VLOOKUP($F57,Sheet3!$H$2:$O$200,Y$1,FALSE),VLOOKUP($G57,Sheet3!$H$2:$O$200,Y$1,FALSE))),$I$1),$I$1)</f>
        <v>0</v>
      </c>
      <c r="Z57" s="15">
        <f>IFERROR(IF(ISBLANK(S57),IFERROR(VLOOKUP($E57,Sheet3!$H$2:$O$200,Z$1,FALSE),IFERROR(VLOOKUP($F57,Sheet3!$H$2:$O$200,Z$1,FALSE),VLOOKUP($G57,Sheet3!$H$2:$O$200,Z$1,FALSE))),$I$1),$I$1)</f>
        <v>0</v>
      </c>
      <c r="AA57" s="15">
        <f>IFERROR(IF(ISBLANK(T57),IFERROR(VLOOKUP($E57,Sheet3!$H$2:$O$200,AA$1,FALSE),IFERROR(VLOOKUP($F57,Sheet3!$H$2:$O$200,AA$1,FALSE),VLOOKUP($G57,Sheet3!$H$2:$O$200,AA$1,FALSE))),$I$1),$I$1)</f>
        <v>0</v>
      </c>
      <c r="AB57" s="15">
        <f>IFERROR(IF(ISBLANK(U57),IFERROR(VLOOKUP($E57,Sheet3!$H$2:$O$200,AB$1,FALSE),IFERROR(VLOOKUP($F57,Sheet3!$H$2:$O$200,AB$1,FALSE),VLOOKUP($G57,Sheet3!$H$2:$O$200,AB$1,FALSE))),$I$1),$I$1)</f>
        <v>0</v>
      </c>
      <c r="AC57" s="15">
        <f>IFERROR(IF(ISBLANK(V57),IFERROR(VLOOKUP($E57,Sheet3!$H$2:$O$200,AC$1,FALSE),IFERROR(VLOOKUP($F57,Sheet3!$H$2:$O$200,AC$1,FALSE),VLOOKUP($G57,Sheet3!$H$2:$O$200,AC$1,FALSE))),$I$1),$I$1)</f>
        <v>0</v>
      </c>
      <c r="AD57" s="15">
        <f>IFERROR(IF(ISBLANK(W57),IFERROR(VLOOKUP($E57,Sheet3!$H$2:$O$200,AD$1,FALSE),IFERROR(VLOOKUP($F57,Sheet3!$H$2:$O$200,AD$1,FALSE),VLOOKUP($G57,Sheet3!$H$2:$O$200,AD$1,FALSE))),$I$1),$I$1)</f>
        <v>0</v>
      </c>
      <c r="AE57" s="15">
        <f>IFERROR(IF(ISBLANK(X57),IFERROR(VLOOKUP($F57,Sheet3!$H$2:$O$200,AE$1,FALSE),VLOOKUP($G57,Sheet3!$H$2:$O$200,AE$1,FALSE)),$I$1),$I$1)</f>
        <v>0</v>
      </c>
      <c r="AF57" s="15">
        <f>IFERROR(IF(ISBLANK(Y57),IFERROR(VLOOKUP($F57,Sheet3!$H$2:$O$200,AF$1,FALSE),VLOOKUP($G57,Sheet3!$H$2:$O$200,AF$1,FALSE)),$I$1),$I$1)</f>
        <v>0</v>
      </c>
      <c r="AG57" s="15">
        <f>IFERROR(IF(ISBLANK(Z57),IFERROR(VLOOKUP($F57,Sheet3!$H$2:$O$200,AG$1,FALSE),VLOOKUP($G57,Sheet3!$H$2:$O$200,AG$1,FALSE)),$I$1),$I$1)</f>
        <v>0</v>
      </c>
      <c r="AH57" s="15">
        <f>IFERROR(IF(ISBLANK(AA57),IFERROR(VLOOKUP($F57,Sheet3!$H$2:$O$200,AH$1,FALSE),VLOOKUP($G57,Sheet3!$H$2:$O$200,AH$1,FALSE)),$I$1),$I$1)</f>
        <v>0</v>
      </c>
      <c r="AI57" s="15">
        <f>IFERROR(IF(ISBLANK(AB57),IFERROR(VLOOKUP($F57,Sheet3!$H$2:$O$200,AI$1,FALSE),VLOOKUP($G57,Sheet3!$H$2:$O$200,AI$1,FALSE)),$I$1),$I$1)</f>
        <v>0</v>
      </c>
      <c r="AJ57" s="15">
        <f>IFERROR(IF(ISBLANK(AC57),IFERROR(VLOOKUP($F57,Sheet3!$H$2:$O$200,AJ$1,FALSE),VLOOKUP($G57,Sheet3!$H$2:$O$200,AJ$1,FALSE)),$I$1),$I$1)</f>
        <v>0</v>
      </c>
      <c r="AK57" s="15">
        <f>IFERROR(IF(ISBLANK(AD57),IFERROR(VLOOKUP($F57,Sheet3!$H$2:$O$200,AK$1,FALSE),VLOOKUP($G57,Sheet3!$H$2:$O$200,AK$1,FALSE)),$I$1),$I$1)</f>
        <v>0</v>
      </c>
      <c r="AL57" s="15">
        <f>IFERROR(IF(ISBLANK(AE57),VLOOKUP($G57,Sheet3!$H$2:$O$200,AL$1,FALSE),$I$1),$I$1)</f>
        <v>0</v>
      </c>
      <c r="AM57" s="15">
        <f>IFERROR(IF(ISBLANK(AF57),VLOOKUP($G57,Sheet3!$H$2:$O$200,AM$1,FALSE),$I$1),$I$1)</f>
        <v>0</v>
      </c>
      <c r="AN57" s="15">
        <f>IFERROR(IF(ISBLANK(AG57),VLOOKUP($G57,Sheet3!$H$2:$O$200,AN$1,FALSE),$I$1),$I$1)</f>
        <v>0</v>
      </c>
      <c r="AO57" s="15">
        <f>IFERROR(IF(ISBLANK(AH57),VLOOKUP($G57,Sheet3!$H$2:$O$200,AO$1,FALSE),$I$1),$I$1)</f>
        <v>0</v>
      </c>
      <c r="AP57" s="15">
        <f>IFERROR(IF(ISBLANK(AI57),VLOOKUP($G57,Sheet3!$H$2:$O$200,AP$1,FALSE),$I$1),$I$1)</f>
        <v>0</v>
      </c>
      <c r="AQ57" s="15">
        <f>IFERROR(IF(ISBLANK(AJ57),VLOOKUP($G57,Sheet3!$H$2:$O$200,AQ$1,FALSE),$I$1),$I$1)</f>
        <v>0</v>
      </c>
      <c r="AR57" s="15">
        <f>IFERROR(IF(ISBLANK(AK57),VLOOKUP($G57,Sheet3!$H$2:$O$200,AR$1,FALSE),$I$1),$I$1)</f>
        <v>0</v>
      </c>
      <c r="AS57" s="15">
        <f t="shared" si="1"/>
        <v>28</v>
      </c>
      <c r="AT57" s="15" t="b">
        <f t="shared" si="2"/>
        <v>0</v>
      </c>
    </row>
    <row r="58" spans="1:46" x14ac:dyDescent="0.2">
      <c r="A58" s="19" t="s">
        <v>154</v>
      </c>
      <c r="B58" s="19" t="s">
        <v>148</v>
      </c>
      <c r="C58" s="19" t="s">
        <v>62</v>
      </c>
      <c r="D58" s="19" t="s">
        <v>90</v>
      </c>
      <c r="E58" s="19"/>
      <c r="F58" s="19"/>
      <c r="G58" s="19"/>
      <c r="H58" s="19" t="s">
        <v>154</v>
      </c>
      <c r="I58" s="15">
        <f t="shared" si="0"/>
        <v>2</v>
      </c>
      <c r="J58" s="15">
        <f>IFERROR(VLOOKUP($C58,Sheet3!$H$2:$O$200,J$1,FALSE),IFERROR(VLOOKUP($D58,Sheet3!$H$2:$O$200,J$1,FALSE),VLOOKUP($E58,Sheet3!$H$2:$O$200,J$1,FALSE)))</f>
        <v>0</v>
      </c>
      <c r="K58" s="15" t="str">
        <f>IFERROR(VLOOKUP($C58,Sheet3!$H$2:$O$200,K$1,FALSE),IFERROR(VLOOKUP($D58,Sheet3!$H$2:$O$200,K$1,FALSE),VLOOKUP($E58,Sheet3!$H$2:$O$200,K$1,FALSE)))</f>
        <v>club soda</v>
      </c>
      <c r="L58" s="15">
        <f>IFERROR(VLOOKUP($C58,Sheet3!$H$2:$O$200,L$1,FALSE),IFERROR(VLOOKUP($D58,Sheet3!$H$2:$O$200,L$1,FALSE),VLOOKUP($E58,Sheet3!$H$2:$O$200,L$1,FALSE)))</f>
        <v>0</v>
      </c>
      <c r="M58" s="15">
        <f>IFERROR(VLOOKUP($C58,Sheet3!$H$2:$O$200,M$1,FALSE),IFERROR(VLOOKUP($D58,Sheet3!$H$2:$O$200,M$1,FALSE),VLOOKUP($E58,Sheet3!$H$2:$O$200,M$1,FALSE)))</f>
        <v>0</v>
      </c>
      <c r="N58" s="15">
        <f>IFERROR(VLOOKUP($C58,Sheet3!$H$2:$O$200,N$1,FALSE),IFERROR(VLOOKUP($D58,Sheet3!$H$2:$O$200,N$1,FALSE),VLOOKUP($E58,Sheet3!$H$2:$O$200,N$1,FALSE)))</f>
        <v>0</v>
      </c>
      <c r="O58" s="15">
        <f>IFERROR(VLOOKUP($C58,Sheet3!$H$2:$O$200,O$1,FALSE),IFERROR(VLOOKUP($D58,Sheet3!$H$2:$O$200,O$1,FALSE),VLOOKUP($E58,Sheet3!$H$2:$O$200,O$1,FALSE)))</f>
        <v>0</v>
      </c>
      <c r="P58" s="15">
        <f>IFERROR(VLOOKUP($C58,Sheet3!$H$2:$O$200,P$1,FALSE),IFERROR(VLOOKUP($D58,Sheet3!$H$2:$O$200,P$1,FALSE),VLOOKUP($E58,Sheet3!$H$2:$O$200,P$1,FALSE)))</f>
        <v>0</v>
      </c>
      <c r="Q58" s="15">
        <f>IFERROR(IF(ISBLANK(J58),IFERROR(VLOOKUP($D58,Sheet3!$H$2:$O$200,Q$1,FALSE),IFERROR(VLOOKUP($E58,Sheet3!$H$2:$O$200,Q$1,FALSE),VLOOKUP($F58,Sheet3!$H$2:$O$200,Q$1,FALSE))),$I$1),$I$1)</f>
        <v>0</v>
      </c>
      <c r="R58" s="15">
        <f>IFERROR(IF(ISBLANK(K58),IFERROR(VLOOKUP($D58,Sheet3!$H$2:$O$200,R$1,FALSE),IFERROR(VLOOKUP($E58,Sheet3!$H$2:$O$200,R$1,FALSE),VLOOKUP($F58,Sheet3!$H$2:$O$200,R$1,FALSE))),$I$1),$I$1)</f>
        <v>0</v>
      </c>
      <c r="S58" s="15">
        <f>IFERROR(IF(ISBLANK(L58),IFERROR(VLOOKUP($D58,Sheet3!$H$2:$O$200,S$1,FALSE),IFERROR(VLOOKUP($E58,Sheet3!$H$2:$O$200,S$1,FALSE),VLOOKUP($F58,Sheet3!$H$2:$O$200,S$1,FALSE))),$I$1),$I$1)</f>
        <v>0</v>
      </c>
      <c r="T58" s="15">
        <f>IFERROR(IF(ISBLANK(M58),IFERROR(VLOOKUP($D58,Sheet3!$H$2:$O$200,T$1,FALSE),IFERROR(VLOOKUP($E58,Sheet3!$H$2:$O$200,T$1,FALSE),VLOOKUP($F58,Sheet3!$H$2:$O$200,T$1,FALSE))),$I$1),$I$1)</f>
        <v>0</v>
      </c>
      <c r="U58" s="15">
        <f>IFERROR(IF(ISBLANK(N58),IFERROR(VLOOKUP($D58,Sheet3!$H$2:$O$200,U$1,FALSE),IFERROR(VLOOKUP($E58,Sheet3!$H$2:$O$200,U$1,FALSE),VLOOKUP($F58,Sheet3!$H$2:$O$200,U$1,FALSE))),$I$1),$I$1)</f>
        <v>0</v>
      </c>
      <c r="V58" s="15">
        <f>IFERROR(IF(ISBLANK(O58),IFERROR(VLOOKUP($D58,Sheet3!$H$2:$O$200,V$1,FALSE),IFERROR(VLOOKUP($E58,Sheet3!$H$2:$O$200,V$1,FALSE),VLOOKUP($F58,Sheet3!$H$2:$O$200,V$1,FALSE))),$I$1),$I$1)</f>
        <v>0</v>
      </c>
      <c r="W58" s="15">
        <f>IFERROR(IF(ISBLANK(P58),IFERROR(VLOOKUP($D58,Sheet3!$H$2:$O$200,W$1,FALSE),IFERROR(VLOOKUP($E58,Sheet3!$H$2:$O$200,W$1,FALSE),VLOOKUP($F58,Sheet3!$H$2:$O$200,W$1,FALSE))),$I$1),$I$1)</f>
        <v>0</v>
      </c>
      <c r="X58" s="15">
        <f>IFERROR(IF(ISBLANK(Q58),IFERROR(VLOOKUP($E58,Sheet3!$H$2:$O$200,X$1,FALSE),IFERROR(VLOOKUP($F58,Sheet3!$H$2:$O$200,X$1,FALSE),VLOOKUP($G58,Sheet3!$H$2:$O$200,X$1,FALSE))),$I$1),$I$1)</f>
        <v>0</v>
      </c>
      <c r="Y58" s="15">
        <f>IFERROR(IF(ISBLANK(R58),IFERROR(VLOOKUP($E58,Sheet3!$H$2:$O$200,Y$1,FALSE),IFERROR(VLOOKUP($F58,Sheet3!$H$2:$O$200,Y$1,FALSE),VLOOKUP($G58,Sheet3!$H$2:$O$200,Y$1,FALSE))),$I$1),$I$1)</f>
        <v>0</v>
      </c>
      <c r="Z58" s="15">
        <f>IFERROR(IF(ISBLANK(S58),IFERROR(VLOOKUP($E58,Sheet3!$H$2:$O$200,Z$1,FALSE),IFERROR(VLOOKUP($F58,Sheet3!$H$2:$O$200,Z$1,FALSE),VLOOKUP($G58,Sheet3!$H$2:$O$200,Z$1,FALSE))),$I$1),$I$1)</f>
        <v>0</v>
      </c>
      <c r="AA58" s="15">
        <f>IFERROR(IF(ISBLANK(T58),IFERROR(VLOOKUP($E58,Sheet3!$H$2:$O$200,AA$1,FALSE),IFERROR(VLOOKUP($F58,Sheet3!$H$2:$O$200,AA$1,FALSE),VLOOKUP($G58,Sheet3!$H$2:$O$200,AA$1,FALSE))),$I$1),$I$1)</f>
        <v>0</v>
      </c>
      <c r="AB58" s="15">
        <f>IFERROR(IF(ISBLANK(U58),IFERROR(VLOOKUP($E58,Sheet3!$H$2:$O$200,AB$1,FALSE),IFERROR(VLOOKUP($F58,Sheet3!$H$2:$O$200,AB$1,FALSE),VLOOKUP($G58,Sheet3!$H$2:$O$200,AB$1,FALSE))),$I$1),$I$1)</f>
        <v>0</v>
      </c>
      <c r="AC58" s="15">
        <f>IFERROR(IF(ISBLANK(V58),IFERROR(VLOOKUP($E58,Sheet3!$H$2:$O$200,AC$1,FALSE),IFERROR(VLOOKUP($F58,Sheet3!$H$2:$O$200,AC$1,FALSE),VLOOKUP($G58,Sheet3!$H$2:$O$200,AC$1,FALSE))),$I$1),$I$1)</f>
        <v>0</v>
      </c>
      <c r="AD58" s="15">
        <f>IFERROR(IF(ISBLANK(W58),IFERROR(VLOOKUP($E58,Sheet3!$H$2:$O$200,AD$1,FALSE),IFERROR(VLOOKUP($F58,Sheet3!$H$2:$O$200,AD$1,FALSE),VLOOKUP($G58,Sheet3!$H$2:$O$200,AD$1,FALSE))),$I$1),$I$1)</f>
        <v>0</v>
      </c>
      <c r="AE58" s="15">
        <f>IFERROR(IF(ISBLANK(X58),IFERROR(VLOOKUP($F58,Sheet3!$H$2:$O$200,AE$1,FALSE),VLOOKUP($G58,Sheet3!$H$2:$O$200,AE$1,FALSE)),$I$1),$I$1)</f>
        <v>0</v>
      </c>
      <c r="AF58" s="15">
        <f>IFERROR(IF(ISBLANK(Y58),IFERROR(VLOOKUP($F58,Sheet3!$H$2:$O$200,AF$1,FALSE),VLOOKUP($G58,Sheet3!$H$2:$O$200,AF$1,FALSE)),$I$1),$I$1)</f>
        <v>0</v>
      </c>
      <c r="AG58" s="15">
        <f>IFERROR(IF(ISBLANK(Z58),IFERROR(VLOOKUP($F58,Sheet3!$H$2:$O$200,AG$1,FALSE),VLOOKUP($G58,Sheet3!$H$2:$O$200,AG$1,FALSE)),$I$1),$I$1)</f>
        <v>0</v>
      </c>
      <c r="AH58" s="15">
        <f>IFERROR(IF(ISBLANK(AA58),IFERROR(VLOOKUP($F58,Sheet3!$H$2:$O$200,AH$1,FALSE),VLOOKUP($G58,Sheet3!$H$2:$O$200,AH$1,FALSE)),$I$1),$I$1)</f>
        <v>0</v>
      </c>
      <c r="AI58" s="15">
        <f>IFERROR(IF(ISBLANK(AB58),IFERROR(VLOOKUP($F58,Sheet3!$H$2:$O$200,AI$1,FALSE),VLOOKUP($G58,Sheet3!$H$2:$O$200,AI$1,FALSE)),$I$1),$I$1)</f>
        <v>0</v>
      </c>
      <c r="AJ58" s="15">
        <f>IFERROR(IF(ISBLANK(AC58),IFERROR(VLOOKUP($F58,Sheet3!$H$2:$O$200,AJ$1,FALSE),VLOOKUP($G58,Sheet3!$H$2:$O$200,AJ$1,FALSE)),$I$1),$I$1)</f>
        <v>0</v>
      </c>
      <c r="AK58" s="15">
        <f>IFERROR(IF(ISBLANK(AD58),IFERROR(VLOOKUP($F58,Sheet3!$H$2:$O$200,AK$1,FALSE),VLOOKUP($G58,Sheet3!$H$2:$O$200,AK$1,FALSE)),$I$1),$I$1)</f>
        <v>0</v>
      </c>
      <c r="AL58" s="15">
        <f>IFERROR(IF(ISBLANK(AE58),VLOOKUP($G58,Sheet3!$H$2:$O$200,AL$1,FALSE),$I$1),$I$1)</f>
        <v>0</v>
      </c>
      <c r="AM58" s="15">
        <f>IFERROR(IF(ISBLANK(AF58),VLOOKUP($G58,Sheet3!$H$2:$O$200,AM$1,FALSE),$I$1),$I$1)</f>
        <v>0</v>
      </c>
      <c r="AN58" s="15">
        <f>IFERROR(IF(ISBLANK(AG58),VLOOKUP($G58,Sheet3!$H$2:$O$200,AN$1,FALSE),$I$1),$I$1)</f>
        <v>0</v>
      </c>
      <c r="AO58" s="15">
        <f>IFERROR(IF(ISBLANK(AH58),VLOOKUP($G58,Sheet3!$H$2:$O$200,AO$1,FALSE),$I$1),$I$1)</f>
        <v>0</v>
      </c>
      <c r="AP58" s="15">
        <f>IFERROR(IF(ISBLANK(AI58),VLOOKUP($G58,Sheet3!$H$2:$O$200,AP$1,FALSE),$I$1),$I$1)</f>
        <v>0</v>
      </c>
      <c r="AQ58" s="15">
        <f>IFERROR(IF(ISBLANK(AJ58),VLOOKUP($G58,Sheet3!$H$2:$O$200,AQ$1,FALSE),$I$1),$I$1)</f>
        <v>0</v>
      </c>
      <c r="AR58" s="15">
        <f>IFERROR(IF(ISBLANK(AK58),VLOOKUP($G58,Sheet3!$H$2:$O$200,AR$1,FALSE),$I$1),$I$1)</f>
        <v>0</v>
      </c>
      <c r="AS58" s="15">
        <f t="shared" si="1"/>
        <v>28</v>
      </c>
      <c r="AT58" s="15" t="b">
        <f t="shared" si="2"/>
        <v>0</v>
      </c>
    </row>
    <row r="59" spans="1:46" x14ac:dyDescent="0.2">
      <c r="A59" s="19" t="s">
        <v>155</v>
      </c>
      <c r="B59" s="19" t="s">
        <v>148</v>
      </c>
      <c r="C59" s="19" t="s">
        <v>156</v>
      </c>
      <c r="D59" s="19"/>
      <c r="E59" s="19"/>
      <c r="F59" s="19"/>
      <c r="G59" s="19"/>
      <c r="H59" s="19" t="s">
        <v>155</v>
      </c>
      <c r="I59" s="15">
        <f t="shared" si="0"/>
        <v>1</v>
      </c>
      <c r="J59" s="15">
        <f>IFERROR(VLOOKUP($C59,Sheet3!$H$2:$O$200,J$1,FALSE),IFERROR(VLOOKUP($D59,Sheet3!$H$2:$O$200,J$1,FALSE),VLOOKUP($E59,Sheet3!$H$2:$O$200,J$1,FALSE)))</f>
        <v>0</v>
      </c>
      <c r="K59" s="15" t="str">
        <f>IFERROR(VLOOKUP($C59,Sheet3!$H$2:$O$200,K$1,FALSE),IFERROR(VLOOKUP($D59,Sheet3!$H$2:$O$200,K$1,FALSE),VLOOKUP($E59,Sheet3!$H$2:$O$200,K$1,FALSE)))</f>
        <v>ginger ale</v>
      </c>
      <c r="L59" s="15">
        <f>IFERROR(VLOOKUP($C59,Sheet3!$H$2:$O$200,L$1,FALSE),IFERROR(VLOOKUP($D59,Sheet3!$H$2:$O$200,L$1,FALSE),VLOOKUP($E59,Sheet3!$H$2:$O$200,L$1,FALSE)))</f>
        <v>0</v>
      </c>
      <c r="M59" s="15">
        <f>IFERROR(VLOOKUP($C59,Sheet3!$H$2:$O$200,M$1,FALSE),IFERROR(VLOOKUP($D59,Sheet3!$H$2:$O$200,M$1,FALSE),VLOOKUP($E59,Sheet3!$H$2:$O$200,M$1,FALSE)))</f>
        <v>0</v>
      </c>
      <c r="N59" s="15">
        <f>IFERROR(VLOOKUP($C59,Sheet3!$H$2:$O$200,N$1,FALSE),IFERROR(VLOOKUP($D59,Sheet3!$H$2:$O$200,N$1,FALSE),VLOOKUP($E59,Sheet3!$H$2:$O$200,N$1,FALSE)))</f>
        <v>0</v>
      </c>
      <c r="O59" s="15">
        <f>IFERROR(VLOOKUP($C59,Sheet3!$H$2:$O$200,O$1,FALSE),IFERROR(VLOOKUP($D59,Sheet3!$H$2:$O$200,O$1,FALSE),VLOOKUP($E59,Sheet3!$H$2:$O$200,O$1,FALSE)))</f>
        <v>0</v>
      </c>
      <c r="P59" s="15">
        <f>IFERROR(VLOOKUP($C59,Sheet3!$H$2:$O$200,P$1,FALSE),IFERROR(VLOOKUP($D59,Sheet3!$H$2:$O$200,P$1,FALSE),VLOOKUP($E59,Sheet3!$H$2:$O$200,P$1,FALSE)))</f>
        <v>0</v>
      </c>
      <c r="Q59" s="15">
        <f>IFERROR(IF(ISBLANK(J59),IFERROR(VLOOKUP($D59,Sheet3!$H$2:$O$200,Q$1,FALSE),IFERROR(VLOOKUP($E59,Sheet3!$H$2:$O$200,Q$1,FALSE),VLOOKUP($F59,Sheet3!$H$2:$O$200,Q$1,FALSE))),$I$1),$I$1)</f>
        <v>0</v>
      </c>
      <c r="R59" s="15">
        <f>IFERROR(IF(ISBLANK(K59),IFERROR(VLOOKUP($D59,Sheet3!$H$2:$O$200,R$1,FALSE),IFERROR(VLOOKUP($E59,Sheet3!$H$2:$O$200,R$1,FALSE),VLOOKUP($F59,Sheet3!$H$2:$O$200,R$1,FALSE))),$I$1),$I$1)</f>
        <v>0</v>
      </c>
      <c r="S59" s="15">
        <f>IFERROR(IF(ISBLANK(L59),IFERROR(VLOOKUP($D59,Sheet3!$H$2:$O$200,S$1,FALSE),IFERROR(VLOOKUP($E59,Sheet3!$H$2:$O$200,S$1,FALSE),VLOOKUP($F59,Sheet3!$H$2:$O$200,S$1,FALSE))),$I$1),$I$1)</f>
        <v>0</v>
      </c>
      <c r="T59" s="15">
        <f>IFERROR(IF(ISBLANK(M59),IFERROR(VLOOKUP($D59,Sheet3!$H$2:$O$200,T$1,FALSE),IFERROR(VLOOKUP($E59,Sheet3!$H$2:$O$200,T$1,FALSE),VLOOKUP($F59,Sheet3!$H$2:$O$200,T$1,FALSE))),$I$1),$I$1)</f>
        <v>0</v>
      </c>
      <c r="U59" s="15">
        <f>IFERROR(IF(ISBLANK(N59),IFERROR(VLOOKUP($D59,Sheet3!$H$2:$O$200,U$1,FALSE),IFERROR(VLOOKUP($E59,Sheet3!$H$2:$O$200,U$1,FALSE),VLOOKUP($F59,Sheet3!$H$2:$O$200,U$1,FALSE))),$I$1),$I$1)</f>
        <v>0</v>
      </c>
      <c r="V59" s="15">
        <f>IFERROR(IF(ISBLANK(O59),IFERROR(VLOOKUP($D59,Sheet3!$H$2:$O$200,V$1,FALSE),IFERROR(VLOOKUP($E59,Sheet3!$H$2:$O$200,V$1,FALSE),VLOOKUP($F59,Sheet3!$H$2:$O$200,V$1,FALSE))),$I$1),$I$1)</f>
        <v>0</v>
      </c>
      <c r="W59" s="15">
        <f>IFERROR(IF(ISBLANK(P59),IFERROR(VLOOKUP($D59,Sheet3!$H$2:$O$200,W$1,FALSE),IFERROR(VLOOKUP($E59,Sheet3!$H$2:$O$200,W$1,FALSE),VLOOKUP($F59,Sheet3!$H$2:$O$200,W$1,FALSE))),$I$1),$I$1)</f>
        <v>0</v>
      </c>
      <c r="X59" s="15">
        <f>IFERROR(IF(ISBLANK(Q59),IFERROR(VLOOKUP($E59,Sheet3!$H$2:$O$200,X$1,FALSE),IFERROR(VLOOKUP($F59,Sheet3!$H$2:$O$200,X$1,FALSE),VLOOKUP($G59,Sheet3!$H$2:$O$200,X$1,FALSE))),$I$1),$I$1)</f>
        <v>0</v>
      </c>
      <c r="Y59" s="15">
        <f>IFERROR(IF(ISBLANK(R59),IFERROR(VLOOKUP($E59,Sheet3!$H$2:$O$200,Y$1,FALSE),IFERROR(VLOOKUP($F59,Sheet3!$H$2:$O$200,Y$1,FALSE),VLOOKUP($G59,Sheet3!$H$2:$O$200,Y$1,FALSE))),$I$1),$I$1)</f>
        <v>0</v>
      </c>
      <c r="Z59" s="15">
        <f>IFERROR(IF(ISBLANK(S59),IFERROR(VLOOKUP($E59,Sheet3!$H$2:$O$200,Z$1,FALSE),IFERROR(VLOOKUP($F59,Sheet3!$H$2:$O$200,Z$1,FALSE),VLOOKUP($G59,Sheet3!$H$2:$O$200,Z$1,FALSE))),$I$1),$I$1)</f>
        <v>0</v>
      </c>
      <c r="AA59" s="15">
        <f>IFERROR(IF(ISBLANK(T59),IFERROR(VLOOKUP($E59,Sheet3!$H$2:$O$200,AA$1,FALSE),IFERROR(VLOOKUP($F59,Sheet3!$H$2:$O$200,AA$1,FALSE),VLOOKUP($G59,Sheet3!$H$2:$O$200,AA$1,FALSE))),$I$1),$I$1)</f>
        <v>0</v>
      </c>
      <c r="AB59" s="15">
        <f>IFERROR(IF(ISBLANK(U59),IFERROR(VLOOKUP($E59,Sheet3!$H$2:$O$200,AB$1,FALSE),IFERROR(VLOOKUP($F59,Sheet3!$H$2:$O$200,AB$1,FALSE),VLOOKUP($G59,Sheet3!$H$2:$O$200,AB$1,FALSE))),$I$1),$I$1)</f>
        <v>0</v>
      </c>
      <c r="AC59" s="15">
        <f>IFERROR(IF(ISBLANK(V59),IFERROR(VLOOKUP($E59,Sheet3!$H$2:$O$200,AC$1,FALSE),IFERROR(VLOOKUP($F59,Sheet3!$H$2:$O$200,AC$1,FALSE),VLOOKUP($G59,Sheet3!$H$2:$O$200,AC$1,FALSE))),$I$1),$I$1)</f>
        <v>0</v>
      </c>
      <c r="AD59" s="15">
        <f>IFERROR(IF(ISBLANK(W59),IFERROR(VLOOKUP($E59,Sheet3!$H$2:$O$200,AD$1,FALSE),IFERROR(VLOOKUP($F59,Sheet3!$H$2:$O$200,AD$1,FALSE),VLOOKUP($G59,Sheet3!$H$2:$O$200,AD$1,FALSE))),$I$1),$I$1)</f>
        <v>0</v>
      </c>
      <c r="AE59" s="15">
        <f>IFERROR(IF(ISBLANK(X59),IFERROR(VLOOKUP($F59,Sheet3!$H$2:$O$200,AE$1,FALSE),VLOOKUP($G59,Sheet3!$H$2:$O$200,AE$1,FALSE)),$I$1),$I$1)</f>
        <v>0</v>
      </c>
      <c r="AF59" s="15">
        <f>IFERROR(IF(ISBLANK(Y59),IFERROR(VLOOKUP($F59,Sheet3!$H$2:$O$200,AF$1,FALSE),VLOOKUP($G59,Sheet3!$H$2:$O$200,AF$1,FALSE)),$I$1),$I$1)</f>
        <v>0</v>
      </c>
      <c r="AG59" s="15">
        <f>IFERROR(IF(ISBLANK(Z59),IFERROR(VLOOKUP($F59,Sheet3!$H$2:$O$200,AG$1,FALSE),VLOOKUP($G59,Sheet3!$H$2:$O$200,AG$1,FALSE)),$I$1),$I$1)</f>
        <v>0</v>
      </c>
      <c r="AH59" s="15">
        <f>IFERROR(IF(ISBLANK(AA59),IFERROR(VLOOKUP($F59,Sheet3!$H$2:$O$200,AH$1,FALSE),VLOOKUP($G59,Sheet3!$H$2:$O$200,AH$1,FALSE)),$I$1),$I$1)</f>
        <v>0</v>
      </c>
      <c r="AI59" s="15">
        <f>IFERROR(IF(ISBLANK(AB59),IFERROR(VLOOKUP($F59,Sheet3!$H$2:$O$200,AI$1,FALSE),VLOOKUP($G59,Sheet3!$H$2:$O$200,AI$1,FALSE)),$I$1),$I$1)</f>
        <v>0</v>
      </c>
      <c r="AJ59" s="15">
        <f>IFERROR(IF(ISBLANK(AC59),IFERROR(VLOOKUP($F59,Sheet3!$H$2:$O$200,AJ$1,FALSE),VLOOKUP($G59,Sheet3!$H$2:$O$200,AJ$1,FALSE)),$I$1),$I$1)</f>
        <v>0</v>
      </c>
      <c r="AK59" s="15">
        <f>IFERROR(IF(ISBLANK(AD59),IFERROR(VLOOKUP($F59,Sheet3!$H$2:$O$200,AK$1,FALSE),VLOOKUP($G59,Sheet3!$H$2:$O$200,AK$1,FALSE)),$I$1),$I$1)</f>
        <v>0</v>
      </c>
      <c r="AL59" s="15">
        <f>IFERROR(IF(ISBLANK(AE59),VLOOKUP($G59,Sheet3!$H$2:$O$200,AL$1,FALSE),$I$1),$I$1)</f>
        <v>0</v>
      </c>
      <c r="AM59" s="15">
        <f>IFERROR(IF(ISBLANK(AF59),VLOOKUP($G59,Sheet3!$H$2:$O$200,AM$1,FALSE),$I$1),$I$1)</f>
        <v>0</v>
      </c>
      <c r="AN59" s="15">
        <f>IFERROR(IF(ISBLANK(AG59),VLOOKUP($G59,Sheet3!$H$2:$O$200,AN$1,FALSE),$I$1),$I$1)</f>
        <v>0</v>
      </c>
      <c r="AO59" s="15">
        <f>IFERROR(IF(ISBLANK(AH59),VLOOKUP($G59,Sheet3!$H$2:$O$200,AO$1,FALSE),$I$1),$I$1)</f>
        <v>0</v>
      </c>
      <c r="AP59" s="15">
        <f>IFERROR(IF(ISBLANK(AI59),VLOOKUP($G59,Sheet3!$H$2:$O$200,AP$1,FALSE),$I$1),$I$1)</f>
        <v>0</v>
      </c>
      <c r="AQ59" s="15">
        <f>IFERROR(IF(ISBLANK(AJ59),VLOOKUP($G59,Sheet3!$H$2:$O$200,AQ$1,FALSE),$I$1),$I$1)</f>
        <v>0</v>
      </c>
      <c r="AR59" s="15">
        <f>IFERROR(IF(ISBLANK(AK59),VLOOKUP($G59,Sheet3!$H$2:$O$200,AR$1,FALSE),$I$1),$I$1)</f>
        <v>0</v>
      </c>
      <c r="AS59" s="15">
        <f t="shared" si="1"/>
        <v>28</v>
      </c>
      <c r="AT59" s="15" t="b">
        <f t="shared" si="2"/>
        <v>0</v>
      </c>
    </row>
    <row r="60" spans="1:46" x14ac:dyDescent="0.2">
      <c r="A60" s="19" t="s">
        <v>157</v>
      </c>
      <c r="B60" s="19" t="s">
        <v>148</v>
      </c>
      <c r="C60" s="19" t="s">
        <v>158</v>
      </c>
      <c r="D60" s="19"/>
      <c r="E60" s="19"/>
      <c r="F60" s="19"/>
      <c r="G60" s="19"/>
      <c r="H60" s="19" t="s">
        <v>157</v>
      </c>
      <c r="I60" s="15">
        <f t="shared" si="0"/>
        <v>1</v>
      </c>
      <c r="J60" s="15">
        <f>IFERROR(VLOOKUP($C60,Sheet3!$H$2:$O$200,J$1,FALSE),IFERROR(VLOOKUP($D60,Sheet3!$H$2:$O$200,J$1,FALSE),VLOOKUP($E60,Sheet3!$H$2:$O$200,J$1,FALSE)))</f>
        <v>0</v>
      </c>
      <c r="K60" s="15" t="str">
        <f>IFERROR(VLOOKUP($C60,Sheet3!$H$2:$O$200,K$1,FALSE),IFERROR(VLOOKUP($D60,Sheet3!$H$2:$O$200,K$1,FALSE),VLOOKUP($E60,Sheet3!$H$2:$O$200,K$1,FALSE)))</f>
        <v>tonic water</v>
      </c>
      <c r="L60" s="15">
        <f>IFERROR(VLOOKUP($C60,Sheet3!$H$2:$O$200,L$1,FALSE),IFERROR(VLOOKUP($D60,Sheet3!$H$2:$O$200,L$1,FALSE),VLOOKUP($E60,Sheet3!$H$2:$O$200,L$1,FALSE)))</f>
        <v>0</v>
      </c>
      <c r="M60" s="15">
        <f>IFERROR(VLOOKUP($C60,Sheet3!$H$2:$O$200,M$1,FALSE),IFERROR(VLOOKUP($D60,Sheet3!$H$2:$O$200,M$1,FALSE),VLOOKUP($E60,Sheet3!$H$2:$O$200,M$1,FALSE)))</f>
        <v>0</v>
      </c>
      <c r="N60" s="15">
        <f>IFERROR(VLOOKUP($C60,Sheet3!$H$2:$O$200,N$1,FALSE),IFERROR(VLOOKUP($D60,Sheet3!$H$2:$O$200,N$1,FALSE),VLOOKUP($E60,Sheet3!$H$2:$O$200,N$1,FALSE)))</f>
        <v>0</v>
      </c>
      <c r="O60" s="15">
        <f>IFERROR(VLOOKUP($C60,Sheet3!$H$2:$O$200,O$1,FALSE),IFERROR(VLOOKUP($D60,Sheet3!$H$2:$O$200,O$1,FALSE),VLOOKUP($E60,Sheet3!$H$2:$O$200,O$1,FALSE)))</f>
        <v>0</v>
      </c>
      <c r="P60" s="15">
        <f>IFERROR(VLOOKUP($C60,Sheet3!$H$2:$O$200,P$1,FALSE),IFERROR(VLOOKUP($D60,Sheet3!$H$2:$O$200,P$1,FALSE),VLOOKUP($E60,Sheet3!$H$2:$O$200,P$1,FALSE)))</f>
        <v>0</v>
      </c>
      <c r="Q60" s="15">
        <f>IFERROR(IF(ISBLANK(J60),IFERROR(VLOOKUP($D60,Sheet3!$H$2:$O$200,Q$1,FALSE),IFERROR(VLOOKUP($E60,Sheet3!$H$2:$O$200,Q$1,FALSE),VLOOKUP($F60,Sheet3!$H$2:$O$200,Q$1,FALSE))),$I$1),$I$1)</f>
        <v>0</v>
      </c>
      <c r="R60" s="15">
        <f>IFERROR(IF(ISBLANK(K60),IFERROR(VLOOKUP($D60,Sheet3!$H$2:$O$200,R$1,FALSE),IFERROR(VLOOKUP($E60,Sheet3!$H$2:$O$200,R$1,FALSE),VLOOKUP($F60,Sheet3!$H$2:$O$200,R$1,FALSE))),$I$1),$I$1)</f>
        <v>0</v>
      </c>
      <c r="S60" s="15">
        <f>IFERROR(IF(ISBLANK(L60),IFERROR(VLOOKUP($D60,Sheet3!$H$2:$O$200,S$1,FALSE),IFERROR(VLOOKUP($E60,Sheet3!$H$2:$O$200,S$1,FALSE),VLOOKUP($F60,Sheet3!$H$2:$O$200,S$1,FALSE))),$I$1),$I$1)</f>
        <v>0</v>
      </c>
      <c r="T60" s="15">
        <f>IFERROR(IF(ISBLANK(M60),IFERROR(VLOOKUP($D60,Sheet3!$H$2:$O$200,T$1,FALSE),IFERROR(VLOOKUP($E60,Sheet3!$H$2:$O$200,T$1,FALSE),VLOOKUP($F60,Sheet3!$H$2:$O$200,T$1,FALSE))),$I$1),$I$1)</f>
        <v>0</v>
      </c>
      <c r="U60" s="15">
        <f>IFERROR(IF(ISBLANK(N60),IFERROR(VLOOKUP($D60,Sheet3!$H$2:$O$200,U$1,FALSE),IFERROR(VLOOKUP($E60,Sheet3!$H$2:$O$200,U$1,FALSE),VLOOKUP($F60,Sheet3!$H$2:$O$200,U$1,FALSE))),$I$1),$I$1)</f>
        <v>0</v>
      </c>
      <c r="V60" s="15">
        <f>IFERROR(IF(ISBLANK(O60),IFERROR(VLOOKUP($D60,Sheet3!$H$2:$O$200,V$1,FALSE),IFERROR(VLOOKUP($E60,Sheet3!$H$2:$O$200,V$1,FALSE),VLOOKUP($F60,Sheet3!$H$2:$O$200,V$1,FALSE))),$I$1),$I$1)</f>
        <v>0</v>
      </c>
      <c r="W60" s="15">
        <f>IFERROR(IF(ISBLANK(P60),IFERROR(VLOOKUP($D60,Sheet3!$H$2:$O$200,W$1,FALSE),IFERROR(VLOOKUP($E60,Sheet3!$H$2:$O$200,W$1,FALSE),VLOOKUP($F60,Sheet3!$H$2:$O$200,W$1,FALSE))),$I$1),$I$1)</f>
        <v>0</v>
      </c>
      <c r="X60" s="15">
        <f>IFERROR(IF(ISBLANK(Q60),IFERROR(VLOOKUP($E60,Sheet3!$H$2:$O$200,X$1,FALSE),IFERROR(VLOOKUP($F60,Sheet3!$H$2:$O$200,X$1,FALSE),VLOOKUP($G60,Sheet3!$H$2:$O$200,X$1,FALSE))),$I$1),$I$1)</f>
        <v>0</v>
      </c>
      <c r="Y60" s="15">
        <f>IFERROR(IF(ISBLANK(R60),IFERROR(VLOOKUP($E60,Sheet3!$H$2:$O$200,Y$1,FALSE),IFERROR(VLOOKUP($F60,Sheet3!$H$2:$O$200,Y$1,FALSE),VLOOKUP($G60,Sheet3!$H$2:$O$200,Y$1,FALSE))),$I$1),$I$1)</f>
        <v>0</v>
      </c>
      <c r="Z60" s="15">
        <f>IFERROR(IF(ISBLANK(S60),IFERROR(VLOOKUP($E60,Sheet3!$H$2:$O$200,Z$1,FALSE),IFERROR(VLOOKUP($F60,Sheet3!$H$2:$O$200,Z$1,FALSE),VLOOKUP($G60,Sheet3!$H$2:$O$200,Z$1,FALSE))),$I$1),$I$1)</f>
        <v>0</v>
      </c>
      <c r="AA60" s="15">
        <f>IFERROR(IF(ISBLANK(T60),IFERROR(VLOOKUP($E60,Sheet3!$H$2:$O$200,AA$1,FALSE),IFERROR(VLOOKUP($F60,Sheet3!$H$2:$O$200,AA$1,FALSE),VLOOKUP($G60,Sheet3!$H$2:$O$200,AA$1,FALSE))),$I$1),$I$1)</f>
        <v>0</v>
      </c>
      <c r="AB60" s="15">
        <f>IFERROR(IF(ISBLANK(U60),IFERROR(VLOOKUP($E60,Sheet3!$H$2:$O$200,AB$1,FALSE),IFERROR(VLOOKUP($F60,Sheet3!$H$2:$O$200,AB$1,FALSE),VLOOKUP($G60,Sheet3!$H$2:$O$200,AB$1,FALSE))),$I$1),$I$1)</f>
        <v>0</v>
      </c>
      <c r="AC60" s="15">
        <f>IFERROR(IF(ISBLANK(V60),IFERROR(VLOOKUP($E60,Sheet3!$H$2:$O$200,AC$1,FALSE),IFERROR(VLOOKUP($F60,Sheet3!$H$2:$O$200,AC$1,FALSE),VLOOKUP($G60,Sheet3!$H$2:$O$200,AC$1,FALSE))),$I$1),$I$1)</f>
        <v>0</v>
      </c>
      <c r="AD60" s="15">
        <f>IFERROR(IF(ISBLANK(W60),IFERROR(VLOOKUP($E60,Sheet3!$H$2:$O$200,AD$1,FALSE),IFERROR(VLOOKUP($F60,Sheet3!$H$2:$O$200,AD$1,FALSE),VLOOKUP($G60,Sheet3!$H$2:$O$200,AD$1,FALSE))),$I$1),$I$1)</f>
        <v>0</v>
      </c>
      <c r="AE60" s="15">
        <f>IFERROR(IF(ISBLANK(X60),IFERROR(VLOOKUP($F60,Sheet3!$H$2:$O$200,AE$1,FALSE),VLOOKUP($G60,Sheet3!$H$2:$O$200,AE$1,FALSE)),$I$1),$I$1)</f>
        <v>0</v>
      </c>
      <c r="AF60" s="15">
        <f>IFERROR(IF(ISBLANK(Y60),IFERROR(VLOOKUP($F60,Sheet3!$H$2:$O$200,AF$1,FALSE),VLOOKUP($G60,Sheet3!$H$2:$O$200,AF$1,FALSE)),$I$1),$I$1)</f>
        <v>0</v>
      </c>
      <c r="AG60" s="15">
        <f>IFERROR(IF(ISBLANK(Z60),IFERROR(VLOOKUP($F60,Sheet3!$H$2:$O$200,AG$1,FALSE),VLOOKUP($G60,Sheet3!$H$2:$O$200,AG$1,FALSE)),$I$1),$I$1)</f>
        <v>0</v>
      </c>
      <c r="AH60" s="15">
        <f>IFERROR(IF(ISBLANK(AA60),IFERROR(VLOOKUP($F60,Sheet3!$H$2:$O$200,AH$1,FALSE),VLOOKUP($G60,Sheet3!$H$2:$O$200,AH$1,FALSE)),$I$1),$I$1)</f>
        <v>0</v>
      </c>
      <c r="AI60" s="15">
        <f>IFERROR(IF(ISBLANK(AB60),IFERROR(VLOOKUP($F60,Sheet3!$H$2:$O$200,AI$1,FALSE),VLOOKUP($G60,Sheet3!$H$2:$O$200,AI$1,FALSE)),$I$1),$I$1)</f>
        <v>0</v>
      </c>
      <c r="AJ60" s="15">
        <f>IFERROR(IF(ISBLANK(AC60),IFERROR(VLOOKUP($F60,Sheet3!$H$2:$O$200,AJ$1,FALSE),VLOOKUP($G60,Sheet3!$H$2:$O$200,AJ$1,FALSE)),$I$1),$I$1)</f>
        <v>0</v>
      </c>
      <c r="AK60" s="15">
        <f>IFERROR(IF(ISBLANK(AD60),IFERROR(VLOOKUP($F60,Sheet3!$H$2:$O$200,AK$1,FALSE),VLOOKUP($G60,Sheet3!$H$2:$O$200,AK$1,FALSE)),$I$1),$I$1)</f>
        <v>0</v>
      </c>
      <c r="AL60" s="15">
        <f>IFERROR(IF(ISBLANK(AE60),VLOOKUP($G60,Sheet3!$H$2:$O$200,AL$1,FALSE),$I$1),$I$1)</f>
        <v>0</v>
      </c>
      <c r="AM60" s="15">
        <f>IFERROR(IF(ISBLANK(AF60),VLOOKUP($G60,Sheet3!$H$2:$O$200,AM$1,FALSE),$I$1),$I$1)</f>
        <v>0</v>
      </c>
      <c r="AN60" s="15">
        <f>IFERROR(IF(ISBLANK(AG60),VLOOKUP($G60,Sheet3!$H$2:$O$200,AN$1,FALSE),$I$1),$I$1)</f>
        <v>0</v>
      </c>
      <c r="AO60" s="15">
        <f>IFERROR(IF(ISBLANK(AH60),VLOOKUP($G60,Sheet3!$H$2:$O$200,AO$1,FALSE),$I$1),$I$1)</f>
        <v>0</v>
      </c>
      <c r="AP60" s="15">
        <f>IFERROR(IF(ISBLANK(AI60),VLOOKUP($G60,Sheet3!$H$2:$O$200,AP$1,FALSE),$I$1),$I$1)</f>
        <v>0</v>
      </c>
      <c r="AQ60" s="15">
        <f>IFERROR(IF(ISBLANK(AJ60),VLOOKUP($G60,Sheet3!$H$2:$O$200,AQ$1,FALSE),$I$1),$I$1)</f>
        <v>0</v>
      </c>
      <c r="AR60" s="15">
        <f>IFERROR(IF(ISBLANK(AK60),VLOOKUP($G60,Sheet3!$H$2:$O$200,AR$1,FALSE),$I$1),$I$1)</f>
        <v>0</v>
      </c>
      <c r="AS60" s="15">
        <f t="shared" si="1"/>
        <v>28</v>
      </c>
      <c r="AT60" s="15" t="b">
        <f t="shared" si="2"/>
        <v>0</v>
      </c>
    </row>
    <row r="61" spans="1:46" x14ac:dyDescent="0.2">
      <c r="A61" s="19" t="s">
        <v>159</v>
      </c>
      <c r="B61" s="19" t="s">
        <v>148</v>
      </c>
      <c r="C61" s="19"/>
      <c r="D61" s="19" t="s">
        <v>90</v>
      </c>
      <c r="E61" s="19" t="s">
        <v>86</v>
      </c>
      <c r="F61" s="19"/>
      <c r="G61" s="19"/>
      <c r="H61" s="19" t="s">
        <v>159</v>
      </c>
      <c r="I61" s="15">
        <f t="shared" si="0"/>
        <v>2</v>
      </c>
      <c r="J61" s="15">
        <f>IFERROR(VLOOKUP($C61,Sheet3!$H$2:$O$200,J$1,FALSE),IFERROR(VLOOKUP($D61,Sheet3!$H$2:$O$200,J$1,FALSE),VLOOKUP($E61,Sheet3!$H$2:$O$200,J$1,FALSE)))</f>
        <v>0</v>
      </c>
      <c r="K61" s="15">
        <f>IFERROR(VLOOKUP($C61,Sheet3!$H$2:$O$200,K$1,FALSE),IFERROR(VLOOKUP($D61,Sheet3!$H$2:$O$200,K$1,FALSE),VLOOKUP($E61,Sheet3!$H$2:$O$200,K$1,FALSE)))</f>
        <v>0</v>
      </c>
      <c r="L61" s="15" t="str">
        <f>IFERROR(VLOOKUP($C61,Sheet3!$H$2:$O$200,L$1,FALSE),IFERROR(VLOOKUP($D61,Sheet3!$H$2:$O$200,L$1,FALSE),VLOOKUP($E61,Sheet3!$H$2:$O$200,L$1,FALSE)))</f>
        <v>lime juice</v>
      </c>
      <c r="M61" s="15">
        <f>IFERROR(VLOOKUP($C61,Sheet3!$H$2:$O$200,M$1,FALSE),IFERROR(VLOOKUP($D61,Sheet3!$H$2:$O$200,M$1,FALSE),VLOOKUP($E61,Sheet3!$H$2:$O$200,M$1,FALSE)))</f>
        <v>0</v>
      </c>
      <c r="N61" s="15">
        <f>IFERROR(VLOOKUP($C61,Sheet3!$H$2:$O$200,N$1,FALSE),IFERROR(VLOOKUP($D61,Sheet3!$H$2:$O$200,N$1,FALSE),VLOOKUP($E61,Sheet3!$H$2:$O$200,N$1,FALSE)))</f>
        <v>0</v>
      </c>
      <c r="O61" s="15">
        <f>IFERROR(VLOOKUP($C61,Sheet3!$H$2:$O$200,O$1,FALSE),IFERROR(VLOOKUP($D61,Sheet3!$H$2:$O$200,O$1,FALSE),VLOOKUP($E61,Sheet3!$H$2:$O$200,O$1,FALSE)))</f>
        <v>0</v>
      </c>
      <c r="P61" s="15">
        <f>IFERROR(VLOOKUP($C61,Sheet3!$H$2:$O$200,P$1,FALSE),IFERROR(VLOOKUP($D61,Sheet3!$H$2:$O$200,P$1,FALSE),VLOOKUP($E61,Sheet3!$H$2:$O$200,P$1,FALSE)))</f>
        <v>0</v>
      </c>
      <c r="Q61" s="15">
        <f>IFERROR(IF(ISBLANK(J61),IFERROR(VLOOKUP($D61,Sheet3!$H$2:$O$200,Q$1,FALSE),IFERROR(VLOOKUP($E61,Sheet3!$H$2:$O$200,Q$1,FALSE),VLOOKUP($F61,Sheet3!$H$2:$O$200,Q$1,FALSE))),$I$1),$I$1)</f>
        <v>0</v>
      </c>
      <c r="R61" s="15">
        <f>IFERROR(IF(ISBLANK(K61),IFERROR(VLOOKUP($D61,Sheet3!$H$2:$O$200,R$1,FALSE),IFERROR(VLOOKUP($E61,Sheet3!$H$2:$O$200,R$1,FALSE),VLOOKUP($F61,Sheet3!$H$2:$O$200,R$1,FALSE))),$I$1),$I$1)</f>
        <v>0</v>
      </c>
      <c r="S61" s="15">
        <f>IFERROR(IF(ISBLANK(L61),IFERROR(VLOOKUP($D61,Sheet3!$H$2:$O$200,S$1,FALSE),IFERROR(VLOOKUP($E61,Sheet3!$H$2:$O$200,S$1,FALSE),VLOOKUP($F61,Sheet3!$H$2:$O$200,S$1,FALSE))),$I$1),$I$1)</f>
        <v>0</v>
      </c>
      <c r="T61" s="15">
        <f>IFERROR(IF(ISBLANK(M61),IFERROR(VLOOKUP($D61,Sheet3!$H$2:$O$200,T$1,FALSE),IFERROR(VLOOKUP($E61,Sheet3!$H$2:$O$200,T$1,FALSE),VLOOKUP($F61,Sheet3!$H$2:$O$200,T$1,FALSE))),$I$1),$I$1)</f>
        <v>0</v>
      </c>
      <c r="U61" s="15">
        <f>IFERROR(IF(ISBLANK(N61),IFERROR(VLOOKUP($D61,Sheet3!$H$2:$O$200,U$1,FALSE),IFERROR(VLOOKUP($E61,Sheet3!$H$2:$O$200,U$1,FALSE),VLOOKUP($F61,Sheet3!$H$2:$O$200,U$1,FALSE))),$I$1),$I$1)</f>
        <v>0</v>
      </c>
      <c r="V61" s="15">
        <f>IFERROR(IF(ISBLANK(O61),IFERROR(VLOOKUP($D61,Sheet3!$H$2:$O$200,V$1,FALSE),IFERROR(VLOOKUP($E61,Sheet3!$H$2:$O$200,V$1,FALSE),VLOOKUP($F61,Sheet3!$H$2:$O$200,V$1,FALSE))),$I$1),$I$1)</f>
        <v>0</v>
      </c>
      <c r="W61" s="15">
        <f>IFERROR(IF(ISBLANK(P61),IFERROR(VLOOKUP($D61,Sheet3!$H$2:$O$200,W$1,FALSE),IFERROR(VLOOKUP($E61,Sheet3!$H$2:$O$200,W$1,FALSE),VLOOKUP($F61,Sheet3!$H$2:$O$200,W$1,FALSE))),$I$1),$I$1)</f>
        <v>0</v>
      </c>
      <c r="X61" s="15">
        <f>IFERROR(IF(ISBLANK(Q61),IFERROR(VLOOKUP($E61,Sheet3!$H$2:$O$200,X$1,FALSE),IFERROR(VLOOKUP($F61,Sheet3!$H$2:$O$200,X$1,FALSE),VLOOKUP($G61,Sheet3!$H$2:$O$200,X$1,FALSE))),$I$1),$I$1)</f>
        <v>0</v>
      </c>
      <c r="Y61" s="15">
        <f>IFERROR(IF(ISBLANK(R61),IFERROR(VLOOKUP($E61,Sheet3!$H$2:$O$200,Y$1,FALSE),IFERROR(VLOOKUP($F61,Sheet3!$H$2:$O$200,Y$1,FALSE),VLOOKUP($G61,Sheet3!$H$2:$O$200,Y$1,FALSE))),$I$1),$I$1)</f>
        <v>0</v>
      </c>
      <c r="Z61" s="15">
        <f>IFERROR(IF(ISBLANK(S61),IFERROR(VLOOKUP($E61,Sheet3!$H$2:$O$200,Z$1,FALSE),IFERROR(VLOOKUP($F61,Sheet3!$H$2:$O$200,Z$1,FALSE),VLOOKUP($G61,Sheet3!$H$2:$O$200,Z$1,FALSE))),$I$1),$I$1)</f>
        <v>0</v>
      </c>
      <c r="AA61" s="15">
        <f>IFERROR(IF(ISBLANK(T61),IFERROR(VLOOKUP($E61,Sheet3!$H$2:$O$200,AA$1,FALSE),IFERROR(VLOOKUP($F61,Sheet3!$H$2:$O$200,AA$1,FALSE),VLOOKUP($G61,Sheet3!$H$2:$O$200,AA$1,FALSE))),$I$1),$I$1)</f>
        <v>0</v>
      </c>
      <c r="AB61" s="15">
        <f>IFERROR(IF(ISBLANK(U61),IFERROR(VLOOKUP($E61,Sheet3!$H$2:$O$200,AB$1,FALSE),IFERROR(VLOOKUP($F61,Sheet3!$H$2:$O$200,AB$1,FALSE),VLOOKUP($G61,Sheet3!$H$2:$O$200,AB$1,FALSE))),$I$1),$I$1)</f>
        <v>0</v>
      </c>
      <c r="AC61" s="15">
        <f>IFERROR(IF(ISBLANK(V61),IFERROR(VLOOKUP($E61,Sheet3!$H$2:$O$200,AC$1,FALSE),IFERROR(VLOOKUP($F61,Sheet3!$H$2:$O$200,AC$1,FALSE),VLOOKUP($G61,Sheet3!$H$2:$O$200,AC$1,FALSE))),$I$1),$I$1)</f>
        <v>0</v>
      </c>
      <c r="AD61" s="15">
        <f>IFERROR(IF(ISBLANK(W61),IFERROR(VLOOKUP($E61,Sheet3!$H$2:$O$200,AD$1,FALSE),IFERROR(VLOOKUP($F61,Sheet3!$H$2:$O$200,AD$1,FALSE),VLOOKUP($G61,Sheet3!$H$2:$O$200,AD$1,FALSE))),$I$1),$I$1)</f>
        <v>0</v>
      </c>
      <c r="AE61" s="15">
        <f>IFERROR(IF(ISBLANK(X61),IFERROR(VLOOKUP($F61,Sheet3!$H$2:$O$200,AE$1,FALSE),VLOOKUP($G61,Sheet3!$H$2:$O$200,AE$1,FALSE)),$I$1),$I$1)</f>
        <v>0</v>
      </c>
      <c r="AF61" s="15">
        <f>IFERROR(IF(ISBLANK(Y61),IFERROR(VLOOKUP($F61,Sheet3!$H$2:$O$200,AF$1,FALSE),VLOOKUP($G61,Sheet3!$H$2:$O$200,AF$1,FALSE)),$I$1),$I$1)</f>
        <v>0</v>
      </c>
      <c r="AG61" s="15">
        <f>IFERROR(IF(ISBLANK(Z61),IFERROR(VLOOKUP($F61,Sheet3!$H$2:$O$200,AG$1,FALSE),VLOOKUP($G61,Sheet3!$H$2:$O$200,AG$1,FALSE)),$I$1),$I$1)</f>
        <v>0</v>
      </c>
      <c r="AH61" s="15">
        <f>IFERROR(IF(ISBLANK(AA61),IFERROR(VLOOKUP($F61,Sheet3!$H$2:$O$200,AH$1,FALSE),VLOOKUP($G61,Sheet3!$H$2:$O$200,AH$1,FALSE)),$I$1),$I$1)</f>
        <v>0</v>
      </c>
      <c r="AI61" s="15">
        <f>IFERROR(IF(ISBLANK(AB61),IFERROR(VLOOKUP($F61,Sheet3!$H$2:$O$200,AI$1,FALSE),VLOOKUP($G61,Sheet3!$H$2:$O$200,AI$1,FALSE)),$I$1),$I$1)</f>
        <v>0</v>
      </c>
      <c r="AJ61" s="15">
        <f>IFERROR(IF(ISBLANK(AC61),IFERROR(VLOOKUP($F61,Sheet3!$H$2:$O$200,AJ$1,FALSE),VLOOKUP($G61,Sheet3!$H$2:$O$200,AJ$1,FALSE)),$I$1),$I$1)</f>
        <v>0</v>
      </c>
      <c r="AK61" s="15">
        <f>IFERROR(IF(ISBLANK(AD61),IFERROR(VLOOKUP($F61,Sheet3!$H$2:$O$200,AK$1,FALSE),VLOOKUP($G61,Sheet3!$H$2:$O$200,AK$1,FALSE)),$I$1),$I$1)</f>
        <v>0</v>
      </c>
      <c r="AL61" s="15">
        <f>IFERROR(IF(ISBLANK(AE61),VLOOKUP($G61,Sheet3!$H$2:$O$200,AL$1,FALSE),$I$1),$I$1)</f>
        <v>0</v>
      </c>
      <c r="AM61" s="15">
        <f>IFERROR(IF(ISBLANK(AF61),VLOOKUP($G61,Sheet3!$H$2:$O$200,AM$1,FALSE),$I$1),$I$1)</f>
        <v>0</v>
      </c>
      <c r="AN61" s="15">
        <f>IFERROR(IF(ISBLANK(AG61),VLOOKUP($G61,Sheet3!$H$2:$O$200,AN$1,FALSE),$I$1),$I$1)</f>
        <v>0</v>
      </c>
      <c r="AO61" s="15">
        <f>IFERROR(IF(ISBLANK(AH61),VLOOKUP($G61,Sheet3!$H$2:$O$200,AO$1,FALSE),$I$1),$I$1)</f>
        <v>0</v>
      </c>
      <c r="AP61" s="15">
        <f>IFERROR(IF(ISBLANK(AI61),VLOOKUP($G61,Sheet3!$H$2:$O$200,AP$1,FALSE),$I$1),$I$1)</f>
        <v>0</v>
      </c>
      <c r="AQ61" s="15">
        <f>IFERROR(IF(ISBLANK(AJ61),VLOOKUP($G61,Sheet3!$H$2:$O$200,AQ$1,FALSE),$I$1),$I$1)</f>
        <v>0</v>
      </c>
      <c r="AR61" s="15">
        <f>IFERROR(IF(ISBLANK(AK61),VLOOKUP($G61,Sheet3!$H$2:$O$200,AR$1,FALSE),$I$1),$I$1)</f>
        <v>0</v>
      </c>
      <c r="AS61" s="15">
        <f t="shared" si="1"/>
        <v>28</v>
      </c>
      <c r="AT61" s="15" t="b">
        <f t="shared" si="2"/>
        <v>0</v>
      </c>
    </row>
    <row r="62" spans="1:46" x14ac:dyDescent="0.2">
      <c r="A62" s="19" t="s">
        <v>160</v>
      </c>
      <c r="B62" s="19" t="s">
        <v>148</v>
      </c>
      <c r="C62" s="19"/>
      <c r="D62" s="19" t="s">
        <v>90</v>
      </c>
      <c r="E62" s="18" t="s">
        <v>86</v>
      </c>
      <c r="F62" s="18" t="s">
        <v>66</v>
      </c>
      <c r="G62" s="19"/>
      <c r="H62" s="19" t="s">
        <v>160</v>
      </c>
      <c r="I62" s="15">
        <f t="shared" si="0"/>
        <v>3</v>
      </c>
      <c r="J62" s="15">
        <f>IFERROR(VLOOKUP($C62,Sheet3!$H$2:$O$200,J$1,FALSE),IFERROR(VLOOKUP($D62,Sheet3!$H$2:$O$200,J$1,FALSE),VLOOKUP($E62,Sheet3!$H$2:$O$200,J$1,FALSE)))</f>
        <v>0</v>
      </c>
      <c r="K62" s="15">
        <f>IFERROR(VLOOKUP($C62,Sheet3!$H$2:$O$200,K$1,FALSE),IFERROR(VLOOKUP($D62,Sheet3!$H$2:$O$200,K$1,FALSE),VLOOKUP($E62,Sheet3!$H$2:$O$200,K$1,FALSE)))</f>
        <v>0</v>
      </c>
      <c r="L62" s="15" t="str">
        <f>IFERROR(VLOOKUP($C62,Sheet3!$H$2:$O$200,L$1,FALSE),IFERROR(VLOOKUP($D62,Sheet3!$H$2:$O$200,L$1,FALSE),VLOOKUP($E62,Sheet3!$H$2:$O$200,L$1,FALSE)))</f>
        <v>lime juice</v>
      </c>
      <c r="M62" s="15">
        <f>IFERROR(VLOOKUP($C62,Sheet3!$H$2:$O$200,M$1,FALSE),IFERROR(VLOOKUP($D62,Sheet3!$H$2:$O$200,M$1,FALSE),VLOOKUP($E62,Sheet3!$H$2:$O$200,M$1,FALSE)))</f>
        <v>0</v>
      </c>
      <c r="N62" s="15">
        <f>IFERROR(VLOOKUP($C62,Sheet3!$H$2:$O$200,N$1,FALSE),IFERROR(VLOOKUP($D62,Sheet3!$H$2:$O$200,N$1,FALSE),VLOOKUP($E62,Sheet3!$H$2:$O$200,N$1,FALSE)))</f>
        <v>0</v>
      </c>
      <c r="O62" s="15">
        <f>IFERROR(VLOOKUP($C62,Sheet3!$H$2:$O$200,O$1,FALSE),IFERROR(VLOOKUP($D62,Sheet3!$H$2:$O$200,O$1,FALSE),VLOOKUP($E62,Sheet3!$H$2:$O$200,O$1,FALSE)))</f>
        <v>0</v>
      </c>
      <c r="P62" s="15">
        <f>IFERROR(VLOOKUP($C62,Sheet3!$H$2:$O$200,P$1,FALSE),IFERROR(VLOOKUP($D62,Sheet3!$H$2:$O$200,P$1,FALSE),VLOOKUP($E62,Sheet3!$H$2:$O$200,P$1,FALSE)))</f>
        <v>0</v>
      </c>
      <c r="Q62" s="15">
        <f>IFERROR(IF(ISBLANK(J62),IFERROR(VLOOKUP($D62,Sheet3!$H$2:$O$200,Q$1,FALSE),IFERROR(VLOOKUP($E62,Sheet3!$H$2:$O$200,Q$1,FALSE),VLOOKUP($F62,Sheet3!$H$2:$O$200,Q$1,FALSE))),$I$1),$I$1)</f>
        <v>0</v>
      </c>
      <c r="R62" s="15">
        <f>IFERROR(IF(ISBLANK(K62),IFERROR(VLOOKUP($D62,Sheet3!$H$2:$O$200,R$1,FALSE),IFERROR(VLOOKUP($E62,Sheet3!$H$2:$O$200,R$1,FALSE),VLOOKUP($F62,Sheet3!$H$2:$O$200,R$1,FALSE))),$I$1),$I$1)</f>
        <v>0</v>
      </c>
      <c r="S62" s="15">
        <f>IFERROR(IF(ISBLANK(L62),IFERROR(VLOOKUP($D62,Sheet3!$H$2:$O$200,S$1,FALSE),IFERROR(VLOOKUP($E62,Sheet3!$H$2:$O$200,S$1,FALSE),VLOOKUP($F62,Sheet3!$H$2:$O$200,S$1,FALSE))),$I$1),$I$1)</f>
        <v>0</v>
      </c>
      <c r="T62" s="15">
        <f>IFERROR(IF(ISBLANK(M62),IFERROR(VLOOKUP($D62,Sheet3!$H$2:$O$200,T$1,FALSE),IFERROR(VLOOKUP($E62,Sheet3!$H$2:$O$200,T$1,FALSE),VLOOKUP($F62,Sheet3!$H$2:$O$200,T$1,FALSE))),$I$1),$I$1)</f>
        <v>0</v>
      </c>
      <c r="U62" s="15">
        <f>IFERROR(IF(ISBLANK(N62),IFERROR(VLOOKUP($D62,Sheet3!$H$2:$O$200,U$1,FALSE),IFERROR(VLOOKUP($E62,Sheet3!$H$2:$O$200,U$1,FALSE),VLOOKUP($F62,Sheet3!$H$2:$O$200,U$1,FALSE))),$I$1),$I$1)</f>
        <v>0</v>
      </c>
      <c r="V62" s="15">
        <f>IFERROR(IF(ISBLANK(O62),IFERROR(VLOOKUP($D62,Sheet3!$H$2:$O$200,V$1,FALSE),IFERROR(VLOOKUP($E62,Sheet3!$H$2:$O$200,V$1,FALSE),VLOOKUP($F62,Sheet3!$H$2:$O$200,V$1,FALSE))),$I$1),$I$1)</f>
        <v>0</v>
      </c>
      <c r="W62" s="15">
        <f>IFERROR(IF(ISBLANK(P62),IFERROR(VLOOKUP($D62,Sheet3!$H$2:$O$200,W$1,FALSE),IFERROR(VLOOKUP($E62,Sheet3!$H$2:$O$200,W$1,FALSE),VLOOKUP($F62,Sheet3!$H$2:$O$200,W$1,FALSE))),$I$1),$I$1)</f>
        <v>0</v>
      </c>
      <c r="X62" s="15">
        <f>IFERROR(IF(ISBLANK(Q62),IFERROR(VLOOKUP($E62,Sheet3!$H$2:$O$200,X$1,FALSE),IFERROR(VLOOKUP($F62,Sheet3!$H$2:$O$200,X$1,FALSE),VLOOKUP($G62,Sheet3!$H$2:$O$200,X$1,FALSE))),$I$1),$I$1)</f>
        <v>0</v>
      </c>
      <c r="Y62" s="15">
        <f>IFERROR(IF(ISBLANK(R62),IFERROR(VLOOKUP($E62,Sheet3!$H$2:$O$200,Y$1,FALSE),IFERROR(VLOOKUP($F62,Sheet3!$H$2:$O$200,Y$1,FALSE),VLOOKUP($G62,Sheet3!$H$2:$O$200,Y$1,FALSE))),$I$1),$I$1)</f>
        <v>0</v>
      </c>
      <c r="Z62" s="15">
        <f>IFERROR(IF(ISBLANK(S62),IFERROR(VLOOKUP($E62,Sheet3!$H$2:$O$200,Z$1,FALSE),IFERROR(VLOOKUP($F62,Sheet3!$H$2:$O$200,Z$1,FALSE),VLOOKUP($G62,Sheet3!$H$2:$O$200,Z$1,FALSE))),$I$1),$I$1)</f>
        <v>0</v>
      </c>
      <c r="AA62" s="15">
        <f>IFERROR(IF(ISBLANK(T62),IFERROR(VLOOKUP($E62,Sheet3!$H$2:$O$200,AA$1,FALSE),IFERROR(VLOOKUP($F62,Sheet3!$H$2:$O$200,AA$1,FALSE),VLOOKUP($G62,Sheet3!$H$2:$O$200,AA$1,FALSE))),$I$1),$I$1)</f>
        <v>0</v>
      </c>
      <c r="AB62" s="15">
        <f>IFERROR(IF(ISBLANK(U62),IFERROR(VLOOKUP($E62,Sheet3!$H$2:$O$200,AB$1,FALSE),IFERROR(VLOOKUP($F62,Sheet3!$H$2:$O$200,AB$1,FALSE),VLOOKUP($G62,Sheet3!$H$2:$O$200,AB$1,FALSE))),$I$1),$I$1)</f>
        <v>0</v>
      </c>
      <c r="AC62" s="15">
        <f>IFERROR(IF(ISBLANK(V62),IFERROR(VLOOKUP($E62,Sheet3!$H$2:$O$200,AC$1,FALSE),IFERROR(VLOOKUP($F62,Sheet3!$H$2:$O$200,AC$1,FALSE),VLOOKUP($G62,Sheet3!$H$2:$O$200,AC$1,FALSE))),$I$1),$I$1)</f>
        <v>0</v>
      </c>
      <c r="AD62" s="15">
        <f>IFERROR(IF(ISBLANK(W62),IFERROR(VLOOKUP($E62,Sheet3!$H$2:$O$200,AD$1,FALSE),IFERROR(VLOOKUP($F62,Sheet3!$H$2:$O$200,AD$1,FALSE),VLOOKUP($G62,Sheet3!$H$2:$O$200,AD$1,FALSE))),$I$1),$I$1)</f>
        <v>0</v>
      </c>
      <c r="AE62" s="15">
        <f>IFERROR(IF(ISBLANK(X62),IFERROR(VLOOKUP($F62,Sheet3!$H$2:$O$200,AE$1,FALSE),VLOOKUP($G62,Sheet3!$H$2:$O$200,AE$1,FALSE)),$I$1),$I$1)</f>
        <v>0</v>
      </c>
      <c r="AF62" s="15">
        <f>IFERROR(IF(ISBLANK(Y62),IFERROR(VLOOKUP($F62,Sheet3!$H$2:$O$200,AF$1,FALSE),VLOOKUP($G62,Sheet3!$H$2:$O$200,AF$1,FALSE)),$I$1),$I$1)</f>
        <v>0</v>
      </c>
      <c r="AG62" s="15">
        <f>IFERROR(IF(ISBLANK(Z62),IFERROR(VLOOKUP($F62,Sheet3!$H$2:$O$200,AG$1,FALSE),VLOOKUP($G62,Sheet3!$H$2:$O$200,AG$1,FALSE)),$I$1),$I$1)</f>
        <v>0</v>
      </c>
      <c r="AH62" s="15">
        <f>IFERROR(IF(ISBLANK(AA62),IFERROR(VLOOKUP($F62,Sheet3!$H$2:$O$200,AH$1,FALSE),VLOOKUP($G62,Sheet3!$H$2:$O$200,AH$1,FALSE)),$I$1),$I$1)</f>
        <v>0</v>
      </c>
      <c r="AI62" s="15">
        <f>IFERROR(IF(ISBLANK(AB62),IFERROR(VLOOKUP($F62,Sheet3!$H$2:$O$200,AI$1,FALSE),VLOOKUP($G62,Sheet3!$H$2:$O$200,AI$1,FALSE)),$I$1),$I$1)</f>
        <v>0</v>
      </c>
      <c r="AJ62" s="15">
        <f>IFERROR(IF(ISBLANK(AC62),IFERROR(VLOOKUP($F62,Sheet3!$H$2:$O$200,AJ$1,FALSE),VLOOKUP($G62,Sheet3!$H$2:$O$200,AJ$1,FALSE)),$I$1),$I$1)</f>
        <v>0</v>
      </c>
      <c r="AK62" s="15">
        <f>IFERROR(IF(ISBLANK(AD62),IFERROR(VLOOKUP($F62,Sheet3!$H$2:$O$200,AK$1,FALSE),VLOOKUP($G62,Sheet3!$H$2:$O$200,AK$1,FALSE)),$I$1),$I$1)</f>
        <v>0</v>
      </c>
      <c r="AL62" s="15">
        <f>IFERROR(IF(ISBLANK(AE62),VLOOKUP($G62,Sheet3!$H$2:$O$200,AL$1,FALSE),$I$1),$I$1)</f>
        <v>0</v>
      </c>
      <c r="AM62" s="15">
        <f>IFERROR(IF(ISBLANK(AF62),VLOOKUP($G62,Sheet3!$H$2:$O$200,AM$1,FALSE),$I$1),$I$1)</f>
        <v>0</v>
      </c>
      <c r="AN62" s="15">
        <f>IFERROR(IF(ISBLANK(AG62),VLOOKUP($G62,Sheet3!$H$2:$O$200,AN$1,FALSE),$I$1),$I$1)</f>
        <v>0</v>
      </c>
      <c r="AO62" s="15">
        <f>IFERROR(IF(ISBLANK(AH62),VLOOKUP($G62,Sheet3!$H$2:$O$200,AO$1,FALSE),$I$1),$I$1)</f>
        <v>0</v>
      </c>
      <c r="AP62" s="15">
        <f>IFERROR(IF(ISBLANK(AI62),VLOOKUP($G62,Sheet3!$H$2:$O$200,AP$1,FALSE),$I$1),$I$1)</f>
        <v>0</v>
      </c>
      <c r="AQ62" s="15">
        <f>IFERROR(IF(ISBLANK(AJ62),VLOOKUP($G62,Sheet3!$H$2:$O$200,AQ$1,FALSE),$I$1),$I$1)</f>
        <v>0</v>
      </c>
      <c r="AR62" s="15">
        <f>IFERROR(IF(ISBLANK(AK62),VLOOKUP($G62,Sheet3!$H$2:$O$200,AR$1,FALSE),$I$1),$I$1)</f>
        <v>0</v>
      </c>
      <c r="AS62" s="15">
        <f t="shared" si="1"/>
        <v>28</v>
      </c>
      <c r="AT62" s="15" t="b">
        <f t="shared" si="2"/>
        <v>0</v>
      </c>
    </row>
    <row r="63" spans="1:46" x14ac:dyDescent="0.2">
      <c r="A63" s="19" t="s">
        <v>161</v>
      </c>
      <c r="B63" s="19" t="s">
        <v>148</v>
      </c>
      <c r="C63" s="19"/>
      <c r="D63" s="19" t="s">
        <v>38</v>
      </c>
      <c r="E63" s="19" t="s">
        <v>162</v>
      </c>
      <c r="F63" s="19" t="s">
        <v>163</v>
      </c>
      <c r="G63" s="19"/>
      <c r="H63" s="19" t="s">
        <v>161</v>
      </c>
      <c r="I63" s="15">
        <f t="shared" si="0"/>
        <v>3</v>
      </c>
      <c r="J63" s="15">
        <f>IFERROR(VLOOKUP($C63,Sheet3!$H$2:$O$200,J$1,FALSE),IFERROR(VLOOKUP($D63,Sheet3!$H$2:$O$200,J$1,FALSE),VLOOKUP($E63,Sheet3!$H$2:$O$200,J$1,FALSE)))</f>
        <v>0</v>
      </c>
      <c r="K63" s="15">
        <f>IFERROR(VLOOKUP($C63,Sheet3!$H$2:$O$200,K$1,FALSE),IFERROR(VLOOKUP($D63,Sheet3!$H$2:$O$200,K$1,FALSE),VLOOKUP($E63,Sheet3!$H$2:$O$200,K$1,FALSE)))</f>
        <v>0</v>
      </c>
      <c r="L63" s="15" t="str">
        <f>IFERROR(VLOOKUP($C63,Sheet3!$H$2:$O$200,L$1,FALSE),IFERROR(VLOOKUP($D63,Sheet3!$H$2:$O$200,L$1,FALSE),VLOOKUP($E63,Sheet3!$H$2:$O$200,L$1,FALSE)))</f>
        <v>lemon juice</v>
      </c>
      <c r="M63" s="15">
        <f>IFERROR(VLOOKUP($C63,Sheet3!$H$2:$O$200,M$1,FALSE),IFERROR(VLOOKUP($D63,Sheet3!$H$2:$O$200,M$1,FALSE),VLOOKUP($E63,Sheet3!$H$2:$O$200,M$1,FALSE)))</f>
        <v>0</v>
      </c>
      <c r="N63" s="15">
        <f>IFERROR(VLOOKUP($C63,Sheet3!$H$2:$O$200,N$1,FALSE),IFERROR(VLOOKUP($D63,Sheet3!$H$2:$O$200,N$1,FALSE),VLOOKUP($E63,Sheet3!$H$2:$O$200,N$1,FALSE)))</f>
        <v>0</v>
      </c>
      <c r="O63" s="15">
        <f>IFERROR(VLOOKUP($C63,Sheet3!$H$2:$O$200,O$1,FALSE),IFERROR(VLOOKUP($D63,Sheet3!$H$2:$O$200,O$1,FALSE),VLOOKUP($E63,Sheet3!$H$2:$O$200,O$1,FALSE)))</f>
        <v>0</v>
      </c>
      <c r="P63" s="15">
        <f>IFERROR(VLOOKUP($C63,Sheet3!$H$2:$O$200,P$1,FALSE),IFERROR(VLOOKUP($D63,Sheet3!$H$2:$O$200,P$1,FALSE),VLOOKUP($E63,Sheet3!$H$2:$O$200,P$1,FALSE)))</f>
        <v>0</v>
      </c>
      <c r="Q63" s="15">
        <f>IFERROR(IF(ISBLANK(J63),IFERROR(VLOOKUP($D63,Sheet3!$H$2:$O$200,Q$1,FALSE),IFERROR(VLOOKUP($E63,Sheet3!$H$2:$O$200,Q$1,FALSE),VLOOKUP($F63,Sheet3!$H$2:$O$200,Q$1,FALSE))),$I$1),$I$1)</f>
        <v>0</v>
      </c>
      <c r="R63" s="15">
        <f>IFERROR(IF(ISBLANK(K63),IFERROR(VLOOKUP($D63,Sheet3!$H$2:$O$200,R$1,FALSE),IFERROR(VLOOKUP($E63,Sheet3!$H$2:$O$200,R$1,FALSE),VLOOKUP($F63,Sheet3!$H$2:$O$200,R$1,FALSE))),$I$1),$I$1)</f>
        <v>0</v>
      </c>
      <c r="S63" s="15">
        <f>IFERROR(IF(ISBLANK(L63),IFERROR(VLOOKUP($D63,Sheet3!$H$2:$O$200,S$1,FALSE),IFERROR(VLOOKUP($E63,Sheet3!$H$2:$O$200,S$1,FALSE),VLOOKUP($F63,Sheet3!$H$2:$O$200,S$1,FALSE))),$I$1),$I$1)</f>
        <v>0</v>
      </c>
      <c r="T63" s="15">
        <f>IFERROR(IF(ISBLANK(M63),IFERROR(VLOOKUP($D63,Sheet3!$H$2:$O$200,T$1,FALSE),IFERROR(VLOOKUP($E63,Sheet3!$H$2:$O$200,T$1,FALSE),VLOOKUP($F63,Sheet3!$H$2:$O$200,T$1,FALSE))),$I$1),$I$1)</f>
        <v>0</v>
      </c>
      <c r="U63" s="15">
        <f>IFERROR(IF(ISBLANK(N63),IFERROR(VLOOKUP($D63,Sheet3!$H$2:$O$200,U$1,FALSE),IFERROR(VLOOKUP($E63,Sheet3!$H$2:$O$200,U$1,FALSE),VLOOKUP($F63,Sheet3!$H$2:$O$200,U$1,FALSE))),$I$1),$I$1)</f>
        <v>0</v>
      </c>
      <c r="V63" s="15">
        <f>IFERROR(IF(ISBLANK(O63),IFERROR(VLOOKUP($D63,Sheet3!$H$2:$O$200,V$1,FALSE),IFERROR(VLOOKUP($E63,Sheet3!$H$2:$O$200,V$1,FALSE),VLOOKUP($F63,Sheet3!$H$2:$O$200,V$1,FALSE))),$I$1),$I$1)</f>
        <v>0</v>
      </c>
      <c r="W63" s="15">
        <f>IFERROR(IF(ISBLANK(P63),IFERROR(VLOOKUP($D63,Sheet3!$H$2:$O$200,W$1,FALSE),IFERROR(VLOOKUP($E63,Sheet3!$H$2:$O$200,W$1,FALSE),VLOOKUP($F63,Sheet3!$H$2:$O$200,W$1,FALSE))),$I$1),$I$1)</f>
        <v>0</v>
      </c>
      <c r="X63" s="15">
        <f>IFERROR(IF(ISBLANK(Q63),IFERROR(VLOOKUP($E63,Sheet3!$H$2:$O$200,X$1,FALSE),IFERROR(VLOOKUP($F63,Sheet3!$H$2:$O$200,X$1,FALSE),VLOOKUP($G63,Sheet3!$H$2:$O$200,X$1,FALSE))),$I$1),$I$1)</f>
        <v>0</v>
      </c>
      <c r="Y63" s="15">
        <f>IFERROR(IF(ISBLANK(R63),IFERROR(VLOOKUP($E63,Sheet3!$H$2:$O$200,Y$1,FALSE),IFERROR(VLOOKUP($F63,Sheet3!$H$2:$O$200,Y$1,FALSE),VLOOKUP($G63,Sheet3!$H$2:$O$200,Y$1,FALSE))),$I$1),$I$1)</f>
        <v>0</v>
      </c>
      <c r="Z63" s="15">
        <f>IFERROR(IF(ISBLANK(S63),IFERROR(VLOOKUP($E63,Sheet3!$H$2:$O$200,Z$1,FALSE),IFERROR(VLOOKUP($F63,Sheet3!$H$2:$O$200,Z$1,FALSE),VLOOKUP($G63,Sheet3!$H$2:$O$200,Z$1,FALSE))),$I$1),$I$1)</f>
        <v>0</v>
      </c>
      <c r="AA63" s="15">
        <f>IFERROR(IF(ISBLANK(T63),IFERROR(VLOOKUP($E63,Sheet3!$H$2:$O$200,AA$1,FALSE),IFERROR(VLOOKUP($F63,Sheet3!$H$2:$O$200,AA$1,FALSE),VLOOKUP($G63,Sheet3!$H$2:$O$200,AA$1,FALSE))),$I$1),$I$1)</f>
        <v>0</v>
      </c>
      <c r="AB63" s="15">
        <f>IFERROR(IF(ISBLANK(U63),IFERROR(VLOOKUP($E63,Sheet3!$H$2:$O$200,AB$1,FALSE),IFERROR(VLOOKUP($F63,Sheet3!$H$2:$O$200,AB$1,FALSE),VLOOKUP($G63,Sheet3!$H$2:$O$200,AB$1,FALSE))),$I$1),$I$1)</f>
        <v>0</v>
      </c>
      <c r="AC63" s="15">
        <f>IFERROR(IF(ISBLANK(V63),IFERROR(VLOOKUP($E63,Sheet3!$H$2:$O$200,AC$1,FALSE),IFERROR(VLOOKUP($F63,Sheet3!$H$2:$O$200,AC$1,FALSE),VLOOKUP($G63,Sheet3!$H$2:$O$200,AC$1,FALSE))),$I$1),$I$1)</f>
        <v>0</v>
      </c>
      <c r="AD63" s="15">
        <f>IFERROR(IF(ISBLANK(W63),IFERROR(VLOOKUP($E63,Sheet3!$H$2:$O$200,AD$1,FALSE),IFERROR(VLOOKUP($F63,Sheet3!$H$2:$O$200,AD$1,FALSE),VLOOKUP($G63,Sheet3!$H$2:$O$200,AD$1,FALSE))),$I$1),$I$1)</f>
        <v>0</v>
      </c>
      <c r="AE63" s="15">
        <f>IFERROR(IF(ISBLANK(X63),IFERROR(VLOOKUP($F63,Sheet3!$H$2:$O$200,AE$1,FALSE),VLOOKUP($G63,Sheet3!$H$2:$O$200,AE$1,FALSE)),$I$1),$I$1)</f>
        <v>0</v>
      </c>
      <c r="AF63" s="15">
        <f>IFERROR(IF(ISBLANK(Y63),IFERROR(VLOOKUP($F63,Sheet3!$H$2:$O$200,AF$1,FALSE),VLOOKUP($G63,Sheet3!$H$2:$O$200,AF$1,FALSE)),$I$1),$I$1)</f>
        <v>0</v>
      </c>
      <c r="AG63" s="15">
        <f>IFERROR(IF(ISBLANK(Z63),IFERROR(VLOOKUP($F63,Sheet3!$H$2:$O$200,AG$1,FALSE),VLOOKUP($G63,Sheet3!$H$2:$O$200,AG$1,FALSE)),$I$1),$I$1)</f>
        <v>0</v>
      </c>
      <c r="AH63" s="15">
        <f>IFERROR(IF(ISBLANK(AA63),IFERROR(VLOOKUP($F63,Sheet3!$H$2:$O$200,AH$1,FALSE),VLOOKUP($G63,Sheet3!$H$2:$O$200,AH$1,FALSE)),$I$1),$I$1)</f>
        <v>0</v>
      </c>
      <c r="AI63" s="15">
        <f>IFERROR(IF(ISBLANK(AB63),IFERROR(VLOOKUP($F63,Sheet3!$H$2:$O$200,AI$1,FALSE),VLOOKUP($G63,Sheet3!$H$2:$O$200,AI$1,FALSE)),$I$1),$I$1)</f>
        <v>0</v>
      </c>
      <c r="AJ63" s="15">
        <f>IFERROR(IF(ISBLANK(AC63),IFERROR(VLOOKUP($F63,Sheet3!$H$2:$O$200,AJ$1,FALSE),VLOOKUP($G63,Sheet3!$H$2:$O$200,AJ$1,FALSE)),$I$1),$I$1)</f>
        <v>0</v>
      </c>
      <c r="AK63" s="15">
        <f>IFERROR(IF(ISBLANK(AD63),IFERROR(VLOOKUP($F63,Sheet3!$H$2:$O$200,AK$1,FALSE),VLOOKUP($G63,Sheet3!$H$2:$O$200,AK$1,FALSE)),$I$1),$I$1)</f>
        <v>0</v>
      </c>
      <c r="AL63" s="15">
        <f>IFERROR(IF(ISBLANK(AE63),VLOOKUP($G63,Sheet3!$H$2:$O$200,AL$1,FALSE),$I$1),$I$1)</f>
        <v>0</v>
      </c>
      <c r="AM63" s="15">
        <f>IFERROR(IF(ISBLANK(AF63),VLOOKUP($G63,Sheet3!$H$2:$O$200,AM$1,FALSE),$I$1),$I$1)</f>
        <v>0</v>
      </c>
      <c r="AN63" s="15">
        <f>IFERROR(IF(ISBLANK(AG63),VLOOKUP($G63,Sheet3!$H$2:$O$200,AN$1,FALSE),$I$1),$I$1)</f>
        <v>0</v>
      </c>
      <c r="AO63" s="15">
        <f>IFERROR(IF(ISBLANK(AH63),VLOOKUP($G63,Sheet3!$H$2:$O$200,AO$1,FALSE),$I$1),$I$1)</f>
        <v>0</v>
      </c>
      <c r="AP63" s="15">
        <f>IFERROR(IF(ISBLANK(AI63),VLOOKUP($G63,Sheet3!$H$2:$O$200,AP$1,FALSE),$I$1),$I$1)</f>
        <v>0</v>
      </c>
      <c r="AQ63" s="15">
        <f>IFERROR(IF(ISBLANK(AJ63),VLOOKUP($G63,Sheet3!$H$2:$O$200,AQ$1,FALSE),$I$1),$I$1)</f>
        <v>0</v>
      </c>
      <c r="AR63" s="15">
        <f>IFERROR(IF(ISBLANK(AK63),VLOOKUP($G63,Sheet3!$H$2:$O$200,AR$1,FALSE),$I$1),$I$1)</f>
        <v>0</v>
      </c>
      <c r="AS63" s="15">
        <f t="shared" si="1"/>
        <v>28</v>
      </c>
      <c r="AT63" s="15" t="b">
        <f t="shared" si="2"/>
        <v>0</v>
      </c>
    </row>
    <row r="64" spans="1:46" x14ac:dyDescent="0.2">
      <c r="A64" s="19" t="s">
        <v>164</v>
      </c>
      <c r="B64" s="19" t="s">
        <v>148</v>
      </c>
      <c r="C64" s="19" t="s">
        <v>30</v>
      </c>
      <c r="D64" s="19" t="s">
        <v>38</v>
      </c>
      <c r="E64" s="19" t="s">
        <v>66</v>
      </c>
      <c r="F64" s="19"/>
      <c r="G64" s="19"/>
      <c r="H64" s="19" t="s">
        <v>164</v>
      </c>
      <c r="I64" s="15">
        <f t="shared" si="0"/>
        <v>3</v>
      </c>
      <c r="J64" s="15">
        <f>IFERROR(VLOOKUP($C64,Sheet3!$H$2:$O$200,J$1,FALSE),IFERROR(VLOOKUP($D64,Sheet3!$H$2:$O$200,J$1,FALSE),VLOOKUP($E64,Sheet3!$H$2:$O$200,J$1,FALSE)))</f>
        <v>0</v>
      </c>
      <c r="K64" s="15">
        <f>IFERROR(VLOOKUP($C64,Sheet3!$H$2:$O$200,K$1,FALSE),IFERROR(VLOOKUP($D64,Sheet3!$H$2:$O$200,K$1,FALSE),VLOOKUP($E64,Sheet3!$H$2:$O$200,K$1,FALSE)))</f>
        <v>0</v>
      </c>
      <c r="L64" s="15">
        <f>IFERROR(VLOOKUP($C64,Sheet3!$H$2:$O$200,L$1,FALSE),IFERROR(VLOOKUP($D64,Sheet3!$H$2:$O$200,L$1,FALSE),VLOOKUP($E64,Sheet3!$H$2:$O$200,L$1,FALSE)))</f>
        <v>0</v>
      </c>
      <c r="M64" s="15" t="str">
        <f>IFERROR(VLOOKUP($C64,Sheet3!$H$2:$O$200,M$1,FALSE),IFERROR(VLOOKUP($D64,Sheet3!$H$2:$O$200,M$1,FALSE),VLOOKUP($E64,Sheet3!$H$2:$O$200,M$1,FALSE)))</f>
        <v>amaretto</v>
      </c>
      <c r="N64" s="15">
        <f>IFERROR(VLOOKUP($C64,Sheet3!$H$2:$O$200,N$1,FALSE),IFERROR(VLOOKUP($D64,Sheet3!$H$2:$O$200,N$1,FALSE),VLOOKUP($E64,Sheet3!$H$2:$O$200,N$1,FALSE)))</f>
        <v>0</v>
      </c>
      <c r="O64" s="15">
        <f>IFERROR(VLOOKUP($C64,Sheet3!$H$2:$O$200,O$1,FALSE),IFERROR(VLOOKUP($D64,Sheet3!$H$2:$O$200,O$1,FALSE),VLOOKUP($E64,Sheet3!$H$2:$O$200,O$1,FALSE)))</f>
        <v>0</v>
      </c>
      <c r="P64" s="15">
        <f>IFERROR(VLOOKUP($C64,Sheet3!$H$2:$O$200,P$1,FALSE),IFERROR(VLOOKUP($D64,Sheet3!$H$2:$O$200,P$1,FALSE),VLOOKUP($E64,Sheet3!$H$2:$O$200,P$1,FALSE)))</f>
        <v>0</v>
      </c>
      <c r="Q64" s="15">
        <f>IFERROR(IF(ISBLANK(J64),IFERROR(VLOOKUP($D64,Sheet3!$H$2:$O$200,Q$1,FALSE),IFERROR(VLOOKUP($E64,Sheet3!$H$2:$O$200,Q$1,FALSE),VLOOKUP($F64,Sheet3!$H$2:$O$200,Q$1,FALSE))),$I$1),$I$1)</f>
        <v>0</v>
      </c>
      <c r="R64" s="15">
        <f>IFERROR(IF(ISBLANK(K64),IFERROR(VLOOKUP($D64,Sheet3!$H$2:$O$200,R$1,FALSE),IFERROR(VLOOKUP($E64,Sheet3!$H$2:$O$200,R$1,FALSE),VLOOKUP($F64,Sheet3!$H$2:$O$200,R$1,FALSE))),$I$1),$I$1)</f>
        <v>0</v>
      </c>
      <c r="S64" s="15">
        <f>IFERROR(IF(ISBLANK(L64),IFERROR(VLOOKUP($D64,Sheet3!$H$2:$O$200,S$1,FALSE),IFERROR(VLOOKUP($E64,Sheet3!$H$2:$O$200,S$1,FALSE),VLOOKUP($F64,Sheet3!$H$2:$O$200,S$1,FALSE))),$I$1),$I$1)</f>
        <v>0</v>
      </c>
      <c r="T64" s="15">
        <f>IFERROR(IF(ISBLANK(M64),IFERROR(VLOOKUP($D64,Sheet3!$H$2:$O$200,T$1,FALSE),IFERROR(VLOOKUP($E64,Sheet3!$H$2:$O$200,T$1,FALSE),VLOOKUP($F64,Sheet3!$H$2:$O$200,T$1,FALSE))),$I$1),$I$1)</f>
        <v>0</v>
      </c>
      <c r="U64" s="15">
        <f>IFERROR(IF(ISBLANK(N64),IFERROR(VLOOKUP($D64,Sheet3!$H$2:$O$200,U$1,FALSE),IFERROR(VLOOKUP($E64,Sheet3!$H$2:$O$200,U$1,FALSE),VLOOKUP($F64,Sheet3!$H$2:$O$200,U$1,FALSE))),$I$1),$I$1)</f>
        <v>0</v>
      </c>
      <c r="V64" s="15">
        <f>IFERROR(IF(ISBLANK(O64),IFERROR(VLOOKUP($D64,Sheet3!$H$2:$O$200,V$1,FALSE),IFERROR(VLOOKUP($E64,Sheet3!$H$2:$O$200,V$1,FALSE),VLOOKUP($F64,Sheet3!$H$2:$O$200,V$1,FALSE))),$I$1),$I$1)</f>
        <v>0</v>
      </c>
      <c r="W64" s="15">
        <f>IFERROR(IF(ISBLANK(P64),IFERROR(VLOOKUP($D64,Sheet3!$H$2:$O$200,W$1,FALSE),IFERROR(VLOOKUP($E64,Sheet3!$H$2:$O$200,W$1,FALSE),VLOOKUP($F64,Sheet3!$H$2:$O$200,W$1,FALSE))),$I$1),$I$1)</f>
        <v>0</v>
      </c>
      <c r="X64" s="15">
        <f>IFERROR(IF(ISBLANK(Q64),IFERROR(VLOOKUP($E64,Sheet3!$H$2:$O$200,X$1,FALSE),IFERROR(VLOOKUP($F64,Sheet3!$H$2:$O$200,X$1,FALSE),VLOOKUP($G64,Sheet3!$H$2:$O$200,X$1,FALSE))),$I$1),$I$1)</f>
        <v>0</v>
      </c>
      <c r="Y64" s="15">
        <f>IFERROR(IF(ISBLANK(R64),IFERROR(VLOOKUP($E64,Sheet3!$H$2:$O$200,Y$1,FALSE),IFERROR(VLOOKUP($F64,Sheet3!$H$2:$O$200,Y$1,FALSE),VLOOKUP($G64,Sheet3!$H$2:$O$200,Y$1,FALSE))),$I$1),$I$1)</f>
        <v>0</v>
      </c>
      <c r="Z64" s="15">
        <f>IFERROR(IF(ISBLANK(S64),IFERROR(VLOOKUP($E64,Sheet3!$H$2:$O$200,Z$1,FALSE),IFERROR(VLOOKUP($F64,Sheet3!$H$2:$O$200,Z$1,FALSE),VLOOKUP($G64,Sheet3!$H$2:$O$200,Z$1,FALSE))),$I$1),$I$1)</f>
        <v>0</v>
      </c>
      <c r="AA64" s="15">
        <f>IFERROR(IF(ISBLANK(T64),IFERROR(VLOOKUP($E64,Sheet3!$H$2:$O$200,AA$1,FALSE),IFERROR(VLOOKUP($F64,Sheet3!$H$2:$O$200,AA$1,FALSE),VLOOKUP($G64,Sheet3!$H$2:$O$200,AA$1,FALSE))),$I$1),$I$1)</f>
        <v>0</v>
      </c>
      <c r="AB64" s="15">
        <f>IFERROR(IF(ISBLANK(U64),IFERROR(VLOOKUP($E64,Sheet3!$H$2:$O$200,AB$1,FALSE),IFERROR(VLOOKUP($F64,Sheet3!$H$2:$O$200,AB$1,FALSE),VLOOKUP($G64,Sheet3!$H$2:$O$200,AB$1,FALSE))),$I$1),$I$1)</f>
        <v>0</v>
      </c>
      <c r="AC64" s="15">
        <f>IFERROR(IF(ISBLANK(V64),IFERROR(VLOOKUP($E64,Sheet3!$H$2:$O$200,AC$1,FALSE),IFERROR(VLOOKUP($F64,Sheet3!$H$2:$O$200,AC$1,FALSE),VLOOKUP($G64,Sheet3!$H$2:$O$200,AC$1,FALSE))),$I$1),$I$1)</f>
        <v>0</v>
      </c>
      <c r="AD64" s="15">
        <f>IFERROR(IF(ISBLANK(W64),IFERROR(VLOOKUP($E64,Sheet3!$H$2:$O$200,AD$1,FALSE),IFERROR(VLOOKUP($F64,Sheet3!$H$2:$O$200,AD$1,FALSE),VLOOKUP($G64,Sheet3!$H$2:$O$200,AD$1,FALSE))),$I$1),$I$1)</f>
        <v>0</v>
      </c>
      <c r="AE64" s="15">
        <f>IFERROR(IF(ISBLANK(X64),IFERROR(VLOOKUP($F64,Sheet3!$H$2:$O$200,AE$1,FALSE),VLOOKUP($G64,Sheet3!$H$2:$O$200,AE$1,FALSE)),$I$1),$I$1)</f>
        <v>0</v>
      </c>
      <c r="AF64" s="15">
        <f>IFERROR(IF(ISBLANK(Y64),IFERROR(VLOOKUP($F64,Sheet3!$H$2:$O$200,AF$1,FALSE),VLOOKUP($G64,Sheet3!$H$2:$O$200,AF$1,FALSE)),$I$1),$I$1)</f>
        <v>0</v>
      </c>
      <c r="AG64" s="15">
        <f>IFERROR(IF(ISBLANK(Z64),IFERROR(VLOOKUP($F64,Sheet3!$H$2:$O$200,AG$1,FALSE),VLOOKUP($G64,Sheet3!$H$2:$O$200,AG$1,FALSE)),$I$1),$I$1)</f>
        <v>0</v>
      </c>
      <c r="AH64" s="15">
        <f>IFERROR(IF(ISBLANK(AA64),IFERROR(VLOOKUP($F64,Sheet3!$H$2:$O$200,AH$1,FALSE),VLOOKUP($G64,Sheet3!$H$2:$O$200,AH$1,FALSE)),$I$1),$I$1)</f>
        <v>0</v>
      </c>
      <c r="AI64" s="15">
        <f>IFERROR(IF(ISBLANK(AB64),IFERROR(VLOOKUP($F64,Sheet3!$H$2:$O$200,AI$1,FALSE),VLOOKUP($G64,Sheet3!$H$2:$O$200,AI$1,FALSE)),$I$1),$I$1)</f>
        <v>0</v>
      </c>
      <c r="AJ64" s="15">
        <f>IFERROR(IF(ISBLANK(AC64),IFERROR(VLOOKUP($F64,Sheet3!$H$2:$O$200,AJ$1,FALSE),VLOOKUP($G64,Sheet3!$H$2:$O$200,AJ$1,FALSE)),$I$1),$I$1)</f>
        <v>0</v>
      </c>
      <c r="AK64" s="15">
        <f>IFERROR(IF(ISBLANK(AD64),IFERROR(VLOOKUP($F64,Sheet3!$H$2:$O$200,AK$1,FALSE),VLOOKUP($G64,Sheet3!$H$2:$O$200,AK$1,FALSE)),$I$1),$I$1)</f>
        <v>0</v>
      </c>
      <c r="AL64" s="15">
        <f>IFERROR(IF(ISBLANK(AE64),VLOOKUP($G64,Sheet3!$H$2:$O$200,AL$1,FALSE),$I$1),$I$1)</f>
        <v>0</v>
      </c>
      <c r="AM64" s="15">
        <f>IFERROR(IF(ISBLANK(AF64),VLOOKUP($G64,Sheet3!$H$2:$O$200,AM$1,FALSE),$I$1),$I$1)</f>
        <v>0</v>
      </c>
      <c r="AN64" s="15">
        <f>IFERROR(IF(ISBLANK(AG64),VLOOKUP($G64,Sheet3!$H$2:$O$200,AN$1,FALSE),$I$1),$I$1)</f>
        <v>0</v>
      </c>
      <c r="AO64" s="15">
        <f>IFERROR(IF(ISBLANK(AH64),VLOOKUP($G64,Sheet3!$H$2:$O$200,AO$1,FALSE),$I$1),$I$1)</f>
        <v>0</v>
      </c>
      <c r="AP64" s="15">
        <f>IFERROR(IF(ISBLANK(AI64),VLOOKUP($G64,Sheet3!$H$2:$O$200,AP$1,FALSE),$I$1),$I$1)</f>
        <v>0</v>
      </c>
      <c r="AQ64" s="15">
        <f>IFERROR(IF(ISBLANK(AJ64),VLOOKUP($G64,Sheet3!$H$2:$O$200,AQ$1,FALSE),$I$1),$I$1)</f>
        <v>0</v>
      </c>
      <c r="AR64" s="15">
        <f>IFERROR(IF(ISBLANK(AK64),VLOOKUP($G64,Sheet3!$H$2:$O$200,AR$1,FALSE),$I$1),$I$1)</f>
        <v>0</v>
      </c>
      <c r="AS64" s="15">
        <f t="shared" si="1"/>
        <v>28</v>
      </c>
      <c r="AT64" s="15" t="b">
        <f t="shared" si="2"/>
        <v>0</v>
      </c>
    </row>
    <row r="65" spans="1:46" x14ac:dyDescent="0.2">
      <c r="A65" s="19" t="s">
        <v>165</v>
      </c>
      <c r="B65" s="19" t="s">
        <v>148</v>
      </c>
      <c r="C65" s="19" t="s">
        <v>60</v>
      </c>
      <c r="D65" s="19" t="s">
        <v>38</v>
      </c>
      <c r="E65" s="19" t="s">
        <v>52</v>
      </c>
      <c r="F65" s="19" t="s">
        <v>55</v>
      </c>
      <c r="G65" s="19"/>
      <c r="H65" s="19" t="s">
        <v>165</v>
      </c>
      <c r="I65" s="15">
        <f t="shared" si="0"/>
        <v>4</v>
      </c>
      <c r="J65" s="15">
        <f>IFERROR(VLOOKUP($C65,Sheet3!$H$2:$O$200,J$1,FALSE),IFERROR(VLOOKUP($D65,Sheet3!$H$2:$O$200,J$1,FALSE),VLOOKUP($E65,Sheet3!$H$2:$O$200,J$1,FALSE)))</f>
        <v>0</v>
      </c>
      <c r="K65" s="15">
        <f>IFERROR(VLOOKUP($C65,Sheet3!$H$2:$O$200,K$1,FALSE),IFERROR(VLOOKUP($D65,Sheet3!$H$2:$O$200,K$1,FALSE),VLOOKUP($E65,Sheet3!$H$2:$O$200,K$1,FALSE)))</f>
        <v>0</v>
      </c>
      <c r="L65" s="15">
        <f>IFERROR(VLOOKUP($C65,Sheet3!$H$2:$O$200,L$1,FALSE),IFERROR(VLOOKUP($D65,Sheet3!$H$2:$O$200,L$1,FALSE),VLOOKUP($E65,Sheet3!$H$2:$O$200,L$1,FALSE)))</f>
        <v>0</v>
      </c>
      <c r="M65" s="15" t="str">
        <f>IFERROR(VLOOKUP($C65,Sheet3!$H$2:$O$200,M$1,FALSE),IFERROR(VLOOKUP($D65,Sheet3!$H$2:$O$200,M$1,FALSE),VLOOKUP($E65,Sheet3!$H$2:$O$200,M$1,FALSE)))</f>
        <v>apricot brandy</v>
      </c>
      <c r="N65" s="15">
        <f>IFERROR(VLOOKUP($C65,Sheet3!$H$2:$O$200,N$1,FALSE),IFERROR(VLOOKUP($D65,Sheet3!$H$2:$O$200,N$1,FALSE),VLOOKUP($E65,Sheet3!$H$2:$O$200,N$1,FALSE)))</f>
        <v>0</v>
      </c>
      <c r="O65" s="15">
        <f>IFERROR(VLOOKUP($C65,Sheet3!$H$2:$O$200,O$1,FALSE),IFERROR(VLOOKUP($D65,Sheet3!$H$2:$O$200,O$1,FALSE),VLOOKUP($E65,Sheet3!$H$2:$O$200,O$1,FALSE)))</f>
        <v>0</v>
      </c>
      <c r="P65" s="15">
        <f>IFERROR(VLOOKUP($C65,Sheet3!$H$2:$O$200,P$1,FALSE),IFERROR(VLOOKUP($D65,Sheet3!$H$2:$O$200,P$1,FALSE),VLOOKUP($E65,Sheet3!$H$2:$O$200,P$1,FALSE)))</f>
        <v>0</v>
      </c>
      <c r="Q65" s="15">
        <f>IFERROR(IF(ISBLANK(J65),IFERROR(VLOOKUP($D65,Sheet3!$H$2:$O$200,Q$1,FALSE),IFERROR(VLOOKUP($E65,Sheet3!$H$2:$O$200,Q$1,FALSE),VLOOKUP($F65,Sheet3!$H$2:$O$200,Q$1,FALSE))),$I$1),$I$1)</f>
        <v>0</v>
      </c>
      <c r="R65" s="15">
        <f>IFERROR(IF(ISBLANK(K65),IFERROR(VLOOKUP($D65,Sheet3!$H$2:$O$200,R$1,FALSE),IFERROR(VLOOKUP($E65,Sheet3!$H$2:$O$200,R$1,FALSE),VLOOKUP($F65,Sheet3!$H$2:$O$200,R$1,FALSE))),$I$1),$I$1)</f>
        <v>0</v>
      </c>
      <c r="S65" s="15">
        <f>IFERROR(IF(ISBLANK(L65),IFERROR(VLOOKUP($D65,Sheet3!$H$2:$O$200,S$1,FALSE),IFERROR(VLOOKUP($E65,Sheet3!$H$2:$O$200,S$1,FALSE),VLOOKUP($F65,Sheet3!$H$2:$O$200,S$1,FALSE))),$I$1),$I$1)</f>
        <v>0</v>
      </c>
      <c r="T65" s="15">
        <f>IFERROR(IF(ISBLANK(M65),IFERROR(VLOOKUP($D65,Sheet3!$H$2:$O$200,T$1,FALSE),IFERROR(VLOOKUP($E65,Sheet3!$H$2:$O$200,T$1,FALSE),VLOOKUP($F65,Sheet3!$H$2:$O$200,T$1,FALSE))),$I$1),$I$1)</f>
        <v>0</v>
      </c>
      <c r="U65" s="15">
        <f>IFERROR(IF(ISBLANK(N65),IFERROR(VLOOKUP($D65,Sheet3!$H$2:$O$200,U$1,FALSE),IFERROR(VLOOKUP($E65,Sheet3!$H$2:$O$200,U$1,FALSE),VLOOKUP($F65,Sheet3!$H$2:$O$200,U$1,FALSE))),$I$1),$I$1)</f>
        <v>0</v>
      </c>
      <c r="V65" s="15">
        <f>IFERROR(IF(ISBLANK(O65),IFERROR(VLOOKUP($D65,Sheet3!$H$2:$O$200,V$1,FALSE),IFERROR(VLOOKUP($E65,Sheet3!$H$2:$O$200,V$1,FALSE),VLOOKUP($F65,Sheet3!$H$2:$O$200,V$1,FALSE))),$I$1),$I$1)</f>
        <v>0</v>
      </c>
      <c r="W65" s="15">
        <f>IFERROR(IF(ISBLANK(P65),IFERROR(VLOOKUP($D65,Sheet3!$H$2:$O$200,W$1,FALSE),IFERROR(VLOOKUP($E65,Sheet3!$H$2:$O$200,W$1,FALSE),VLOOKUP($F65,Sheet3!$H$2:$O$200,W$1,FALSE))),$I$1),$I$1)</f>
        <v>0</v>
      </c>
      <c r="X65" s="15">
        <f>IFERROR(IF(ISBLANK(Q65),IFERROR(VLOOKUP($E65,Sheet3!$H$2:$O$200,X$1,FALSE),IFERROR(VLOOKUP($F65,Sheet3!$H$2:$O$200,X$1,FALSE),VLOOKUP($G65,Sheet3!$H$2:$O$200,X$1,FALSE))),$I$1),$I$1)</f>
        <v>0</v>
      </c>
      <c r="Y65" s="15">
        <f>IFERROR(IF(ISBLANK(R65),IFERROR(VLOOKUP($E65,Sheet3!$H$2:$O$200,Y$1,FALSE),IFERROR(VLOOKUP($F65,Sheet3!$H$2:$O$200,Y$1,FALSE),VLOOKUP($G65,Sheet3!$H$2:$O$200,Y$1,FALSE))),$I$1),$I$1)</f>
        <v>0</v>
      </c>
      <c r="Z65" s="15">
        <f>IFERROR(IF(ISBLANK(S65),IFERROR(VLOOKUP($E65,Sheet3!$H$2:$O$200,Z$1,FALSE),IFERROR(VLOOKUP($F65,Sheet3!$H$2:$O$200,Z$1,FALSE),VLOOKUP($G65,Sheet3!$H$2:$O$200,Z$1,FALSE))),$I$1),$I$1)</f>
        <v>0</v>
      </c>
      <c r="AA65" s="15">
        <f>IFERROR(IF(ISBLANK(T65),IFERROR(VLOOKUP($E65,Sheet3!$H$2:$O$200,AA$1,FALSE),IFERROR(VLOOKUP($F65,Sheet3!$H$2:$O$200,AA$1,FALSE),VLOOKUP($G65,Sheet3!$H$2:$O$200,AA$1,FALSE))),$I$1),$I$1)</f>
        <v>0</v>
      </c>
      <c r="AB65" s="15">
        <f>IFERROR(IF(ISBLANK(U65),IFERROR(VLOOKUP($E65,Sheet3!$H$2:$O$200,AB$1,FALSE),IFERROR(VLOOKUP($F65,Sheet3!$H$2:$O$200,AB$1,FALSE),VLOOKUP($G65,Sheet3!$H$2:$O$200,AB$1,FALSE))),$I$1),$I$1)</f>
        <v>0</v>
      </c>
      <c r="AC65" s="15">
        <f>IFERROR(IF(ISBLANK(V65),IFERROR(VLOOKUP($E65,Sheet3!$H$2:$O$200,AC$1,FALSE),IFERROR(VLOOKUP($F65,Sheet3!$H$2:$O$200,AC$1,FALSE),VLOOKUP($G65,Sheet3!$H$2:$O$200,AC$1,FALSE))),$I$1),$I$1)</f>
        <v>0</v>
      </c>
      <c r="AD65" s="15">
        <f>IFERROR(IF(ISBLANK(W65),IFERROR(VLOOKUP($E65,Sheet3!$H$2:$O$200,AD$1,FALSE),IFERROR(VLOOKUP($F65,Sheet3!$H$2:$O$200,AD$1,FALSE),VLOOKUP($G65,Sheet3!$H$2:$O$200,AD$1,FALSE))),$I$1),$I$1)</f>
        <v>0</v>
      </c>
      <c r="AE65" s="15">
        <f>IFERROR(IF(ISBLANK(X65),IFERROR(VLOOKUP($F65,Sheet3!$H$2:$O$200,AE$1,FALSE),VLOOKUP($G65,Sheet3!$H$2:$O$200,AE$1,FALSE)),$I$1),$I$1)</f>
        <v>0</v>
      </c>
      <c r="AF65" s="15">
        <f>IFERROR(IF(ISBLANK(Y65),IFERROR(VLOOKUP($F65,Sheet3!$H$2:$O$200,AF$1,FALSE),VLOOKUP($G65,Sheet3!$H$2:$O$200,AF$1,FALSE)),$I$1),$I$1)</f>
        <v>0</v>
      </c>
      <c r="AG65" s="15">
        <f>IFERROR(IF(ISBLANK(Z65),IFERROR(VLOOKUP($F65,Sheet3!$H$2:$O$200,AG$1,FALSE),VLOOKUP($G65,Sheet3!$H$2:$O$200,AG$1,FALSE)),$I$1),$I$1)</f>
        <v>0</v>
      </c>
      <c r="AH65" s="15">
        <f>IFERROR(IF(ISBLANK(AA65),IFERROR(VLOOKUP($F65,Sheet3!$H$2:$O$200,AH$1,FALSE),VLOOKUP($G65,Sheet3!$H$2:$O$200,AH$1,FALSE)),$I$1),$I$1)</f>
        <v>0</v>
      </c>
      <c r="AI65" s="15">
        <f>IFERROR(IF(ISBLANK(AB65),IFERROR(VLOOKUP($F65,Sheet3!$H$2:$O$200,AI$1,FALSE),VLOOKUP($G65,Sheet3!$H$2:$O$200,AI$1,FALSE)),$I$1),$I$1)</f>
        <v>0</v>
      </c>
      <c r="AJ65" s="15">
        <f>IFERROR(IF(ISBLANK(AC65),IFERROR(VLOOKUP($F65,Sheet3!$H$2:$O$200,AJ$1,FALSE),VLOOKUP($G65,Sheet3!$H$2:$O$200,AJ$1,FALSE)),$I$1),$I$1)</f>
        <v>0</v>
      </c>
      <c r="AK65" s="15">
        <f>IFERROR(IF(ISBLANK(AD65),IFERROR(VLOOKUP($F65,Sheet3!$H$2:$O$200,AK$1,FALSE),VLOOKUP($G65,Sheet3!$H$2:$O$200,AK$1,FALSE)),$I$1),$I$1)</f>
        <v>0</v>
      </c>
      <c r="AL65" s="15">
        <f>IFERROR(IF(ISBLANK(AE65),VLOOKUP($G65,Sheet3!$H$2:$O$200,AL$1,FALSE),$I$1),$I$1)</f>
        <v>0</v>
      </c>
      <c r="AM65" s="15">
        <f>IFERROR(IF(ISBLANK(AF65),VLOOKUP($G65,Sheet3!$H$2:$O$200,AM$1,FALSE),$I$1),$I$1)</f>
        <v>0</v>
      </c>
      <c r="AN65" s="15">
        <f>IFERROR(IF(ISBLANK(AG65),VLOOKUP($G65,Sheet3!$H$2:$O$200,AN$1,FALSE),$I$1),$I$1)</f>
        <v>0</v>
      </c>
      <c r="AO65" s="15">
        <f>IFERROR(IF(ISBLANK(AH65),VLOOKUP($G65,Sheet3!$H$2:$O$200,AO$1,FALSE),$I$1),$I$1)</f>
        <v>0</v>
      </c>
      <c r="AP65" s="15">
        <f>IFERROR(IF(ISBLANK(AI65),VLOOKUP($G65,Sheet3!$H$2:$O$200,AP$1,FALSE),$I$1),$I$1)</f>
        <v>0</v>
      </c>
      <c r="AQ65" s="15">
        <f>IFERROR(IF(ISBLANK(AJ65),VLOOKUP($G65,Sheet3!$H$2:$O$200,AQ$1,FALSE),$I$1),$I$1)</f>
        <v>0</v>
      </c>
      <c r="AR65" s="15">
        <f>IFERROR(IF(ISBLANK(AK65),VLOOKUP($G65,Sheet3!$H$2:$O$200,AR$1,FALSE),$I$1),$I$1)</f>
        <v>0</v>
      </c>
      <c r="AS65" s="15">
        <f t="shared" si="1"/>
        <v>28</v>
      </c>
      <c r="AT65" s="15" t="b">
        <f t="shared" si="2"/>
        <v>0</v>
      </c>
    </row>
    <row r="66" spans="1:46" x14ac:dyDescent="0.2">
      <c r="A66" s="19" t="s">
        <v>166</v>
      </c>
      <c r="B66" s="19" t="s">
        <v>148</v>
      </c>
      <c r="C66" s="19" t="s">
        <v>60</v>
      </c>
      <c r="D66" s="19" t="s">
        <v>38</v>
      </c>
      <c r="E66" s="19" t="s">
        <v>126</v>
      </c>
      <c r="F66" s="19"/>
      <c r="G66" s="19"/>
      <c r="H66" s="19" t="s">
        <v>166</v>
      </c>
      <c r="I66" s="15">
        <f t="shared" si="0"/>
        <v>3</v>
      </c>
      <c r="J66" s="15">
        <f>IFERROR(VLOOKUP($C66,Sheet3!$H$2:$O$200,J$1,FALSE),IFERROR(VLOOKUP($D66,Sheet3!$H$2:$O$200,J$1,FALSE),VLOOKUP($E66,Sheet3!$H$2:$O$200,J$1,FALSE)))</f>
        <v>0</v>
      </c>
      <c r="K66" s="15">
        <f>IFERROR(VLOOKUP($C66,Sheet3!$H$2:$O$200,K$1,FALSE),IFERROR(VLOOKUP($D66,Sheet3!$H$2:$O$200,K$1,FALSE),VLOOKUP($E66,Sheet3!$H$2:$O$200,K$1,FALSE)))</f>
        <v>0</v>
      </c>
      <c r="L66" s="15">
        <f>IFERROR(VLOOKUP($C66,Sheet3!$H$2:$O$200,L$1,FALSE),IFERROR(VLOOKUP($D66,Sheet3!$H$2:$O$200,L$1,FALSE),VLOOKUP($E66,Sheet3!$H$2:$O$200,L$1,FALSE)))</f>
        <v>0</v>
      </c>
      <c r="M66" s="15" t="str">
        <f>IFERROR(VLOOKUP($C66,Sheet3!$H$2:$O$200,M$1,FALSE),IFERROR(VLOOKUP($D66,Sheet3!$H$2:$O$200,M$1,FALSE),VLOOKUP($E66,Sheet3!$H$2:$O$200,M$1,FALSE)))</f>
        <v>apricot brandy</v>
      </c>
      <c r="N66" s="15">
        <f>IFERROR(VLOOKUP($C66,Sheet3!$H$2:$O$200,N$1,FALSE),IFERROR(VLOOKUP($D66,Sheet3!$H$2:$O$200,N$1,FALSE),VLOOKUP($E66,Sheet3!$H$2:$O$200,N$1,FALSE)))</f>
        <v>0</v>
      </c>
      <c r="O66" s="15">
        <f>IFERROR(VLOOKUP($C66,Sheet3!$H$2:$O$200,O$1,FALSE),IFERROR(VLOOKUP($D66,Sheet3!$H$2:$O$200,O$1,FALSE),VLOOKUP($E66,Sheet3!$H$2:$O$200,O$1,FALSE)))</f>
        <v>0</v>
      </c>
      <c r="P66" s="15">
        <f>IFERROR(VLOOKUP($C66,Sheet3!$H$2:$O$200,P$1,FALSE),IFERROR(VLOOKUP($D66,Sheet3!$H$2:$O$200,P$1,FALSE),VLOOKUP($E66,Sheet3!$H$2:$O$200,P$1,FALSE)))</f>
        <v>0</v>
      </c>
      <c r="Q66" s="15">
        <f>IFERROR(IF(ISBLANK(J66),IFERROR(VLOOKUP($D66,Sheet3!$H$2:$O$200,Q$1,FALSE),IFERROR(VLOOKUP($E66,Sheet3!$H$2:$O$200,Q$1,FALSE),VLOOKUP($F66,Sheet3!$H$2:$O$200,Q$1,FALSE))),$I$1),$I$1)</f>
        <v>0</v>
      </c>
      <c r="R66" s="15">
        <f>IFERROR(IF(ISBLANK(K66),IFERROR(VLOOKUP($D66,Sheet3!$H$2:$O$200,R$1,FALSE),IFERROR(VLOOKUP($E66,Sheet3!$H$2:$O$200,R$1,FALSE),VLOOKUP($F66,Sheet3!$H$2:$O$200,R$1,FALSE))),$I$1),$I$1)</f>
        <v>0</v>
      </c>
      <c r="S66" s="15">
        <f>IFERROR(IF(ISBLANK(L66),IFERROR(VLOOKUP($D66,Sheet3!$H$2:$O$200,S$1,FALSE),IFERROR(VLOOKUP($E66,Sheet3!$H$2:$O$200,S$1,FALSE),VLOOKUP($F66,Sheet3!$H$2:$O$200,S$1,FALSE))),$I$1),$I$1)</f>
        <v>0</v>
      </c>
      <c r="T66" s="15">
        <f>IFERROR(IF(ISBLANK(M66),IFERROR(VLOOKUP($D66,Sheet3!$H$2:$O$200,T$1,FALSE),IFERROR(VLOOKUP($E66,Sheet3!$H$2:$O$200,T$1,FALSE),VLOOKUP($F66,Sheet3!$H$2:$O$200,T$1,FALSE))),$I$1),$I$1)</f>
        <v>0</v>
      </c>
      <c r="U66" s="15">
        <f>IFERROR(IF(ISBLANK(N66),IFERROR(VLOOKUP($D66,Sheet3!$H$2:$O$200,U$1,FALSE),IFERROR(VLOOKUP($E66,Sheet3!$H$2:$O$200,U$1,FALSE),VLOOKUP($F66,Sheet3!$H$2:$O$200,U$1,FALSE))),$I$1),$I$1)</f>
        <v>0</v>
      </c>
      <c r="V66" s="15">
        <f>IFERROR(IF(ISBLANK(O66),IFERROR(VLOOKUP($D66,Sheet3!$H$2:$O$200,V$1,FALSE),IFERROR(VLOOKUP($E66,Sheet3!$H$2:$O$200,V$1,FALSE),VLOOKUP($F66,Sheet3!$H$2:$O$200,V$1,FALSE))),$I$1),$I$1)</f>
        <v>0</v>
      </c>
      <c r="W66" s="15">
        <f>IFERROR(IF(ISBLANK(P66),IFERROR(VLOOKUP($D66,Sheet3!$H$2:$O$200,W$1,FALSE),IFERROR(VLOOKUP($E66,Sheet3!$H$2:$O$200,W$1,FALSE),VLOOKUP($F66,Sheet3!$H$2:$O$200,W$1,FALSE))),$I$1),$I$1)</f>
        <v>0</v>
      </c>
      <c r="X66" s="15">
        <f>IFERROR(IF(ISBLANK(Q66),IFERROR(VLOOKUP($E66,Sheet3!$H$2:$O$200,X$1,FALSE),IFERROR(VLOOKUP($F66,Sheet3!$H$2:$O$200,X$1,FALSE),VLOOKUP($G66,Sheet3!$H$2:$O$200,X$1,FALSE))),$I$1),$I$1)</f>
        <v>0</v>
      </c>
      <c r="Y66" s="15">
        <f>IFERROR(IF(ISBLANK(R66),IFERROR(VLOOKUP($E66,Sheet3!$H$2:$O$200,Y$1,FALSE),IFERROR(VLOOKUP($F66,Sheet3!$H$2:$O$200,Y$1,FALSE),VLOOKUP($G66,Sheet3!$H$2:$O$200,Y$1,FALSE))),$I$1),$I$1)</f>
        <v>0</v>
      </c>
      <c r="Z66" s="15">
        <f>IFERROR(IF(ISBLANK(S66),IFERROR(VLOOKUP($E66,Sheet3!$H$2:$O$200,Z$1,FALSE),IFERROR(VLOOKUP($F66,Sheet3!$H$2:$O$200,Z$1,FALSE),VLOOKUP($G66,Sheet3!$H$2:$O$200,Z$1,FALSE))),$I$1),$I$1)</f>
        <v>0</v>
      </c>
      <c r="AA66" s="15">
        <f>IFERROR(IF(ISBLANK(T66),IFERROR(VLOOKUP($E66,Sheet3!$H$2:$O$200,AA$1,FALSE),IFERROR(VLOOKUP($F66,Sheet3!$H$2:$O$200,AA$1,FALSE),VLOOKUP($G66,Sheet3!$H$2:$O$200,AA$1,FALSE))),$I$1),$I$1)</f>
        <v>0</v>
      </c>
      <c r="AB66" s="15">
        <f>IFERROR(IF(ISBLANK(U66),IFERROR(VLOOKUP($E66,Sheet3!$H$2:$O$200,AB$1,FALSE),IFERROR(VLOOKUP($F66,Sheet3!$H$2:$O$200,AB$1,FALSE),VLOOKUP($G66,Sheet3!$H$2:$O$200,AB$1,FALSE))),$I$1),$I$1)</f>
        <v>0</v>
      </c>
      <c r="AC66" s="15">
        <f>IFERROR(IF(ISBLANK(V66),IFERROR(VLOOKUP($E66,Sheet3!$H$2:$O$200,AC$1,FALSE),IFERROR(VLOOKUP($F66,Sheet3!$H$2:$O$200,AC$1,FALSE),VLOOKUP($G66,Sheet3!$H$2:$O$200,AC$1,FALSE))),$I$1),$I$1)</f>
        <v>0</v>
      </c>
      <c r="AD66" s="15">
        <f>IFERROR(IF(ISBLANK(W66),IFERROR(VLOOKUP($E66,Sheet3!$H$2:$O$200,AD$1,FALSE),IFERROR(VLOOKUP($F66,Sheet3!$H$2:$O$200,AD$1,FALSE),VLOOKUP($G66,Sheet3!$H$2:$O$200,AD$1,FALSE))),$I$1),$I$1)</f>
        <v>0</v>
      </c>
      <c r="AE66" s="15">
        <f>IFERROR(IF(ISBLANK(X66),IFERROR(VLOOKUP($F66,Sheet3!$H$2:$O$200,AE$1,FALSE),VLOOKUP($G66,Sheet3!$H$2:$O$200,AE$1,FALSE)),$I$1),$I$1)</f>
        <v>0</v>
      </c>
      <c r="AF66" s="15">
        <f>IFERROR(IF(ISBLANK(Y66),IFERROR(VLOOKUP($F66,Sheet3!$H$2:$O$200,AF$1,FALSE),VLOOKUP($G66,Sheet3!$H$2:$O$200,AF$1,FALSE)),$I$1),$I$1)</f>
        <v>0</v>
      </c>
      <c r="AG66" s="15">
        <f>IFERROR(IF(ISBLANK(Z66),IFERROR(VLOOKUP($F66,Sheet3!$H$2:$O$200,AG$1,FALSE),VLOOKUP($G66,Sheet3!$H$2:$O$200,AG$1,FALSE)),$I$1),$I$1)</f>
        <v>0</v>
      </c>
      <c r="AH66" s="15">
        <f>IFERROR(IF(ISBLANK(AA66),IFERROR(VLOOKUP($F66,Sheet3!$H$2:$O$200,AH$1,FALSE),VLOOKUP($G66,Sheet3!$H$2:$O$200,AH$1,FALSE)),$I$1),$I$1)</f>
        <v>0</v>
      </c>
      <c r="AI66" s="15">
        <f>IFERROR(IF(ISBLANK(AB66),IFERROR(VLOOKUP($F66,Sheet3!$H$2:$O$200,AI$1,FALSE),VLOOKUP($G66,Sheet3!$H$2:$O$200,AI$1,FALSE)),$I$1),$I$1)</f>
        <v>0</v>
      </c>
      <c r="AJ66" s="15">
        <f>IFERROR(IF(ISBLANK(AC66),IFERROR(VLOOKUP($F66,Sheet3!$H$2:$O$200,AJ$1,FALSE),VLOOKUP($G66,Sheet3!$H$2:$O$200,AJ$1,FALSE)),$I$1),$I$1)</f>
        <v>0</v>
      </c>
      <c r="AK66" s="15">
        <f>IFERROR(IF(ISBLANK(AD66),IFERROR(VLOOKUP($F66,Sheet3!$H$2:$O$200,AK$1,FALSE),VLOOKUP($G66,Sheet3!$H$2:$O$200,AK$1,FALSE)),$I$1),$I$1)</f>
        <v>0</v>
      </c>
      <c r="AL66" s="15">
        <f>IFERROR(IF(ISBLANK(AE66),VLOOKUP($G66,Sheet3!$H$2:$O$200,AL$1,FALSE),$I$1),$I$1)</f>
        <v>0</v>
      </c>
      <c r="AM66" s="15">
        <f>IFERROR(IF(ISBLANK(AF66),VLOOKUP($G66,Sheet3!$H$2:$O$200,AM$1,FALSE),$I$1),$I$1)</f>
        <v>0</v>
      </c>
      <c r="AN66" s="15">
        <f>IFERROR(IF(ISBLANK(AG66),VLOOKUP($G66,Sheet3!$H$2:$O$200,AN$1,FALSE),$I$1),$I$1)</f>
        <v>0</v>
      </c>
      <c r="AO66" s="15">
        <f>IFERROR(IF(ISBLANK(AH66),VLOOKUP($G66,Sheet3!$H$2:$O$200,AO$1,FALSE),$I$1),$I$1)</f>
        <v>0</v>
      </c>
      <c r="AP66" s="15">
        <f>IFERROR(IF(ISBLANK(AI66),VLOOKUP($G66,Sheet3!$H$2:$O$200,AP$1,FALSE),$I$1),$I$1)</f>
        <v>0</v>
      </c>
      <c r="AQ66" s="15">
        <f>IFERROR(IF(ISBLANK(AJ66),VLOOKUP($G66,Sheet3!$H$2:$O$200,AQ$1,FALSE),$I$1),$I$1)</f>
        <v>0</v>
      </c>
      <c r="AR66" s="15">
        <f>IFERROR(IF(ISBLANK(AK66),VLOOKUP($G66,Sheet3!$H$2:$O$200,AR$1,FALSE),$I$1),$I$1)</f>
        <v>0</v>
      </c>
      <c r="AS66" s="15">
        <f t="shared" si="1"/>
        <v>28</v>
      </c>
      <c r="AT66" s="15" t="b">
        <f t="shared" si="2"/>
        <v>0</v>
      </c>
    </row>
    <row r="67" spans="1:46" x14ac:dyDescent="0.2">
      <c r="A67" s="19" t="s">
        <v>167</v>
      </c>
      <c r="B67" s="19" t="s">
        <v>148</v>
      </c>
      <c r="C67" s="19" t="s">
        <v>31</v>
      </c>
      <c r="D67" s="19" t="s">
        <v>38</v>
      </c>
      <c r="E67" s="19" t="s">
        <v>52</v>
      </c>
      <c r="F67" s="19"/>
      <c r="G67" s="19"/>
      <c r="H67" s="19" t="s">
        <v>167</v>
      </c>
      <c r="I67" s="15">
        <f t="shared" si="0"/>
        <v>3</v>
      </c>
      <c r="J67" s="15">
        <f>IFERROR(VLOOKUP($C67,Sheet3!$H$2:$O$200,J$1,FALSE),IFERROR(VLOOKUP($D67,Sheet3!$H$2:$O$200,J$1,FALSE),VLOOKUP($E67,Sheet3!$H$2:$O$200,J$1,FALSE)))</f>
        <v>0</v>
      </c>
      <c r="K67" s="15">
        <f>IFERROR(VLOOKUP($C67,Sheet3!$H$2:$O$200,K$1,FALSE),IFERROR(VLOOKUP($D67,Sheet3!$H$2:$O$200,K$1,FALSE),VLOOKUP($E67,Sheet3!$H$2:$O$200,K$1,FALSE)))</f>
        <v>0</v>
      </c>
      <c r="L67" s="15">
        <f>IFERROR(VLOOKUP($C67,Sheet3!$H$2:$O$200,L$1,FALSE),IFERROR(VLOOKUP($D67,Sheet3!$H$2:$O$200,L$1,FALSE),VLOOKUP($E67,Sheet3!$H$2:$O$200,L$1,FALSE)))</f>
        <v>0</v>
      </c>
      <c r="M67" s="15" t="str">
        <f>IFERROR(VLOOKUP($C67,Sheet3!$H$2:$O$200,M$1,FALSE),IFERROR(VLOOKUP($D67,Sheet3!$H$2:$O$200,M$1,FALSE),VLOOKUP($E67,Sheet3!$H$2:$O$200,M$1,FALSE)))</f>
        <v>white crème de cacao</v>
      </c>
      <c r="N67" s="15">
        <f>IFERROR(VLOOKUP($C67,Sheet3!$H$2:$O$200,N$1,FALSE),IFERROR(VLOOKUP($D67,Sheet3!$H$2:$O$200,N$1,FALSE),VLOOKUP($E67,Sheet3!$H$2:$O$200,N$1,FALSE)))</f>
        <v>0</v>
      </c>
      <c r="O67" s="15">
        <f>IFERROR(VLOOKUP($C67,Sheet3!$H$2:$O$200,O$1,FALSE),IFERROR(VLOOKUP($D67,Sheet3!$H$2:$O$200,O$1,FALSE),VLOOKUP($E67,Sheet3!$H$2:$O$200,O$1,FALSE)))</f>
        <v>0</v>
      </c>
      <c r="P67" s="15">
        <f>IFERROR(VLOOKUP($C67,Sheet3!$H$2:$O$200,P$1,FALSE),IFERROR(VLOOKUP($D67,Sheet3!$H$2:$O$200,P$1,FALSE),VLOOKUP($E67,Sheet3!$H$2:$O$200,P$1,FALSE)))</f>
        <v>0</v>
      </c>
      <c r="Q67" s="15">
        <f>IFERROR(IF(ISBLANK(J67),IFERROR(VLOOKUP($D67,Sheet3!$H$2:$O$200,Q$1,FALSE),IFERROR(VLOOKUP($E67,Sheet3!$H$2:$O$200,Q$1,FALSE),VLOOKUP($F67,Sheet3!$H$2:$O$200,Q$1,FALSE))),$I$1),$I$1)</f>
        <v>0</v>
      </c>
      <c r="R67" s="15">
        <f>IFERROR(IF(ISBLANK(K67),IFERROR(VLOOKUP($D67,Sheet3!$H$2:$O$200,R$1,FALSE),IFERROR(VLOOKUP($E67,Sheet3!$H$2:$O$200,R$1,FALSE),VLOOKUP($F67,Sheet3!$H$2:$O$200,R$1,FALSE))),$I$1),$I$1)</f>
        <v>0</v>
      </c>
      <c r="S67" s="15">
        <f>IFERROR(IF(ISBLANK(L67),IFERROR(VLOOKUP($D67,Sheet3!$H$2:$O$200,S$1,FALSE),IFERROR(VLOOKUP($E67,Sheet3!$H$2:$O$200,S$1,FALSE),VLOOKUP($F67,Sheet3!$H$2:$O$200,S$1,FALSE))),$I$1),$I$1)</f>
        <v>0</v>
      </c>
      <c r="T67" s="15">
        <f>IFERROR(IF(ISBLANK(M67),IFERROR(VLOOKUP($D67,Sheet3!$H$2:$O$200,T$1,FALSE),IFERROR(VLOOKUP($E67,Sheet3!$H$2:$O$200,T$1,FALSE),VLOOKUP($F67,Sheet3!$H$2:$O$200,T$1,FALSE))),$I$1),$I$1)</f>
        <v>0</v>
      </c>
      <c r="U67" s="15">
        <f>IFERROR(IF(ISBLANK(N67),IFERROR(VLOOKUP($D67,Sheet3!$H$2:$O$200,U$1,FALSE),IFERROR(VLOOKUP($E67,Sheet3!$H$2:$O$200,U$1,FALSE),VLOOKUP($F67,Sheet3!$H$2:$O$200,U$1,FALSE))),$I$1),$I$1)</f>
        <v>0</v>
      </c>
      <c r="V67" s="15">
        <f>IFERROR(IF(ISBLANK(O67),IFERROR(VLOOKUP($D67,Sheet3!$H$2:$O$200,V$1,FALSE),IFERROR(VLOOKUP($E67,Sheet3!$H$2:$O$200,V$1,FALSE),VLOOKUP($F67,Sheet3!$H$2:$O$200,V$1,FALSE))),$I$1),$I$1)</f>
        <v>0</v>
      </c>
      <c r="W67" s="15">
        <f>IFERROR(IF(ISBLANK(P67),IFERROR(VLOOKUP($D67,Sheet3!$H$2:$O$200,W$1,FALSE),IFERROR(VLOOKUP($E67,Sheet3!$H$2:$O$200,W$1,FALSE),VLOOKUP($F67,Sheet3!$H$2:$O$200,W$1,FALSE))),$I$1),$I$1)</f>
        <v>0</v>
      </c>
      <c r="X67" s="15">
        <f>IFERROR(IF(ISBLANK(Q67),IFERROR(VLOOKUP($E67,Sheet3!$H$2:$O$200,X$1,FALSE),IFERROR(VLOOKUP($F67,Sheet3!$H$2:$O$200,X$1,FALSE),VLOOKUP($G67,Sheet3!$H$2:$O$200,X$1,FALSE))),$I$1),$I$1)</f>
        <v>0</v>
      </c>
      <c r="Y67" s="15">
        <f>IFERROR(IF(ISBLANK(R67),IFERROR(VLOOKUP($E67,Sheet3!$H$2:$O$200,Y$1,FALSE),IFERROR(VLOOKUP($F67,Sheet3!$H$2:$O$200,Y$1,FALSE),VLOOKUP($G67,Sheet3!$H$2:$O$200,Y$1,FALSE))),$I$1),$I$1)</f>
        <v>0</v>
      </c>
      <c r="Z67" s="15">
        <f>IFERROR(IF(ISBLANK(S67),IFERROR(VLOOKUP($E67,Sheet3!$H$2:$O$200,Z$1,FALSE),IFERROR(VLOOKUP($F67,Sheet3!$H$2:$O$200,Z$1,FALSE),VLOOKUP($G67,Sheet3!$H$2:$O$200,Z$1,FALSE))),$I$1),$I$1)</f>
        <v>0</v>
      </c>
      <c r="AA67" s="15">
        <f>IFERROR(IF(ISBLANK(T67),IFERROR(VLOOKUP($E67,Sheet3!$H$2:$O$200,AA$1,FALSE),IFERROR(VLOOKUP($F67,Sheet3!$H$2:$O$200,AA$1,FALSE),VLOOKUP($G67,Sheet3!$H$2:$O$200,AA$1,FALSE))),$I$1),$I$1)</f>
        <v>0</v>
      </c>
      <c r="AB67" s="15">
        <f>IFERROR(IF(ISBLANK(U67),IFERROR(VLOOKUP($E67,Sheet3!$H$2:$O$200,AB$1,FALSE),IFERROR(VLOOKUP($F67,Sheet3!$H$2:$O$200,AB$1,FALSE),VLOOKUP($G67,Sheet3!$H$2:$O$200,AB$1,FALSE))),$I$1),$I$1)</f>
        <v>0</v>
      </c>
      <c r="AC67" s="15">
        <f>IFERROR(IF(ISBLANK(V67),IFERROR(VLOOKUP($E67,Sheet3!$H$2:$O$200,AC$1,FALSE),IFERROR(VLOOKUP($F67,Sheet3!$H$2:$O$200,AC$1,FALSE),VLOOKUP($G67,Sheet3!$H$2:$O$200,AC$1,FALSE))),$I$1),$I$1)</f>
        <v>0</v>
      </c>
      <c r="AD67" s="15">
        <f>IFERROR(IF(ISBLANK(W67),IFERROR(VLOOKUP($E67,Sheet3!$H$2:$O$200,AD$1,FALSE),IFERROR(VLOOKUP($F67,Sheet3!$H$2:$O$200,AD$1,FALSE),VLOOKUP($G67,Sheet3!$H$2:$O$200,AD$1,FALSE))),$I$1),$I$1)</f>
        <v>0</v>
      </c>
      <c r="AE67" s="15">
        <f>IFERROR(IF(ISBLANK(X67),IFERROR(VLOOKUP($F67,Sheet3!$H$2:$O$200,AE$1,FALSE),VLOOKUP($G67,Sheet3!$H$2:$O$200,AE$1,FALSE)),$I$1),$I$1)</f>
        <v>0</v>
      </c>
      <c r="AF67" s="15">
        <f>IFERROR(IF(ISBLANK(Y67),IFERROR(VLOOKUP($F67,Sheet3!$H$2:$O$200,AF$1,FALSE),VLOOKUP($G67,Sheet3!$H$2:$O$200,AF$1,FALSE)),$I$1),$I$1)</f>
        <v>0</v>
      </c>
      <c r="AG67" s="15">
        <f>IFERROR(IF(ISBLANK(Z67),IFERROR(VLOOKUP($F67,Sheet3!$H$2:$O$200,AG$1,FALSE),VLOOKUP($G67,Sheet3!$H$2:$O$200,AG$1,FALSE)),$I$1),$I$1)</f>
        <v>0</v>
      </c>
      <c r="AH67" s="15">
        <f>IFERROR(IF(ISBLANK(AA67),IFERROR(VLOOKUP($F67,Sheet3!$H$2:$O$200,AH$1,FALSE),VLOOKUP($G67,Sheet3!$H$2:$O$200,AH$1,FALSE)),$I$1),$I$1)</f>
        <v>0</v>
      </c>
      <c r="AI67" s="15">
        <f>IFERROR(IF(ISBLANK(AB67),IFERROR(VLOOKUP($F67,Sheet3!$H$2:$O$200,AI$1,FALSE),VLOOKUP($G67,Sheet3!$H$2:$O$200,AI$1,FALSE)),$I$1),$I$1)</f>
        <v>0</v>
      </c>
      <c r="AJ67" s="15">
        <f>IFERROR(IF(ISBLANK(AC67),IFERROR(VLOOKUP($F67,Sheet3!$H$2:$O$200,AJ$1,FALSE),VLOOKUP($G67,Sheet3!$H$2:$O$200,AJ$1,FALSE)),$I$1),$I$1)</f>
        <v>0</v>
      </c>
      <c r="AK67" s="15">
        <f>IFERROR(IF(ISBLANK(AD67),IFERROR(VLOOKUP($F67,Sheet3!$H$2:$O$200,AK$1,FALSE),VLOOKUP($G67,Sheet3!$H$2:$O$200,AK$1,FALSE)),$I$1),$I$1)</f>
        <v>0</v>
      </c>
      <c r="AL67" s="15">
        <f>IFERROR(IF(ISBLANK(AE67),VLOOKUP($G67,Sheet3!$H$2:$O$200,AL$1,FALSE),$I$1),$I$1)</f>
        <v>0</v>
      </c>
      <c r="AM67" s="15">
        <f>IFERROR(IF(ISBLANK(AF67),VLOOKUP($G67,Sheet3!$H$2:$O$200,AM$1,FALSE),$I$1),$I$1)</f>
        <v>0</v>
      </c>
      <c r="AN67" s="15">
        <f>IFERROR(IF(ISBLANK(AG67),VLOOKUP($G67,Sheet3!$H$2:$O$200,AN$1,FALSE),$I$1),$I$1)</f>
        <v>0</v>
      </c>
      <c r="AO67" s="15">
        <f>IFERROR(IF(ISBLANK(AH67),VLOOKUP($G67,Sheet3!$H$2:$O$200,AO$1,FALSE),$I$1),$I$1)</f>
        <v>0</v>
      </c>
      <c r="AP67" s="15">
        <f>IFERROR(IF(ISBLANK(AI67),VLOOKUP($G67,Sheet3!$H$2:$O$200,AP$1,FALSE),$I$1),$I$1)</f>
        <v>0</v>
      </c>
      <c r="AQ67" s="15">
        <f>IFERROR(IF(ISBLANK(AJ67),VLOOKUP($G67,Sheet3!$H$2:$O$200,AQ$1,FALSE),$I$1),$I$1)</f>
        <v>0</v>
      </c>
      <c r="AR67" s="15">
        <f>IFERROR(IF(ISBLANK(AK67),VLOOKUP($G67,Sheet3!$H$2:$O$200,AR$1,FALSE),$I$1),$I$1)</f>
        <v>0</v>
      </c>
      <c r="AS67" s="15">
        <f t="shared" si="1"/>
        <v>28</v>
      </c>
      <c r="AT67" s="15" t="b">
        <f t="shared" si="2"/>
        <v>0</v>
      </c>
    </row>
    <row r="68" spans="1:46" x14ac:dyDescent="0.2">
      <c r="A68" s="19" t="s">
        <v>168</v>
      </c>
      <c r="B68" s="19" t="s">
        <v>148</v>
      </c>
      <c r="C68" s="19" t="s">
        <v>120</v>
      </c>
      <c r="D68" s="19" t="s">
        <v>38</v>
      </c>
      <c r="E68" s="19"/>
      <c r="F68" s="19"/>
      <c r="G68" s="19"/>
      <c r="H68" s="19" t="s">
        <v>168</v>
      </c>
      <c r="I68" s="15">
        <f t="shared" si="0"/>
        <v>2</v>
      </c>
      <c r="J68" s="15">
        <f>IFERROR(VLOOKUP($C68,Sheet3!$H$2:$O$200,J$1,FALSE),IFERROR(VLOOKUP($D68,Sheet3!$H$2:$O$200,J$1,FALSE),VLOOKUP($E68,Sheet3!$H$2:$O$200,J$1,FALSE)))</f>
        <v>0</v>
      </c>
      <c r="K68" s="15">
        <f>IFERROR(VLOOKUP($C68,Sheet3!$H$2:$O$200,K$1,FALSE),IFERROR(VLOOKUP($D68,Sheet3!$H$2:$O$200,K$1,FALSE),VLOOKUP($E68,Sheet3!$H$2:$O$200,K$1,FALSE)))</f>
        <v>0</v>
      </c>
      <c r="L68" s="15">
        <f>IFERROR(VLOOKUP($C68,Sheet3!$H$2:$O$200,L$1,FALSE),IFERROR(VLOOKUP($D68,Sheet3!$H$2:$O$200,L$1,FALSE),VLOOKUP($E68,Sheet3!$H$2:$O$200,L$1,FALSE)))</f>
        <v>0</v>
      </c>
      <c r="M68" s="15" t="str">
        <f>IFERROR(VLOOKUP($C68,Sheet3!$H$2:$O$200,M$1,FALSE),IFERROR(VLOOKUP($D68,Sheet3!$H$2:$O$200,M$1,FALSE),VLOOKUP($E68,Sheet3!$H$2:$O$200,M$1,FALSE)))</f>
        <v>maraschino liqueur</v>
      </c>
      <c r="N68" s="15">
        <f>IFERROR(VLOOKUP($C68,Sheet3!$H$2:$O$200,N$1,FALSE),IFERROR(VLOOKUP($D68,Sheet3!$H$2:$O$200,N$1,FALSE),VLOOKUP($E68,Sheet3!$H$2:$O$200,N$1,FALSE)))</f>
        <v>0</v>
      </c>
      <c r="O68" s="15">
        <f>IFERROR(VLOOKUP($C68,Sheet3!$H$2:$O$200,O$1,FALSE),IFERROR(VLOOKUP($D68,Sheet3!$H$2:$O$200,O$1,FALSE),VLOOKUP($E68,Sheet3!$H$2:$O$200,O$1,FALSE)))</f>
        <v>0</v>
      </c>
      <c r="P68" s="15">
        <f>IFERROR(VLOOKUP($C68,Sheet3!$H$2:$O$200,P$1,FALSE),IFERROR(VLOOKUP($D68,Sheet3!$H$2:$O$200,P$1,FALSE),VLOOKUP($E68,Sheet3!$H$2:$O$200,P$1,FALSE)))</f>
        <v>0</v>
      </c>
      <c r="Q68" s="15">
        <f>IFERROR(IF(ISBLANK(J68),IFERROR(VLOOKUP($D68,Sheet3!$H$2:$O$200,Q$1,FALSE),IFERROR(VLOOKUP($E68,Sheet3!$H$2:$O$200,Q$1,FALSE),VLOOKUP($F68,Sheet3!$H$2:$O$200,Q$1,FALSE))),$I$1),$I$1)</f>
        <v>0</v>
      </c>
      <c r="R68" s="15">
        <f>IFERROR(IF(ISBLANK(K68),IFERROR(VLOOKUP($D68,Sheet3!$H$2:$O$200,R$1,FALSE),IFERROR(VLOOKUP($E68,Sheet3!$H$2:$O$200,R$1,FALSE),VLOOKUP($F68,Sheet3!$H$2:$O$200,R$1,FALSE))),$I$1),$I$1)</f>
        <v>0</v>
      </c>
      <c r="S68" s="15">
        <f>IFERROR(IF(ISBLANK(L68),IFERROR(VLOOKUP($D68,Sheet3!$H$2:$O$200,S$1,FALSE),IFERROR(VLOOKUP($E68,Sheet3!$H$2:$O$200,S$1,FALSE),VLOOKUP($F68,Sheet3!$H$2:$O$200,S$1,FALSE))),$I$1),$I$1)</f>
        <v>0</v>
      </c>
      <c r="T68" s="15">
        <f>IFERROR(IF(ISBLANK(M68),IFERROR(VLOOKUP($D68,Sheet3!$H$2:$O$200,T$1,FALSE),IFERROR(VLOOKUP($E68,Sheet3!$H$2:$O$200,T$1,FALSE),VLOOKUP($F68,Sheet3!$H$2:$O$200,T$1,FALSE))),$I$1),$I$1)</f>
        <v>0</v>
      </c>
      <c r="U68" s="15">
        <f>IFERROR(IF(ISBLANK(N68),IFERROR(VLOOKUP($D68,Sheet3!$H$2:$O$200,U$1,FALSE),IFERROR(VLOOKUP($E68,Sheet3!$H$2:$O$200,U$1,FALSE),VLOOKUP($F68,Sheet3!$H$2:$O$200,U$1,FALSE))),$I$1),$I$1)</f>
        <v>0</v>
      </c>
      <c r="V68" s="15">
        <f>IFERROR(IF(ISBLANK(O68),IFERROR(VLOOKUP($D68,Sheet3!$H$2:$O$200,V$1,FALSE),IFERROR(VLOOKUP($E68,Sheet3!$H$2:$O$200,V$1,FALSE),VLOOKUP($F68,Sheet3!$H$2:$O$200,V$1,FALSE))),$I$1),$I$1)</f>
        <v>0</v>
      </c>
      <c r="W68" s="15">
        <f>IFERROR(IF(ISBLANK(P68),IFERROR(VLOOKUP($D68,Sheet3!$H$2:$O$200,W$1,FALSE),IFERROR(VLOOKUP($E68,Sheet3!$H$2:$O$200,W$1,FALSE),VLOOKUP($F68,Sheet3!$H$2:$O$200,W$1,FALSE))),$I$1),$I$1)</f>
        <v>0</v>
      </c>
      <c r="X68" s="15">
        <f>IFERROR(IF(ISBLANK(Q68),IFERROR(VLOOKUP($E68,Sheet3!$H$2:$O$200,X$1,FALSE),IFERROR(VLOOKUP($F68,Sheet3!$H$2:$O$200,X$1,FALSE),VLOOKUP($G68,Sheet3!$H$2:$O$200,X$1,FALSE))),$I$1),$I$1)</f>
        <v>0</v>
      </c>
      <c r="Y68" s="15">
        <f>IFERROR(IF(ISBLANK(R68),IFERROR(VLOOKUP($E68,Sheet3!$H$2:$O$200,Y$1,FALSE),IFERROR(VLOOKUP($F68,Sheet3!$H$2:$O$200,Y$1,FALSE),VLOOKUP($G68,Sheet3!$H$2:$O$200,Y$1,FALSE))),$I$1),$I$1)</f>
        <v>0</v>
      </c>
      <c r="Z68" s="15">
        <f>IFERROR(IF(ISBLANK(S68),IFERROR(VLOOKUP($E68,Sheet3!$H$2:$O$200,Z$1,FALSE),IFERROR(VLOOKUP($F68,Sheet3!$H$2:$O$200,Z$1,FALSE),VLOOKUP($G68,Sheet3!$H$2:$O$200,Z$1,FALSE))),$I$1),$I$1)</f>
        <v>0</v>
      </c>
      <c r="AA68" s="15">
        <f>IFERROR(IF(ISBLANK(T68),IFERROR(VLOOKUP($E68,Sheet3!$H$2:$O$200,AA$1,FALSE),IFERROR(VLOOKUP($F68,Sheet3!$H$2:$O$200,AA$1,FALSE),VLOOKUP($G68,Sheet3!$H$2:$O$200,AA$1,FALSE))),$I$1),$I$1)</f>
        <v>0</v>
      </c>
      <c r="AB68" s="15">
        <f>IFERROR(IF(ISBLANK(U68),IFERROR(VLOOKUP($E68,Sheet3!$H$2:$O$200,AB$1,FALSE),IFERROR(VLOOKUP($F68,Sheet3!$H$2:$O$200,AB$1,FALSE),VLOOKUP($G68,Sheet3!$H$2:$O$200,AB$1,FALSE))),$I$1),$I$1)</f>
        <v>0</v>
      </c>
      <c r="AC68" s="15">
        <f>IFERROR(IF(ISBLANK(V68),IFERROR(VLOOKUP($E68,Sheet3!$H$2:$O$200,AC$1,FALSE),IFERROR(VLOOKUP($F68,Sheet3!$H$2:$O$200,AC$1,FALSE),VLOOKUP($G68,Sheet3!$H$2:$O$200,AC$1,FALSE))),$I$1),$I$1)</f>
        <v>0</v>
      </c>
      <c r="AD68" s="15">
        <f>IFERROR(IF(ISBLANK(W68),IFERROR(VLOOKUP($E68,Sheet3!$H$2:$O$200,AD$1,FALSE),IFERROR(VLOOKUP($F68,Sheet3!$H$2:$O$200,AD$1,FALSE),VLOOKUP($G68,Sheet3!$H$2:$O$200,AD$1,FALSE))),$I$1),$I$1)</f>
        <v>0</v>
      </c>
      <c r="AE68" s="15">
        <f>IFERROR(IF(ISBLANK(X68),IFERROR(VLOOKUP($F68,Sheet3!$H$2:$O$200,AE$1,FALSE),VLOOKUP($G68,Sheet3!$H$2:$O$200,AE$1,FALSE)),$I$1),$I$1)</f>
        <v>0</v>
      </c>
      <c r="AF68" s="15">
        <f>IFERROR(IF(ISBLANK(Y68),IFERROR(VLOOKUP($F68,Sheet3!$H$2:$O$200,AF$1,FALSE),VLOOKUP($G68,Sheet3!$H$2:$O$200,AF$1,FALSE)),$I$1),$I$1)</f>
        <v>0</v>
      </c>
      <c r="AG68" s="15">
        <f>IFERROR(IF(ISBLANK(Z68),IFERROR(VLOOKUP($F68,Sheet3!$H$2:$O$200,AG$1,FALSE),VLOOKUP($G68,Sheet3!$H$2:$O$200,AG$1,FALSE)),$I$1),$I$1)</f>
        <v>0</v>
      </c>
      <c r="AH68" s="15">
        <f>IFERROR(IF(ISBLANK(AA68),IFERROR(VLOOKUP($F68,Sheet3!$H$2:$O$200,AH$1,FALSE),VLOOKUP($G68,Sheet3!$H$2:$O$200,AH$1,FALSE)),$I$1),$I$1)</f>
        <v>0</v>
      </c>
      <c r="AI68" s="15">
        <f>IFERROR(IF(ISBLANK(AB68),IFERROR(VLOOKUP($F68,Sheet3!$H$2:$O$200,AI$1,FALSE),VLOOKUP($G68,Sheet3!$H$2:$O$200,AI$1,FALSE)),$I$1),$I$1)</f>
        <v>0</v>
      </c>
      <c r="AJ68" s="15">
        <f>IFERROR(IF(ISBLANK(AC68),IFERROR(VLOOKUP($F68,Sheet3!$H$2:$O$200,AJ$1,FALSE),VLOOKUP($G68,Sheet3!$H$2:$O$200,AJ$1,FALSE)),$I$1),$I$1)</f>
        <v>0</v>
      </c>
      <c r="AK68" s="15">
        <f>IFERROR(IF(ISBLANK(AD68),IFERROR(VLOOKUP($F68,Sheet3!$H$2:$O$200,AK$1,FALSE),VLOOKUP($G68,Sheet3!$H$2:$O$200,AK$1,FALSE)),$I$1),$I$1)</f>
        <v>0</v>
      </c>
      <c r="AL68" s="15">
        <f>IFERROR(IF(ISBLANK(AE68),VLOOKUP($G68,Sheet3!$H$2:$O$200,AL$1,FALSE),$I$1),$I$1)</f>
        <v>0</v>
      </c>
      <c r="AM68" s="15">
        <f>IFERROR(IF(ISBLANK(AF68),VLOOKUP($G68,Sheet3!$H$2:$O$200,AM$1,FALSE),$I$1),$I$1)</f>
        <v>0</v>
      </c>
      <c r="AN68" s="15">
        <f>IFERROR(IF(ISBLANK(AG68),VLOOKUP($G68,Sheet3!$H$2:$O$200,AN$1,FALSE),$I$1),$I$1)</f>
        <v>0</v>
      </c>
      <c r="AO68" s="15">
        <f>IFERROR(IF(ISBLANK(AH68),VLOOKUP($G68,Sheet3!$H$2:$O$200,AO$1,FALSE),$I$1),$I$1)</f>
        <v>0</v>
      </c>
      <c r="AP68" s="15">
        <f>IFERROR(IF(ISBLANK(AI68),VLOOKUP($G68,Sheet3!$H$2:$O$200,AP$1,FALSE),$I$1),$I$1)</f>
        <v>0</v>
      </c>
      <c r="AQ68" s="15">
        <f>IFERROR(IF(ISBLANK(AJ68),VLOOKUP($G68,Sheet3!$H$2:$O$200,AQ$1,FALSE),$I$1),$I$1)</f>
        <v>0</v>
      </c>
      <c r="AR68" s="15">
        <f>IFERROR(IF(ISBLANK(AK68),VLOOKUP($G68,Sheet3!$H$2:$O$200,AR$1,FALSE),$I$1),$I$1)</f>
        <v>0</v>
      </c>
      <c r="AS68" s="15">
        <f t="shared" si="1"/>
        <v>28</v>
      </c>
      <c r="AT68" s="15" t="b">
        <f t="shared" si="2"/>
        <v>0</v>
      </c>
    </row>
    <row r="69" spans="1:46" x14ac:dyDescent="0.2">
      <c r="A69" s="19" t="s">
        <v>169</v>
      </c>
      <c r="B69" s="19" t="s">
        <v>148</v>
      </c>
      <c r="C69" s="19" t="s">
        <v>120</v>
      </c>
      <c r="D69" s="18" t="s">
        <v>90</v>
      </c>
      <c r="E69" s="19" t="s">
        <v>170</v>
      </c>
      <c r="F69" s="19" t="s">
        <v>86</v>
      </c>
      <c r="G69" s="18" t="s">
        <v>134</v>
      </c>
      <c r="H69" s="19" t="s">
        <v>169</v>
      </c>
      <c r="I69" s="15">
        <f t="shared" si="0"/>
        <v>5</v>
      </c>
      <c r="J69" s="15">
        <f>IFERROR(VLOOKUP($C69,Sheet3!$H$2:$O$200,J$1,FALSE),IFERROR(VLOOKUP($D69,Sheet3!$H$2:$O$200,J$1,FALSE),VLOOKUP($E69,Sheet3!$H$2:$O$200,J$1,FALSE)))</f>
        <v>0</v>
      </c>
      <c r="K69" s="15">
        <f>IFERROR(VLOOKUP($C69,Sheet3!$H$2:$O$200,K$1,FALSE),IFERROR(VLOOKUP($D69,Sheet3!$H$2:$O$200,K$1,FALSE),VLOOKUP($E69,Sheet3!$H$2:$O$200,K$1,FALSE)))</f>
        <v>0</v>
      </c>
      <c r="L69" s="15">
        <f>IFERROR(VLOOKUP($C69,Sheet3!$H$2:$O$200,L$1,FALSE),IFERROR(VLOOKUP($D69,Sheet3!$H$2:$O$200,L$1,FALSE),VLOOKUP($E69,Sheet3!$H$2:$O$200,L$1,FALSE)))</f>
        <v>0</v>
      </c>
      <c r="M69" s="15" t="str">
        <f>IFERROR(VLOOKUP($C69,Sheet3!$H$2:$O$200,M$1,FALSE),IFERROR(VLOOKUP($D69,Sheet3!$H$2:$O$200,M$1,FALSE),VLOOKUP($E69,Sheet3!$H$2:$O$200,M$1,FALSE)))</f>
        <v>maraschino liqueur</v>
      </c>
      <c r="N69" s="15">
        <f>IFERROR(VLOOKUP($C69,Sheet3!$H$2:$O$200,N$1,FALSE),IFERROR(VLOOKUP($D69,Sheet3!$H$2:$O$200,N$1,FALSE),VLOOKUP($E69,Sheet3!$H$2:$O$200,N$1,FALSE)))</f>
        <v>0</v>
      </c>
      <c r="O69" s="15">
        <f>IFERROR(VLOOKUP($C69,Sheet3!$H$2:$O$200,O$1,FALSE),IFERROR(VLOOKUP($D69,Sheet3!$H$2:$O$200,O$1,FALSE),VLOOKUP($E69,Sheet3!$H$2:$O$200,O$1,FALSE)))</f>
        <v>0</v>
      </c>
      <c r="P69" s="15">
        <f>IFERROR(VLOOKUP($C69,Sheet3!$H$2:$O$200,P$1,FALSE),IFERROR(VLOOKUP($D69,Sheet3!$H$2:$O$200,P$1,FALSE),VLOOKUP($E69,Sheet3!$H$2:$O$200,P$1,FALSE)))</f>
        <v>0</v>
      </c>
      <c r="Q69" s="15">
        <f>IFERROR(IF(ISBLANK(J69),IFERROR(VLOOKUP($D69,Sheet3!$H$2:$O$200,Q$1,FALSE),IFERROR(VLOOKUP($E69,Sheet3!$H$2:$O$200,Q$1,FALSE),VLOOKUP($F69,Sheet3!$H$2:$O$200,Q$1,FALSE))),$I$1),$I$1)</f>
        <v>0</v>
      </c>
      <c r="R69" s="15">
        <f>IFERROR(IF(ISBLANK(K69),IFERROR(VLOOKUP($D69,Sheet3!$H$2:$O$200,R$1,FALSE),IFERROR(VLOOKUP($E69,Sheet3!$H$2:$O$200,R$1,FALSE),VLOOKUP($F69,Sheet3!$H$2:$O$200,R$1,FALSE))),$I$1),$I$1)</f>
        <v>0</v>
      </c>
      <c r="S69" s="15">
        <f>IFERROR(IF(ISBLANK(L69),IFERROR(VLOOKUP($D69,Sheet3!$H$2:$O$200,S$1,FALSE),IFERROR(VLOOKUP($E69,Sheet3!$H$2:$O$200,S$1,FALSE),VLOOKUP($F69,Sheet3!$H$2:$O$200,S$1,FALSE))),$I$1),$I$1)</f>
        <v>0</v>
      </c>
      <c r="T69" s="15">
        <f>IFERROR(IF(ISBLANK(M69),IFERROR(VLOOKUP($D69,Sheet3!$H$2:$O$200,T$1,FALSE),IFERROR(VLOOKUP($E69,Sheet3!$H$2:$O$200,T$1,FALSE),VLOOKUP($F69,Sheet3!$H$2:$O$200,T$1,FALSE))),$I$1),$I$1)</f>
        <v>0</v>
      </c>
      <c r="U69" s="15">
        <f>IFERROR(IF(ISBLANK(N69),IFERROR(VLOOKUP($D69,Sheet3!$H$2:$O$200,U$1,FALSE),IFERROR(VLOOKUP($E69,Sheet3!$H$2:$O$200,U$1,FALSE),VLOOKUP($F69,Sheet3!$H$2:$O$200,U$1,FALSE))),$I$1),$I$1)</f>
        <v>0</v>
      </c>
      <c r="V69" s="15">
        <f>IFERROR(IF(ISBLANK(O69),IFERROR(VLOOKUP($D69,Sheet3!$H$2:$O$200,V$1,FALSE),IFERROR(VLOOKUP($E69,Sheet3!$H$2:$O$200,V$1,FALSE),VLOOKUP($F69,Sheet3!$H$2:$O$200,V$1,FALSE))),$I$1),$I$1)</f>
        <v>0</v>
      </c>
      <c r="W69" s="15">
        <f>IFERROR(IF(ISBLANK(P69),IFERROR(VLOOKUP($D69,Sheet3!$H$2:$O$200,W$1,FALSE),IFERROR(VLOOKUP($E69,Sheet3!$H$2:$O$200,W$1,FALSE),VLOOKUP($F69,Sheet3!$H$2:$O$200,W$1,FALSE))),$I$1),$I$1)</f>
        <v>0</v>
      </c>
      <c r="X69" s="15">
        <f>IFERROR(IF(ISBLANK(Q69),IFERROR(VLOOKUP($E69,Sheet3!$H$2:$O$200,X$1,FALSE),IFERROR(VLOOKUP($F69,Sheet3!$H$2:$O$200,X$1,FALSE),VLOOKUP($G69,Sheet3!$H$2:$O$200,X$1,FALSE))),$I$1),$I$1)</f>
        <v>0</v>
      </c>
      <c r="Y69" s="15">
        <f>IFERROR(IF(ISBLANK(R69),IFERROR(VLOOKUP($E69,Sheet3!$H$2:$O$200,Y$1,FALSE),IFERROR(VLOOKUP($F69,Sheet3!$H$2:$O$200,Y$1,FALSE),VLOOKUP($G69,Sheet3!$H$2:$O$200,Y$1,FALSE))),$I$1),$I$1)</f>
        <v>0</v>
      </c>
      <c r="Z69" s="15">
        <f>IFERROR(IF(ISBLANK(S69),IFERROR(VLOOKUP($E69,Sheet3!$H$2:$O$200,Z$1,FALSE),IFERROR(VLOOKUP($F69,Sheet3!$H$2:$O$200,Z$1,FALSE),VLOOKUP($G69,Sheet3!$H$2:$O$200,Z$1,FALSE))),$I$1),$I$1)</f>
        <v>0</v>
      </c>
      <c r="AA69" s="15">
        <f>IFERROR(IF(ISBLANK(T69),IFERROR(VLOOKUP($E69,Sheet3!$H$2:$O$200,AA$1,FALSE),IFERROR(VLOOKUP($F69,Sheet3!$H$2:$O$200,AA$1,FALSE),VLOOKUP($G69,Sheet3!$H$2:$O$200,AA$1,FALSE))),$I$1),$I$1)</f>
        <v>0</v>
      </c>
      <c r="AB69" s="15">
        <f>IFERROR(IF(ISBLANK(U69),IFERROR(VLOOKUP($E69,Sheet3!$H$2:$O$200,AB$1,FALSE),IFERROR(VLOOKUP($F69,Sheet3!$H$2:$O$200,AB$1,FALSE),VLOOKUP($G69,Sheet3!$H$2:$O$200,AB$1,FALSE))),$I$1),$I$1)</f>
        <v>0</v>
      </c>
      <c r="AC69" s="15">
        <f>IFERROR(IF(ISBLANK(V69),IFERROR(VLOOKUP($E69,Sheet3!$H$2:$O$200,AC$1,FALSE),IFERROR(VLOOKUP($F69,Sheet3!$H$2:$O$200,AC$1,FALSE),VLOOKUP($G69,Sheet3!$H$2:$O$200,AC$1,FALSE))),$I$1),$I$1)</f>
        <v>0</v>
      </c>
      <c r="AD69" s="15">
        <f>IFERROR(IF(ISBLANK(W69),IFERROR(VLOOKUP($E69,Sheet3!$H$2:$O$200,AD$1,FALSE),IFERROR(VLOOKUP($F69,Sheet3!$H$2:$O$200,AD$1,FALSE),VLOOKUP($G69,Sheet3!$H$2:$O$200,AD$1,FALSE))),$I$1),$I$1)</f>
        <v>0</v>
      </c>
      <c r="AE69" s="15">
        <f>IFERROR(IF(ISBLANK(X69),IFERROR(VLOOKUP($F69,Sheet3!$H$2:$O$200,AE$1,FALSE),VLOOKUP($G69,Sheet3!$H$2:$O$200,AE$1,FALSE)),$I$1),$I$1)</f>
        <v>0</v>
      </c>
      <c r="AF69" s="15">
        <f>IFERROR(IF(ISBLANK(Y69),IFERROR(VLOOKUP($F69,Sheet3!$H$2:$O$200,AF$1,FALSE),VLOOKUP($G69,Sheet3!$H$2:$O$200,AF$1,FALSE)),$I$1),$I$1)</f>
        <v>0</v>
      </c>
      <c r="AG69" s="15">
        <f>IFERROR(IF(ISBLANK(Z69),IFERROR(VLOOKUP($F69,Sheet3!$H$2:$O$200,AG$1,FALSE),VLOOKUP($G69,Sheet3!$H$2:$O$200,AG$1,FALSE)),$I$1),$I$1)</f>
        <v>0</v>
      </c>
      <c r="AH69" s="15">
        <f>IFERROR(IF(ISBLANK(AA69),IFERROR(VLOOKUP($F69,Sheet3!$H$2:$O$200,AH$1,FALSE),VLOOKUP($G69,Sheet3!$H$2:$O$200,AH$1,FALSE)),$I$1),$I$1)</f>
        <v>0</v>
      </c>
      <c r="AI69" s="15">
        <f>IFERROR(IF(ISBLANK(AB69),IFERROR(VLOOKUP($F69,Sheet3!$H$2:$O$200,AI$1,FALSE),VLOOKUP($G69,Sheet3!$H$2:$O$200,AI$1,FALSE)),$I$1),$I$1)</f>
        <v>0</v>
      </c>
      <c r="AJ69" s="15">
        <f>IFERROR(IF(ISBLANK(AC69),IFERROR(VLOOKUP($F69,Sheet3!$H$2:$O$200,AJ$1,FALSE),VLOOKUP($G69,Sheet3!$H$2:$O$200,AJ$1,FALSE)),$I$1),$I$1)</f>
        <v>0</v>
      </c>
      <c r="AK69" s="15">
        <f>IFERROR(IF(ISBLANK(AD69),IFERROR(VLOOKUP($F69,Sheet3!$H$2:$O$200,AK$1,FALSE),VLOOKUP($G69,Sheet3!$H$2:$O$200,AK$1,FALSE)),$I$1),$I$1)</f>
        <v>0</v>
      </c>
      <c r="AL69" s="15">
        <f>IFERROR(IF(ISBLANK(AE69),VLOOKUP($G69,Sheet3!$H$2:$O$200,AL$1,FALSE),$I$1),$I$1)</f>
        <v>0</v>
      </c>
      <c r="AM69" s="15">
        <f>IFERROR(IF(ISBLANK(AF69),VLOOKUP($G69,Sheet3!$H$2:$O$200,AM$1,FALSE),$I$1),$I$1)</f>
        <v>0</v>
      </c>
      <c r="AN69" s="15">
        <f>IFERROR(IF(ISBLANK(AG69),VLOOKUP($G69,Sheet3!$H$2:$O$200,AN$1,FALSE),$I$1),$I$1)</f>
        <v>0</v>
      </c>
      <c r="AO69" s="15">
        <f>IFERROR(IF(ISBLANK(AH69),VLOOKUP($G69,Sheet3!$H$2:$O$200,AO$1,FALSE),$I$1),$I$1)</f>
        <v>0</v>
      </c>
      <c r="AP69" s="15">
        <f>IFERROR(IF(ISBLANK(AI69),VLOOKUP($G69,Sheet3!$H$2:$O$200,AP$1,FALSE),$I$1),$I$1)</f>
        <v>0</v>
      </c>
      <c r="AQ69" s="15">
        <f>IFERROR(IF(ISBLANK(AJ69),VLOOKUP($G69,Sheet3!$H$2:$O$200,AQ$1,FALSE),$I$1),$I$1)</f>
        <v>0</v>
      </c>
      <c r="AR69" s="15">
        <f>IFERROR(IF(ISBLANK(AK69),VLOOKUP($G69,Sheet3!$H$2:$O$200,AR$1,FALSE),$I$1),$I$1)</f>
        <v>0</v>
      </c>
      <c r="AS69" s="15">
        <f t="shared" si="1"/>
        <v>28</v>
      </c>
      <c r="AT69" s="15" t="b">
        <f t="shared" si="2"/>
        <v>0</v>
      </c>
    </row>
    <row r="70" spans="1:46" x14ac:dyDescent="0.2">
      <c r="A70" s="19" t="s">
        <v>171</v>
      </c>
      <c r="B70" s="19" t="s">
        <v>148</v>
      </c>
      <c r="C70" s="19" t="s">
        <v>139</v>
      </c>
      <c r="D70" s="19" t="s">
        <v>38</v>
      </c>
      <c r="E70" s="19" t="s">
        <v>48</v>
      </c>
      <c r="F70" s="19"/>
      <c r="G70" s="19"/>
      <c r="H70" s="19" t="s">
        <v>171</v>
      </c>
      <c r="I70" s="15">
        <f t="shared" si="0"/>
        <v>3</v>
      </c>
      <c r="J70" s="15">
        <f>IFERROR(VLOOKUP($C70,Sheet3!$H$2:$O$200,J$1,FALSE),IFERROR(VLOOKUP($D70,Sheet3!$H$2:$O$200,J$1,FALSE),VLOOKUP($E70,Sheet3!$H$2:$O$200,J$1,FALSE)))</f>
        <v>0</v>
      </c>
      <c r="K70" s="15">
        <f>IFERROR(VLOOKUP($C70,Sheet3!$H$2:$O$200,K$1,FALSE),IFERROR(VLOOKUP($D70,Sheet3!$H$2:$O$200,K$1,FALSE),VLOOKUP($E70,Sheet3!$H$2:$O$200,K$1,FALSE)))</f>
        <v>0</v>
      </c>
      <c r="L70" s="15">
        <f>IFERROR(VLOOKUP($C70,Sheet3!$H$2:$O$200,L$1,FALSE),IFERROR(VLOOKUP($D70,Sheet3!$H$2:$O$200,L$1,FALSE),VLOOKUP($E70,Sheet3!$H$2:$O$200,L$1,FALSE)))</f>
        <v>0</v>
      </c>
      <c r="M70" s="15" t="str">
        <f>IFERROR(VLOOKUP($C70,Sheet3!$H$2:$O$200,M$1,FALSE),IFERROR(VLOOKUP($D70,Sheet3!$H$2:$O$200,M$1,FALSE),VLOOKUP($E70,Sheet3!$H$2:$O$200,M$1,FALSE)))</f>
        <v>Grand Marnier</v>
      </c>
      <c r="N70" s="15">
        <f>IFERROR(VLOOKUP($C70,Sheet3!$H$2:$O$200,N$1,FALSE),IFERROR(VLOOKUP($D70,Sheet3!$H$2:$O$200,N$1,FALSE),VLOOKUP($E70,Sheet3!$H$2:$O$200,N$1,FALSE)))</f>
        <v>0</v>
      </c>
      <c r="O70" s="15">
        <f>IFERROR(VLOOKUP($C70,Sheet3!$H$2:$O$200,O$1,FALSE),IFERROR(VLOOKUP($D70,Sheet3!$H$2:$O$200,O$1,FALSE),VLOOKUP($E70,Sheet3!$H$2:$O$200,O$1,FALSE)))</f>
        <v>0</v>
      </c>
      <c r="P70" s="15">
        <f>IFERROR(VLOOKUP($C70,Sheet3!$H$2:$O$200,P$1,FALSE),IFERROR(VLOOKUP($D70,Sheet3!$H$2:$O$200,P$1,FALSE),VLOOKUP($E70,Sheet3!$H$2:$O$200,P$1,FALSE)))</f>
        <v>0</v>
      </c>
      <c r="Q70" s="15">
        <f>IFERROR(IF(ISBLANK(J70),IFERROR(VLOOKUP($D70,Sheet3!$H$2:$O$200,Q$1,FALSE),IFERROR(VLOOKUP($E70,Sheet3!$H$2:$O$200,Q$1,FALSE),VLOOKUP($F70,Sheet3!$H$2:$O$200,Q$1,FALSE))),$I$1),$I$1)</f>
        <v>0</v>
      </c>
      <c r="R70" s="15">
        <f>IFERROR(IF(ISBLANK(K70),IFERROR(VLOOKUP($D70,Sheet3!$H$2:$O$200,R$1,FALSE),IFERROR(VLOOKUP($E70,Sheet3!$H$2:$O$200,R$1,FALSE),VLOOKUP($F70,Sheet3!$H$2:$O$200,R$1,FALSE))),$I$1),$I$1)</f>
        <v>0</v>
      </c>
      <c r="S70" s="15">
        <f>IFERROR(IF(ISBLANK(L70),IFERROR(VLOOKUP($D70,Sheet3!$H$2:$O$200,S$1,FALSE),IFERROR(VLOOKUP($E70,Sheet3!$H$2:$O$200,S$1,FALSE),VLOOKUP($F70,Sheet3!$H$2:$O$200,S$1,FALSE))),$I$1),$I$1)</f>
        <v>0</v>
      </c>
      <c r="T70" s="15">
        <f>IFERROR(IF(ISBLANK(M70),IFERROR(VLOOKUP($D70,Sheet3!$H$2:$O$200,T$1,FALSE),IFERROR(VLOOKUP($E70,Sheet3!$H$2:$O$200,T$1,FALSE),VLOOKUP($F70,Sheet3!$H$2:$O$200,T$1,FALSE))),$I$1),$I$1)</f>
        <v>0</v>
      </c>
      <c r="U70" s="15">
        <f>IFERROR(IF(ISBLANK(N70),IFERROR(VLOOKUP($D70,Sheet3!$H$2:$O$200,U$1,FALSE),IFERROR(VLOOKUP($E70,Sheet3!$H$2:$O$200,U$1,FALSE),VLOOKUP($F70,Sheet3!$H$2:$O$200,U$1,FALSE))),$I$1),$I$1)</f>
        <v>0</v>
      </c>
      <c r="V70" s="15">
        <f>IFERROR(IF(ISBLANK(O70),IFERROR(VLOOKUP($D70,Sheet3!$H$2:$O$200,V$1,FALSE),IFERROR(VLOOKUP($E70,Sheet3!$H$2:$O$200,V$1,FALSE),VLOOKUP($F70,Sheet3!$H$2:$O$200,V$1,FALSE))),$I$1),$I$1)</f>
        <v>0</v>
      </c>
      <c r="W70" s="15">
        <f>IFERROR(IF(ISBLANK(P70),IFERROR(VLOOKUP($D70,Sheet3!$H$2:$O$200,W$1,FALSE),IFERROR(VLOOKUP($E70,Sheet3!$H$2:$O$200,W$1,FALSE),VLOOKUP($F70,Sheet3!$H$2:$O$200,W$1,FALSE))),$I$1),$I$1)</f>
        <v>0</v>
      </c>
      <c r="X70" s="15">
        <f>IFERROR(IF(ISBLANK(Q70),IFERROR(VLOOKUP($E70,Sheet3!$H$2:$O$200,X$1,FALSE),IFERROR(VLOOKUP($F70,Sheet3!$H$2:$O$200,X$1,FALSE),VLOOKUP($G70,Sheet3!$H$2:$O$200,X$1,FALSE))),$I$1),$I$1)</f>
        <v>0</v>
      </c>
      <c r="Y70" s="15">
        <f>IFERROR(IF(ISBLANK(R70),IFERROR(VLOOKUP($E70,Sheet3!$H$2:$O$200,Y$1,FALSE),IFERROR(VLOOKUP($F70,Sheet3!$H$2:$O$200,Y$1,FALSE),VLOOKUP($G70,Sheet3!$H$2:$O$200,Y$1,FALSE))),$I$1),$I$1)</f>
        <v>0</v>
      </c>
      <c r="Z70" s="15">
        <f>IFERROR(IF(ISBLANK(S70),IFERROR(VLOOKUP($E70,Sheet3!$H$2:$O$200,Z$1,FALSE),IFERROR(VLOOKUP($F70,Sheet3!$H$2:$O$200,Z$1,FALSE),VLOOKUP($G70,Sheet3!$H$2:$O$200,Z$1,FALSE))),$I$1),$I$1)</f>
        <v>0</v>
      </c>
      <c r="AA70" s="15">
        <f>IFERROR(IF(ISBLANK(T70),IFERROR(VLOOKUP($E70,Sheet3!$H$2:$O$200,AA$1,FALSE),IFERROR(VLOOKUP($F70,Sheet3!$H$2:$O$200,AA$1,FALSE),VLOOKUP($G70,Sheet3!$H$2:$O$200,AA$1,FALSE))),$I$1),$I$1)</f>
        <v>0</v>
      </c>
      <c r="AB70" s="15">
        <f>IFERROR(IF(ISBLANK(U70),IFERROR(VLOOKUP($E70,Sheet3!$H$2:$O$200,AB$1,FALSE),IFERROR(VLOOKUP($F70,Sheet3!$H$2:$O$200,AB$1,FALSE),VLOOKUP($G70,Sheet3!$H$2:$O$200,AB$1,FALSE))),$I$1),$I$1)</f>
        <v>0</v>
      </c>
      <c r="AC70" s="15">
        <f>IFERROR(IF(ISBLANK(V70),IFERROR(VLOOKUP($E70,Sheet3!$H$2:$O$200,AC$1,FALSE),IFERROR(VLOOKUP($F70,Sheet3!$H$2:$O$200,AC$1,FALSE),VLOOKUP($G70,Sheet3!$H$2:$O$200,AC$1,FALSE))),$I$1),$I$1)</f>
        <v>0</v>
      </c>
      <c r="AD70" s="15">
        <f>IFERROR(IF(ISBLANK(W70),IFERROR(VLOOKUP($E70,Sheet3!$H$2:$O$200,AD$1,FALSE),IFERROR(VLOOKUP($F70,Sheet3!$H$2:$O$200,AD$1,FALSE),VLOOKUP($G70,Sheet3!$H$2:$O$200,AD$1,FALSE))),$I$1),$I$1)</f>
        <v>0</v>
      </c>
      <c r="AE70" s="15">
        <f>IFERROR(IF(ISBLANK(X70),IFERROR(VLOOKUP($F70,Sheet3!$H$2:$O$200,AE$1,FALSE),VLOOKUP($G70,Sheet3!$H$2:$O$200,AE$1,FALSE)),$I$1),$I$1)</f>
        <v>0</v>
      </c>
      <c r="AF70" s="15">
        <f>IFERROR(IF(ISBLANK(Y70),IFERROR(VLOOKUP($F70,Sheet3!$H$2:$O$200,AF$1,FALSE),VLOOKUP($G70,Sheet3!$H$2:$O$200,AF$1,FALSE)),$I$1),$I$1)</f>
        <v>0</v>
      </c>
      <c r="AG70" s="15">
        <f>IFERROR(IF(ISBLANK(Z70),IFERROR(VLOOKUP($F70,Sheet3!$H$2:$O$200,AG$1,FALSE),VLOOKUP($G70,Sheet3!$H$2:$O$200,AG$1,FALSE)),$I$1),$I$1)</f>
        <v>0</v>
      </c>
      <c r="AH70" s="15">
        <f>IFERROR(IF(ISBLANK(AA70),IFERROR(VLOOKUP($F70,Sheet3!$H$2:$O$200,AH$1,FALSE),VLOOKUP($G70,Sheet3!$H$2:$O$200,AH$1,FALSE)),$I$1),$I$1)</f>
        <v>0</v>
      </c>
      <c r="AI70" s="15">
        <f>IFERROR(IF(ISBLANK(AB70),IFERROR(VLOOKUP($F70,Sheet3!$H$2:$O$200,AI$1,FALSE),VLOOKUP($G70,Sheet3!$H$2:$O$200,AI$1,FALSE)),$I$1),$I$1)</f>
        <v>0</v>
      </c>
      <c r="AJ70" s="15">
        <f>IFERROR(IF(ISBLANK(AC70),IFERROR(VLOOKUP($F70,Sheet3!$H$2:$O$200,AJ$1,FALSE),VLOOKUP($G70,Sheet3!$H$2:$O$200,AJ$1,FALSE)),$I$1),$I$1)</f>
        <v>0</v>
      </c>
      <c r="AK70" s="15">
        <f>IFERROR(IF(ISBLANK(AD70),IFERROR(VLOOKUP($F70,Sheet3!$H$2:$O$200,AK$1,FALSE),VLOOKUP($G70,Sheet3!$H$2:$O$200,AK$1,FALSE)),$I$1),$I$1)</f>
        <v>0</v>
      </c>
      <c r="AL70" s="15">
        <f>IFERROR(IF(ISBLANK(AE70),VLOOKUP($G70,Sheet3!$H$2:$O$200,AL$1,FALSE),$I$1),$I$1)</f>
        <v>0</v>
      </c>
      <c r="AM70" s="15">
        <f>IFERROR(IF(ISBLANK(AF70),VLOOKUP($G70,Sheet3!$H$2:$O$200,AM$1,FALSE),$I$1),$I$1)</f>
        <v>0</v>
      </c>
      <c r="AN70" s="15">
        <f>IFERROR(IF(ISBLANK(AG70),VLOOKUP($G70,Sheet3!$H$2:$O$200,AN$1,FALSE),$I$1),$I$1)</f>
        <v>0</v>
      </c>
      <c r="AO70" s="15">
        <f>IFERROR(IF(ISBLANK(AH70),VLOOKUP($G70,Sheet3!$H$2:$O$200,AO$1,FALSE),$I$1),$I$1)</f>
        <v>0</v>
      </c>
      <c r="AP70" s="15">
        <f>IFERROR(IF(ISBLANK(AI70),VLOOKUP($G70,Sheet3!$H$2:$O$200,AP$1,FALSE),$I$1),$I$1)</f>
        <v>0</v>
      </c>
      <c r="AQ70" s="15">
        <f>IFERROR(IF(ISBLANK(AJ70),VLOOKUP($G70,Sheet3!$H$2:$O$200,AQ$1,FALSE),$I$1),$I$1)</f>
        <v>0</v>
      </c>
      <c r="AR70" s="15">
        <f>IFERROR(IF(ISBLANK(AK70),VLOOKUP($G70,Sheet3!$H$2:$O$200,AR$1,FALSE),$I$1),$I$1)</f>
        <v>0</v>
      </c>
      <c r="AS70" s="15">
        <f t="shared" si="1"/>
        <v>28</v>
      </c>
      <c r="AT70" s="15" t="b">
        <f t="shared" si="2"/>
        <v>0</v>
      </c>
    </row>
    <row r="71" spans="1:46" x14ac:dyDescent="0.2">
      <c r="A71" s="19" t="s">
        <v>172</v>
      </c>
      <c r="B71" s="19" t="s">
        <v>148</v>
      </c>
      <c r="C71" s="19" t="s">
        <v>173</v>
      </c>
      <c r="D71" s="19" t="s">
        <v>38</v>
      </c>
      <c r="E71" s="19"/>
      <c r="F71" s="19"/>
      <c r="G71" s="19"/>
      <c r="H71" s="19" t="s">
        <v>172</v>
      </c>
      <c r="I71" s="15">
        <f t="shared" si="0"/>
        <v>2</v>
      </c>
      <c r="J71" s="15">
        <f>IFERROR(VLOOKUP($C71,Sheet3!$H$2:$O$200,J$1,FALSE),IFERROR(VLOOKUP($D71,Sheet3!$H$2:$O$200,J$1,FALSE),VLOOKUP($E71,Sheet3!$H$2:$O$200,J$1,FALSE)))</f>
        <v>0</v>
      </c>
      <c r="K71" s="15">
        <f>IFERROR(VLOOKUP($C71,Sheet3!$H$2:$O$200,K$1,FALSE),IFERROR(VLOOKUP($D71,Sheet3!$H$2:$O$200,K$1,FALSE),VLOOKUP($E71,Sheet3!$H$2:$O$200,K$1,FALSE)))</f>
        <v>0</v>
      </c>
      <c r="L71" s="15">
        <f>IFERROR(VLOOKUP($C71,Sheet3!$H$2:$O$200,L$1,FALSE),IFERROR(VLOOKUP($D71,Sheet3!$H$2:$O$200,L$1,FALSE),VLOOKUP($E71,Sheet3!$H$2:$O$200,L$1,FALSE)))</f>
        <v>0</v>
      </c>
      <c r="M71" s="15" t="str">
        <f>IFERROR(VLOOKUP($C71,Sheet3!$H$2:$O$200,M$1,FALSE),IFERROR(VLOOKUP($D71,Sheet3!$H$2:$O$200,M$1,FALSE),VLOOKUP($E71,Sheet3!$H$2:$O$200,M$1,FALSE)))</f>
        <v>ginger liqueur</v>
      </c>
      <c r="N71" s="15">
        <f>IFERROR(VLOOKUP($C71,Sheet3!$H$2:$O$200,N$1,FALSE),IFERROR(VLOOKUP($D71,Sheet3!$H$2:$O$200,N$1,FALSE),VLOOKUP($E71,Sheet3!$H$2:$O$200,N$1,FALSE)))</f>
        <v>0</v>
      </c>
      <c r="O71" s="15">
        <f>IFERROR(VLOOKUP($C71,Sheet3!$H$2:$O$200,O$1,FALSE),IFERROR(VLOOKUP($D71,Sheet3!$H$2:$O$200,O$1,FALSE),VLOOKUP($E71,Sheet3!$H$2:$O$200,O$1,FALSE)))</f>
        <v>0</v>
      </c>
      <c r="P71" s="15">
        <f>IFERROR(VLOOKUP($C71,Sheet3!$H$2:$O$200,P$1,FALSE),IFERROR(VLOOKUP($D71,Sheet3!$H$2:$O$200,P$1,FALSE),VLOOKUP($E71,Sheet3!$H$2:$O$200,P$1,FALSE)))</f>
        <v>0</v>
      </c>
      <c r="Q71" s="15">
        <f>IFERROR(IF(ISBLANK(J71),IFERROR(VLOOKUP($D71,Sheet3!$H$2:$O$200,Q$1,FALSE),IFERROR(VLOOKUP($E71,Sheet3!$H$2:$O$200,Q$1,FALSE),VLOOKUP($F71,Sheet3!$H$2:$O$200,Q$1,FALSE))),$I$1),$I$1)</f>
        <v>0</v>
      </c>
      <c r="R71" s="15">
        <f>IFERROR(IF(ISBLANK(K71),IFERROR(VLOOKUP($D71,Sheet3!$H$2:$O$200,R$1,FALSE),IFERROR(VLOOKUP($E71,Sheet3!$H$2:$O$200,R$1,FALSE),VLOOKUP($F71,Sheet3!$H$2:$O$200,R$1,FALSE))),$I$1),$I$1)</f>
        <v>0</v>
      </c>
      <c r="S71" s="15">
        <f>IFERROR(IF(ISBLANK(L71),IFERROR(VLOOKUP($D71,Sheet3!$H$2:$O$200,S$1,FALSE),IFERROR(VLOOKUP($E71,Sheet3!$H$2:$O$200,S$1,FALSE),VLOOKUP($F71,Sheet3!$H$2:$O$200,S$1,FALSE))),$I$1),$I$1)</f>
        <v>0</v>
      </c>
      <c r="T71" s="15">
        <f>IFERROR(IF(ISBLANK(M71),IFERROR(VLOOKUP($D71,Sheet3!$H$2:$O$200,T$1,FALSE),IFERROR(VLOOKUP($E71,Sheet3!$H$2:$O$200,T$1,FALSE),VLOOKUP($F71,Sheet3!$H$2:$O$200,T$1,FALSE))),$I$1),$I$1)</f>
        <v>0</v>
      </c>
      <c r="U71" s="15">
        <f>IFERROR(IF(ISBLANK(N71),IFERROR(VLOOKUP($D71,Sheet3!$H$2:$O$200,U$1,FALSE),IFERROR(VLOOKUP($E71,Sheet3!$H$2:$O$200,U$1,FALSE),VLOOKUP($F71,Sheet3!$H$2:$O$200,U$1,FALSE))),$I$1),$I$1)</f>
        <v>0</v>
      </c>
      <c r="V71" s="15">
        <f>IFERROR(IF(ISBLANK(O71),IFERROR(VLOOKUP($D71,Sheet3!$H$2:$O$200,V$1,FALSE),IFERROR(VLOOKUP($E71,Sheet3!$H$2:$O$200,V$1,FALSE),VLOOKUP($F71,Sheet3!$H$2:$O$200,V$1,FALSE))),$I$1),$I$1)</f>
        <v>0</v>
      </c>
      <c r="W71" s="15">
        <f>IFERROR(IF(ISBLANK(P71),IFERROR(VLOOKUP($D71,Sheet3!$H$2:$O$200,W$1,FALSE),IFERROR(VLOOKUP($E71,Sheet3!$H$2:$O$200,W$1,FALSE),VLOOKUP($F71,Sheet3!$H$2:$O$200,W$1,FALSE))),$I$1),$I$1)</f>
        <v>0</v>
      </c>
      <c r="X71" s="15">
        <f>IFERROR(IF(ISBLANK(Q71),IFERROR(VLOOKUP($E71,Sheet3!$H$2:$O$200,X$1,FALSE),IFERROR(VLOOKUP($F71,Sheet3!$H$2:$O$200,X$1,FALSE),VLOOKUP($G71,Sheet3!$H$2:$O$200,X$1,FALSE))),$I$1),$I$1)</f>
        <v>0</v>
      </c>
      <c r="Y71" s="15">
        <f>IFERROR(IF(ISBLANK(R71),IFERROR(VLOOKUP($E71,Sheet3!$H$2:$O$200,Y$1,FALSE),IFERROR(VLOOKUP($F71,Sheet3!$H$2:$O$200,Y$1,FALSE),VLOOKUP($G71,Sheet3!$H$2:$O$200,Y$1,FALSE))),$I$1),$I$1)</f>
        <v>0</v>
      </c>
      <c r="Z71" s="15">
        <f>IFERROR(IF(ISBLANK(S71),IFERROR(VLOOKUP($E71,Sheet3!$H$2:$O$200,Z$1,FALSE),IFERROR(VLOOKUP($F71,Sheet3!$H$2:$O$200,Z$1,FALSE),VLOOKUP($G71,Sheet3!$H$2:$O$200,Z$1,FALSE))),$I$1),$I$1)</f>
        <v>0</v>
      </c>
      <c r="AA71" s="15">
        <f>IFERROR(IF(ISBLANK(T71),IFERROR(VLOOKUP($E71,Sheet3!$H$2:$O$200,AA$1,FALSE),IFERROR(VLOOKUP($F71,Sheet3!$H$2:$O$200,AA$1,FALSE),VLOOKUP($G71,Sheet3!$H$2:$O$200,AA$1,FALSE))),$I$1),$I$1)</f>
        <v>0</v>
      </c>
      <c r="AB71" s="15">
        <f>IFERROR(IF(ISBLANK(U71),IFERROR(VLOOKUP($E71,Sheet3!$H$2:$O$200,AB$1,FALSE),IFERROR(VLOOKUP($F71,Sheet3!$H$2:$O$200,AB$1,FALSE),VLOOKUP($G71,Sheet3!$H$2:$O$200,AB$1,FALSE))),$I$1),$I$1)</f>
        <v>0</v>
      </c>
      <c r="AC71" s="15">
        <f>IFERROR(IF(ISBLANK(V71),IFERROR(VLOOKUP($E71,Sheet3!$H$2:$O$200,AC$1,FALSE),IFERROR(VLOOKUP($F71,Sheet3!$H$2:$O$200,AC$1,FALSE),VLOOKUP($G71,Sheet3!$H$2:$O$200,AC$1,FALSE))),$I$1),$I$1)</f>
        <v>0</v>
      </c>
      <c r="AD71" s="15">
        <f>IFERROR(IF(ISBLANK(W71),IFERROR(VLOOKUP($E71,Sheet3!$H$2:$O$200,AD$1,FALSE),IFERROR(VLOOKUP($F71,Sheet3!$H$2:$O$200,AD$1,FALSE),VLOOKUP($G71,Sheet3!$H$2:$O$200,AD$1,FALSE))),$I$1),$I$1)</f>
        <v>0</v>
      </c>
      <c r="AE71" s="15">
        <f>IFERROR(IF(ISBLANK(X71),IFERROR(VLOOKUP($F71,Sheet3!$H$2:$O$200,AE$1,FALSE),VLOOKUP($G71,Sheet3!$H$2:$O$200,AE$1,FALSE)),$I$1),$I$1)</f>
        <v>0</v>
      </c>
      <c r="AF71" s="15">
        <f>IFERROR(IF(ISBLANK(Y71),IFERROR(VLOOKUP($F71,Sheet3!$H$2:$O$200,AF$1,FALSE),VLOOKUP($G71,Sheet3!$H$2:$O$200,AF$1,FALSE)),$I$1),$I$1)</f>
        <v>0</v>
      </c>
      <c r="AG71" s="15">
        <f>IFERROR(IF(ISBLANK(Z71),IFERROR(VLOOKUP($F71,Sheet3!$H$2:$O$200,AG$1,FALSE),VLOOKUP($G71,Sheet3!$H$2:$O$200,AG$1,FALSE)),$I$1),$I$1)</f>
        <v>0</v>
      </c>
      <c r="AH71" s="15">
        <f>IFERROR(IF(ISBLANK(AA71),IFERROR(VLOOKUP($F71,Sheet3!$H$2:$O$200,AH$1,FALSE),VLOOKUP($G71,Sheet3!$H$2:$O$200,AH$1,FALSE)),$I$1),$I$1)</f>
        <v>0</v>
      </c>
      <c r="AI71" s="15">
        <f>IFERROR(IF(ISBLANK(AB71),IFERROR(VLOOKUP($F71,Sheet3!$H$2:$O$200,AI$1,FALSE),VLOOKUP($G71,Sheet3!$H$2:$O$200,AI$1,FALSE)),$I$1),$I$1)</f>
        <v>0</v>
      </c>
      <c r="AJ71" s="15">
        <f>IFERROR(IF(ISBLANK(AC71),IFERROR(VLOOKUP($F71,Sheet3!$H$2:$O$200,AJ$1,FALSE),VLOOKUP($G71,Sheet3!$H$2:$O$200,AJ$1,FALSE)),$I$1),$I$1)</f>
        <v>0</v>
      </c>
      <c r="AK71" s="15">
        <f>IFERROR(IF(ISBLANK(AD71),IFERROR(VLOOKUP($F71,Sheet3!$H$2:$O$200,AK$1,FALSE),VLOOKUP($G71,Sheet3!$H$2:$O$200,AK$1,FALSE)),$I$1),$I$1)</f>
        <v>0</v>
      </c>
      <c r="AL71" s="15">
        <f>IFERROR(IF(ISBLANK(AE71),VLOOKUP($G71,Sheet3!$H$2:$O$200,AL$1,FALSE),$I$1),$I$1)</f>
        <v>0</v>
      </c>
      <c r="AM71" s="15">
        <f>IFERROR(IF(ISBLANK(AF71),VLOOKUP($G71,Sheet3!$H$2:$O$200,AM$1,FALSE),$I$1),$I$1)</f>
        <v>0</v>
      </c>
      <c r="AN71" s="15">
        <f>IFERROR(IF(ISBLANK(AG71),VLOOKUP($G71,Sheet3!$H$2:$O$200,AN$1,FALSE),$I$1),$I$1)</f>
        <v>0</v>
      </c>
      <c r="AO71" s="15">
        <f>IFERROR(IF(ISBLANK(AH71),VLOOKUP($G71,Sheet3!$H$2:$O$200,AO$1,FALSE),$I$1),$I$1)</f>
        <v>0</v>
      </c>
      <c r="AP71" s="15">
        <f>IFERROR(IF(ISBLANK(AI71),VLOOKUP($G71,Sheet3!$H$2:$O$200,AP$1,FALSE),$I$1),$I$1)</f>
        <v>0</v>
      </c>
      <c r="AQ71" s="15">
        <f>IFERROR(IF(ISBLANK(AJ71),VLOOKUP($G71,Sheet3!$H$2:$O$200,AQ$1,FALSE),$I$1),$I$1)</f>
        <v>0</v>
      </c>
      <c r="AR71" s="15">
        <f>IFERROR(IF(ISBLANK(AK71),VLOOKUP($G71,Sheet3!$H$2:$O$200,AR$1,FALSE),$I$1),$I$1)</f>
        <v>0</v>
      </c>
      <c r="AS71" s="15">
        <f t="shared" si="1"/>
        <v>28</v>
      </c>
      <c r="AT71" s="15" t="b">
        <f t="shared" si="2"/>
        <v>0</v>
      </c>
    </row>
    <row r="72" spans="1:46" x14ac:dyDescent="0.2">
      <c r="A72" s="19" t="s">
        <v>174</v>
      </c>
      <c r="B72" s="19" t="s">
        <v>148</v>
      </c>
      <c r="C72" s="19" t="s">
        <v>100</v>
      </c>
      <c r="D72" s="19" t="s">
        <v>90</v>
      </c>
      <c r="E72" s="19"/>
      <c r="F72" s="19"/>
      <c r="G72" s="19"/>
      <c r="H72" s="19" t="s">
        <v>174</v>
      </c>
      <c r="I72" s="15">
        <f t="shared" si="0"/>
        <v>2</v>
      </c>
      <c r="J72" s="15">
        <f>IFERROR(VLOOKUP($C72,Sheet3!$H$2:$O$200,J$1,FALSE),IFERROR(VLOOKUP($D72,Sheet3!$H$2:$O$200,J$1,FALSE),VLOOKUP($E72,Sheet3!$H$2:$O$200,J$1,FALSE)))</f>
        <v>0</v>
      </c>
      <c r="K72" s="15">
        <f>IFERROR(VLOOKUP($C72,Sheet3!$H$2:$O$200,K$1,FALSE),IFERROR(VLOOKUP($D72,Sheet3!$H$2:$O$200,K$1,FALSE),VLOOKUP($E72,Sheet3!$H$2:$O$200,K$1,FALSE)))</f>
        <v>0</v>
      </c>
      <c r="L72" s="15">
        <f>IFERROR(VLOOKUP($C72,Sheet3!$H$2:$O$200,L$1,FALSE),IFERROR(VLOOKUP($D72,Sheet3!$H$2:$O$200,L$1,FALSE),VLOOKUP($E72,Sheet3!$H$2:$O$200,L$1,FALSE)))</f>
        <v>0</v>
      </c>
      <c r="M72" s="15" t="str">
        <f>IFERROR(VLOOKUP($C72,Sheet3!$H$2:$O$200,M$1,FALSE),IFERROR(VLOOKUP($D72,Sheet3!$H$2:$O$200,M$1,FALSE),VLOOKUP($E72,Sheet3!$H$2:$O$200,M$1,FALSE)))</f>
        <v>triple sec</v>
      </c>
      <c r="N72" s="15">
        <f>IFERROR(VLOOKUP($C72,Sheet3!$H$2:$O$200,N$1,FALSE),IFERROR(VLOOKUP($D72,Sheet3!$H$2:$O$200,N$1,FALSE),VLOOKUP($E72,Sheet3!$H$2:$O$200,N$1,FALSE)))</f>
        <v>0</v>
      </c>
      <c r="O72" s="15">
        <f>IFERROR(VLOOKUP($C72,Sheet3!$H$2:$O$200,O$1,FALSE),IFERROR(VLOOKUP($D72,Sheet3!$H$2:$O$200,O$1,FALSE),VLOOKUP($E72,Sheet3!$H$2:$O$200,O$1,FALSE)))</f>
        <v>0</v>
      </c>
      <c r="P72" s="15">
        <f>IFERROR(VLOOKUP($C72,Sheet3!$H$2:$O$200,P$1,FALSE),IFERROR(VLOOKUP($D72,Sheet3!$H$2:$O$200,P$1,FALSE),VLOOKUP($E72,Sheet3!$H$2:$O$200,P$1,FALSE)))</f>
        <v>0</v>
      </c>
      <c r="Q72" s="15">
        <f>IFERROR(IF(ISBLANK(J72),IFERROR(VLOOKUP($D72,Sheet3!$H$2:$O$200,Q$1,FALSE),IFERROR(VLOOKUP($E72,Sheet3!$H$2:$O$200,Q$1,FALSE),VLOOKUP($F72,Sheet3!$H$2:$O$200,Q$1,FALSE))),$I$1),$I$1)</f>
        <v>0</v>
      </c>
      <c r="R72" s="15">
        <f>IFERROR(IF(ISBLANK(K72),IFERROR(VLOOKUP($D72,Sheet3!$H$2:$O$200,R$1,FALSE),IFERROR(VLOOKUP($E72,Sheet3!$H$2:$O$200,R$1,FALSE),VLOOKUP($F72,Sheet3!$H$2:$O$200,R$1,FALSE))),$I$1),$I$1)</f>
        <v>0</v>
      </c>
      <c r="S72" s="15">
        <f>IFERROR(IF(ISBLANK(L72),IFERROR(VLOOKUP($D72,Sheet3!$H$2:$O$200,S$1,FALSE),IFERROR(VLOOKUP($E72,Sheet3!$H$2:$O$200,S$1,FALSE),VLOOKUP($F72,Sheet3!$H$2:$O$200,S$1,FALSE))),$I$1),$I$1)</f>
        <v>0</v>
      </c>
      <c r="T72" s="15">
        <f>IFERROR(IF(ISBLANK(M72),IFERROR(VLOOKUP($D72,Sheet3!$H$2:$O$200,T$1,FALSE),IFERROR(VLOOKUP($E72,Sheet3!$H$2:$O$200,T$1,FALSE),VLOOKUP($F72,Sheet3!$H$2:$O$200,T$1,FALSE))),$I$1),$I$1)</f>
        <v>0</v>
      </c>
      <c r="U72" s="15">
        <f>IFERROR(IF(ISBLANK(N72),IFERROR(VLOOKUP($D72,Sheet3!$H$2:$O$200,U$1,FALSE),IFERROR(VLOOKUP($E72,Sheet3!$H$2:$O$200,U$1,FALSE),VLOOKUP($F72,Sheet3!$H$2:$O$200,U$1,FALSE))),$I$1),$I$1)</f>
        <v>0</v>
      </c>
      <c r="V72" s="15">
        <f>IFERROR(IF(ISBLANK(O72),IFERROR(VLOOKUP($D72,Sheet3!$H$2:$O$200,V$1,FALSE),IFERROR(VLOOKUP($E72,Sheet3!$H$2:$O$200,V$1,FALSE),VLOOKUP($F72,Sheet3!$H$2:$O$200,V$1,FALSE))),$I$1),$I$1)</f>
        <v>0</v>
      </c>
      <c r="W72" s="15">
        <f>IFERROR(IF(ISBLANK(P72),IFERROR(VLOOKUP($D72,Sheet3!$H$2:$O$200,W$1,FALSE),IFERROR(VLOOKUP($E72,Sheet3!$H$2:$O$200,W$1,FALSE),VLOOKUP($F72,Sheet3!$H$2:$O$200,W$1,FALSE))),$I$1),$I$1)</f>
        <v>0</v>
      </c>
      <c r="X72" s="15">
        <f>IFERROR(IF(ISBLANK(Q72),IFERROR(VLOOKUP($E72,Sheet3!$H$2:$O$200,X$1,FALSE),IFERROR(VLOOKUP($F72,Sheet3!$H$2:$O$200,X$1,FALSE),VLOOKUP($G72,Sheet3!$H$2:$O$200,X$1,FALSE))),$I$1),$I$1)</f>
        <v>0</v>
      </c>
      <c r="Y72" s="15">
        <f>IFERROR(IF(ISBLANK(R72),IFERROR(VLOOKUP($E72,Sheet3!$H$2:$O$200,Y$1,FALSE),IFERROR(VLOOKUP($F72,Sheet3!$H$2:$O$200,Y$1,FALSE),VLOOKUP($G72,Sheet3!$H$2:$O$200,Y$1,FALSE))),$I$1),$I$1)</f>
        <v>0</v>
      </c>
      <c r="Z72" s="15">
        <f>IFERROR(IF(ISBLANK(S72),IFERROR(VLOOKUP($E72,Sheet3!$H$2:$O$200,Z$1,FALSE),IFERROR(VLOOKUP($F72,Sheet3!$H$2:$O$200,Z$1,FALSE),VLOOKUP($G72,Sheet3!$H$2:$O$200,Z$1,FALSE))),$I$1),$I$1)</f>
        <v>0</v>
      </c>
      <c r="AA72" s="15">
        <f>IFERROR(IF(ISBLANK(T72),IFERROR(VLOOKUP($E72,Sheet3!$H$2:$O$200,AA$1,FALSE),IFERROR(VLOOKUP($F72,Sheet3!$H$2:$O$200,AA$1,FALSE),VLOOKUP($G72,Sheet3!$H$2:$O$200,AA$1,FALSE))),$I$1),$I$1)</f>
        <v>0</v>
      </c>
      <c r="AB72" s="15">
        <f>IFERROR(IF(ISBLANK(U72),IFERROR(VLOOKUP($E72,Sheet3!$H$2:$O$200,AB$1,FALSE),IFERROR(VLOOKUP($F72,Sheet3!$H$2:$O$200,AB$1,FALSE),VLOOKUP($G72,Sheet3!$H$2:$O$200,AB$1,FALSE))),$I$1),$I$1)</f>
        <v>0</v>
      </c>
      <c r="AC72" s="15">
        <f>IFERROR(IF(ISBLANK(V72),IFERROR(VLOOKUP($E72,Sheet3!$H$2:$O$200,AC$1,FALSE),IFERROR(VLOOKUP($F72,Sheet3!$H$2:$O$200,AC$1,FALSE),VLOOKUP($G72,Sheet3!$H$2:$O$200,AC$1,FALSE))),$I$1),$I$1)</f>
        <v>0</v>
      </c>
      <c r="AD72" s="15">
        <f>IFERROR(IF(ISBLANK(W72),IFERROR(VLOOKUP($E72,Sheet3!$H$2:$O$200,AD$1,FALSE),IFERROR(VLOOKUP($F72,Sheet3!$H$2:$O$200,AD$1,FALSE),VLOOKUP($G72,Sheet3!$H$2:$O$200,AD$1,FALSE))),$I$1),$I$1)</f>
        <v>0</v>
      </c>
      <c r="AE72" s="15">
        <f>IFERROR(IF(ISBLANK(X72),IFERROR(VLOOKUP($F72,Sheet3!$H$2:$O$200,AE$1,FALSE),VLOOKUP($G72,Sheet3!$H$2:$O$200,AE$1,FALSE)),$I$1),$I$1)</f>
        <v>0</v>
      </c>
      <c r="AF72" s="15">
        <f>IFERROR(IF(ISBLANK(Y72),IFERROR(VLOOKUP($F72,Sheet3!$H$2:$O$200,AF$1,FALSE),VLOOKUP($G72,Sheet3!$H$2:$O$200,AF$1,FALSE)),$I$1),$I$1)</f>
        <v>0</v>
      </c>
      <c r="AG72" s="15">
        <f>IFERROR(IF(ISBLANK(Z72),IFERROR(VLOOKUP($F72,Sheet3!$H$2:$O$200,AG$1,FALSE),VLOOKUP($G72,Sheet3!$H$2:$O$200,AG$1,FALSE)),$I$1),$I$1)</f>
        <v>0</v>
      </c>
      <c r="AH72" s="15">
        <f>IFERROR(IF(ISBLANK(AA72),IFERROR(VLOOKUP($F72,Sheet3!$H$2:$O$200,AH$1,FALSE),VLOOKUP($G72,Sheet3!$H$2:$O$200,AH$1,FALSE)),$I$1),$I$1)</f>
        <v>0</v>
      </c>
      <c r="AI72" s="15">
        <f>IFERROR(IF(ISBLANK(AB72),IFERROR(VLOOKUP($F72,Sheet3!$H$2:$O$200,AI$1,FALSE),VLOOKUP($G72,Sheet3!$H$2:$O$200,AI$1,FALSE)),$I$1),$I$1)</f>
        <v>0</v>
      </c>
      <c r="AJ72" s="15">
        <f>IFERROR(IF(ISBLANK(AC72),IFERROR(VLOOKUP($F72,Sheet3!$H$2:$O$200,AJ$1,FALSE),VLOOKUP($G72,Sheet3!$H$2:$O$200,AJ$1,FALSE)),$I$1),$I$1)</f>
        <v>0</v>
      </c>
      <c r="AK72" s="15">
        <f>IFERROR(IF(ISBLANK(AD72),IFERROR(VLOOKUP($F72,Sheet3!$H$2:$O$200,AK$1,FALSE),VLOOKUP($G72,Sheet3!$H$2:$O$200,AK$1,FALSE)),$I$1),$I$1)</f>
        <v>0</v>
      </c>
      <c r="AL72" s="15">
        <f>IFERROR(IF(ISBLANK(AE72),VLOOKUP($G72,Sheet3!$H$2:$O$200,AL$1,FALSE),$I$1),$I$1)</f>
        <v>0</v>
      </c>
      <c r="AM72" s="15">
        <f>IFERROR(IF(ISBLANK(AF72),VLOOKUP($G72,Sheet3!$H$2:$O$200,AM$1,FALSE),$I$1),$I$1)</f>
        <v>0</v>
      </c>
      <c r="AN72" s="15">
        <f>IFERROR(IF(ISBLANK(AG72),VLOOKUP($G72,Sheet3!$H$2:$O$200,AN$1,FALSE),$I$1),$I$1)</f>
        <v>0</v>
      </c>
      <c r="AO72" s="15">
        <f>IFERROR(IF(ISBLANK(AH72),VLOOKUP($G72,Sheet3!$H$2:$O$200,AO$1,FALSE),$I$1),$I$1)</f>
        <v>0</v>
      </c>
      <c r="AP72" s="15">
        <f>IFERROR(IF(ISBLANK(AI72),VLOOKUP($G72,Sheet3!$H$2:$O$200,AP$1,FALSE),$I$1),$I$1)</f>
        <v>0</v>
      </c>
      <c r="AQ72" s="15">
        <f>IFERROR(IF(ISBLANK(AJ72),VLOOKUP($G72,Sheet3!$H$2:$O$200,AQ$1,FALSE),$I$1),$I$1)</f>
        <v>0</v>
      </c>
      <c r="AR72" s="15">
        <f>IFERROR(IF(ISBLANK(AK72),VLOOKUP($G72,Sheet3!$H$2:$O$200,AR$1,FALSE),$I$1),$I$1)</f>
        <v>0</v>
      </c>
      <c r="AS72" s="15">
        <f t="shared" si="1"/>
        <v>28</v>
      </c>
      <c r="AT72" s="15" t="b">
        <f t="shared" si="2"/>
        <v>0</v>
      </c>
    </row>
    <row r="73" spans="1:46" x14ac:dyDescent="0.2">
      <c r="A73" s="19" t="s">
        <v>175</v>
      </c>
      <c r="B73" s="19" t="s">
        <v>148</v>
      </c>
      <c r="C73" s="19" t="s">
        <v>100</v>
      </c>
      <c r="D73" s="19" t="s">
        <v>90</v>
      </c>
      <c r="E73" s="18" t="s">
        <v>66</v>
      </c>
      <c r="F73" s="18" t="s">
        <v>74</v>
      </c>
      <c r="G73" s="19"/>
      <c r="H73" s="19" t="s">
        <v>175</v>
      </c>
      <c r="I73" s="15">
        <f t="shared" si="0"/>
        <v>4</v>
      </c>
      <c r="J73" s="15">
        <f>IFERROR(VLOOKUP($C73,Sheet3!$H$2:$O$200,J$1,FALSE),IFERROR(VLOOKUP($D73,Sheet3!$H$2:$O$200,J$1,FALSE),VLOOKUP($E73,Sheet3!$H$2:$O$200,J$1,FALSE)))</f>
        <v>0</v>
      </c>
      <c r="K73" s="15">
        <f>IFERROR(VLOOKUP($C73,Sheet3!$H$2:$O$200,K$1,FALSE),IFERROR(VLOOKUP($D73,Sheet3!$H$2:$O$200,K$1,FALSE),VLOOKUP($E73,Sheet3!$H$2:$O$200,K$1,FALSE)))</f>
        <v>0</v>
      </c>
      <c r="L73" s="15">
        <f>IFERROR(VLOOKUP($C73,Sheet3!$H$2:$O$200,L$1,FALSE),IFERROR(VLOOKUP($D73,Sheet3!$H$2:$O$200,L$1,FALSE),VLOOKUP($E73,Sheet3!$H$2:$O$200,L$1,FALSE)))</f>
        <v>0</v>
      </c>
      <c r="M73" s="15" t="str">
        <f>IFERROR(VLOOKUP($C73,Sheet3!$H$2:$O$200,M$1,FALSE),IFERROR(VLOOKUP($D73,Sheet3!$H$2:$O$200,M$1,FALSE),VLOOKUP($E73,Sheet3!$H$2:$O$200,M$1,FALSE)))</f>
        <v>triple sec</v>
      </c>
      <c r="N73" s="15">
        <f>IFERROR(VLOOKUP($C73,Sheet3!$H$2:$O$200,N$1,FALSE),IFERROR(VLOOKUP($D73,Sheet3!$H$2:$O$200,N$1,FALSE),VLOOKUP($E73,Sheet3!$H$2:$O$200,N$1,FALSE)))</f>
        <v>0</v>
      </c>
      <c r="O73" s="15">
        <f>IFERROR(VLOOKUP($C73,Sheet3!$H$2:$O$200,O$1,FALSE),IFERROR(VLOOKUP($D73,Sheet3!$H$2:$O$200,O$1,FALSE),VLOOKUP($E73,Sheet3!$H$2:$O$200,O$1,FALSE)))</f>
        <v>0</v>
      </c>
      <c r="P73" s="15">
        <f>IFERROR(VLOOKUP($C73,Sheet3!$H$2:$O$200,P$1,FALSE),IFERROR(VLOOKUP($D73,Sheet3!$H$2:$O$200,P$1,FALSE),VLOOKUP($E73,Sheet3!$H$2:$O$200,P$1,FALSE)))</f>
        <v>0</v>
      </c>
      <c r="Q73" s="15">
        <f>IFERROR(IF(ISBLANK(J73),IFERROR(VLOOKUP($D73,Sheet3!$H$2:$O$200,Q$1,FALSE),IFERROR(VLOOKUP($E73,Sheet3!$H$2:$O$200,Q$1,FALSE),VLOOKUP($F73,Sheet3!$H$2:$O$200,Q$1,FALSE))),$I$1),$I$1)</f>
        <v>0</v>
      </c>
      <c r="R73" s="15">
        <f>IFERROR(IF(ISBLANK(K73),IFERROR(VLOOKUP($D73,Sheet3!$H$2:$O$200,R$1,FALSE),IFERROR(VLOOKUP($E73,Sheet3!$H$2:$O$200,R$1,FALSE),VLOOKUP($F73,Sheet3!$H$2:$O$200,R$1,FALSE))),$I$1),$I$1)</f>
        <v>0</v>
      </c>
      <c r="S73" s="15">
        <f>IFERROR(IF(ISBLANK(L73),IFERROR(VLOOKUP($D73,Sheet3!$H$2:$O$200,S$1,FALSE),IFERROR(VLOOKUP($E73,Sheet3!$H$2:$O$200,S$1,FALSE),VLOOKUP($F73,Sheet3!$H$2:$O$200,S$1,FALSE))),$I$1),$I$1)</f>
        <v>0</v>
      </c>
      <c r="T73" s="15">
        <f>IFERROR(IF(ISBLANK(M73),IFERROR(VLOOKUP($D73,Sheet3!$H$2:$O$200,T$1,FALSE),IFERROR(VLOOKUP($E73,Sheet3!$H$2:$O$200,T$1,FALSE),VLOOKUP($F73,Sheet3!$H$2:$O$200,T$1,FALSE))),$I$1),$I$1)</f>
        <v>0</v>
      </c>
      <c r="U73" s="15">
        <f>IFERROR(IF(ISBLANK(N73),IFERROR(VLOOKUP($D73,Sheet3!$H$2:$O$200,U$1,FALSE),IFERROR(VLOOKUP($E73,Sheet3!$H$2:$O$200,U$1,FALSE),VLOOKUP($F73,Sheet3!$H$2:$O$200,U$1,FALSE))),$I$1),$I$1)</f>
        <v>0</v>
      </c>
      <c r="V73" s="15">
        <f>IFERROR(IF(ISBLANK(O73),IFERROR(VLOOKUP($D73,Sheet3!$H$2:$O$200,V$1,FALSE),IFERROR(VLOOKUP($E73,Sheet3!$H$2:$O$200,V$1,FALSE),VLOOKUP($F73,Sheet3!$H$2:$O$200,V$1,FALSE))),$I$1),$I$1)</f>
        <v>0</v>
      </c>
      <c r="W73" s="15">
        <f>IFERROR(IF(ISBLANK(P73),IFERROR(VLOOKUP($D73,Sheet3!$H$2:$O$200,W$1,FALSE),IFERROR(VLOOKUP($E73,Sheet3!$H$2:$O$200,W$1,FALSE),VLOOKUP($F73,Sheet3!$H$2:$O$200,W$1,FALSE))),$I$1),$I$1)</f>
        <v>0</v>
      </c>
      <c r="X73" s="15">
        <f>IFERROR(IF(ISBLANK(Q73),IFERROR(VLOOKUP($E73,Sheet3!$H$2:$O$200,X$1,FALSE),IFERROR(VLOOKUP($F73,Sheet3!$H$2:$O$200,X$1,FALSE),VLOOKUP($G73,Sheet3!$H$2:$O$200,X$1,FALSE))),$I$1),$I$1)</f>
        <v>0</v>
      </c>
      <c r="Y73" s="15">
        <f>IFERROR(IF(ISBLANK(R73),IFERROR(VLOOKUP($E73,Sheet3!$H$2:$O$200,Y$1,FALSE),IFERROR(VLOOKUP($F73,Sheet3!$H$2:$O$200,Y$1,FALSE),VLOOKUP($G73,Sheet3!$H$2:$O$200,Y$1,FALSE))),$I$1),$I$1)</f>
        <v>0</v>
      </c>
      <c r="Z73" s="15">
        <f>IFERROR(IF(ISBLANK(S73),IFERROR(VLOOKUP($E73,Sheet3!$H$2:$O$200,Z$1,FALSE),IFERROR(VLOOKUP($F73,Sheet3!$H$2:$O$200,Z$1,FALSE),VLOOKUP($G73,Sheet3!$H$2:$O$200,Z$1,FALSE))),$I$1),$I$1)</f>
        <v>0</v>
      </c>
      <c r="AA73" s="15">
        <f>IFERROR(IF(ISBLANK(T73),IFERROR(VLOOKUP($E73,Sheet3!$H$2:$O$200,AA$1,FALSE),IFERROR(VLOOKUP($F73,Sheet3!$H$2:$O$200,AA$1,FALSE),VLOOKUP($G73,Sheet3!$H$2:$O$200,AA$1,FALSE))),$I$1),$I$1)</f>
        <v>0</v>
      </c>
      <c r="AB73" s="15">
        <f>IFERROR(IF(ISBLANK(U73),IFERROR(VLOOKUP($E73,Sheet3!$H$2:$O$200,AB$1,FALSE),IFERROR(VLOOKUP($F73,Sheet3!$H$2:$O$200,AB$1,FALSE),VLOOKUP($G73,Sheet3!$H$2:$O$200,AB$1,FALSE))),$I$1),$I$1)</f>
        <v>0</v>
      </c>
      <c r="AC73" s="15">
        <f>IFERROR(IF(ISBLANK(V73),IFERROR(VLOOKUP($E73,Sheet3!$H$2:$O$200,AC$1,FALSE),IFERROR(VLOOKUP($F73,Sheet3!$H$2:$O$200,AC$1,FALSE),VLOOKUP($G73,Sheet3!$H$2:$O$200,AC$1,FALSE))),$I$1),$I$1)</f>
        <v>0</v>
      </c>
      <c r="AD73" s="15">
        <f>IFERROR(IF(ISBLANK(W73),IFERROR(VLOOKUP($E73,Sheet3!$H$2:$O$200,AD$1,FALSE),IFERROR(VLOOKUP($F73,Sheet3!$H$2:$O$200,AD$1,FALSE),VLOOKUP($G73,Sheet3!$H$2:$O$200,AD$1,FALSE))),$I$1),$I$1)</f>
        <v>0</v>
      </c>
      <c r="AE73" s="15">
        <f>IFERROR(IF(ISBLANK(X73),IFERROR(VLOOKUP($F73,Sheet3!$H$2:$O$200,AE$1,FALSE),VLOOKUP($G73,Sheet3!$H$2:$O$200,AE$1,FALSE)),$I$1),$I$1)</f>
        <v>0</v>
      </c>
      <c r="AF73" s="15">
        <f>IFERROR(IF(ISBLANK(Y73),IFERROR(VLOOKUP($F73,Sheet3!$H$2:$O$200,AF$1,FALSE),VLOOKUP($G73,Sheet3!$H$2:$O$200,AF$1,FALSE)),$I$1),$I$1)</f>
        <v>0</v>
      </c>
      <c r="AG73" s="15">
        <f>IFERROR(IF(ISBLANK(Z73),IFERROR(VLOOKUP($F73,Sheet3!$H$2:$O$200,AG$1,FALSE),VLOOKUP($G73,Sheet3!$H$2:$O$200,AG$1,FALSE)),$I$1),$I$1)</f>
        <v>0</v>
      </c>
      <c r="AH73" s="15">
        <f>IFERROR(IF(ISBLANK(AA73),IFERROR(VLOOKUP($F73,Sheet3!$H$2:$O$200,AH$1,FALSE),VLOOKUP($G73,Sheet3!$H$2:$O$200,AH$1,FALSE)),$I$1),$I$1)</f>
        <v>0</v>
      </c>
      <c r="AI73" s="15">
        <f>IFERROR(IF(ISBLANK(AB73),IFERROR(VLOOKUP($F73,Sheet3!$H$2:$O$200,AI$1,FALSE),VLOOKUP($G73,Sheet3!$H$2:$O$200,AI$1,FALSE)),$I$1),$I$1)</f>
        <v>0</v>
      </c>
      <c r="AJ73" s="15">
        <f>IFERROR(IF(ISBLANK(AC73),IFERROR(VLOOKUP($F73,Sheet3!$H$2:$O$200,AJ$1,FALSE),VLOOKUP($G73,Sheet3!$H$2:$O$200,AJ$1,FALSE)),$I$1),$I$1)</f>
        <v>0</v>
      </c>
      <c r="AK73" s="15">
        <f>IFERROR(IF(ISBLANK(AD73),IFERROR(VLOOKUP($F73,Sheet3!$H$2:$O$200,AK$1,FALSE),VLOOKUP($G73,Sheet3!$H$2:$O$200,AK$1,FALSE)),$I$1),$I$1)</f>
        <v>0</v>
      </c>
      <c r="AL73" s="15">
        <f>IFERROR(IF(ISBLANK(AE73),VLOOKUP($G73,Sheet3!$H$2:$O$200,AL$1,FALSE),$I$1),$I$1)</f>
        <v>0</v>
      </c>
      <c r="AM73" s="15">
        <f>IFERROR(IF(ISBLANK(AF73),VLOOKUP($G73,Sheet3!$H$2:$O$200,AM$1,FALSE),$I$1),$I$1)</f>
        <v>0</v>
      </c>
      <c r="AN73" s="15">
        <f>IFERROR(IF(ISBLANK(AG73),VLOOKUP($G73,Sheet3!$H$2:$O$200,AN$1,FALSE),$I$1),$I$1)</f>
        <v>0</v>
      </c>
      <c r="AO73" s="15">
        <f>IFERROR(IF(ISBLANK(AH73),VLOOKUP($G73,Sheet3!$H$2:$O$200,AO$1,FALSE),$I$1),$I$1)</f>
        <v>0</v>
      </c>
      <c r="AP73" s="15">
        <f>IFERROR(IF(ISBLANK(AI73),VLOOKUP($G73,Sheet3!$H$2:$O$200,AP$1,FALSE),$I$1),$I$1)</f>
        <v>0</v>
      </c>
      <c r="AQ73" s="15">
        <f>IFERROR(IF(ISBLANK(AJ73),VLOOKUP($G73,Sheet3!$H$2:$O$200,AQ$1,FALSE),$I$1),$I$1)</f>
        <v>0</v>
      </c>
      <c r="AR73" s="15">
        <f>IFERROR(IF(ISBLANK(AK73),VLOOKUP($G73,Sheet3!$H$2:$O$200,AR$1,FALSE),$I$1),$I$1)</f>
        <v>0</v>
      </c>
      <c r="AS73" s="15">
        <f t="shared" si="1"/>
        <v>28</v>
      </c>
      <c r="AT73" s="15" t="b">
        <f t="shared" si="2"/>
        <v>0</v>
      </c>
    </row>
    <row r="74" spans="1:46" x14ac:dyDescent="0.2">
      <c r="A74" s="19" t="s">
        <v>176</v>
      </c>
      <c r="B74" s="19" t="s">
        <v>148</v>
      </c>
      <c r="C74" s="19" t="s">
        <v>100</v>
      </c>
      <c r="D74" s="19" t="s">
        <v>38</v>
      </c>
      <c r="E74" s="19" t="s">
        <v>55</v>
      </c>
      <c r="F74" s="19"/>
      <c r="G74" s="19"/>
      <c r="H74" s="19" t="s">
        <v>176</v>
      </c>
      <c r="I74" s="15">
        <f t="shared" si="0"/>
        <v>3</v>
      </c>
      <c r="J74" s="15">
        <f>IFERROR(VLOOKUP($C74,Sheet3!$H$2:$O$200,J$1,FALSE),IFERROR(VLOOKUP($D74,Sheet3!$H$2:$O$200,J$1,FALSE),VLOOKUP($E74,Sheet3!$H$2:$O$200,J$1,FALSE)))</f>
        <v>0</v>
      </c>
      <c r="K74" s="15">
        <f>IFERROR(VLOOKUP($C74,Sheet3!$H$2:$O$200,K$1,FALSE),IFERROR(VLOOKUP($D74,Sheet3!$H$2:$O$200,K$1,FALSE),VLOOKUP($E74,Sheet3!$H$2:$O$200,K$1,FALSE)))</f>
        <v>0</v>
      </c>
      <c r="L74" s="15">
        <f>IFERROR(VLOOKUP($C74,Sheet3!$H$2:$O$200,L$1,FALSE),IFERROR(VLOOKUP($D74,Sheet3!$H$2:$O$200,L$1,FALSE),VLOOKUP($E74,Sheet3!$H$2:$O$200,L$1,FALSE)))</f>
        <v>0</v>
      </c>
      <c r="M74" s="15" t="str">
        <f>IFERROR(VLOOKUP($C74,Sheet3!$H$2:$O$200,M$1,FALSE),IFERROR(VLOOKUP($D74,Sheet3!$H$2:$O$200,M$1,FALSE),VLOOKUP($E74,Sheet3!$H$2:$O$200,M$1,FALSE)))</f>
        <v>triple sec</v>
      </c>
      <c r="N74" s="15">
        <f>IFERROR(VLOOKUP($C74,Sheet3!$H$2:$O$200,N$1,FALSE),IFERROR(VLOOKUP($D74,Sheet3!$H$2:$O$200,N$1,FALSE),VLOOKUP($E74,Sheet3!$H$2:$O$200,N$1,FALSE)))</f>
        <v>0</v>
      </c>
      <c r="O74" s="15">
        <f>IFERROR(VLOOKUP($C74,Sheet3!$H$2:$O$200,O$1,FALSE),IFERROR(VLOOKUP($D74,Sheet3!$H$2:$O$200,O$1,FALSE),VLOOKUP($E74,Sheet3!$H$2:$O$200,O$1,FALSE)))</f>
        <v>0</v>
      </c>
      <c r="P74" s="15">
        <f>IFERROR(VLOOKUP($C74,Sheet3!$H$2:$O$200,P$1,FALSE),IFERROR(VLOOKUP($D74,Sheet3!$H$2:$O$200,P$1,FALSE),VLOOKUP($E74,Sheet3!$H$2:$O$200,P$1,FALSE)))</f>
        <v>0</v>
      </c>
      <c r="Q74" s="15">
        <f>IFERROR(IF(ISBLANK(J74),IFERROR(VLOOKUP($D74,Sheet3!$H$2:$O$200,Q$1,FALSE),IFERROR(VLOOKUP($E74,Sheet3!$H$2:$O$200,Q$1,FALSE),VLOOKUP($F74,Sheet3!$H$2:$O$200,Q$1,FALSE))),$I$1),$I$1)</f>
        <v>0</v>
      </c>
      <c r="R74" s="15">
        <f>IFERROR(IF(ISBLANK(K74),IFERROR(VLOOKUP($D74,Sheet3!$H$2:$O$200,R$1,FALSE),IFERROR(VLOOKUP($E74,Sheet3!$H$2:$O$200,R$1,FALSE),VLOOKUP($F74,Sheet3!$H$2:$O$200,R$1,FALSE))),$I$1),$I$1)</f>
        <v>0</v>
      </c>
      <c r="S74" s="15">
        <f>IFERROR(IF(ISBLANK(L74),IFERROR(VLOOKUP($D74,Sheet3!$H$2:$O$200,S$1,FALSE),IFERROR(VLOOKUP($E74,Sheet3!$H$2:$O$200,S$1,FALSE),VLOOKUP($F74,Sheet3!$H$2:$O$200,S$1,FALSE))),$I$1),$I$1)</f>
        <v>0</v>
      </c>
      <c r="T74" s="15">
        <f>IFERROR(IF(ISBLANK(M74),IFERROR(VLOOKUP($D74,Sheet3!$H$2:$O$200,T$1,FALSE),IFERROR(VLOOKUP($E74,Sheet3!$H$2:$O$200,T$1,FALSE),VLOOKUP($F74,Sheet3!$H$2:$O$200,T$1,FALSE))),$I$1),$I$1)</f>
        <v>0</v>
      </c>
      <c r="U74" s="15">
        <f>IFERROR(IF(ISBLANK(N74),IFERROR(VLOOKUP($D74,Sheet3!$H$2:$O$200,U$1,FALSE),IFERROR(VLOOKUP($E74,Sheet3!$H$2:$O$200,U$1,FALSE),VLOOKUP($F74,Sheet3!$H$2:$O$200,U$1,FALSE))),$I$1),$I$1)</f>
        <v>0</v>
      </c>
      <c r="V74" s="15">
        <f>IFERROR(IF(ISBLANK(O74),IFERROR(VLOOKUP($D74,Sheet3!$H$2:$O$200,V$1,FALSE),IFERROR(VLOOKUP($E74,Sheet3!$H$2:$O$200,V$1,FALSE),VLOOKUP($F74,Sheet3!$H$2:$O$200,V$1,FALSE))),$I$1),$I$1)</f>
        <v>0</v>
      </c>
      <c r="W74" s="15">
        <f>IFERROR(IF(ISBLANK(P74),IFERROR(VLOOKUP($D74,Sheet3!$H$2:$O$200,W$1,FALSE),IFERROR(VLOOKUP($E74,Sheet3!$H$2:$O$200,W$1,FALSE),VLOOKUP($F74,Sheet3!$H$2:$O$200,W$1,FALSE))),$I$1),$I$1)</f>
        <v>0</v>
      </c>
      <c r="X74" s="15">
        <f>IFERROR(IF(ISBLANK(Q74),IFERROR(VLOOKUP($E74,Sheet3!$H$2:$O$200,X$1,FALSE),IFERROR(VLOOKUP($F74,Sheet3!$H$2:$O$200,X$1,FALSE),VLOOKUP($G74,Sheet3!$H$2:$O$200,X$1,FALSE))),$I$1),$I$1)</f>
        <v>0</v>
      </c>
      <c r="Y74" s="15">
        <f>IFERROR(IF(ISBLANK(R74),IFERROR(VLOOKUP($E74,Sheet3!$H$2:$O$200,Y$1,FALSE),IFERROR(VLOOKUP($F74,Sheet3!$H$2:$O$200,Y$1,FALSE),VLOOKUP($G74,Sheet3!$H$2:$O$200,Y$1,FALSE))),$I$1),$I$1)</f>
        <v>0</v>
      </c>
      <c r="Z74" s="15">
        <f>IFERROR(IF(ISBLANK(S74),IFERROR(VLOOKUP($E74,Sheet3!$H$2:$O$200,Z$1,FALSE),IFERROR(VLOOKUP($F74,Sheet3!$H$2:$O$200,Z$1,FALSE),VLOOKUP($G74,Sheet3!$H$2:$O$200,Z$1,FALSE))),$I$1),$I$1)</f>
        <v>0</v>
      </c>
      <c r="AA74" s="15">
        <f>IFERROR(IF(ISBLANK(T74),IFERROR(VLOOKUP($E74,Sheet3!$H$2:$O$200,AA$1,FALSE),IFERROR(VLOOKUP($F74,Sheet3!$H$2:$O$200,AA$1,FALSE),VLOOKUP($G74,Sheet3!$H$2:$O$200,AA$1,FALSE))),$I$1),$I$1)</f>
        <v>0</v>
      </c>
      <c r="AB74" s="15">
        <f>IFERROR(IF(ISBLANK(U74),IFERROR(VLOOKUP($E74,Sheet3!$H$2:$O$200,AB$1,FALSE),IFERROR(VLOOKUP($F74,Sheet3!$H$2:$O$200,AB$1,FALSE),VLOOKUP($G74,Sheet3!$H$2:$O$200,AB$1,FALSE))),$I$1),$I$1)</f>
        <v>0</v>
      </c>
      <c r="AC74" s="15">
        <f>IFERROR(IF(ISBLANK(V74),IFERROR(VLOOKUP($E74,Sheet3!$H$2:$O$200,AC$1,FALSE),IFERROR(VLOOKUP($F74,Sheet3!$H$2:$O$200,AC$1,FALSE),VLOOKUP($G74,Sheet3!$H$2:$O$200,AC$1,FALSE))),$I$1),$I$1)</f>
        <v>0</v>
      </c>
      <c r="AD74" s="15">
        <f>IFERROR(IF(ISBLANK(W74),IFERROR(VLOOKUP($E74,Sheet3!$H$2:$O$200,AD$1,FALSE),IFERROR(VLOOKUP($F74,Sheet3!$H$2:$O$200,AD$1,FALSE),VLOOKUP($G74,Sheet3!$H$2:$O$200,AD$1,FALSE))),$I$1),$I$1)</f>
        <v>0</v>
      </c>
      <c r="AE74" s="15">
        <f>IFERROR(IF(ISBLANK(X74),IFERROR(VLOOKUP($F74,Sheet3!$H$2:$O$200,AE$1,FALSE),VLOOKUP($G74,Sheet3!$H$2:$O$200,AE$1,FALSE)),$I$1),$I$1)</f>
        <v>0</v>
      </c>
      <c r="AF74" s="15">
        <f>IFERROR(IF(ISBLANK(Y74),IFERROR(VLOOKUP($F74,Sheet3!$H$2:$O$200,AF$1,FALSE),VLOOKUP($G74,Sheet3!$H$2:$O$200,AF$1,FALSE)),$I$1),$I$1)</f>
        <v>0</v>
      </c>
      <c r="AG74" s="15">
        <f>IFERROR(IF(ISBLANK(Z74),IFERROR(VLOOKUP($F74,Sheet3!$H$2:$O$200,AG$1,FALSE),VLOOKUP($G74,Sheet3!$H$2:$O$200,AG$1,FALSE)),$I$1),$I$1)</f>
        <v>0</v>
      </c>
      <c r="AH74" s="15">
        <f>IFERROR(IF(ISBLANK(AA74),IFERROR(VLOOKUP($F74,Sheet3!$H$2:$O$200,AH$1,FALSE),VLOOKUP($G74,Sheet3!$H$2:$O$200,AH$1,FALSE)),$I$1),$I$1)</f>
        <v>0</v>
      </c>
      <c r="AI74" s="15">
        <f>IFERROR(IF(ISBLANK(AB74),IFERROR(VLOOKUP($F74,Sheet3!$H$2:$O$200,AI$1,FALSE),VLOOKUP($G74,Sheet3!$H$2:$O$200,AI$1,FALSE)),$I$1),$I$1)</f>
        <v>0</v>
      </c>
      <c r="AJ74" s="15">
        <f>IFERROR(IF(ISBLANK(AC74),IFERROR(VLOOKUP($F74,Sheet3!$H$2:$O$200,AJ$1,FALSE),VLOOKUP($G74,Sheet3!$H$2:$O$200,AJ$1,FALSE)),$I$1),$I$1)</f>
        <v>0</v>
      </c>
      <c r="AK74" s="15">
        <f>IFERROR(IF(ISBLANK(AD74),IFERROR(VLOOKUP($F74,Sheet3!$H$2:$O$200,AK$1,FALSE),VLOOKUP($G74,Sheet3!$H$2:$O$200,AK$1,FALSE)),$I$1),$I$1)</f>
        <v>0</v>
      </c>
      <c r="AL74" s="15">
        <f>IFERROR(IF(ISBLANK(AE74),VLOOKUP($G74,Sheet3!$H$2:$O$200,AL$1,FALSE),$I$1),$I$1)</f>
        <v>0</v>
      </c>
      <c r="AM74" s="15">
        <f>IFERROR(IF(ISBLANK(AF74),VLOOKUP($G74,Sheet3!$H$2:$O$200,AM$1,FALSE),$I$1),$I$1)</f>
        <v>0</v>
      </c>
      <c r="AN74" s="15">
        <f>IFERROR(IF(ISBLANK(AG74),VLOOKUP($G74,Sheet3!$H$2:$O$200,AN$1,FALSE),$I$1),$I$1)</f>
        <v>0</v>
      </c>
      <c r="AO74" s="15">
        <f>IFERROR(IF(ISBLANK(AH74),VLOOKUP($G74,Sheet3!$H$2:$O$200,AO$1,FALSE),$I$1),$I$1)</f>
        <v>0</v>
      </c>
      <c r="AP74" s="15">
        <f>IFERROR(IF(ISBLANK(AI74),VLOOKUP($G74,Sheet3!$H$2:$O$200,AP$1,FALSE),$I$1),$I$1)</f>
        <v>0</v>
      </c>
      <c r="AQ74" s="15">
        <f>IFERROR(IF(ISBLANK(AJ74),VLOOKUP($G74,Sheet3!$H$2:$O$200,AQ$1,FALSE),$I$1),$I$1)</f>
        <v>0</v>
      </c>
      <c r="AR74" s="15">
        <f>IFERROR(IF(ISBLANK(AK74),VLOOKUP($G74,Sheet3!$H$2:$O$200,AR$1,FALSE),$I$1),$I$1)</f>
        <v>0</v>
      </c>
      <c r="AS74" s="15">
        <f t="shared" si="1"/>
        <v>28</v>
      </c>
      <c r="AT74" s="15" t="b">
        <f t="shared" si="2"/>
        <v>0</v>
      </c>
    </row>
    <row r="75" spans="1:46" x14ac:dyDescent="0.2">
      <c r="A75" s="19" t="s">
        <v>177</v>
      </c>
      <c r="B75" s="19" t="s">
        <v>148</v>
      </c>
      <c r="C75" s="19" t="s">
        <v>100</v>
      </c>
      <c r="D75" s="19" t="s">
        <v>38</v>
      </c>
      <c r="E75" s="19" t="s">
        <v>104</v>
      </c>
      <c r="F75" s="19" t="s">
        <v>178</v>
      </c>
      <c r="G75" s="19"/>
      <c r="H75" s="19" t="s">
        <v>177</v>
      </c>
      <c r="I75" s="15">
        <f t="shared" si="0"/>
        <v>4</v>
      </c>
      <c r="J75" s="15">
        <f>IFERROR(VLOOKUP($C75,Sheet3!$H$2:$O$200,J$1,FALSE),IFERROR(VLOOKUP($D75,Sheet3!$H$2:$O$200,J$1,FALSE),VLOOKUP($E75,Sheet3!$H$2:$O$200,J$1,FALSE)))</f>
        <v>0</v>
      </c>
      <c r="K75" s="15">
        <f>IFERROR(VLOOKUP($C75,Sheet3!$H$2:$O$200,K$1,FALSE),IFERROR(VLOOKUP($D75,Sheet3!$H$2:$O$200,K$1,FALSE),VLOOKUP($E75,Sheet3!$H$2:$O$200,K$1,FALSE)))</f>
        <v>0</v>
      </c>
      <c r="L75" s="15">
        <f>IFERROR(VLOOKUP($C75,Sheet3!$H$2:$O$200,L$1,FALSE),IFERROR(VLOOKUP($D75,Sheet3!$H$2:$O$200,L$1,FALSE),VLOOKUP($E75,Sheet3!$H$2:$O$200,L$1,FALSE)))</f>
        <v>0</v>
      </c>
      <c r="M75" s="15" t="str">
        <f>IFERROR(VLOOKUP($C75,Sheet3!$H$2:$O$200,M$1,FALSE),IFERROR(VLOOKUP($D75,Sheet3!$H$2:$O$200,M$1,FALSE),VLOOKUP($E75,Sheet3!$H$2:$O$200,M$1,FALSE)))</f>
        <v>triple sec</v>
      </c>
      <c r="N75" s="15">
        <f>IFERROR(VLOOKUP($C75,Sheet3!$H$2:$O$200,N$1,FALSE),IFERROR(VLOOKUP($D75,Sheet3!$H$2:$O$200,N$1,FALSE),VLOOKUP($E75,Sheet3!$H$2:$O$200,N$1,FALSE)))</f>
        <v>0</v>
      </c>
      <c r="O75" s="15">
        <f>IFERROR(VLOOKUP($C75,Sheet3!$H$2:$O$200,O$1,FALSE),IFERROR(VLOOKUP($D75,Sheet3!$H$2:$O$200,O$1,FALSE),VLOOKUP($E75,Sheet3!$H$2:$O$200,O$1,FALSE)))</f>
        <v>0</v>
      </c>
      <c r="P75" s="15">
        <f>IFERROR(VLOOKUP($C75,Sheet3!$H$2:$O$200,P$1,FALSE),IFERROR(VLOOKUP($D75,Sheet3!$H$2:$O$200,P$1,FALSE),VLOOKUP($E75,Sheet3!$H$2:$O$200,P$1,FALSE)))</f>
        <v>0</v>
      </c>
      <c r="Q75" s="15">
        <f>IFERROR(IF(ISBLANK(J75),IFERROR(VLOOKUP($D75,Sheet3!$H$2:$O$200,Q$1,FALSE),IFERROR(VLOOKUP($E75,Sheet3!$H$2:$O$200,Q$1,FALSE),VLOOKUP($F75,Sheet3!$H$2:$O$200,Q$1,FALSE))),$I$1),$I$1)</f>
        <v>0</v>
      </c>
      <c r="R75" s="15">
        <f>IFERROR(IF(ISBLANK(K75),IFERROR(VLOOKUP($D75,Sheet3!$H$2:$O$200,R$1,FALSE),IFERROR(VLOOKUP($E75,Sheet3!$H$2:$O$200,R$1,FALSE),VLOOKUP($F75,Sheet3!$H$2:$O$200,R$1,FALSE))),$I$1),$I$1)</f>
        <v>0</v>
      </c>
      <c r="S75" s="15">
        <f>IFERROR(IF(ISBLANK(L75),IFERROR(VLOOKUP($D75,Sheet3!$H$2:$O$200,S$1,FALSE),IFERROR(VLOOKUP($E75,Sheet3!$H$2:$O$200,S$1,FALSE),VLOOKUP($F75,Sheet3!$H$2:$O$200,S$1,FALSE))),$I$1),$I$1)</f>
        <v>0</v>
      </c>
      <c r="T75" s="15">
        <f>IFERROR(IF(ISBLANK(M75),IFERROR(VLOOKUP($D75,Sheet3!$H$2:$O$200,T$1,FALSE),IFERROR(VLOOKUP($E75,Sheet3!$H$2:$O$200,T$1,FALSE),VLOOKUP($F75,Sheet3!$H$2:$O$200,T$1,FALSE))),$I$1),$I$1)</f>
        <v>0</v>
      </c>
      <c r="U75" s="15">
        <f>IFERROR(IF(ISBLANK(N75),IFERROR(VLOOKUP($D75,Sheet3!$H$2:$O$200,U$1,FALSE),IFERROR(VLOOKUP($E75,Sheet3!$H$2:$O$200,U$1,FALSE),VLOOKUP($F75,Sheet3!$H$2:$O$200,U$1,FALSE))),$I$1),$I$1)</f>
        <v>0</v>
      </c>
      <c r="V75" s="15">
        <f>IFERROR(IF(ISBLANK(O75),IFERROR(VLOOKUP($D75,Sheet3!$H$2:$O$200,V$1,FALSE),IFERROR(VLOOKUP($E75,Sheet3!$H$2:$O$200,V$1,FALSE),VLOOKUP($F75,Sheet3!$H$2:$O$200,V$1,FALSE))),$I$1),$I$1)</f>
        <v>0</v>
      </c>
      <c r="W75" s="15">
        <f>IFERROR(IF(ISBLANK(P75),IFERROR(VLOOKUP($D75,Sheet3!$H$2:$O$200,W$1,FALSE),IFERROR(VLOOKUP($E75,Sheet3!$H$2:$O$200,W$1,FALSE),VLOOKUP($F75,Sheet3!$H$2:$O$200,W$1,FALSE))),$I$1),$I$1)</f>
        <v>0</v>
      </c>
      <c r="X75" s="15">
        <f>IFERROR(IF(ISBLANK(Q75),IFERROR(VLOOKUP($E75,Sheet3!$H$2:$O$200,X$1,FALSE),IFERROR(VLOOKUP($F75,Sheet3!$H$2:$O$200,X$1,FALSE),VLOOKUP($G75,Sheet3!$H$2:$O$200,X$1,FALSE))),$I$1),$I$1)</f>
        <v>0</v>
      </c>
      <c r="Y75" s="15">
        <f>IFERROR(IF(ISBLANK(R75),IFERROR(VLOOKUP($E75,Sheet3!$H$2:$O$200,Y$1,FALSE),IFERROR(VLOOKUP($F75,Sheet3!$H$2:$O$200,Y$1,FALSE),VLOOKUP($G75,Sheet3!$H$2:$O$200,Y$1,FALSE))),$I$1),$I$1)</f>
        <v>0</v>
      </c>
      <c r="Z75" s="15">
        <f>IFERROR(IF(ISBLANK(S75),IFERROR(VLOOKUP($E75,Sheet3!$H$2:$O$200,Z$1,FALSE),IFERROR(VLOOKUP($F75,Sheet3!$H$2:$O$200,Z$1,FALSE),VLOOKUP($G75,Sheet3!$H$2:$O$200,Z$1,FALSE))),$I$1),$I$1)</f>
        <v>0</v>
      </c>
      <c r="AA75" s="15">
        <f>IFERROR(IF(ISBLANK(T75),IFERROR(VLOOKUP($E75,Sheet3!$H$2:$O$200,AA$1,FALSE),IFERROR(VLOOKUP($F75,Sheet3!$H$2:$O$200,AA$1,FALSE),VLOOKUP($G75,Sheet3!$H$2:$O$200,AA$1,FALSE))),$I$1),$I$1)</f>
        <v>0</v>
      </c>
      <c r="AB75" s="15">
        <f>IFERROR(IF(ISBLANK(U75),IFERROR(VLOOKUP($E75,Sheet3!$H$2:$O$200,AB$1,FALSE),IFERROR(VLOOKUP($F75,Sheet3!$H$2:$O$200,AB$1,FALSE),VLOOKUP($G75,Sheet3!$H$2:$O$200,AB$1,FALSE))),$I$1),$I$1)</f>
        <v>0</v>
      </c>
      <c r="AC75" s="15">
        <f>IFERROR(IF(ISBLANK(V75),IFERROR(VLOOKUP($E75,Sheet3!$H$2:$O$200,AC$1,FALSE),IFERROR(VLOOKUP($F75,Sheet3!$H$2:$O$200,AC$1,FALSE),VLOOKUP($G75,Sheet3!$H$2:$O$200,AC$1,FALSE))),$I$1),$I$1)</f>
        <v>0</v>
      </c>
      <c r="AD75" s="15">
        <f>IFERROR(IF(ISBLANK(W75),IFERROR(VLOOKUP($E75,Sheet3!$H$2:$O$200,AD$1,FALSE),IFERROR(VLOOKUP($F75,Sheet3!$H$2:$O$200,AD$1,FALSE),VLOOKUP($G75,Sheet3!$H$2:$O$200,AD$1,FALSE))),$I$1),$I$1)</f>
        <v>0</v>
      </c>
      <c r="AE75" s="15">
        <f>IFERROR(IF(ISBLANK(X75),IFERROR(VLOOKUP($F75,Sheet3!$H$2:$O$200,AE$1,FALSE),VLOOKUP($G75,Sheet3!$H$2:$O$200,AE$1,FALSE)),$I$1),$I$1)</f>
        <v>0</v>
      </c>
      <c r="AF75" s="15">
        <f>IFERROR(IF(ISBLANK(Y75),IFERROR(VLOOKUP($F75,Sheet3!$H$2:$O$200,AF$1,FALSE),VLOOKUP($G75,Sheet3!$H$2:$O$200,AF$1,FALSE)),$I$1),$I$1)</f>
        <v>0</v>
      </c>
      <c r="AG75" s="15">
        <f>IFERROR(IF(ISBLANK(Z75),IFERROR(VLOOKUP($F75,Sheet3!$H$2:$O$200,AG$1,FALSE),VLOOKUP($G75,Sheet3!$H$2:$O$200,AG$1,FALSE)),$I$1),$I$1)</f>
        <v>0</v>
      </c>
      <c r="AH75" s="15">
        <f>IFERROR(IF(ISBLANK(AA75),IFERROR(VLOOKUP($F75,Sheet3!$H$2:$O$200,AH$1,FALSE),VLOOKUP($G75,Sheet3!$H$2:$O$200,AH$1,FALSE)),$I$1),$I$1)</f>
        <v>0</v>
      </c>
      <c r="AI75" s="15">
        <f>IFERROR(IF(ISBLANK(AB75),IFERROR(VLOOKUP($F75,Sheet3!$H$2:$O$200,AI$1,FALSE),VLOOKUP($G75,Sheet3!$H$2:$O$200,AI$1,FALSE)),$I$1),$I$1)</f>
        <v>0</v>
      </c>
      <c r="AJ75" s="15">
        <f>IFERROR(IF(ISBLANK(AC75),IFERROR(VLOOKUP($F75,Sheet3!$H$2:$O$200,AJ$1,FALSE),VLOOKUP($G75,Sheet3!$H$2:$O$200,AJ$1,FALSE)),$I$1),$I$1)</f>
        <v>0</v>
      </c>
      <c r="AK75" s="15">
        <f>IFERROR(IF(ISBLANK(AD75),IFERROR(VLOOKUP($F75,Sheet3!$H$2:$O$200,AK$1,FALSE),VLOOKUP($G75,Sheet3!$H$2:$O$200,AK$1,FALSE)),$I$1),$I$1)</f>
        <v>0</v>
      </c>
      <c r="AL75" s="15">
        <f>IFERROR(IF(ISBLANK(AE75),VLOOKUP($G75,Sheet3!$H$2:$O$200,AL$1,FALSE),$I$1),$I$1)</f>
        <v>0</v>
      </c>
      <c r="AM75" s="15">
        <f>IFERROR(IF(ISBLANK(AF75),VLOOKUP($G75,Sheet3!$H$2:$O$200,AM$1,FALSE),$I$1),$I$1)</f>
        <v>0</v>
      </c>
      <c r="AN75" s="15">
        <f>IFERROR(IF(ISBLANK(AG75),VLOOKUP($G75,Sheet3!$H$2:$O$200,AN$1,FALSE),$I$1),$I$1)</f>
        <v>0</v>
      </c>
      <c r="AO75" s="15">
        <f>IFERROR(IF(ISBLANK(AH75),VLOOKUP($G75,Sheet3!$H$2:$O$200,AO$1,FALSE),$I$1),$I$1)</f>
        <v>0</v>
      </c>
      <c r="AP75" s="15">
        <f>IFERROR(IF(ISBLANK(AI75),VLOOKUP($G75,Sheet3!$H$2:$O$200,AP$1,FALSE),$I$1),$I$1)</f>
        <v>0</v>
      </c>
      <c r="AQ75" s="15">
        <f>IFERROR(IF(ISBLANK(AJ75),VLOOKUP($G75,Sheet3!$H$2:$O$200,AQ$1,FALSE),$I$1),$I$1)</f>
        <v>0</v>
      </c>
      <c r="AR75" s="15">
        <f>IFERROR(IF(ISBLANK(AK75),VLOOKUP($G75,Sheet3!$H$2:$O$200,AR$1,FALSE),$I$1),$I$1)</f>
        <v>0</v>
      </c>
      <c r="AS75" s="15">
        <f t="shared" si="1"/>
        <v>28</v>
      </c>
      <c r="AT75" s="15" t="b">
        <f t="shared" si="2"/>
        <v>0</v>
      </c>
    </row>
    <row r="76" spans="1:46" x14ac:dyDescent="0.2">
      <c r="A76" s="19" t="s">
        <v>179</v>
      </c>
      <c r="B76" s="19" t="s">
        <v>148</v>
      </c>
      <c r="C76" s="19" t="s">
        <v>100</v>
      </c>
      <c r="D76" s="19" t="s">
        <v>38</v>
      </c>
      <c r="E76" s="19" t="s">
        <v>66</v>
      </c>
      <c r="F76" s="19" t="s">
        <v>126</v>
      </c>
      <c r="G76" s="19"/>
      <c r="H76" s="19" t="s">
        <v>179</v>
      </c>
      <c r="I76" s="15">
        <f t="shared" si="0"/>
        <v>4</v>
      </c>
      <c r="J76" s="15">
        <f>IFERROR(VLOOKUP($C76,Sheet3!$H$2:$O$200,J$1,FALSE),IFERROR(VLOOKUP($D76,Sheet3!$H$2:$O$200,J$1,FALSE),VLOOKUP($E76,Sheet3!$H$2:$O$200,J$1,FALSE)))</f>
        <v>0</v>
      </c>
      <c r="K76" s="15">
        <f>IFERROR(VLOOKUP($C76,Sheet3!$H$2:$O$200,K$1,FALSE),IFERROR(VLOOKUP($D76,Sheet3!$H$2:$O$200,K$1,FALSE),VLOOKUP($E76,Sheet3!$H$2:$O$200,K$1,FALSE)))</f>
        <v>0</v>
      </c>
      <c r="L76" s="15">
        <f>IFERROR(VLOOKUP($C76,Sheet3!$H$2:$O$200,L$1,FALSE),IFERROR(VLOOKUP($D76,Sheet3!$H$2:$O$200,L$1,FALSE),VLOOKUP($E76,Sheet3!$H$2:$O$200,L$1,FALSE)))</f>
        <v>0</v>
      </c>
      <c r="M76" s="15" t="str">
        <f>IFERROR(VLOOKUP($C76,Sheet3!$H$2:$O$200,M$1,FALSE),IFERROR(VLOOKUP($D76,Sheet3!$H$2:$O$200,M$1,FALSE),VLOOKUP($E76,Sheet3!$H$2:$O$200,M$1,FALSE)))</f>
        <v>triple sec</v>
      </c>
      <c r="N76" s="15">
        <f>IFERROR(VLOOKUP($C76,Sheet3!$H$2:$O$200,N$1,FALSE),IFERROR(VLOOKUP($D76,Sheet3!$H$2:$O$200,N$1,FALSE),VLOOKUP($E76,Sheet3!$H$2:$O$200,N$1,FALSE)))</f>
        <v>0</v>
      </c>
      <c r="O76" s="15">
        <f>IFERROR(VLOOKUP($C76,Sheet3!$H$2:$O$200,O$1,FALSE),IFERROR(VLOOKUP($D76,Sheet3!$H$2:$O$200,O$1,FALSE),VLOOKUP($E76,Sheet3!$H$2:$O$200,O$1,FALSE)))</f>
        <v>0</v>
      </c>
      <c r="P76" s="15">
        <f>IFERROR(VLOOKUP($C76,Sheet3!$H$2:$O$200,P$1,FALSE),IFERROR(VLOOKUP($D76,Sheet3!$H$2:$O$200,P$1,FALSE),VLOOKUP($E76,Sheet3!$H$2:$O$200,P$1,FALSE)))</f>
        <v>0</v>
      </c>
      <c r="Q76" s="15">
        <f>IFERROR(IF(ISBLANK(J76),IFERROR(VLOOKUP($D76,Sheet3!$H$2:$O$200,Q$1,FALSE),IFERROR(VLOOKUP($E76,Sheet3!$H$2:$O$200,Q$1,FALSE),VLOOKUP($F76,Sheet3!$H$2:$O$200,Q$1,FALSE))),$I$1),$I$1)</f>
        <v>0</v>
      </c>
      <c r="R76" s="15">
        <f>IFERROR(IF(ISBLANK(K76),IFERROR(VLOOKUP($D76,Sheet3!$H$2:$O$200,R$1,FALSE),IFERROR(VLOOKUP($E76,Sheet3!$H$2:$O$200,R$1,FALSE),VLOOKUP($F76,Sheet3!$H$2:$O$200,R$1,FALSE))),$I$1),$I$1)</f>
        <v>0</v>
      </c>
      <c r="S76" s="15">
        <f>IFERROR(IF(ISBLANK(L76),IFERROR(VLOOKUP($D76,Sheet3!$H$2:$O$200,S$1,FALSE),IFERROR(VLOOKUP($E76,Sheet3!$H$2:$O$200,S$1,FALSE),VLOOKUP($F76,Sheet3!$H$2:$O$200,S$1,FALSE))),$I$1),$I$1)</f>
        <v>0</v>
      </c>
      <c r="T76" s="15">
        <f>IFERROR(IF(ISBLANK(M76),IFERROR(VLOOKUP($D76,Sheet3!$H$2:$O$200,T$1,FALSE),IFERROR(VLOOKUP($E76,Sheet3!$H$2:$O$200,T$1,FALSE),VLOOKUP($F76,Sheet3!$H$2:$O$200,T$1,FALSE))),$I$1),$I$1)</f>
        <v>0</v>
      </c>
      <c r="U76" s="15">
        <f>IFERROR(IF(ISBLANK(N76),IFERROR(VLOOKUP($D76,Sheet3!$H$2:$O$200,U$1,FALSE),IFERROR(VLOOKUP($E76,Sheet3!$H$2:$O$200,U$1,FALSE),VLOOKUP($F76,Sheet3!$H$2:$O$200,U$1,FALSE))),$I$1),$I$1)</f>
        <v>0</v>
      </c>
      <c r="V76" s="15">
        <f>IFERROR(IF(ISBLANK(O76),IFERROR(VLOOKUP($D76,Sheet3!$H$2:$O$200,V$1,FALSE),IFERROR(VLOOKUP($E76,Sheet3!$H$2:$O$200,V$1,FALSE),VLOOKUP($F76,Sheet3!$H$2:$O$200,V$1,FALSE))),$I$1),$I$1)</f>
        <v>0</v>
      </c>
      <c r="W76" s="15">
        <f>IFERROR(IF(ISBLANK(P76),IFERROR(VLOOKUP($D76,Sheet3!$H$2:$O$200,W$1,FALSE),IFERROR(VLOOKUP($E76,Sheet3!$H$2:$O$200,W$1,FALSE),VLOOKUP($F76,Sheet3!$H$2:$O$200,W$1,FALSE))),$I$1),$I$1)</f>
        <v>0</v>
      </c>
      <c r="X76" s="15">
        <f>IFERROR(IF(ISBLANK(Q76),IFERROR(VLOOKUP($E76,Sheet3!$H$2:$O$200,X$1,FALSE),IFERROR(VLOOKUP($F76,Sheet3!$H$2:$O$200,X$1,FALSE),VLOOKUP($G76,Sheet3!$H$2:$O$200,X$1,FALSE))),$I$1),$I$1)</f>
        <v>0</v>
      </c>
      <c r="Y76" s="15">
        <f>IFERROR(IF(ISBLANK(R76),IFERROR(VLOOKUP($E76,Sheet3!$H$2:$O$200,Y$1,FALSE),IFERROR(VLOOKUP($F76,Sheet3!$H$2:$O$200,Y$1,FALSE),VLOOKUP($G76,Sheet3!$H$2:$O$200,Y$1,FALSE))),$I$1),$I$1)</f>
        <v>0</v>
      </c>
      <c r="Z76" s="15">
        <f>IFERROR(IF(ISBLANK(S76),IFERROR(VLOOKUP($E76,Sheet3!$H$2:$O$200,Z$1,FALSE),IFERROR(VLOOKUP($F76,Sheet3!$H$2:$O$200,Z$1,FALSE),VLOOKUP($G76,Sheet3!$H$2:$O$200,Z$1,FALSE))),$I$1),$I$1)</f>
        <v>0</v>
      </c>
      <c r="AA76" s="15">
        <f>IFERROR(IF(ISBLANK(T76),IFERROR(VLOOKUP($E76,Sheet3!$H$2:$O$200,AA$1,FALSE),IFERROR(VLOOKUP($F76,Sheet3!$H$2:$O$200,AA$1,FALSE),VLOOKUP($G76,Sheet3!$H$2:$O$200,AA$1,FALSE))),$I$1),$I$1)</f>
        <v>0</v>
      </c>
      <c r="AB76" s="15">
        <f>IFERROR(IF(ISBLANK(U76),IFERROR(VLOOKUP($E76,Sheet3!$H$2:$O$200,AB$1,FALSE),IFERROR(VLOOKUP($F76,Sheet3!$H$2:$O$200,AB$1,FALSE),VLOOKUP($G76,Sheet3!$H$2:$O$200,AB$1,FALSE))),$I$1),$I$1)</f>
        <v>0</v>
      </c>
      <c r="AC76" s="15">
        <f>IFERROR(IF(ISBLANK(V76),IFERROR(VLOOKUP($E76,Sheet3!$H$2:$O$200,AC$1,FALSE),IFERROR(VLOOKUP($F76,Sheet3!$H$2:$O$200,AC$1,FALSE),VLOOKUP($G76,Sheet3!$H$2:$O$200,AC$1,FALSE))),$I$1),$I$1)</f>
        <v>0</v>
      </c>
      <c r="AD76" s="15">
        <f>IFERROR(IF(ISBLANK(W76),IFERROR(VLOOKUP($E76,Sheet3!$H$2:$O$200,AD$1,FALSE),IFERROR(VLOOKUP($F76,Sheet3!$H$2:$O$200,AD$1,FALSE),VLOOKUP($G76,Sheet3!$H$2:$O$200,AD$1,FALSE))),$I$1),$I$1)</f>
        <v>0</v>
      </c>
      <c r="AE76" s="15">
        <f>IFERROR(IF(ISBLANK(X76),IFERROR(VLOOKUP($F76,Sheet3!$H$2:$O$200,AE$1,FALSE),VLOOKUP($G76,Sheet3!$H$2:$O$200,AE$1,FALSE)),$I$1),$I$1)</f>
        <v>0</v>
      </c>
      <c r="AF76" s="15">
        <f>IFERROR(IF(ISBLANK(Y76),IFERROR(VLOOKUP($F76,Sheet3!$H$2:$O$200,AF$1,FALSE),VLOOKUP($G76,Sheet3!$H$2:$O$200,AF$1,FALSE)),$I$1),$I$1)</f>
        <v>0</v>
      </c>
      <c r="AG76" s="15">
        <f>IFERROR(IF(ISBLANK(Z76),IFERROR(VLOOKUP($F76,Sheet3!$H$2:$O$200,AG$1,FALSE),VLOOKUP($G76,Sheet3!$H$2:$O$200,AG$1,FALSE)),$I$1),$I$1)</f>
        <v>0</v>
      </c>
      <c r="AH76" s="15">
        <f>IFERROR(IF(ISBLANK(AA76),IFERROR(VLOOKUP($F76,Sheet3!$H$2:$O$200,AH$1,FALSE),VLOOKUP($G76,Sheet3!$H$2:$O$200,AH$1,FALSE)),$I$1),$I$1)</f>
        <v>0</v>
      </c>
      <c r="AI76" s="15">
        <f>IFERROR(IF(ISBLANK(AB76),IFERROR(VLOOKUP($F76,Sheet3!$H$2:$O$200,AI$1,FALSE),VLOOKUP($G76,Sheet3!$H$2:$O$200,AI$1,FALSE)),$I$1),$I$1)</f>
        <v>0</v>
      </c>
      <c r="AJ76" s="15">
        <f>IFERROR(IF(ISBLANK(AC76),IFERROR(VLOOKUP($F76,Sheet3!$H$2:$O$200,AJ$1,FALSE),VLOOKUP($G76,Sheet3!$H$2:$O$200,AJ$1,FALSE)),$I$1),$I$1)</f>
        <v>0</v>
      </c>
      <c r="AK76" s="15">
        <f>IFERROR(IF(ISBLANK(AD76),IFERROR(VLOOKUP($F76,Sheet3!$H$2:$O$200,AK$1,FALSE),VLOOKUP($G76,Sheet3!$H$2:$O$200,AK$1,FALSE)),$I$1),$I$1)</f>
        <v>0</v>
      </c>
      <c r="AL76" s="15">
        <f>IFERROR(IF(ISBLANK(AE76),VLOOKUP($G76,Sheet3!$H$2:$O$200,AL$1,FALSE),$I$1),$I$1)</f>
        <v>0</v>
      </c>
      <c r="AM76" s="15">
        <f>IFERROR(IF(ISBLANK(AF76),VLOOKUP($G76,Sheet3!$H$2:$O$200,AM$1,FALSE),$I$1),$I$1)</f>
        <v>0</v>
      </c>
      <c r="AN76" s="15">
        <f>IFERROR(IF(ISBLANK(AG76),VLOOKUP($G76,Sheet3!$H$2:$O$200,AN$1,FALSE),$I$1),$I$1)</f>
        <v>0</v>
      </c>
      <c r="AO76" s="15">
        <f>IFERROR(IF(ISBLANK(AH76),VLOOKUP($G76,Sheet3!$H$2:$O$200,AO$1,FALSE),$I$1),$I$1)</f>
        <v>0</v>
      </c>
      <c r="AP76" s="15">
        <f>IFERROR(IF(ISBLANK(AI76),VLOOKUP($G76,Sheet3!$H$2:$O$200,AP$1,FALSE),$I$1),$I$1)</f>
        <v>0</v>
      </c>
      <c r="AQ76" s="15">
        <f>IFERROR(IF(ISBLANK(AJ76),VLOOKUP($G76,Sheet3!$H$2:$O$200,AQ$1,FALSE),$I$1),$I$1)</f>
        <v>0</v>
      </c>
      <c r="AR76" s="15">
        <f>IFERROR(IF(ISBLANK(AK76),VLOOKUP($G76,Sheet3!$H$2:$O$200,AR$1,FALSE),$I$1),$I$1)</f>
        <v>0</v>
      </c>
      <c r="AS76" s="15">
        <f t="shared" si="1"/>
        <v>28</v>
      </c>
      <c r="AT76" s="15" t="b">
        <f t="shared" si="2"/>
        <v>0</v>
      </c>
    </row>
    <row r="77" spans="1:46" x14ac:dyDescent="0.2">
      <c r="A77" s="19" t="s">
        <v>180</v>
      </c>
      <c r="B77" s="19" t="s">
        <v>148</v>
      </c>
      <c r="C77" s="19" t="s">
        <v>86</v>
      </c>
      <c r="D77" s="19" t="s">
        <v>38</v>
      </c>
      <c r="E77" s="19" t="s">
        <v>62</v>
      </c>
      <c r="F77" s="19"/>
      <c r="G77" s="19"/>
      <c r="H77" s="19" t="s">
        <v>180</v>
      </c>
      <c r="I77" s="15">
        <f t="shared" si="0"/>
        <v>3</v>
      </c>
      <c r="J77" s="15">
        <f>IFERROR(VLOOKUP($C77,Sheet3!$H$2:$O$200,J$1,FALSE),IFERROR(VLOOKUP($D77,Sheet3!$H$2:$O$200,J$1,FALSE),VLOOKUP($E77,Sheet3!$H$2:$O$200,J$1,FALSE)))</f>
        <v>0</v>
      </c>
      <c r="K77" s="15" t="str">
        <f>IFERROR(VLOOKUP($C77,Sheet3!$H$2:$O$200,K$1,FALSE),IFERROR(VLOOKUP($D77,Sheet3!$H$2:$O$200,K$1,FALSE),VLOOKUP($E77,Sheet3!$H$2:$O$200,K$1,FALSE)))</f>
        <v>simple syrup</v>
      </c>
      <c r="L77" s="15">
        <f>IFERROR(VLOOKUP($C77,Sheet3!$H$2:$O$200,L$1,FALSE),IFERROR(VLOOKUP($D77,Sheet3!$H$2:$O$200,L$1,FALSE),VLOOKUP($E77,Sheet3!$H$2:$O$200,L$1,FALSE)))</f>
        <v>0</v>
      </c>
      <c r="M77" s="15">
        <f>IFERROR(VLOOKUP($C77,Sheet3!$H$2:$O$200,M$1,FALSE),IFERROR(VLOOKUP($D77,Sheet3!$H$2:$O$200,M$1,FALSE),VLOOKUP($E77,Sheet3!$H$2:$O$200,M$1,FALSE)))</f>
        <v>0</v>
      </c>
      <c r="N77" s="15">
        <f>IFERROR(VLOOKUP($C77,Sheet3!$H$2:$O$200,N$1,FALSE),IFERROR(VLOOKUP($D77,Sheet3!$H$2:$O$200,N$1,FALSE),VLOOKUP($E77,Sheet3!$H$2:$O$200,N$1,FALSE)))</f>
        <v>0</v>
      </c>
      <c r="O77" s="15">
        <f>IFERROR(VLOOKUP($C77,Sheet3!$H$2:$O$200,O$1,FALSE),IFERROR(VLOOKUP($D77,Sheet3!$H$2:$O$200,O$1,FALSE),VLOOKUP($E77,Sheet3!$H$2:$O$200,O$1,FALSE)))</f>
        <v>0</v>
      </c>
      <c r="P77" s="15">
        <f>IFERROR(VLOOKUP($C77,Sheet3!$H$2:$O$200,P$1,FALSE),IFERROR(VLOOKUP($D77,Sheet3!$H$2:$O$200,P$1,FALSE),VLOOKUP($E77,Sheet3!$H$2:$O$200,P$1,FALSE)))</f>
        <v>0</v>
      </c>
      <c r="Q77" s="15">
        <f>IFERROR(IF(ISBLANK(J77),IFERROR(VLOOKUP($D77,Sheet3!$H$2:$O$200,Q$1,FALSE),IFERROR(VLOOKUP($E77,Sheet3!$H$2:$O$200,Q$1,FALSE),VLOOKUP($F77,Sheet3!$H$2:$O$200,Q$1,FALSE))),$I$1),$I$1)</f>
        <v>0</v>
      </c>
      <c r="R77" s="15">
        <f>IFERROR(IF(ISBLANK(K77),IFERROR(VLOOKUP($D77,Sheet3!$H$2:$O$200,R$1,FALSE),IFERROR(VLOOKUP($E77,Sheet3!$H$2:$O$200,R$1,FALSE),VLOOKUP($F77,Sheet3!$H$2:$O$200,R$1,FALSE))),$I$1),$I$1)</f>
        <v>0</v>
      </c>
      <c r="S77" s="15">
        <f>IFERROR(IF(ISBLANK(L77),IFERROR(VLOOKUP($D77,Sheet3!$H$2:$O$200,S$1,FALSE),IFERROR(VLOOKUP($E77,Sheet3!$H$2:$O$200,S$1,FALSE),VLOOKUP($F77,Sheet3!$H$2:$O$200,S$1,FALSE))),$I$1),$I$1)</f>
        <v>0</v>
      </c>
      <c r="T77" s="15">
        <f>IFERROR(IF(ISBLANK(M77),IFERROR(VLOOKUP($D77,Sheet3!$H$2:$O$200,T$1,FALSE),IFERROR(VLOOKUP($E77,Sheet3!$H$2:$O$200,T$1,FALSE),VLOOKUP($F77,Sheet3!$H$2:$O$200,T$1,FALSE))),$I$1),$I$1)</f>
        <v>0</v>
      </c>
      <c r="U77" s="15">
        <f>IFERROR(IF(ISBLANK(N77),IFERROR(VLOOKUP($D77,Sheet3!$H$2:$O$200,U$1,FALSE),IFERROR(VLOOKUP($E77,Sheet3!$H$2:$O$200,U$1,FALSE),VLOOKUP($F77,Sheet3!$H$2:$O$200,U$1,FALSE))),$I$1),$I$1)</f>
        <v>0</v>
      </c>
      <c r="V77" s="15">
        <f>IFERROR(IF(ISBLANK(O77),IFERROR(VLOOKUP($D77,Sheet3!$H$2:$O$200,V$1,FALSE),IFERROR(VLOOKUP($E77,Sheet3!$H$2:$O$200,V$1,FALSE),VLOOKUP($F77,Sheet3!$H$2:$O$200,V$1,FALSE))),$I$1),$I$1)</f>
        <v>0</v>
      </c>
      <c r="W77" s="15">
        <f>IFERROR(IF(ISBLANK(P77),IFERROR(VLOOKUP($D77,Sheet3!$H$2:$O$200,W$1,FALSE),IFERROR(VLOOKUP($E77,Sheet3!$H$2:$O$200,W$1,FALSE),VLOOKUP($F77,Sheet3!$H$2:$O$200,W$1,FALSE))),$I$1),$I$1)</f>
        <v>0</v>
      </c>
      <c r="X77" s="15">
        <f>IFERROR(IF(ISBLANK(Q77),IFERROR(VLOOKUP($E77,Sheet3!$H$2:$O$200,X$1,FALSE),IFERROR(VLOOKUP($F77,Sheet3!$H$2:$O$200,X$1,FALSE),VLOOKUP($G77,Sheet3!$H$2:$O$200,X$1,FALSE))),$I$1),$I$1)</f>
        <v>0</v>
      </c>
      <c r="Y77" s="15">
        <f>IFERROR(IF(ISBLANK(R77),IFERROR(VLOOKUP($E77,Sheet3!$H$2:$O$200,Y$1,FALSE),IFERROR(VLOOKUP($F77,Sheet3!$H$2:$O$200,Y$1,FALSE),VLOOKUP($G77,Sheet3!$H$2:$O$200,Y$1,FALSE))),$I$1),$I$1)</f>
        <v>0</v>
      </c>
      <c r="Z77" s="15">
        <f>IFERROR(IF(ISBLANK(S77),IFERROR(VLOOKUP($E77,Sheet3!$H$2:$O$200,Z$1,FALSE),IFERROR(VLOOKUP($F77,Sheet3!$H$2:$O$200,Z$1,FALSE),VLOOKUP($G77,Sheet3!$H$2:$O$200,Z$1,FALSE))),$I$1),$I$1)</f>
        <v>0</v>
      </c>
      <c r="AA77" s="15">
        <f>IFERROR(IF(ISBLANK(T77),IFERROR(VLOOKUP($E77,Sheet3!$H$2:$O$200,AA$1,FALSE),IFERROR(VLOOKUP($F77,Sheet3!$H$2:$O$200,AA$1,FALSE),VLOOKUP($G77,Sheet3!$H$2:$O$200,AA$1,FALSE))),$I$1),$I$1)</f>
        <v>0</v>
      </c>
      <c r="AB77" s="15">
        <f>IFERROR(IF(ISBLANK(U77),IFERROR(VLOOKUP($E77,Sheet3!$H$2:$O$200,AB$1,FALSE),IFERROR(VLOOKUP($F77,Sheet3!$H$2:$O$200,AB$1,FALSE),VLOOKUP($G77,Sheet3!$H$2:$O$200,AB$1,FALSE))),$I$1),$I$1)</f>
        <v>0</v>
      </c>
      <c r="AC77" s="15">
        <f>IFERROR(IF(ISBLANK(V77),IFERROR(VLOOKUP($E77,Sheet3!$H$2:$O$200,AC$1,FALSE),IFERROR(VLOOKUP($F77,Sheet3!$H$2:$O$200,AC$1,FALSE),VLOOKUP($G77,Sheet3!$H$2:$O$200,AC$1,FALSE))),$I$1),$I$1)</f>
        <v>0</v>
      </c>
      <c r="AD77" s="15">
        <f>IFERROR(IF(ISBLANK(W77),IFERROR(VLOOKUP($E77,Sheet3!$H$2:$O$200,AD$1,FALSE),IFERROR(VLOOKUP($F77,Sheet3!$H$2:$O$200,AD$1,FALSE),VLOOKUP($G77,Sheet3!$H$2:$O$200,AD$1,FALSE))),$I$1),$I$1)</f>
        <v>0</v>
      </c>
      <c r="AE77" s="15">
        <f>IFERROR(IF(ISBLANK(X77),IFERROR(VLOOKUP($F77,Sheet3!$H$2:$O$200,AE$1,FALSE),VLOOKUP($G77,Sheet3!$H$2:$O$200,AE$1,FALSE)),$I$1),$I$1)</f>
        <v>0</v>
      </c>
      <c r="AF77" s="15">
        <f>IFERROR(IF(ISBLANK(Y77),IFERROR(VLOOKUP($F77,Sheet3!$H$2:$O$200,AF$1,FALSE),VLOOKUP($G77,Sheet3!$H$2:$O$200,AF$1,FALSE)),$I$1),$I$1)</f>
        <v>0</v>
      </c>
      <c r="AG77" s="15">
        <f>IFERROR(IF(ISBLANK(Z77),IFERROR(VLOOKUP($F77,Sheet3!$H$2:$O$200,AG$1,FALSE),VLOOKUP($G77,Sheet3!$H$2:$O$200,AG$1,FALSE)),$I$1),$I$1)</f>
        <v>0</v>
      </c>
      <c r="AH77" s="15">
        <f>IFERROR(IF(ISBLANK(AA77),IFERROR(VLOOKUP($F77,Sheet3!$H$2:$O$200,AH$1,FALSE),VLOOKUP($G77,Sheet3!$H$2:$O$200,AH$1,FALSE)),$I$1),$I$1)</f>
        <v>0</v>
      </c>
      <c r="AI77" s="15">
        <f>IFERROR(IF(ISBLANK(AB77),IFERROR(VLOOKUP($F77,Sheet3!$H$2:$O$200,AI$1,FALSE),VLOOKUP($G77,Sheet3!$H$2:$O$200,AI$1,FALSE)),$I$1),$I$1)</f>
        <v>0</v>
      </c>
      <c r="AJ77" s="15">
        <f>IFERROR(IF(ISBLANK(AC77),IFERROR(VLOOKUP($F77,Sheet3!$H$2:$O$200,AJ$1,FALSE),VLOOKUP($G77,Sheet3!$H$2:$O$200,AJ$1,FALSE)),$I$1),$I$1)</f>
        <v>0</v>
      </c>
      <c r="AK77" s="15">
        <f>IFERROR(IF(ISBLANK(AD77),IFERROR(VLOOKUP($F77,Sheet3!$H$2:$O$200,AK$1,FALSE),VLOOKUP($G77,Sheet3!$H$2:$O$200,AK$1,FALSE)),$I$1),$I$1)</f>
        <v>0</v>
      </c>
      <c r="AL77" s="15">
        <f>IFERROR(IF(ISBLANK(AE77),VLOOKUP($G77,Sheet3!$H$2:$O$200,AL$1,FALSE),$I$1),$I$1)</f>
        <v>0</v>
      </c>
      <c r="AM77" s="15">
        <f>IFERROR(IF(ISBLANK(AF77),VLOOKUP($G77,Sheet3!$H$2:$O$200,AM$1,FALSE),$I$1),$I$1)</f>
        <v>0</v>
      </c>
      <c r="AN77" s="15">
        <f>IFERROR(IF(ISBLANK(AG77),VLOOKUP($G77,Sheet3!$H$2:$O$200,AN$1,FALSE),$I$1),$I$1)</f>
        <v>0</v>
      </c>
      <c r="AO77" s="15">
        <f>IFERROR(IF(ISBLANK(AH77),VLOOKUP($G77,Sheet3!$H$2:$O$200,AO$1,FALSE),$I$1),$I$1)</f>
        <v>0</v>
      </c>
      <c r="AP77" s="15">
        <f>IFERROR(IF(ISBLANK(AI77),VLOOKUP($G77,Sheet3!$H$2:$O$200,AP$1,FALSE),$I$1),$I$1)</f>
        <v>0</v>
      </c>
      <c r="AQ77" s="15">
        <f>IFERROR(IF(ISBLANK(AJ77),VLOOKUP($G77,Sheet3!$H$2:$O$200,AQ$1,FALSE),$I$1),$I$1)</f>
        <v>0</v>
      </c>
      <c r="AR77" s="15">
        <f>IFERROR(IF(ISBLANK(AK77),VLOOKUP($G77,Sheet3!$H$2:$O$200,AR$1,FALSE),$I$1),$I$1)</f>
        <v>0</v>
      </c>
      <c r="AS77" s="15">
        <f t="shared" si="1"/>
        <v>28</v>
      </c>
      <c r="AT77" s="15" t="b">
        <f t="shared" si="2"/>
        <v>0</v>
      </c>
    </row>
    <row r="78" spans="1:46" x14ac:dyDescent="0.2">
      <c r="A78" s="19" t="s">
        <v>181</v>
      </c>
      <c r="B78" s="19" t="s">
        <v>148</v>
      </c>
      <c r="C78" s="19" t="s">
        <v>68</v>
      </c>
      <c r="D78" s="19" t="s">
        <v>38</v>
      </c>
      <c r="E78" s="19" t="s">
        <v>62</v>
      </c>
      <c r="F78" s="19" t="s">
        <v>182</v>
      </c>
      <c r="G78" s="19" t="s">
        <v>183</v>
      </c>
      <c r="H78" s="19" t="s">
        <v>181</v>
      </c>
      <c r="I78" s="15">
        <f t="shared" si="0"/>
        <v>5</v>
      </c>
      <c r="J78" s="15">
        <f>IFERROR(VLOOKUP($C78,Sheet3!$H$2:$O$200,J$1,FALSE),IFERROR(VLOOKUP($D78,Sheet3!$H$2:$O$200,J$1,FALSE),VLOOKUP($E78,Sheet3!$H$2:$O$200,J$1,FALSE)))</f>
        <v>0</v>
      </c>
      <c r="K78" s="15">
        <f>IFERROR(VLOOKUP($C78,Sheet3!$H$2:$O$200,K$1,FALSE),IFERROR(VLOOKUP($D78,Sheet3!$H$2:$O$200,K$1,FALSE),VLOOKUP($E78,Sheet3!$H$2:$O$200,K$1,FALSE)))</f>
        <v>0</v>
      </c>
      <c r="L78" s="15">
        <f>IFERROR(VLOOKUP($C78,Sheet3!$H$2:$O$200,L$1,FALSE),IFERROR(VLOOKUP($D78,Sheet3!$H$2:$O$200,L$1,FALSE),VLOOKUP($E78,Sheet3!$H$2:$O$200,L$1,FALSE)))</f>
        <v>0</v>
      </c>
      <c r="M78" s="15" t="str">
        <f>IFERROR(VLOOKUP($C78,Sheet3!$H$2:$O$200,M$1,FALSE),IFERROR(VLOOKUP($D78,Sheet3!$H$2:$O$200,M$1,FALSE),VLOOKUP($E78,Sheet3!$H$2:$O$200,M$1,FALSE)))</f>
        <v>Benedictine</v>
      </c>
      <c r="N78" s="15">
        <f>IFERROR(VLOOKUP($C78,Sheet3!$H$2:$O$200,N$1,FALSE),IFERROR(VLOOKUP($D78,Sheet3!$H$2:$O$200,N$1,FALSE),VLOOKUP($E78,Sheet3!$H$2:$O$200,N$1,FALSE)))</f>
        <v>0</v>
      </c>
      <c r="O78" s="15">
        <f>IFERROR(VLOOKUP($C78,Sheet3!$H$2:$O$200,O$1,FALSE),IFERROR(VLOOKUP($D78,Sheet3!$H$2:$O$200,O$1,FALSE),VLOOKUP($E78,Sheet3!$H$2:$O$200,O$1,FALSE)))</f>
        <v>0</v>
      </c>
      <c r="P78" s="15">
        <f>IFERROR(VLOOKUP($C78,Sheet3!$H$2:$O$200,P$1,FALSE),IFERROR(VLOOKUP($D78,Sheet3!$H$2:$O$200,P$1,FALSE),VLOOKUP($E78,Sheet3!$H$2:$O$200,P$1,FALSE)))</f>
        <v>0</v>
      </c>
      <c r="Q78" s="15">
        <f>IFERROR(IF(ISBLANK(J78),IFERROR(VLOOKUP($D78,Sheet3!$H$2:$O$200,Q$1,FALSE),IFERROR(VLOOKUP($E78,Sheet3!$H$2:$O$200,Q$1,FALSE),VLOOKUP($F78,Sheet3!$H$2:$O$200,Q$1,FALSE))),$I$1),$I$1)</f>
        <v>0</v>
      </c>
      <c r="R78" s="15">
        <f>IFERROR(IF(ISBLANK(K78),IFERROR(VLOOKUP($D78,Sheet3!$H$2:$O$200,R$1,FALSE),IFERROR(VLOOKUP($E78,Sheet3!$H$2:$O$200,R$1,FALSE),VLOOKUP($F78,Sheet3!$H$2:$O$200,R$1,FALSE))),$I$1),$I$1)</f>
        <v>0</v>
      </c>
      <c r="S78" s="15">
        <f>IFERROR(IF(ISBLANK(L78),IFERROR(VLOOKUP($D78,Sheet3!$H$2:$O$200,S$1,FALSE),IFERROR(VLOOKUP($E78,Sheet3!$H$2:$O$200,S$1,FALSE),VLOOKUP($F78,Sheet3!$H$2:$O$200,S$1,FALSE))),$I$1),$I$1)</f>
        <v>0</v>
      </c>
      <c r="T78" s="15">
        <f>IFERROR(IF(ISBLANK(M78),IFERROR(VLOOKUP($D78,Sheet3!$H$2:$O$200,T$1,FALSE),IFERROR(VLOOKUP($E78,Sheet3!$H$2:$O$200,T$1,FALSE),VLOOKUP($F78,Sheet3!$H$2:$O$200,T$1,FALSE))),$I$1),$I$1)</f>
        <v>0</v>
      </c>
      <c r="U78" s="15">
        <f>IFERROR(IF(ISBLANK(N78),IFERROR(VLOOKUP($D78,Sheet3!$H$2:$O$200,U$1,FALSE),IFERROR(VLOOKUP($E78,Sheet3!$H$2:$O$200,U$1,FALSE),VLOOKUP($F78,Sheet3!$H$2:$O$200,U$1,FALSE))),$I$1),$I$1)</f>
        <v>0</v>
      </c>
      <c r="V78" s="15">
        <f>IFERROR(IF(ISBLANK(O78),IFERROR(VLOOKUP($D78,Sheet3!$H$2:$O$200,V$1,FALSE),IFERROR(VLOOKUP($E78,Sheet3!$H$2:$O$200,V$1,FALSE),VLOOKUP($F78,Sheet3!$H$2:$O$200,V$1,FALSE))),$I$1),$I$1)</f>
        <v>0</v>
      </c>
      <c r="W78" s="15">
        <f>IFERROR(IF(ISBLANK(P78),IFERROR(VLOOKUP($D78,Sheet3!$H$2:$O$200,W$1,FALSE),IFERROR(VLOOKUP($E78,Sheet3!$H$2:$O$200,W$1,FALSE),VLOOKUP($F78,Sheet3!$H$2:$O$200,W$1,FALSE))),$I$1),$I$1)</f>
        <v>0</v>
      </c>
      <c r="X78" s="15">
        <f>IFERROR(IF(ISBLANK(Q78),IFERROR(VLOOKUP($E78,Sheet3!$H$2:$O$200,X$1,FALSE),IFERROR(VLOOKUP($F78,Sheet3!$H$2:$O$200,X$1,FALSE),VLOOKUP($G78,Sheet3!$H$2:$O$200,X$1,FALSE))),$I$1),$I$1)</f>
        <v>0</v>
      </c>
      <c r="Y78" s="15">
        <f>IFERROR(IF(ISBLANK(R78),IFERROR(VLOOKUP($E78,Sheet3!$H$2:$O$200,Y$1,FALSE),IFERROR(VLOOKUP($F78,Sheet3!$H$2:$O$200,Y$1,FALSE),VLOOKUP($G78,Sheet3!$H$2:$O$200,Y$1,FALSE))),$I$1),$I$1)</f>
        <v>0</v>
      </c>
      <c r="Z78" s="15">
        <f>IFERROR(IF(ISBLANK(S78),IFERROR(VLOOKUP($E78,Sheet3!$H$2:$O$200,Z$1,FALSE),IFERROR(VLOOKUP($F78,Sheet3!$H$2:$O$200,Z$1,FALSE),VLOOKUP($G78,Sheet3!$H$2:$O$200,Z$1,FALSE))),$I$1),$I$1)</f>
        <v>0</v>
      </c>
      <c r="AA78" s="15">
        <f>IFERROR(IF(ISBLANK(T78),IFERROR(VLOOKUP($E78,Sheet3!$H$2:$O$200,AA$1,FALSE),IFERROR(VLOOKUP($F78,Sheet3!$H$2:$O$200,AA$1,FALSE),VLOOKUP($G78,Sheet3!$H$2:$O$200,AA$1,FALSE))),$I$1),$I$1)</f>
        <v>0</v>
      </c>
      <c r="AB78" s="15">
        <f>IFERROR(IF(ISBLANK(U78),IFERROR(VLOOKUP($E78,Sheet3!$H$2:$O$200,AB$1,FALSE),IFERROR(VLOOKUP($F78,Sheet3!$H$2:$O$200,AB$1,FALSE),VLOOKUP($G78,Sheet3!$H$2:$O$200,AB$1,FALSE))),$I$1),$I$1)</f>
        <v>0</v>
      </c>
      <c r="AC78" s="15">
        <f>IFERROR(IF(ISBLANK(V78),IFERROR(VLOOKUP($E78,Sheet3!$H$2:$O$200,AC$1,FALSE),IFERROR(VLOOKUP($F78,Sheet3!$H$2:$O$200,AC$1,FALSE),VLOOKUP($G78,Sheet3!$H$2:$O$200,AC$1,FALSE))),$I$1),$I$1)</f>
        <v>0</v>
      </c>
      <c r="AD78" s="15">
        <f>IFERROR(IF(ISBLANK(W78),IFERROR(VLOOKUP($E78,Sheet3!$H$2:$O$200,AD$1,FALSE),IFERROR(VLOOKUP($F78,Sheet3!$H$2:$O$200,AD$1,FALSE),VLOOKUP($G78,Sheet3!$H$2:$O$200,AD$1,FALSE))),$I$1),$I$1)</f>
        <v>0</v>
      </c>
      <c r="AE78" s="15">
        <f>IFERROR(IF(ISBLANK(X78),IFERROR(VLOOKUP($F78,Sheet3!$H$2:$O$200,AE$1,FALSE),VLOOKUP($G78,Sheet3!$H$2:$O$200,AE$1,FALSE)),$I$1),$I$1)</f>
        <v>0</v>
      </c>
      <c r="AF78" s="15">
        <f>IFERROR(IF(ISBLANK(Y78),IFERROR(VLOOKUP($F78,Sheet3!$H$2:$O$200,AF$1,FALSE),VLOOKUP($G78,Sheet3!$H$2:$O$200,AF$1,FALSE)),$I$1),$I$1)</f>
        <v>0</v>
      </c>
      <c r="AG78" s="15">
        <f>IFERROR(IF(ISBLANK(Z78),IFERROR(VLOOKUP($F78,Sheet3!$H$2:$O$200,AG$1,FALSE),VLOOKUP($G78,Sheet3!$H$2:$O$200,AG$1,FALSE)),$I$1),$I$1)</f>
        <v>0</v>
      </c>
      <c r="AH78" s="15">
        <f>IFERROR(IF(ISBLANK(AA78),IFERROR(VLOOKUP($F78,Sheet3!$H$2:$O$200,AH$1,FALSE),VLOOKUP($G78,Sheet3!$H$2:$O$200,AH$1,FALSE)),$I$1),$I$1)</f>
        <v>0</v>
      </c>
      <c r="AI78" s="15">
        <f>IFERROR(IF(ISBLANK(AB78),IFERROR(VLOOKUP($F78,Sheet3!$H$2:$O$200,AI$1,FALSE),VLOOKUP($G78,Sheet3!$H$2:$O$200,AI$1,FALSE)),$I$1),$I$1)</f>
        <v>0</v>
      </c>
      <c r="AJ78" s="15">
        <f>IFERROR(IF(ISBLANK(AC78),IFERROR(VLOOKUP($F78,Sheet3!$H$2:$O$200,AJ$1,FALSE),VLOOKUP($G78,Sheet3!$H$2:$O$200,AJ$1,FALSE)),$I$1),$I$1)</f>
        <v>0</v>
      </c>
      <c r="AK78" s="15">
        <f>IFERROR(IF(ISBLANK(AD78),IFERROR(VLOOKUP($F78,Sheet3!$H$2:$O$200,AK$1,FALSE),VLOOKUP($G78,Sheet3!$H$2:$O$200,AK$1,FALSE)),$I$1),$I$1)</f>
        <v>0</v>
      </c>
      <c r="AL78" s="15">
        <f>IFERROR(IF(ISBLANK(AE78),VLOOKUP($G78,Sheet3!$H$2:$O$200,AL$1,FALSE),$I$1),$I$1)</f>
        <v>0</v>
      </c>
      <c r="AM78" s="15">
        <f>IFERROR(IF(ISBLANK(AF78),VLOOKUP($G78,Sheet3!$H$2:$O$200,AM$1,FALSE),$I$1),$I$1)</f>
        <v>0</v>
      </c>
      <c r="AN78" s="15">
        <f>IFERROR(IF(ISBLANK(AG78),VLOOKUP($G78,Sheet3!$H$2:$O$200,AN$1,FALSE),$I$1),$I$1)</f>
        <v>0</v>
      </c>
      <c r="AO78" s="15">
        <f>IFERROR(IF(ISBLANK(AH78),VLOOKUP($G78,Sheet3!$H$2:$O$200,AO$1,FALSE),$I$1),$I$1)</f>
        <v>0</v>
      </c>
      <c r="AP78" s="15">
        <f>IFERROR(IF(ISBLANK(AI78),VLOOKUP($G78,Sheet3!$H$2:$O$200,AP$1,FALSE),$I$1),$I$1)</f>
        <v>0</v>
      </c>
      <c r="AQ78" s="15">
        <f>IFERROR(IF(ISBLANK(AJ78),VLOOKUP($G78,Sheet3!$H$2:$O$200,AQ$1,FALSE),$I$1),$I$1)</f>
        <v>0</v>
      </c>
      <c r="AR78" s="15">
        <f>IFERROR(IF(ISBLANK(AK78),VLOOKUP($G78,Sheet3!$H$2:$O$200,AR$1,FALSE),$I$1),$I$1)</f>
        <v>0</v>
      </c>
      <c r="AS78" s="15">
        <f t="shared" si="1"/>
        <v>28</v>
      </c>
      <c r="AT78" s="15" t="b">
        <f t="shared" si="2"/>
        <v>0</v>
      </c>
    </row>
    <row r="79" spans="1:46" x14ac:dyDescent="0.2">
      <c r="A79" s="19" t="s">
        <v>184</v>
      </c>
      <c r="B79" s="19" t="s">
        <v>148</v>
      </c>
      <c r="C79" s="19" t="s">
        <v>185</v>
      </c>
      <c r="D79" s="19" t="s">
        <v>186</v>
      </c>
      <c r="E79" s="19" t="s">
        <v>62</v>
      </c>
      <c r="F79" s="19" t="s">
        <v>187</v>
      </c>
      <c r="G79" s="19" t="s">
        <v>70</v>
      </c>
      <c r="H79" s="19" t="s">
        <v>184</v>
      </c>
      <c r="I79" s="15">
        <f t="shared" si="0"/>
        <v>5</v>
      </c>
      <c r="J79" s="15">
        <f>IFERROR(VLOOKUP($C79,Sheet3!$H$2:$O$200,J$1,FALSE),IFERROR(VLOOKUP($D79,Sheet3!$H$2:$O$200,J$1,FALSE),VLOOKUP($E79,Sheet3!$H$2:$O$200,J$1,FALSE)))</f>
        <v>0</v>
      </c>
      <c r="K79" s="15">
        <f>IFERROR(VLOOKUP($C79,Sheet3!$H$2:$O$200,K$1,FALSE),IFERROR(VLOOKUP($D79,Sheet3!$H$2:$O$200,K$1,FALSE),VLOOKUP($E79,Sheet3!$H$2:$O$200,K$1,FALSE)))</f>
        <v>0</v>
      </c>
      <c r="L79" s="15">
        <f>IFERROR(VLOOKUP($C79,Sheet3!$H$2:$O$200,L$1,FALSE),IFERROR(VLOOKUP($D79,Sheet3!$H$2:$O$200,L$1,FALSE),VLOOKUP($E79,Sheet3!$H$2:$O$200,L$1,FALSE)))</f>
        <v>0</v>
      </c>
      <c r="M79" s="15" t="str">
        <f>IFERROR(VLOOKUP($C79,Sheet3!$H$2:$O$200,M$1,FALSE),IFERROR(VLOOKUP($D79,Sheet3!$H$2:$O$200,M$1,FALSE),VLOOKUP($E79,Sheet3!$H$2:$O$200,M$1,FALSE)))</f>
        <v>Benedictine</v>
      </c>
      <c r="N79" s="15">
        <f>IFERROR(VLOOKUP($C79,Sheet3!$H$2:$O$200,N$1,FALSE),IFERROR(VLOOKUP($D79,Sheet3!$H$2:$O$200,N$1,FALSE),VLOOKUP($E79,Sheet3!$H$2:$O$200,N$1,FALSE)))</f>
        <v>0</v>
      </c>
      <c r="O79" s="15">
        <f>IFERROR(VLOOKUP($C79,Sheet3!$H$2:$O$200,O$1,FALSE),IFERROR(VLOOKUP($D79,Sheet3!$H$2:$O$200,O$1,FALSE),VLOOKUP($E79,Sheet3!$H$2:$O$200,O$1,FALSE)))</f>
        <v>0</v>
      </c>
      <c r="P79" s="15" t="str">
        <f>IFERROR(VLOOKUP($C79,Sheet3!$H$2:$O$200,P$1,FALSE),IFERROR(VLOOKUP($D79,Sheet3!$H$2:$O$200,P$1,FALSE),VLOOKUP($E79,Sheet3!$H$2:$O$200,P$1,FALSE)))</f>
        <v>triple sec</v>
      </c>
      <c r="Q79" s="15">
        <f>IFERROR(IF(ISBLANK(J79),IFERROR(VLOOKUP($D79,Sheet3!$H$2:$O$200,Q$1,FALSE),IFERROR(VLOOKUP($E79,Sheet3!$H$2:$O$200,Q$1,FALSE),VLOOKUP($F79,Sheet3!$H$2:$O$200,Q$1,FALSE))),$I$1),$I$1)</f>
        <v>0</v>
      </c>
      <c r="R79" s="15">
        <f>IFERROR(IF(ISBLANK(K79),IFERROR(VLOOKUP($D79,Sheet3!$H$2:$O$200,R$1,FALSE),IFERROR(VLOOKUP($E79,Sheet3!$H$2:$O$200,R$1,FALSE),VLOOKUP($F79,Sheet3!$H$2:$O$200,R$1,FALSE))),$I$1),$I$1)</f>
        <v>0</v>
      </c>
      <c r="S79" s="15">
        <f>IFERROR(IF(ISBLANK(L79),IFERROR(VLOOKUP($D79,Sheet3!$H$2:$O$200,S$1,FALSE),IFERROR(VLOOKUP($E79,Sheet3!$H$2:$O$200,S$1,FALSE),VLOOKUP($F79,Sheet3!$H$2:$O$200,S$1,FALSE))),$I$1),$I$1)</f>
        <v>0</v>
      </c>
      <c r="T79" s="15">
        <f>IFERROR(IF(ISBLANK(M79),IFERROR(VLOOKUP($D79,Sheet3!$H$2:$O$200,T$1,FALSE),IFERROR(VLOOKUP($E79,Sheet3!$H$2:$O$200,T$1,FALSE),VLOOKUP($F79,Sheet3!$H$2:$O$200,T$1,FALSE))),$I$1),$I$1)</f>
        <v>0</v>
      </c>
      <c r="U79" s="15">
        <f>IFERROR(IF(ISBLANK(N79),IFERROR(VLOOKUP($D79,Sheet3!$H$2:$O$200,U$1,FALSE),IFERROR(VLOOKUP($E79,Sheet3!$H$2:$O$200,U$1,FALSE),VLOOKUP($F79,Sheet3!$H$2:$O$200,U$1,FALSE))),$I$1),$I$1)</f>
        <v>0</v>
      </c>
      <c r="V79" s="15">
        <f>IFERROR(IF(ISBLANK(O79),IFERROR(VLOOKUP($D79,Sheet3!$H$2:$O$200,V$1,FALSE),IFERROR(VLOOKUP($E79,Sheet3!$H$2:$O$200,V$1,FALSE),VLOOKUP($F79,Sheet3!$H$2:$O$200,V$1,FALSE))),$I$1),$I$1)</f>
        <v>0</v>
      </c>
      <c r="W79" s="15">
        <f>IFERROR(IF(ISBLANK(P79),IFERROR(VLOOKUP($D79,Sheet3!$H$2:$O$200,W$1,FALSE),IFERROR(VLOOKUP($E79,Sheet3!$H$2:$O$200,W$1,FALSE),VLOOKUP($F79,Sheet3!$H$2:$O$200,W$1,FALSE))),$I$1),$I$1)</f>
        <v>0</v>
      </c>
      <c r="X79" s="15">
        <f>IFERROR(IF(ISBLANK(Q79),IFERROR(VLOOKUP($E79,Sheet3!$H$2:$O$200,X$1,FALSE),IFERROR(VLOOKUP($F79,Sheet3!$H$2:$O$200,X$1,FALSE),VLOOKUP($G79,Sheet3!$H$2:$O$200,X$1,FALSE))),$I$1),$I$1)</f>
        <v>0</v>
      </c>
      <c r="Y79" s="15">
        <f>IFERROR(IF(ISBLANK(R79),IFERROR(VLOOKUP($E79,Sheet3!$H$2:$O$200,Y$1,FALSE),IFERROR(VLOOKUP($F79,Sheet3!$H$2:$O$200,Y$1,FALSE),VLOOKUP($G79,Sheet3!$H$2:$O$200,Y$1,FALSE))),$I$1),$I$1)</f>
        <v>0</v>
      </c>
      <c r="Z79" s="15">
        <f>IFERROR(IF(ISBLANK(S79),IFERROR(VLOOKUP($E79,Sheet3!$H$2:$O$200,Z$1,FALSE),IFERROR(VLOOKUP($F79,Sheet3!$H$2:$O$200,Z$1,FALSE),VLOOKUP($G79,Sheet3!$H$2:$O$200,Z$1,FALSE))),$I$1),$I$1)</f>
        <v>0</v>
      </c>
      <c r="AA79" s="15">
        <f>IFERROR(IF(ISBLANK(T79),IFERROR(VLOOKUP($E79,Sheet3!$H$2:$O$200,AA$1,FALSE),IFERROR(VLOOKUP($F79,Sheet3!$H$2:$O$200,AA$1,FALSE),VLOOKUP($G79,Sheet3!$H$2:$O$200,AA$1,FALSE))),$I$1),$I$1)</f>
        <v>0</v>
      </c>
      <c r="AB79" s="15">
        <f>IFERROR(IF(ISBLANK(U79),IFERROR(VLOOKUP($E79,Sheet3!$H$2:$O$200,AB$1,FALSE),IFERROR(VLOOKUP($F79,Sheet3!$H$2:$O$200,AB$1,FALSE),VLOOKUP($G79,Sheet3!$H$2:$O$200,AB$1,FALSE))),$I$1),$I$1)</f>
        <v>0</v>
      </c>
      <c r="AC79" s="15">
        <f>IFERROR(IF(ISBLANK(V79),IFERROR(VLOOKUP($E79,Sheet3!$H$2:$O$200,AC$1,FALSE),IFERROR(VLOOKUP($F79,Sheet3!$H$2:$O$200,AC$1,FALSE),VLOOKUP($G79,Sheet3!$H$2:$O$200,AC$1,FALSE))),$I$1),$I$1)</f>
        <v>0</v>
      </c>
      <c r="AD79" s="15">
        <f>IFERROR(IF(ISBLANK(W79),IFERROR(VLOOKUP($E79,Sheet3!$H$2:$O$200,AD$1,FALSE),IFERROR(VLOOKUP($F79,Sheet3!$H$2:$O$200,AD$1,FALSE),VLOOKUP($G79,Sheet3!$H$2:$O$200,AD$1,FALSE))),$I$1),$I$1)</f>
        <v>0</v>
      </c>
      <c r="AE79" s="15">
        <f>IFERROR(IF(ISBLANK(X79),IFERROR(VLOOKUP($F79,Sheet3!$H$2:$O$200,AE$1,FALSE),VLOOKUP($G79,Sheet3!$H$2:$O$200,AE$1,FALSE)),$I$1),$I$1)</f>
        <v>0</v>
      </c>
      <c r="AF79" s="15">
        <f>IFERROR(IF(ISBLANK(Y79),IFERROR(VLOOKUP($F79,Sheet3!$H$2:$O$200,AF$1,FALSE),VLOOKUP($G79,Sheet3!$H$2:$O$200,AF$1,FALSE)),$I$1),$I$1)</f>
        <v>0</v>
      </c>
      <c r="AG79" s="15">
        <f>IFERROR(IF(ISBLANK(Z79),IFERROR(VLOOKUP($F79,Sheet3!$H$2:$O$200,AG$1,FALSE),VLOOKUP($G79,Sheet3!$H$2:$O$200,AG$1,FALSE)),$I$1),$I$1)</f>
        <v>0</v>
      </c>
      <c r="AH79" s="15">
        <f>IFERROR(IF(ISBLANK(AA79),IFERROR(VLOOKUP($F79,Sheet3!$H$2:$O$200,AH$1,FALSE),VLOOKUP($G79,Sheet3!$H$2:$O$200,AH$1,FALSE)),$I$1),$I$1)</f>
        <v>0</v>
      </c>
      <c r="AI79" s="15">
        <f>IFERROR(IF(ISBLANK(AB79),IFERROR(VLOOKUP($F79,Sheet3!$H$2:$O$200,AI$1,FALSE),VLOOKUP($G79,Sheet3!$H$2:$O$200,AI$1,FALSE)),$I$1),$I$1)</f>
        <v>0</v>
      </c>
      <c r="AJ79" s="15">
        <f>IFERROR(IF(ISBLANK(AC79),IFERROR(VLOOKUP($F79,Sheet3!$H$2:$O$200,AJ$1,FALSE),VLOOKUP($G79,Sheet3!$H$2:$O$200,AJ$1,FALSE)),$I$1),$I$1)</f>
        <v>0</v>
      </c>
      <c r="AK79" s="15">
        <f>IFERROR(IF(ISBLANK(AD79),IFERROR(VLOOKUP($F79,Sheet3!$H$2:$O$200,AK$1,FALSE),VLOOKUP($G79,Sheet3!$H$2:$O$200,AK$1,FALSE)),$I$1),$I$1)</f>
        <v>0</v>
      </c>
      <c r="AL79" s="15">
        <f>IFERROR(IF(ISBLANK(AE79),VLOOKUP($G79,Sheet3!$H$2:$O$200,AL$1,FALSE),$I$1),$I$1)</f>
        <v>0</v>
      </c>
      <c r="AM79" s="15">
        <f>IFERROR(IF(ISBLANK(AF79),VLOOKUP($G79,Sheet3!$H$2:$O$200,AM$1,FALSE),$I$1),$I$1)</f>
        <v>0</v>
      </c>
      <c r="AN79" s="15">
        <f>IFERROR(IF(ISBLANK(AG79),VLOOKUP($G79,Sheet3!$H$2:$O$200,AN$1,FALSE),$I$1),$I$1)</f>
        <v>0</v>
      </c>
      <c r="AO79" s="15">
        <f>IFERROR(IF(ISBLANK(AH79),VLOOKUP($G79,Sheet3!$H$2:$O$200,AO$1,FALSE),$I$1),$I$1)</f>
        <v>0</v>
      </c>
      <c r="AP79" s="15">
        <f>IFERROR(IF(ISBLANK(AI79),VLOOKUP($G79,Sheet3!$H$2:$O$200,AP$1,FALSE),$I$1),$I$1)</f>
        <v>0</v>
      </c>
      <c r="AQ79" s="15">
        <f>IFERROR(IF(ISBLANK(AJ79),VLOOKUP($G79,Sheet3!$H$2:$O$200,AQ$1,FALSE),$I$1),$I$1)</f>
        <v>0</v>
      </c>
      <c r="AR79" s="15">
        <f>IFERROR(IF(ISBLANK(AK79),VLOOKUP($G79,Sheet3!$H$2:$O$200,AR$1,FALSE),$I$1),$I$1)</f>
        <v>0</v>
      </c>
      <c r="AS79" s="15">
        <f t="shared" si="1"/>
        <v>28</v>
      </c>
      <c r="AT79" s="15" t="b">
        <f t="shared" si="2"/>
        <v>0</v>
      </c>
    </row>
    <row r="80" spans="1:46" x14ac:dyDescent="0.2">
      <c r="A80" s="19" t="s">
        <v>188</v>
      </c>
      <c r="B80" s="19" t="s">
        <v>148</v>
      </c>
      <c r="C80" s="19" t="s">
        <v>86</v>
      </c>
      <c r="D80" s="18" t="s">
        <v>90</v>
      </c>
      <c r="E80" s="19" t="s">
        <v>62</v>
      </c>
      <c r="F80" s="19" t="s">
        <v>189</v>
      </c>
      <c r="G80" s="18" t="s">
        <v>38</v>
      </c>
      <c r="H80" s="19" t="s">
        <v>188</v>
      </c>
      <c r="I80" s="15">
        <f t="shared" si="0"/>
        <v>5</v>
      </c>
      <c r="J80" s="15">
        <f>IFERROR(VLOOKUP($C80,Sheet3!$H$2:$O$200,J$1,FALSE),IFERROR(VLOOKUP($D80,Sheet3!$H$2:$O$200,J$1,FALSE),VLOOKUP($E80,Sheet3!$H$2:$O$200,J$1,FALSE)))</f>
        <v>0</v>
      </c>
      <c r="K80" s="15" t="str">
        <f>IFERROR(VLOOKUP($C80,Sheet3!$H$2:$O$200,K$1,FALSE),IFERROR(VLOOKUP($D80,Sheet3!$H$2:$O$200,K$1,FALSE),VLOOKUP($E80,Sheet3!$H$2:$O$200,K$1,FALSE)))</f>
        <v>simple syrup</v>
      </c>
      <c r="L80" s="15">
        <f>IFERROR(VLOOKUP($C80,Sheet3!$H$2:$O$200,L$1,FALSE),IFERROR(VLOOKUP($D80,Sheet3!$H$2:$O$200,L$1,FALSE),VLOOKUP($E80,Sheet3!$H$2:$O$200,L$1,FALSE)))</f>
        <v>0</v>
      </c>
      <c r="M80" s="15">
        <f>IFERROR(VLOOKUP($C80,Sheet3!$H$2:$O$200,M$1,FALSE),IFERROR(VLOOKUP($D80,Sheet3!$H$2:$O$200,M$1,FALSE),VLOOKUP($E80,Sheet3!$H$2:$O$200,M$1,FALSE)))</f>
        <v>0</v>
      </c>
      <c r="N80" s="15">
        <f>IFERROR(VLOOKUP($C80,Sheet3!$H$2:$O$200,N$1,FALSE),IFERROR(VLOOKUP($D80,Sheet3!$H$2:$O$200,N$1,FALSE),VLOOKUP($E80,Sheet3!$H$2:$O$200,N$1,FALSE)))</f>
        <v>0</v>
      </c>
      <c r="O80" s="15">
        <f>IFERROR(VLOOKUP($C80,Sheet3!$H$2:$O$200,O$1,FALSE),IFERROR(VLOOKUP($D80,Sheet3!$H$2:$O$200,O$1,FALSE),VLOOKUP($E80,Sheet3!$H$2:$O$200,O$1,FALSE)))</f>
        <v>0</v>
      </c>
      <c r="P80" s="15">
        <f>IFERROR(VLOOKUP($C80,Sheet3!$H$2:$O$200,P$1,FALSE),IFERROR(VLOOKUP($D80,Sheet3!$H$2:$O$200,P$1,FALSE),VLOOKUP($E80,Sheet3!$H$2:$O$200,P$1,FALSE)))</f>
        <v>0</v>
      </c>
      <c r="Q80" s="15">
        <f>IFERROR(IF(ISBLANK(J80),IFERROR(VLOOKUP($D80,Sheet3!$H$2:$O$200,Q$1,FALSE),IFERROR(VLOOKUP($E80,Sheet3!$H$2:$O$200,Q$1,FALSE),VLOOKUP($F80,Sheet3!$H$2:$O$200,Q$1,FALSE))),$I$1),$I$1)</f>
        <v>0</v>
      </c>
      <c r="R80" s="15">
        <f>IFERROR(IF(ISBLANK(K80),IFERROR(VLOOKUP($D80,Sheet3!$H$2:$O$200,R$1,FALSE),IFERROR(VLOOKUP($E80,Sheet3!$H$2:$O$200,R$1,FALSE),VLOOKUP($F80,Sheet3!$H$2:$O$200,R$1,FALSE))),$I$1),$I$1)</f>
        <v>0</v>
      </c>
      <c r="S80" s="15">
        <f>IFERROR(IF(ISBLANK(L80),IFERROR(VLOOKUP($D80,Sheet3!$H$2:$O$200,S$1,FALSE),IFERROR(VLOOKUP($E80,Sheet3!$H$2:$O$200,S$1,FALSE),VLOOKUP($F80,Sheet3!$H$2:$O$200,S$1,FALSE))),$I$1),$I$1)</f>
        <v>0</v>
      </c>
      <c r="T80" s="15">
        <f>IFERROR(IF(ISBLANK(M80),IFERROR(VLOOKUP($D80,Sheet3!$H$2:$O$200,T$1,FALSE),IFERROR(VLOOKUP($E80,Sheet3!$H$2:$O$200,T$1,FALSE),VLOOKUP($F80,Sheet3!$H$2:$O$200,T$1,FALSE))),$I$1),$I$1)</f>
        <v>0</v>
      </c>
      <c r="U80" s="15">
        <f>IFERROR(IF(ISBLANK(N80),IFERROR(VLOOKUP($D80,Sheet3!$H$2:$O$200,U$1,FALSE),IFERROR(VLOOKUP($E80,Sheet3!$H$2:$O$200,U$1,FALSE),VLOOKUP($F80,Sheet3!$H$2:$O$200,U$1,FALSE))),$I$1),$I$1)</f>
        <v>0</v>
      </c>
      <c r="V80" s="15">
        <f>IFERROR(IF(ISBLANK(O80),IFERROR(VLOOKUP($D80,Sheet3!$H$2:$O$200,V$1,FALSE),IFERROR(VLOOKUP($E80,Sheet3!$H$2:$O$200,V$1,FALSE),VLOOKUP($F80,Sheet3!$H$2:$O$200,V$1,FALSE))),$I$1),$I$1)</f>
        <v>0</v>
      </c>
      <c r="W80" s="15">
        <f>IFERROR(IF(ISBLANK(P80),IFERROR(VLOOKUP($D80,Sheet3!$H$2:$O$200,W$1,FALSE),IFERROR(VLOOKUP($E80,Sheet3!$H$2:$O$200,W$1,FALSE),VLOOKUP($F80,Sheet3!$H$2:$O$200,W$1,FALSE))),$I$1),$I$1)</f>
        <v>0</v>
      </c>
      <c r="X80" s="15">
        <f>IFERROR(IF(ISBLANK(Q80),IFERROR(VLOOKUP($E80,Sheet3!$H$2:$O$200,X$1,FALSE),IFERROR(VLOOKUP($F80,Sheet3!$H$2:$O$200,X$1,FALSE),VLOOKUP($G80,Sheet3!$H$2:$O$200,X$1,FALSE))),$I$1),$I$1)</f>
        <v>0</v>
      </c>
      <c r="Y80" s="15">
        <f>IFERROR(IF(ISBLANK(R80),IFERROR(VLOOKUP($E80,Sheet3!$H$2:$O$200,Y$1,FALSE),IFERROR(VLOOKUP($F80,Sheet3!$H$2:$O$200,Y$1,FALSE),VLOOKUP($G80,Sheet3!$H$2:$O$200,Y$1,FALSE))),$I$1),$I$1)</f>
        <v>0</v>
      </c>
      <c r="Z80" s="15">
        <f>IFERROR(IF(ISBLANK(S80),IFERROR(VLOOKUP($E80,Sheet3!$H$2:$O$200,Z$1,FALSE),IFERROR(VLOOKUP($F80,Sheet3!$H$2:$O$200,Z$1,FALSE),VLOOKUP($G80,Sheet3!$H$2:$O$200,Z$1,FALSE))),$I$1),$I$1)</f>
        <v>0</v>
      </c>
      <c r="AA80" s="15">
        <f>IFERROR(IF(ISBLANK(T80),IFERROR(VLOOKUP($E80,Sheet3!$H$2:$O$200,AA$1,FALSE),IFERROR(VLOOKUP($F80,Sheet3!$H$2:$O$200,AA$1,FALSE),VLOOKUP($G80,Sheet3!$H$2:$O$200,AA$1,FALSE))),$I$1),$I$1)</f>
        <v>0</v>
      </c>
      <c r="AB80" s="15">
        <f>IFERROR(IF(ISBLANK(U80),IFERROR(VLOOKUP($E80,Sheet3!$H$2:$O$200,AB$1,FALSE),IFERROR(VLOOKUP($F80,Sheet3!$H$2:$O$200,AB$1,FALSE),VLOOKUP($G80,Sheet3!$H$2:$O$200,AB$1,FALSE))),$I$1),$I$1)</f>
        <v>0</v>
      </c>
      <c r="AC80" s="15">
        <f>IFERROR(IF(ISBLANK(V80),IFERROR(VLOOKUP($E80,Sheet3!$H$2:$O$200,AC$1,FALSE),IFERROR(VLOOKUP($F80,Sheet3!$H$2:$O$200,AC$1,FALSE),VLOOKUP($G80,Sheet3!$H$2:$O$200,AC$1,FALSE))),$I$1),$I$1)</f>
        <v>0</v>
      </c>
      <c r="AD80" s="15">
        <f>IFERROR(IF(ISBLANK(W80),IFERROR(VLOOKUP($E80,Sheet3!$H$2:$O$200,AD$1,FALSE),IFERROR(VLOOKUP($F80,Sheet3!$H$2:$O$200,AD$1,FALSE),VLOOKUP($G80,Sheet3!$H$2:$O$200,AD$1,FALSE))),$I$1),$I$1)</f>
        <v>0</v>
      </c>
      <c r="AE80" s="15">
        <f>IFERROR(IF(ISBLANK(X80),IFERROR(VLOOKUP($F80,Sheet3!$H$2:$O$200,AE$1,FALSE),VLOOKUP($G80,Sheet3!$H$2:$O$200,AE$1,FALSE)),$I$1),$I$1)</f>
        <v>0</v>
      </c>
      <c r="AF80" s="15">
        <f>IFERROR(IF(ISBLANK(Y80),IFERROR(VLOOKUP($F80,Sheet3!$H$2:$O$200,AF$1,FALSE),VLOOKUP($G80,Sheet3!$H$2:$O$200,AF$1,FALSE)),$I$1),$I$1)</f>
        <v>0</v>
      </c>
      <c r="AG80" s="15">
        <f>IFERROR(IF(ISBLANK(Z80),IFERROR(VLOOKUP($F80,Sheet3!$H$2:$O$200,AG$1,FALSE),VLOOKUP($G80,Sheet3!$H$2:$O$200,AG$1,FALSE)),$I$1),$I$1)</f>
        <v>0</v>
      </c>
      <c r="AH80" s="15">
        <f>IFERROR(IF(ISBLANK(AA80),IFERROR(VLOOKUP($F80,Sheet3!$H$2:$O$200,AH$1,FALSE),VLOOKUP($G80,Sheet3!$H$2:$O$200,AH$1,FALSE)),$I$1),$I$1)</f>
        <v>0</v>
      </c>
      <c r="AI80" s="15">
        <f>IFERROR(IF(ISBLANK(AB80),IFERROR(VLOOKUP($F80,Sheet3!$H$2:$O$200,AI$1,FALSE),VLOOKUP($G80,Sheet3!$H$2:$O$200,AI$1,FALSE)),$I$1),$I$1)</f>
        <v>0</v>
      </c>
      <c r="AJ80" s="15">
        <f>IFERROR(IF(ISBLANK(AC80),IFERROR(VLOOKUP($F80,Sheet3!$H$2:$O$200,AJ$1,FALSE),VLOOKUP($G80,Sheet3!$H$2:$O$200,AJ$1,FALSE)),$I$1),$I$1)</f>
        <v>0</v>
      </c>
      <c r="AK80" s="15">
        <f>IFERROR(IF(ISBLANK(AD80),IFERROR(VLOOKUP($F80,Sheet3!$H$2:$O$200,AK$1,FALSE),VLOOKUP($G80,Sheet3!$H$2:$O$200,AK$1,FALSE)),$I$1),$I$1)</f>
        <v>0</v>
      </c>
      <c r="AL80" s="15">
        <f>IFERROR(IF(ISBLANK(AE80),VLOOKUP($G80,Sheet3!$H$2:$O$200,AL$1,FALSE),$I$1),$I$1)</f>
        <v>0</v>
      </c>
      <c r="AM80" s="15">
        <f>IFERROR(IF(ISBLANK(AF80),VLOOKUP($G80,Sheet3!$H$2:$O$200,AM$1,FALSE),$I$1),$I$1)</f>
        <v>0</v>
      </c>
      <c r="AN80" s="15">
        <f>IFERROR(IF(ISBLANK(AG80),VLOOKUP($G80,Sheet3!$H$2:$O$200,AN$1,FALSE),$I$1),$I$1)</f>
        <v>0</v>
      </c>
      <c r="AO80" s="15">
        <f>IFERROR(IF(ISBLANK(AH80),VLOOKUP($G80,Sheet3!$H$2:$O$200,AO$1,FALSE),$I$1),$I$1)</f>
        <v>0</v>
      </c>
      <c r="AP80" s="15">
        <f>IFERROR(IF(ISBLANK(AI80),VLOOKUP($G80,Sheet3!$H$2:$O$200,AP$1,FALSE),$I$1),$I$1)</f>
        <v>0</v>
      </c>
      <c r="AQ80" s="15">
        <f>IFERROR(IF(ISBLANK(AJ80),VLOOKUP($G80,Sheet3!$H$2:$O$200,AQ$1,FALSE),$I$1),$I$1)</f>
        <v>0</v>
      </c>
      <c r="AR80" s="15">
        <f>IFERROR(IF(ISBLANK(AK80),VLOOKUP($G80,Sheet3!$H$2:$O$200,AR$1,FALSE),$I$1),$I$1)</f>
        <v>0</v>
      </c>
      <c r="AS80" s="15">
        <f t="shared" si="1"/>
        <v>28</v>
      </c>
      <c r="AT80" s="15" t="b">
        <f t="shared" si="2"/>
        <v>0</v>
      </c>
    </row>
    <row r="81" spans="1:46" x14ac:dyDescent="0.2">
      <c r="A81" s="19" t="s">
        <v>190</v>
      </c>
      <c r="B81" s="19" t="s">
        <v>148</v>
      </c>
      <c r="C81" s="19" t="s">
        <v>68</v>
      </c>
      <c r="D81" s="18" t="s">
        <v>38</v>
      </c>
      <c r="E81" s="19" t="s">
        <v>62</v>
      </c>
      <c r="F81" s="19" t="s">
        <v>191</v>
      </c>
      <c r="G81" s="18" t="s">
        <v>192</v>
      </c>
      <c r="H81" s="19" t="s">
        <v>190</v>
      </c>
      <c r="I81" s="15">
        <f t="shared" si="0"/>
        <v>5</v>
      </c>
      <c r="J81" s="15">
        <f>IFERROR(VLOOKUP($C81,Sheet3!$H$2:$O$200,J$1,FALSE),IFERROR(VLOOKUP($D81,Sheet3!$H$2:$O$200,J$1,FALSE),VLOOKUP($E81,Sheet3!$H$2:$O$200,J$1,FALSE)))</f>
        <v>0</v>
      </c>
      <c r="K81" s="15">
        <f>IFERROR(VLOOKUP($C81,Sheet3!$H$2:$O$200,K$1,FALSE),IFERROR(VLOOKUP($D81,Sheet3!$H$2:$O$200,K$1,FALSE),VLOOKUP($E81,Sheet3!$H$2:$O$200,K$1,FALSE)))</f>
        <v>0</v>
      </c>
      <c r="L81" s="15">
        <f>IFERROR(VLOOKUP($C81,Sheet3!$H$2:$O$200,L$1,FALSE),IFERROR(VLOOKUP($D81,Sheet3!$H$2:$O$200,L$1,FALSE),VLOOKUP($E81,Sheet3!$H$2:$O$200,L$1,FALSE)))</f>
        <v>0</v>
      </c>
      <c r="M81" s="15" t="str">
        <f>IFERROR(VLOOKUP($C81,Sheet3!$H$2:$O$200,M$1,FALSE),IFERROR(VLOOKUP($D81,Sheet3!$H$2:$O$200,M$1,FALSE),VLOOKUP($E81,Sheet3!$H$2:$O$200,M$1,FALSE)))</f>
        <v>Benedictine</v>
      </c>
      <c r="N81" s="15">
        <f>IFERROR(VLOOKUP($C81,Sheet3!$H$2:$O$200,N$1,FALSE),IFERROR(VLOOKUP($D81,Sheet3!$H$2:$O$200,N$1,FALSE),VLOOKUP($E81,Sheet3!$H$2:$O$200,N$1,FALSE)))</f>
        <v>0</v>
      </c>
      <c r="O81" s="15">
        <f>IFERROR(VLOOKUP($C81,Sheet3!$H$2:$O$200,O$1,FALSE),IFERROR(VLOOKUP($D81,Sheet3!$H$2:$O$200,O$1,FALSE),VLOOKUP($E81,Sheet3!$H$2:$O$200,O$1,FALSE)))</f>
        <v>0</v>
      </c>
      <c r="P81" s="15">
        <f>IFERROR(VLOOKUP($C81,Sheet3!$H$2:$O$200,P$1,FALSE),IFERROR(VLOOKUP($D81,Sheet3!$H$2:$O$200,P$1,FALSE),VLOOKUP($E81,Sheet3!$H$2:$O$200,P$1,FALSE)))</f>
        <v>0</v>
      </c>
      <c r="Q81" s="15">
        <f>IFERROR(IF(ISBLANK(J81),IFERROR(VLOOKUP($D81,Sheet3!$H$2:$O$200,Q$1,FALSE),IFERROR(VLOOKUP($E81,Sheet3!$H$2:$O$200,Q$1,FALSE),VLOOKUP($F81,Sheet3!$H$2:$O$200,Q$1,FALSE))),$I$1),$I$1)</f>
        <v>0</v>
      </c>
      <c r="R81" s="15">
        <f>IFERROR(IF(ISBLANK(K81),IFERROR(VLOOKUP($D81,Sheet3!$H$2:$O$200,R$1,FALSE),IFERROR(VLOOKUP($E81,Sheet3!$H$2:$O$200,R$1,FALSE),VLOOKUP($F81,Sheet3!$H$2:$O$200,R$1,FALSE))),$I$1),$I$1)</f>
        <v>0</v>
      </c>
      <c r="S81" s="15">
        <f>IFERROR(IF(ISBLANK(L81),IFERROR(VLOOKUP($D81,Sheet3!$H$2:$O$200,S$1,FALSE),IFERROR(VLOOKUP($E81,Sheet3!$H$2:$O$200,S$1,FALSE),VLOOKUP($F81,Sheet3!$H$2:$O$200,S$1,FALSE))),$I$1),$I$1)</f>
        <v>0</v>
      </c>
      <c r="T81" s="15">
        <f>IFERROR(IF(ISBLANK(M81),IFERROR(VLOOKUP($D81,Sheet3!$H$2:$O$200,T$1,FALSE),IFERROR(VLOOKUP($E81,Sheet3!$H$2:$O$200,T$1,FALSE),VLOOKUP($F81,Sheet3!$H$2:$O$200,T$1,FALSE))),$I$1),$I$1)</f>
        <v>0</v>
      </c>
      <c r="U81" s="15">
        <f>IFERROR(IF(ISBLANK(N81),IFERROR(VLOOKUP($D81,Sheet3!$H$2:$O$200,U$1,FALSE),IFERROR(VLOOKUP($E81,Sheet3!$H$2:$O$200,U$1,FALSE),VLOOKUP($F81,Sheet3!$H$2:$O$200,U$1,FALSE))),$I$1),$I$1)</f>
        <v>0</v>
      </c>
      <c r="V81" s="15">
        <f>IFERROR(IF(ISBLANK(O81),IFERROR(VLOOKUP($D81,Sheet3!$H$2:$O$200,V$1,FALSE),IFERROR(VLOOKUP($E81,Sheet3!$H$2:$O$200,V$1,FALSE),VLOOKUP($F81,Sheet3!$H$2:$O$200,V$1,FALSE))),$I$1),$I$1)</f>
        <v>0</v>
      </c>
      <c r="W81" s="15">
        <f>IFERROR(IF(ISBLANK(P81),IFERROR(VLOOKUP($D81,Sheet3!$H$2:$O$200,W$1,FALSE),IFERROR(VLOOKUP($E81,Sheet3!$H$2:$O$200,W$1,FALSE),VLOOKUP($F81,Sheet3!$H$2:$O$200,W$1,FALSE))),$I$1),$I$1)</f>
        <v>0</v>
      </c>
      <c r="X81" s="15">
        <f>IFERROR(IF(ISBLANK(Q81),IFERROR(VLOOKUP($E81,Sheet3!$H$2:$O$200,X$1,FALSE),IFERROR(VLOOKUP($F81,Sheet3!$H$2:$O$200,X$1,FALSE),VLOOKUP($G81,Sheet3!$H$2:$O$200,X$1,FALSE))),$I$1),$I$1)</f>
        <v>0</v>
      </c>
      <c r="Y81" s="15">
        <f>IFERROR(IF(ISBLANK(R81),IFERROR(VLOOKUP($E81,Sheet3!$H$2:$O$200,Y$1,FALSE),IFERROR(VLOOKUP($F81,Sheet3!$H$2:$O$200,Y$1,FALSE),VLOOKUP($G81,Sheet3!$H$2:$O$200,Y$1,FALSE))),$I$1),$I$1)</f>
        <v>0</v>
      </c>
      <c r="Z81" s="15">
        <f>IFERROR(IF(ISBLANK(S81),IFERROR(VLOOKUP($E81,Sheet3!$H$2:$O$200,Z$1,FALSE),IFERROR(VLOOKUP($F81,Sheet3!$H$2:$O$200,Z$1,FALSE),VLOOKUP($G81,Sheet3!$H$2:$O$200,Z$1,FALSE))),$I$1),$I$1)</f>
        <v>0</v>
      </c>
      <c r="AA81" s="15">
        <f>IFERROR(IF(ISBLANK(T81),IFERROR(VLOOKUP($E81,Sheet3!$H$2:$O$200,AA$1,FALSE),IFERROR(VLOOKUP($F81,Sheet3!$H$2:$O$200,AA$1,FALSE),VLOOKUP($G81,Sheet3!$H$2:$O$200,AA$1,FALSE))),$I$1),$I$1)</f>
        <v>0</v>
      </c>
      <c r="AB81" s="15">
        <f>IFERROR(IF(ISBLANK(U81),IFERROR(VLOOKUP($E81,Sheet3!$H$2:$O$200,AB$1,FALSE),IFERROR(VLOOKUP($F81,Sheet3!$H$2:$O$200,AB$1,FALSE),VLOOKUP($G81,Sheet3!$H$2:$O$200,AB$1,FALSE))),$I$1),$I$1)</f>
        <v>0</v>
      </c>
      <c r="AC81" s="15">
        <f>IFERROR(IF(ISBLANK(V81),IFERROR(VLOOKUP($E81,Sheet3!$H$2:$O$200,AC$1,FALSE),IFERROR(VLOOKUP($F81,Sheet3!$H$2:$O$200,AC$1,FALSE),VLOOKUP($G81,Sheet3!$H$2:$O$200,AC$1,FALSE))),$I$1),$I$1)</f>
        <v>0</v>
      </c>
      <c r="AD81" s="15">
        <f>IFERROR(IF(ISBLANK(W81),IFERROR(VLOOKUP($E81,Sheet3!$H$2:$O$200,AD$1,FALSE),IFERROR(VLOOKUP($F81,Sheet3!$H$2:$O$200,AD$1,FALSE),VLOOKUP($G81,Sheet3!$H$2:$O$200,AD$1,FALSE))),$I$1),$I$1)</f>
        <v>0</v>
      </c>
      <c r="AE81" s="15">
        <f>IFERROR(IF(ISBLANK(X81),IFERROR(VLOOKUP($F81,Sheet3!$H$2:$O$200,AE$1,FALSE),VLOOKUP($G81,Sheet3!$H$2:$O$200,AE$1,FALSE)),$I$1),$I$1)</f>
        <v>0</v>
      </c>
      <c r="AF81" s="15">
        <f>IFERROR(IF(ISBLANK(Y81),IFERROR(VLOOKUP($F81,Sheet3!$H$2:$O$200,AF$1,FALSE),VLOOKUP($G81,Sheet3!$H$2:$O$200,AF$1,FALSE)),$I$1),$I$1)</f>
        <v>0</v>
      </c>
      <c r="AG81" s="15">
        <f>IFERROR(IF(ISBLANK(Z81),IFERROR(VLOOKUP($F81,Sheet3!$H$2:$O$200,AG$1,FALSE),VLOOKUP($G81,Sheet3!$H$2:$O$200,AG$1,FALSE)),$I$1),$I$1)</f>
        <v>0</v>
      </c>
      <c r="AH81" s="15">
        <f>IFERROR(IF(ISBLANK(AA81),IFERROR(VLOOKUP($F81,Sheet3!$H$2:$O$200,AH$1,FALSE),VLOOKUP($G81,Sheet3!$H$2:$O$200,AH$1,FALSE)),$I$1),$I$1)</f>
        <v>0</v>
      </c>
      <c r="AI81" s="15">
        <f>IFERROR(IF(ISBLANK(AB81),IFERROR(VLOOKUP($F81,Sheet3!$H$2:$O$200,AI$1,FALSE),VLOOKUP($G81,Sheet3!$H$2:$O$200,AI$1,FALSE)),$I$1),$I$1)</f>
        <v>0</v>
      </c>
      <c r="AJ81" s="15">
        <f>IFERROR(IF(ISBLANK(AC81),IFERROR(VLOOKUP($F81,Sheet3!$H$2:$O$200,AJ$1,FALSE),VLOOKUP($G81,Sheet3!$H$2:$O$200,AJ$1,FALSE)),$I$1),$I$1)</f>
        <v>0</v>
      </c>
      <c r="AK81" s="15">
        <f>IFERROR(IF(ISBLANK(AD81),IFERROR(VLOOKUP($F81,Sheet3!$H$2:$O$200,AK$1,FALSE),VLOOKUP($G81,Sheet3!$H$2:$O$200,AK$1,FALSE)),$I$1),$I$1)</f>
        <v>0</v>
      </c>
      <c r="AL81" s="15">
        <f>IFERROR(IF(ISBLANK(AE81),VLOOKUP($G81,Sheet3!$H$2:$O$200,AL$1,FALSE),$I$1),$I$1)</f>
        <v>0</v>
      </c>
      <c r="AM81" s="15">
        <f>IFERROR(IF(ISBLANK(AF81),VLOOKUP($G81,Sheet3!$H$2:$O$200,AM$1,FALSE),$I$1),$I$1)</f>
        <v>0</v>
      </c>
      <c r="AN81" s="15">
        <f>IFERROR(IF(ISBLANK(AG81),VLOOKUP($G81,Sheet3!$H$2:$O$200,AN$1,FALSE),$I$1),$I$1)</f>
        <v>0</v>
      </c>
      <c r="AO81" s="15">
        <f>IFERROR(IF(ISBLANK(AH81),VLOOKUP($G81,Sheet3!$H$2:$O$200,AO$1,FALSE),$I$1),$I$1)</f>
        <v>0</v>
      </c>
      <c r="AP81" s="15">
        <f>IFERROR(IF(ISBLANK(AI81),VLOOKUP($G81,Sheet3!$H$2:$O$200,AP$1,FALSE),$I$1),$I$1)</f>
        <v>0</v>
      </c>
      <c r="AQ81" s="15">
        <f>IFERROR(IF(ISBLANK(AJ81),VLOOKUP($G81,Sheet3!$H$2:$O$200,AQ$1,FALSE),$I$1),$I$1)</f>
        <v>0</v>
      </c>
      <c r="AR81" s="15">
        <f>IFERROR(IF(ISBLANK(AK81),VLOOKUP($G81,Sheet3!$H$2:$O$200,AR$1,FALSE),$I$1),$I$1)</f>
        <v>0</v>
      </c>
      <c r="AS81" s="15">
        <f t="shared" si="1"/>
        <v>28</v>
      </c>
      <c r="AT81" s="15" t="b">
        <f t="shared" si="2"/>
        <v>0</v>
      </c>
    </row>
    <row r="82" spans="1:46" x14ac:dyDescent="0.2">
      <c r="A82" s="19" t="s">
        <v>193</v>
      </c>
      <c r="B82" s="19" t="s">
        <v>148</v>
      </c>
      <c r="C82" s="19" t="s">
        <v>57</v>
      </c>
      <c r="D82" s="19" t="s">
        <v>90</v>
      </c>
      <c r="E82" s="19"/>
      <c r="F82" s="19"/>
      <c r="G82" s="19"/>
      <c r="H82" s="19" t="s">
        <v>193</v>
      </c>
      <c r="I82" s="15">
        <f t="shared" si="0"/>
        <v>2</v>
      </c>
      <c r="J82" s="15">
        <f>IFERROR(VLOOKUP($C82,Sheet3!$H$2:$O$200,J$1,FALSE),IFERROR(VLOOKUP($D82,Sheet3!$H$2:$O$200,J$1,FALSE),VLOOKUP($E82,Sheet3!$H$2:$O$200,J$1,FALSE)))</f>
        <v>0</v>
      </c>
      <c r="K82" s="15">
        <f>IFERROR(VLOOKUP($C82,Sheet3!$H$2:$O$200,K$1,FALSE),IFERROR(VLOOKUP($D82,Sheet3!$H$2:$O$200,K$1,FALSE),VLOOKUP($E82,Sheet3!$H$2:$O$200,K$1,FALSE)))</f>
        <v>0</v>
      </c>
      <c r="L82" s="15">
        <f>IFERROR(VLOOKUP($C82,Sheet3!$H$2:$O$200,L$1,FALSE),IFERROR(VLOOKUP($D82,Sheet3!$H$2:$O$200,L$1,FALSE),VLOOKUP($E82,Sheet3!$H$2:$O$200,L$1,FALSE)))</f>
        <v>0</v>
      </c>
      <c r="M82" s="15" t="str">
        <f>IFERROR(VLOOKUP($C82,Sheet3!$H$2:$O$200,M$1,FALSE),IFERROR(VLOOKUP($D82,Sheet3!$H$2:$O$200,M$1,FALSE),VLOOKUP($E82,Sheet3!$H$2:$O$200,M$1,FALSE)))</f>
        <v>crème de noyau</v>
      </c>
      <c r="N82" s="15">
        <f>IFERROR(VLOOKUP($C82,Sheet3!$H$2:$O$200,N$1,FALSE),IFERROR(VLOOKUP($D82,Sheet3!$H$2:$O$200,N$1,FALSE),VLOOKUP($E82,Sheet3!$H$2:$O$200,N$1,FALSE)))</f>
        <v>0</v>
      </c>
      <c r="O82" s="15">
        <f>IFERROR(VLOOKUP($C82,Sheet3!$H$2:$O$200,O$1,FALSE),IFERROR(VLOOKUP($D82,Sheet3!$H$2:$O$200,O$1,FALSE),VLOOKUP($E82,Sheet3!$H$2:$O$200,O$1,FALSE)))</f>
        <v>0</v>
      </c>
      <c r="P82" s="15">
        <f>IFERROR(VLOOKUP($C82,Sheet3!$H$2:$O$200,P$1,FALSE),IFERROR(VLOOKUP($D82,Sheet3!$H$2:$O$200,P$1,FALSE),VLOOKUP($E82,Sheet3!$H$2:$O$200,P$1,FALSE)))</f>
        <v>0</v>
      </c>
      <c r="Q82" s="15">
        <f>IFERROR(IF(ISBLANK(J82),IFERROR(VLOOKUP($D82,Sheet3!$H$2:$O$200,Q$1,FALSE),IFERROR(VLOOKUP($E82,Sheet3!$H$2:$O$200,Q$1,FALSE),VLOOKUP($F82,Sheet3!$H$2:$O$200,Q$1,FALSE))),$I$1),$I$1)</f>
        <v>0</v>
      </c>
      <c r="R82" s="15">
        <f>IFERROR(IF(ISBLANK(K82),IFERROR(VLOOKUP($D82,Sheet3!$H$2:$O$200,R$1,FALSE),IFERROR(VLOOKUP($E82,Sheet3!$H$2:$O$200,R$1,FALSE),VLOOKUP($F82,Sheet3!$H$2:$O$200,R$1,FALSE))),$I$1),$I$1)</f>
        <v>0</v>
      </c>
      <c r="S82" s="15">
        <f>IFERROR(IF(ISBLANK(L82),IFERROR(VLOOKUP($D82,Sheet3!$H$2:$O$200,S$1,FALSE),IFERROR(VLOOKUP($E82,Sheet3!$H$2:$O$200,S$1,FALSE),VLOOKUP($F82,Sheet3!$H$2:$O$200,S$1,FALSE))),$I$1),$I$1)</f>
        <v>0</v>
      </c>
      <c r="T82" s="15">
        <f>IFERROR(IF(ISBLANK(M82),IFERROR(VLOOKUP($D82,Sheet3!$H$2:$O$200,T$1,FALSE),IFERROR(VLOOKUP($E82,Sheet3!$H$2:$O$200,T$1,FALSE),VLOOKUP($F82,Sheet3!$H$2:$O$200,T$1,FALSE))),$I$1),$I$1)</f>
        <v>0</v>
      </c>
      <c r="U82" s="15">
        <f>IFERROR(IF(ISBLANK(N82),IFERROR(VLOOKUP($D82,Sheet3!$H$2:$O$200,U$1,FALSE),IFERROR(VLOOKUP($E82,Sheet3!$H$2:$O$200,U$1,FALSE),VLOOKUP($F82,Sheet3!$H$2:$O$200,U$1,FALSE))),$I$1),$I$1)</f>
        <v>0</v>
      </c>
      <c r="V82" s="15">
        <f>IFERROR(IF(ISBLANK(O82),IFERROR(VLOOKUP($D82,Sheet3!$H$2:$O$200,V$1,FALSE),IFERROR(VLOOKUP($E82,Sheet3!$H$2:$O$200,V$1,FALSE),VLOOKUP($F82,Sheet3!$H$2:$O$200,V$1,FALSE))),$I$1),$I$1)</f>
        <v>0</v>
      </c>
      <c r="W82" s="15">
        <f>IFERROR(IF(ISBLANK(P82),IFERROR(VLOOKUP($D82,Sheet3!$H$2:$O$200,W$1,FALSE),IFERROR(VLOOKUP($E82,Sheet3!$H$2:$O$200,W$1,FALSE),VLOOKUP($F82,Sheet3!$H$2:$O$200,W$1,FALSE))),$I$1),$I$1)</f>
        <v>0</v>
      </c>
      <c r="X82" s="15">
        <f>IFERROR(IF(ISBLANK(Q82),IFERROR(VLOOKUP($E82,Sheet3!$H$2:$O$200,X$1,FALSE),IFERROR(VLOOKUP($F82,Sheet3!$H$2:$O$200,X$1,FALSE),VLOOKUP($G82,Sheet3!$H$2:$O$200,X$1,FALSE))),$I$1),$I$1)</f>
        <v>0</v>
      </c>
      <c r="Y82" s="15">
        <f>IFERROR(IF(ISBLANK(R82),IFERROR(VLOOKUP($E82,Sheet3!$H$2:$O$200,Y$1,FALSE),IFERROR(VLOOKUP($F82,Sheet3!$H$2:$O$200,Y$1,FALSE),VLOOKUP($G82,Sheet3!$H$2:$O$200,Y$1,FALSE))),$I$1),$I$1)</f>
        <v>0</v>
      </c>
      <c r="Z82" s="15">
        <f>IFERROR(IF(ISBLANK(S82),IFERROR(VLOOKUP($E82,Sheet3!$H$2:$O$200,Z$1,FALSE),IFERROR(VLOOKUP($F82,Sheet3!$H$2:$O$200,Z$1,FALSE),VLOOKUP($G82,Sheet3!$H$2:$O$200,Z$1,FALSE))),$I$1),$I$1)</f>
        <v>0</v>
      </c>
      <c r="AA82" s="15">
        <f>IFERROR(IF(ISBLANK(T82),IFERROR(VLOOKUP($E82,Sheet3!$H$2:$O$200,AA$1,FALSE),IFERROR(VLOOKUP($F82,Sheet3!$H$2:$O$200,AA$1,FALSE),VLOOKUP($G82,Sheet3!$H$2:$O$200,AA$1,FALSE))),$I$1),$I$1)</f>
        <v>0</v>
      </c>
      <c r="AB82" s="15">
        <f>IFERROR(IF(ISBLANK(U82),IFERROR(VLOOKUP($E82,Sheet3!$H$2:$O$200,AB$1,FALSE),IFERROR(VLOOKUP($F82,Sheet3!$H$2:$O$200,AB$1,FALSE),VLOOKUP($G82,Sheet3!$H$2:$O$200,AB$1,FALSE))),$I$1),$I$1)</f>
        <v>0</v>
      </c>
      <c r="AC82" s="15">
        <f>IFERROR(IF(ISBLANK(V82),IFERROR(VLOOKUP($E82,Sheet3!$H$2:$O$200,AC$1,FALSE),IFERROR(VLOOKUP($F82,Sheet3!$H$2:$O$200,AC$1,FALSE),VLOOKUP($G82,Sheet3!$H$2:$O$200,AC$1,FALSE))),$I$1),$I$1)</f>
        <v>0</v>
      </c>
      <c r="AD82" s="15">
        <f>IFERROR(IF(ISBLANK(W82),IFERROR(VLOOKUP($E82,Sheet3!$H$2:$O$200,AD$1,FALSE),IFERROR(VLOOKUP($F82,Sheet3!$H$2:$O$200,AD$1,FALSE),VLOOKUP($G82,Sheet3!$H$2:$O$200,AD$1,FALSE))),$I$1),$I$1)</f>
        <v>0</v>
      </c>
      <c r="AE82" s="15">
        <f>IFERROR(IF(ISBLANK(X82),IFERROR(VLOOKUP($F82,Sheet3!$H$2:$O$200,AE$1,FALSE),VLOOKUP($G82,Sheet3!$H$2:$O$200,AE$1,FALSE)),$I$1),$I$1)</f>
        <v>0</v>
      </c>
      <c r="AF82" s="15">
        <f>IFERROR(IF(ISBLANK(Y82),IFERROR(VLOOKUP($F82,Sheet3!$H$2:$O$200,AF$1,FALSE),VLOOKUP($G82,Sheet3!$H$2:$O$200,AF$1,FALSE)),$I$1),$I$1)</f>
        <v>0</v>
      </c>
      <c r="AG82" s="15">
        <f>IFERROR(IF(ISBLANK(Z82),IFERROR(VLOOKUP($F82,Sheet3!$H$2:$O$200,AG$1,FALSE),VLOOKUP($G82,Sheet3!$H$2:$O$200,AG$1,FALSE)),$I$1),$I$1)</f>
        <v>0</v>
      </c>
      <c r="AH82" s="15">
        <f>IFERROR(IF(ISBLANK(AA82),IFERROR(VLOOKUP($F82,Sheet3!$H$2:$O$200,AH$1,FALSE),VLOOKUP($G82,Sheet3!$H$2:$O$200,AH$1,FALSE)),$I$1),$I$1)</f>
        <v>0</v>
      </c>
      <c r="AI82" s="15">
        <f>IFERROR(IF(ISBLANK(AB82),IFERROR(VLOOKUP($F82,Sheet3!$H$2:$O$200,AI$1,FALSE),VLOOKUP($G82,Sheet3!$H$2:$O$200,AI$1,FALSE)),$I$1),$I$1)</f>
        <v>0</v>
      </c>
      <c r="AJ82" s="15">
        <f>IFERROR(IF(ISBLANK(AC82),IFERROR(VLOOKUP($F82,Sheet3!$H$2:$O$200,AJ$1,FALSE),VLOOKUP($G82,Sheet3!$H$2:$O$200,AJ$1,FALSE)),$I$1),$I$1)</f>
        <v>0</v>
      </c>
      <c r="AK82" s="15">
        <f>IFERROR(IF(ISBLANK(AD82),IFERROR(VLOOKUP($F82,Sheet3!$H$2:$O$200,AK$1,FALSE),VLOOKUP($G82,Sheet3!$H$2:$O$200,AK$1,FALSE)),$I$1),$I$1)</f>
        <v>0</v>
      </c>
      <c r="AL82" s="15">
        <f>IFERROR(IF(ISBLANK(AE82),VLOOKUP($G82,Sheet3!$H$2:$O$200,AL$1,FALSE),$I$1),$I$1)</f>
        <v>0</v>
      </c>
      <c r="AM82" s="15">
        <f>IFERROR(IF(ISBLANK(AF82),VLOOKUP($G82,Sheet3!$H$2:$O$200,AM$1,FALSE),$I$1),$I$1)</f>
        <v>0</v>
      </c>
      <c r="AN82" s="15">
        <f>IFERROR(IF(ISBLANK(AG82),VLOOKUP($G82,Sheet3!$H$2:$O$200,AN$1,FALSE),$I$1),$I$1)</f>
        <v>0</v>
      </c>
      <c r="AO82" s="15">
        <f>IFERROR(IF(ISBLANK(AH82),VLOOKUP($G82,Sheet3!$H$2:$O$200,AO$1,FALSE),$I$1),$I$1)</f>
        <v>0</v>
      </c>
      <c r="AP82" s="15">
        <f>IFERROR(IF(ISBLANK(AI82),VLOOKUP($G82,Sheet3!$H$2:$O$200,AP$1,FALSE),$I$1),$I$1)</f>
        <v>0</v>
      </c>
      <c r="AQ82" s="15">
        <f>IFERROR(IF(ISBLANK(AJ82),VLOOKUP($G82,Sheet3!$H$2:$O$200,AQ$1,FALSE),$I$1),$I$1)</f>
        <v>0</v>
      </c>
      <c r="AR82" s="15">
        <f>IFERROR(IF(ISBLANK(AK82),VLOOKUP($G82,Sheet3!$H$2:$O$200,AR$1,FALSE),$I$1),$I$1)</f>
        <v>0</v>
      </c>
      <c r="AS82" s="15">
        <f t="shared" si="1"/>
        <v>28</v>
      </c>
      <c r="AT82" s="15" t="b">
        <f t="shared" si="2"/>
        <v>0</v>
      </c>
    </row>
    <row r="83" spans="1:46" x14ac:dyDescent="0.2">
      <c r="A83" s="20" t="s">
        <v>194</v>
      </c>
      <c r="B83" s="20" t="s">
        <v>148</v>
      </c>
      <c r="C83" s="20" t="s">
        <v>195</v>
      </c>
      <c r="D83" s="20" t="s">
        <v>38</v>
      </c>
      <c r="E83" s="20" t="s">
        <v>86</v>
      </c>
      <c r="F83" s="20"/>
      <c r="G83" s="20"/>
      <c r="H83" s="20" t="s">
        <v>194</v>
      </c>
      <c r="I83" s="15">
        <f t="shared" si="0"/>
        <v>3</v>
      </c>
      <c r="J83" s="15">
        <f>IFERROR(VLOOKUP($C83,Sheet3!$H$2:$O$200,J$1,FALSE),IFERROR(VLOOKUP($D83,Sheet3!$H$2:$O$200,J$1,FALSE),VLOOKUP($E83,Sheet3!$H$2:$O$200,J$1,FALSE)))</f>
        <v>0</v>
      </c>
      <c r="K83" s="15" t="str">
        <f>IFERROR(VLOOKUP($C83,Sheet3!$H$2:$O$200,K$1,FALSE),IFERROR(VLOOKUP($D83,Sheet3!$H$2:$O$200,K$1,FALSE),VLOOKUP($E83,Sheet3!$H$2:$O$200,K$1,FALSE)))</f>
        <v>champagne</v>
      </c>
      <c r="L83" s="15">
        <f>IFERROR(VLOOKUP($C83,Sheet3!$H$2:$O$200,L$1,FALSE),IFERROR(VLOOKUP($D83,Sheet3!$H$2:$O$200,L$1,FALSE),VLOOKUP($E83,Sheet3!$H$2:$O$200,L$1,FALSE)))</f>
        <v>0</v>
      </c>
      <c r="M83" s="15">
        <f>IFERROR(VLOOKUP($C83,Sheet3!$H$2:$O$200,M$1,FALSE),IFERROR(VLOOKUP($D83,Sheet3!$H$2:$O$200,M$1,FALSE),VLOOKUP($E83,Sheet3!$H$2:$O$200,M$1,FALSE)))</f>
        <v>0</v>
      </c>
      <c r="N83" s="15">
        <f>IFERROR(VLOOKUP($C83,Sheet3!$H$2:$O$200,N$1,FALSE),IFERROR(VLOOKUP($D83,Sheet3!$H$2:$O$200,N$1,FALSE),VLOOKUP($E83,Sheet3!$H$2:$O$200,N$1,FALSE)))</f>
        <v>0</v>
      </c>
      <c r="O83" s="15">
        <f>IFERROR(VLOOKUP($C83,Sheet3!$H$2:$O$200,O$1,FALSE),IFERROR(VLOOKUP($D83,Sheet3!$H$2:$O$200,O$1,FALSE),VLOOKUP($E83,Sheet3!$H$2:$O$200,O$1,FALSE)))</f>
        <v>0</v>
      </c>
      <c r="P83" s="15">
        <f>IFERROR(VLOOKUP($C83,Sheet3!$H$2:$O$200,P$1,FALSE),IFERROR(VLOOKUP($D83,Sheet3!$H$2:$O$200,P$1,FALSE),VLOOKUP($E83,Sheet3!$H$2:$O$200,P$1,FALSE)))</f>
        <v>0</v>
      </c>
      <c r="Q83" s="15">
        <f>IFERROR(IF(ISBLANK(J83),IFERROR(VLOOKUP($D83,Sheet3!$H$2:$O$200,Q$1,FALSE),IFERROR(VLOOKUP($E83,Sheet3!$H$2:$O$200,Q$1,FALSE),VLOOKUP($F83,Sheet3!$H$2:$O$200,Q$1,FALSE))),$I$1),$I$1)</f>
        <v>0</v>
      </c>
      <c r="R83" s="15">
        <f>IFERROR(IF(ISBLANK(K83),IFERROR(VLOOKUP($D83,Sheet3!$H$2:$O$200,R$1,FALSE),IFERROR(VLOOKUP($E83,Sheet3!$H$2:$O$200,R$1,FALSE),VLOOKUP($F83,Sheet3!$H$2:$O$200,R$1,FALSE))),$I$1),$I$1)</f>
        <v>0</v>
      </c>
      <c r="S83" s="15">
        <f>IFERROR(IF(ISBLANK(L83),IFERROR(VLOOKUP($D83,Sheet3!$H$2:$O$200,S$1,FALSE),IFERROR(VLOOKUP($E83,Sheet3!$H$2:$O$200,S$1,FALSE),VLOOKUP($F83,Sheet3!$H$2:$O$200,S$1,FALSE))),$I$1),$I$1)</f>
        <v>0</v>
      </c>
      <c r="T83" s="15">
        <f>IFERROR(IF(ISBLANK(M83),IFERROR(VLOOKUP($D83,Sheet3!$H$2:$O$200,T$1,FALSE),IFERROR(VLOOKUP($E83,Sheet3!$H$2:$O$200,T$1,FALSE),VLOOKUP($F83,Sheet3!$H$2:$O$200,T$1,FALSE))),$I$1),$I$1)</f>
        <v>0</v>
      </c>
      <c r="U83" s="15">
        <f>IFERROR(IF(ISBLANK(N83),IFERROR(VLOOKUP($D83,Sheet3!$H$2:$O$200,U$1,FALSE),IFERROR(VLOOKUP($E83,Sheet3!$H$2:$O$200,U$1,FALSE),VLOOKUP($F83,Sheet3!$H$2:$O$200,U$1,FALSE))),$I$1),$I$1)</f>
        <v>0</v>
      </c>
      <c r="V83" s="15">
        <f>IFERROR(IF(ISBLANK(O83),IFERROR(VLOOKUP($D83,Sheet3!$H$2:$O$200,V$1,FALSE),IFERROR(VLOOKUP($E83,Sheet3!$H$2:$O$200,V$1,FALSE),VLOOKUP($F83,Sheet3!$H$2:$O$200,V$1,FALSE))),$I$1),$I$1)</f>
        <v>0</v>
      </c>
      <c r="W83" s="15">
        <f>IFERROR(IF(ISBLANK(P83),IFERROR(VLOOKUP($D83,Sheet3!$H$2:$O$200,W$1,FALSE),IFERROR(VLOOKUP($E83,Sheet3!$H$2:$O$200,W$1,FALSE),VLOOKUP($F83,Sheet3!$H$2:$O$200,W$1,FALSE))),$I$1),$I$1)</f>
        <v>0</v>
      </c>
      <c r="X83" s="15">
        <f>IFERROR(IF(ISBLANK(Q83),IFERROR(VLOOKUP($E83,Sheet3!$H$2:$O$200,X$1,FALSE),IFERROR(VLOOKUP($F83,Sheet3!$H$2:$O$200,X$1,FALSE),VLOOKUP($G83,Sheet3!$H$2:$O$200,X$1,FALSE))),$I$1),$I$1)</f>
        <v>0</v>
      </c>
      <c r="Y83" s="15">
        <f>IFERROR(IF(ISBLANK(R83),IFERROR(VLOOKUP($E83,Sheet3!$H$2:$O$200,Y$1,FALSE),IFERROR(VLOOKUP($F83,Sheet3!$H$2:$O$200,Y$1,FALSE),VLOOKUP($G83,Sheet3!$H$2:$O$200,Y$1,FALSE))),$I$1),$I$1)</f>
        <v>0</v>
      </c>
      <c r="Z83" s="15">
        <f>IFERROR(IF(ISBLANK(S83),IFERROR(VLOOKUP($E83,Sheet3!$H$2:$O$200,Z$1,FALSE),IFERROR(VLOOKUP($F83,Sheet3!$H$2:$O$200,Z$1,FALSE),VLOOKUP($G83,Sheet3!$H$2:$O$200,Z$1,FALSE))),$I$1),$I$1)</f>
        <v>0</v>
      </c>
      <c r="AA83" s="15">
        <f>IFERROR(IF(ISBLANK(T83),IFERROR(VLOOKUP($E83,Sheet3!$H$2:$O$200,AA$1,FALSE),IFERROR(VLOOKUP($F83,Sheet3!$H$2:$O$200,AA$1,FALSE),VLOOKUP($G83,Sheet3!$H$2:$O$200,AA$1,FALSE))),$I$1),$I$1)</f>
        <v>0</v>
      </c>
      <c r="AB83" s="15">
        <f>IFERROR(IF(ISBLANK(U83),IFERROR(VLOOKUP($E83,Sheet3!$H$2:$O$200,AB$1,FALSE),IFERROR(VLOOKUP($F83,Sheet3!$H$2:$O$200,AB$1,FALSE),VLOOKUP($G83,Sheet3!$H$2:$O$200,AB$1,FALSE))),$I$1),$I$1)</f>
        <v>0</v>
      </c>
      <c r="AC83" s="15">
        <f>IFERROR(IF(ISBLANK(V83),IFERROR(VLOOKUP($E83,Sheet3!$H$2:$O$200,AC$1,FALSE),IFERROR(VLOOKUP($F83,Sheet3!$H$2:$O$200,AC$1,FALSE),VLOOKUP($G83,Sheet3!$H$2:$O$200,AC$1,FALSE))),$I$1),$I$1)</f>
        <v>0</v>
      </c>
      <c r="AD83" s="15">
        <f>IFERROR(IF(ISBLANK(W83),IFERROR(VLOOKUP($E83,Sheet3!$H$2:$O$200,AD$1,FALSE),IFERROR(VLOOKUP($F83,Sheet3!$H$2:$O$200,AD$1,FALSE),VLOOKUP($G83,Sheet3!$H$2:$O$200,AD$1,FALSE))),$I$1),$I$1)</f>
        <v>0</v>
      </c>
      <c r="AE83" s="15">
        <f>IFERROR(IF(ISBLANK(X83),IFERROR(VLOOKUP($F83,Sheet3!$H$2:$O$200,AE$1,FALSE),VLOOKUP($G83,Sheet3!$H$2:$O$200,AE$1,FALSE)),$I$1),$I$1)</f>
        <v>0</v>
      </c>
      <c r="AF83" s="15">
        <f>IFERROR(IF(ISBLANK(Y83),IFERROR(VLOOKUP($F83,Sheet3!$H$2:$O$200,AF$1,FALSE),VLOOKUP($G83,Sheet3!$H$2:$O$200,AF$1,FALSE)),$I$1),$I$1)</f>
        <v>0</v>
      </c>
      <c r="AG83" s="15">
        <f>IFERROR(IF(ISBLANK(Z83),IFERROR(VLOOKUP($F83,Sheet3!$H$2:$O$200,AG$1,FALSE),VLOOKUP($G83,Sheet3!$H$2:$O$200,AG$1,FALSE)),$I$1),$I$1)</f>
        <v>0</v>
      </c>
      <c r="AH83" s="15">
        <f>IFERROR(IF(ISBLANK(AA83),IFERROR(VLOOKUP($F83,Sheet3!$H$2:$O$200,AH$1,FALSE),VLOOKUP($G83,Sheet3!$H$2:$O$200,AH$1,FALSE)),$I$1),$I$1)</f>
        <v>0</v>
      </c>
      <c r="AI83" s="15">
        <f>IFERROR(IF(ISBLANK(AB83),IFERROR(VLOOKUP($F83,Sheet3!$H$2:$O$200,AI$1,FALSE),VLOOKUP($G83,Sheet3!$H$2:$O$200,AI$1,FALSE)),$I$1),$I$1)</f>
        <v>0</v>
      </c>
      <c r="AJ83" s="15">
        <f>IFERROR(IF(ISBLANK(AC83),IFERROR(VLOOKUP($F83,Sheet3!$H$2:$O$200,AJ$1,FALSE),VLOOKUP($G83,Sheet3!$H$2:$O$200,AJ$1,FALSE)),$I$1),$I$1)</f>
        <v>0</v>
      </c>
      <c r="AK83" s="15">
        <f>IFERROR(IF(ISBLANK(AD83),IFERROR(VLOOKUP($F83,Sheet3!$H$2:$O$200,AK$1,FALSE),VLOOKUP($G83,Sheet3!$H$2:$O$200,AK$1,FALSE)),$I$1),$I$1)</f>
        <v>0</v>
      </c>
      <c r="AL83" s="15">
        <f>IFERROR(IF(ISBLANK(AE83),VLOOKUP($G83,Sheet3!$H$2:$O$200,AL$1,FALSE),$I$1),$I$1)</f>
        <v>0</v>
      </c>
      <c r="AM83" s="15">
        <f>IFERROR(IF(ISBLANK(AF83),VLOOKUP($G83,Sheet3!$H$2:$O$200,AM$1,FALSE),$I$1),$I$1)</f>
        <v>0</v>
      </c>
      <c r="AN83" s="15">
        <f>IFERROR(IF(ISBLANK(AG83),VLOOKUP($G83,Sheet3!$H$2:$O$200,AN$1,FALSE),$I$1),$I$1)</f>
        <v>0</v>
      </c>
      <c r="AO83" s="15">
        <f>IFERROR(IF(ISBLANK(AH83),VLOOKUP($G83,Sheet3!$H$2:$O$200,AO$1,FALSE),$I$1),$I$1)</f>
        <v>0</v>
      </c>
      <c r="AP83" s="15">
        <f>IFERROR(IF(ISBLANK(AI83),VLOOKUP($G83,Sheet3!$H$2:$O$200,AP$1,FALSE),$I$1),$I$1)</f>
        <v>0</v>
      </c>
      <c r="AQ83" s="15">
        <f>IFERROR(IF(ISBLANK(AJ83),VLOOKUP($G83,Sheet3!$H$2:$O$200,AQ$1,FALSE),$I$1),$I$1)</f>
        <v>0</v>
      </c>
      <c r="AR83" s="15">
        <f>IFERROR(IF(ISBLANK(AK83),VLOOKUP($G83,Sheet3!$H$2:$O$200,AR$1,FALSE),$I$1),$I$1)</f>
        <v>0</v>
      </c>
      <c r="AS83" s="15">
        <f t="shared" si="1"/>
        <v>28</v>
      </c>
      <c r="AT83" s="15" t="b">
        <f t="shared" si="2"/>
        <v>0</v>
      </c>
    </row>
    <row r="84" spans="1:46" x14ac:dyDescent="0.2">
      <c r="A84" s="19" t="s">
        <v>197</v>
      </c>
      <c r="B84" s="19" t="s">
        <v>198</v>
      </c>
      <c r="C84" s="19" t="s">
        <v>52</v>
      </c>
      <c r="D84" s="19"/>
      <c r="E84" s="19" t="s">
        <v>104</v>
      </c>
      <c r="F84" s="19"/>
      <c r="G84" s="19"/>
      <c r="H84" s="19" t="s">
        <v>197</v>
      </c>
      <c r="I84" s="15">
        <f t="shared" si="0"/>
        <v>2</v>
      </c>
      <c r="J84" s="15">
        <f>IFERROR(VLOOKUP($C84,Sheet3!$H$2:$O$200,J$1,FALSE),IFERROR(VLOOKUP($D84,Sheet3!$H$2:$O$200,J$1,FALSE),VLOOKUP($E84,Sheet3!$H$2:$O$200,J$1,FALSE)))</f>
        <v>0</v>
      </c>
      <c r="K84" s="15">
        <f>IFERROR(VLOOKUP($C84,Sheet3!$H$2:$O$200,K$1,FALSE),IFERROR(VLOOKUP($D84,Sheet3!$H$2:$O$200,K$1,FALSE),VLOOKUP($E84,Sheet3!$H$2:$O$200,K$1,FALSE)))</f>
        <v>0</v>
      </c>
      <c r="L84" s="15">
        <f>IFERROR(VLOOKUP($C84,Sheet3!$H$2:$O$200,L$1,FALSE),IFERROR(VLOOKUP($D84,Sheet3!$H$2:$O$200,L$1,FALSE),VLOOKUP($E84,Sheet3!$H$2:$O$200,L$1,FALSE)))</f>
        <v>0</v>
      </c>
      <c r="M84" s="15" t="str">
        <f>IFERROR(VLOOKUP($C84,Sheet3!$H$2:$O$200,M$1,FALSE),IFERROR(VLOOKUP($D84,Sheet3!$H$2:$O$200,M$1,FALSE),VLOOKUP($E84,Sheet3!$H$2:$O$200,M$1,FALSE)))</f>
        <v>dry vermouth</v>
      </c>
      <c r="N84" s="15">
        <f>IFERROR(VLOOKUP($C84,Sheet3!$H$2:$O$200,N$1,FALSE),IFERROR(VLOOKUP($D84,Sheet3!$H$2:$O$200,N$1,FALSE),VLOOKUP($E84,Sheet3!$H$2:$O$200,N$1,FALSE)))</f>
        <v>0</v>
      </c>
      <c r="O84" s="15">
        <f>IFERROR(VLOOKUP($C84,Sheet3!$H$2:$O$200,O$1,FALSE),IFERROR(VLOOKUP($D84,Sheet3!$H$2:$O$200,O$1,FALSE),VLOOKUP($E84,Sheet3!$H$2:$O$200,O$1,FALSE)))</f>
        <v>0</v>
      </c>
      <c r="P84" s="15">
        <f>IFERROR(VLOOKUP($C84,Sheet3!$H$2:$O$200,P$1,FALSE),IFERROR(VLOOKUP($D84,Sheet3!$H$2:$O$200,P$1,FALSE),VLOOKUP($E84,Sheet3!$H$2:$O$200,P$1,FALSE)))</f>
        <v>0</v>
      </c>
      <c r="Q84" s="15">
        <f>IFERROR(IF(ISBLANK(J84),IFERROR(VLOOKUP($D84,Sheet3!$H$2:$O$200,Q$1,FALSE),IFERROR(VLOOKUP($E84,Sheet3!$H$2:$O$200,Q$1,FALSE),VLOOKUP($F84,Sheet3!$H$2:$O$200,Q$1,FALSE))),$I$1),$I$1)</f>
        <v>0</v>
      </c>
      <c r="R84" s="15">
        <f>IFERROR(IF(ISBLANK(K84),IFERROR(VLOOKUP($D84,Sheet3!$H$2:$O$200,R$1,FALSE),IFERROR(VLOOKUP($E84,Sheet3!$H$2:$O$200,R$1,FALSE),VLOOKUP($F84,Sheet3!$H$2:$O$200,R$1,FALSE))),$I$1),$I$1)</f>
        <v>0</v>
      </c>
      <c r="S84" s="15">
        <f>IFERROR(IF(ISBLANK(L84),IFERROR(VLOOKUP($D84,Sheet3!$H$2:$O$200,S$1,FALSE),IFERROR(VLOOKUP($E84,Sheet3!$H$2:$O$200,S$1,FALSE),VLOOKUP($F84,Sheet3!$H$2:$O$200,S$1,FALSE))),$I$1),$I$1)</f>
        <v>0</v>
      </c>
      <c r="T84" s="15">
        <f>IFERROR(IF(ISBLANK(M84),IFERROR(VLOOKUP($D84,Sheet3!$H$2:$O$200,T$1,FALSE),IFERROR(VLOOKUP($E84,Sheet3!$H$2:$O$200,T$1,FALSE),VLOOKUP($F84,Sheet3!$H$2:$O$200,T$1,FALSE))),$I$1),$I$1)</f>
        <v>0</v>
      </c>
      <c r="U84" s="15">
        <f>IFERROR(IF(ISBLANK(N84),IFERROR(VLOOKUP($D84,Sheet3!$H$2:$O$200,U$1,FALSE),IFERROR(VLOOKUP($E84,Sheet3!$H$2:$O$200,U$1,FALSE),VLOOKUP($F84,Sheet3!$H$2:$O$200,U$1,FALSE))),$I$1),$I$1)</f>
        <v>0</v>
      </c>
      <c r="V84" s="15">
        <f>IFERROR(IF(ISBLANK(O84),IFERROR(VLOOKUP($D84,Sheet3!$H$2:$O$200,V$1,FALSE),IFERROR(VLOOKUP($E84,Sheet3!$H$2:$O$200,V$1,FALSE),VLOOKUP($F84,Sheet3!$H$2:$O$200,V$1,FALSE))),$I$1),$I$1)</f>
        <v>0</v>
      </c>
      <c r="W84" s="15">
        <f>IFERROR(IF(ISBLANK(P84),IFERROR(VLOOKUP($D84,Sheet3!$H$2:$O$200,W$1,FALSE),IFERROR(VLOOKUP($E84,Sheet3!$H$2:$O$200,W$1,FALSE),VLOOKUP($F84,Sheet3!$H$2:$O$200,W$1,FALSE))),$I$1),$I$1)</f>
        <v>0</v>
      </c>
      <c r="X84" s="15">
        <f>IFERROR(IF(ISBLANK(Q84),IFERROR(VLOOKUP($E84,Sheet3!$H$2:$O$200,X$1,FALSE),IFERROR(VLOOKUP($F84,Sheet3!$H$2:$O$200,X$1,FALSE),VLOOKUP($G84,Sheet3!$H$2:$O$200,X$1,FALSE))),$I$1),$I$1)</f>
        <v>0</v>
      </c>
      <c r="Y84" s="15">
        <f>IFERROR(IF(ISBLANK(R84),IFERROR(VLOOKUP($E84,Sheet3!$H$2:$O$200,Y$1,FALSE),IFERROR(VLOOKUP($F84,Sheet3!$H$2:$O$200,Y$1,FALSE),VLOOKUP($G84,Sheet3!$H$2:$O$200,Y$1,FALSE))),$I$1),$I$1)</f>
        <v>0</v>
      </c>
      <c r="Z84" s="15">
        <f>IFERROR(IF(ISBLANK(S84),IFERROR(VLOOKUP($E84,Sheet3!$H$2:$O$200,Z$1,FALSE),IFERROR(VLOOKUP($F84,Sheet3!$H$2:$O$200,Z$1,FALSE),VLOOKUP($G84,Sheet3!$H$2:$O$200,Z$1,FALSE))),$I$1),$I$1)</f>
        <v>0</v>
      </c>
      <c r="AA84" s="15">
        <f>IFERROR(IF(ISBLANK(T84),IFERROR(VLOOKUP($E84,Sheet3!$H$2:$O$200,AA$1,FALSE),IFERROR(VLOOKUP($F84,Sheet3!$H$2:$O$200,AA$1,FALSE),VLOOKUP($G84,Sheet3!$H$2:$O$200,AA$1,FALSE))),$I$1),$I$1)</f>
        <v>0</v>
      </c>
      <c r="AB84" s="15">
        <f>IFERROR(IF(ISBLANK(U84),IFERROR(VLOOKUP($E84,Sheet3!$H$2:$O$200,AB$1,FALSE),IFERROR(VLOOKUP($F84,Sheet3!$H$2:$O$200,AB$1,FALSE),VLOOKUP($G84,Sheet3!$H$2:$O$200,AB$1,FALSE))),$I$1),$I$1)</f>
        <v>0</v>
      </c>
      <c r="AC84" s="15">
        <f>IFERROR(IF(ISBLANK(V84),IFERROR(VLOOKUP($E84,Sheet3!$H$2:$O$200,AC$1,FALSE),IFERROR(VLOOKUP($F84,Sheet3!$H$2:$O$200,AC$1,FALSE),VLOOKUP($G84,Sheet3!$H$2:$O$200,AC$1,FALSE))),$I$1),$I$1)</f>
        <v>0</v>
      </c>
      <c r="AD84" s="15">
        <f>IFERROR(IF(ISBLANK(W84),IFERROR(VLOOKUP($E84,Sheet3!$H$2:$O$200,AD$1,FALSE),IFERROR(VLOOKUP($F84,Sheet3!$H$2:$O$200,AD$1,FALSE),VLOOKUP($G84,Sheet3!$H$2:$O$200,AD$1,FALSE))),$I$1),$I$1)</f>
        <v>0</v>
      </c>
      <c r="AE84" s="15">
        <f>IFERROR(IF(ISBLANK(X84),IFERROR(VLOOKUP($F84,Sheet3!$H$2:$O$200,AE$1,FALSE),VLOOKUP($G84,Sheet3!$H$2:$O$200,AE$1,FALSE)),$I$1),$I$1)</f>
        <v>0</v>
      </c>
      <c r="AF84" s="15">
        <f>IFERROR(IF(ISBLANK(Y84),IFERROR(VLOOKUP($F84,Sheet3!$H$2:$O$200,AF$1,FALSE),VLOOKUP($G84,Sheet3!$H$2:$O$200,AF$1,FALSE)),$I$1),$I$1)</f>
        <v>0</v>
      </c>
      <c r="AG84" s="15">
        <f>IFERROR(IF(ISBLANK(Z84),IFERROR(VLOOKUP($F84,Sheet3!$H$2:$O$200,AG$1,FALSE),VLOOKUP($G84,Sheet3!$H$2:$O$200,AG$1,FALSE)),$I$1),$I$1)</f>
        <v>0</v>
      </c>
      <c r="AH84" s="15">
        <f>IFERROR(IF(ISBLANK(AA84),IFERROR(VLOOKUP($F84,Sheet3!$H$2:$O$200,AH$1,FALSE),VLOOKUP($G84,Sheet3!$H$2:$O$200,AH$1,FALSE)),$I$1),$I$1)</f>
        <v>0</v>
      </c>
      <c r="AI84" s="15">
        <f>IFERROR(IF(ISBLANK(AB84),IFERROR(VLOOKUP($F84,Sheet3!$H$2:$O$200,AI$1,FALSE),VLOOKUP($G84,Sheet3!$H$2:$O$200,AI$1,FALSE)),$I$1),$I$1)</f>
        <v>0</v>
      </c>
      <c r="AJ84" s="15">
        <f>IFERROR(IF(ISBLANK(AC84),IFERROR(VLOOKUP($F84,Sheet3!$H$2:$O$200,AJ$1,FALSE),VLOOKUP($G84,Sheet3!$H$2:$O$200,AJ$1,FALSE)),$I$1),$I$1)</f>
        <v>0</v>
      </c>
      <c r="AK84" s="15">
        <f>IFERROR(IF(ISBLANK(AD84),IFERROR(VLOOKUP($F84,Sheet3!$H$2:$O$200,AK$1,FALSE),VLOOKUP($G84,Sheet3!$H$2:$O$200,AK$1,FALSE)),$I$1),$I$1)</f>
        <v>0</v>
      </c>
      <c r="AL84" s="15">
        <f>IFERROR(IF(ISBLANK(AE84),VLOOKUP($G84,Sheet3!$H$2:$O$200,AL$1,FALSE),$I$1),$I$1)</f>
        <v>0</v>
      </c>
      <c r="AM84" s="15">
        <f>IFERROR(IF(ISBLANK(AF84),VLOOKUP($G84,Sheet3!$H$2:$O$200,AM$1,FALSE),$I$1),$I$1)</f>
        <v>0</v>
      </c>
      <c r="AN84" s="15">
        <f>IFERROR(IF(ISBLANK(AG84),VLOOKUP($G84,Sheet3!$H$2:$O$200,AN$1,FALSE),$I$1),$I$1)</f>
        <v>0</v>
      </c>
      <c r="AO84" s="15">
        <f>IFERROR(IF(ISBLANK(AH84),VLOOKUP($G84,Sheet3!$H$2:$O$200,AO$1,FALSE),$I$1),$I$1)</f>
        <v>0</v>
      </c>
      <c r="AP84" s="15">
        <f>IFERROR(IF(ISBLANK(AI84),VLOOKUP($G84,Sheet3!$H$2:$O$200,AP$1,FALSE),$I$1),$I$1)</f>
        <v>0</v>
      </c>
      <c r="AQ84" s="15">
        <f>IFERROR(IF(ISBLANK(AJ84),VLOOKUP($G84,Sheet3!$H$2:$O$200,AQ$1,FALSE),$I$1),$I$1)</f>
        <v>0</v>
      </c>
      <c r="AR84" s="15">
        <f>IFERROR(IF(ISBLANK(AK84),VLOOKUP($G84,Sheet3!$H$2:$O$200,AR$1,FALSE),$I$1),$I$1)</f>
        <v>0</v>
      </c>
      <c r="AS84" s="15">
        <f t="shared" si="1"/>
        <v>28</v>
      </c>
      <c r="AT84" s="15" t="b">
        <f t="shared" si="2"/>
        <v>0</v>
      </c>
    </row>
    <row r="85" spans="1:46" x14ac:dyDescent="0.2">
      <c r="A85" s="19" t="s">
        <v>200</v>
      </c>
      <c r="B85" s="19" t="s">
        <v>198</v>
      </c>
      <c r="C85" s="19" t="s">
        <v>52</v>
      </c>
      <c r="D85" s="19" t="s">
        <v>126</v>
      </c>
      <c r="E85" s="18" t="s">
        <v>74</v>
      </c>
      <c r="F85" s="18" t="s">
        <v>201</v>
      </c>
      <c r="G85" s="19"/>
      <c r="H85" s="19" t="s">
        <v>200</v>
      </c>
      <c r="I85" s="15">
        <f t="shared" si="0"/>
        <v>4</v>
      </c>
      <c r="J85" s="15">
        <f>IFERROR(VLOOKUP($C85,Sheet3!$H$2:$O$200,J$1,FALSE),IFERROR(VLOOKUP($D85,Sheet3!$H$2:$O$200,J$1,FALSE),VLOOKUP($E85,Sheet3!$H$2:$O$200,J$1,FALSE)))</f>
        <v>0</v>
      </c>
      <c r="K85" s="15">
        <f>IFERROR(VLOOKUP($C85,Sheet3!$H$2:$O$200,K$1,FALSE),IFERROR(VLOOKUP($D85,Sheet3!$H$2:$O$200,K$1,FALSE),VLOOKUP($E85,Sheet3!$H$2:$O$200,K$1,FALSE)))</f>
        <v>0</v>
      </c>
      <c r="L85" s="15">
        <f>IFERROR(VLOOKUP($C85,Sheet3!$H$2:$O$200,L$1,FALSE),IFERROR(VLOOKUP($D85,Sheet3!$H$2:$O$200,L$1,FALSE),VLOOKUP($E85,Sheet3!$H$2:$O$200,L$1,FALSE)))</f>
        <v>0</v>
      </c>
      <c r="M85" s="15" t="str">
        <f>IFERROR(VLOOKUP($C85,Sheet3!$H$2:$O$200,M$1,FALSE),IFERROR(VLOOKUP($D85,Sheet3!$H$2:$O$200,M$1,FALSE),VLOOKUP($E85,Sheet3!$H$2:$O$200,M$1,FALSE)))</f>
        <v>dry vermouth</v>
      </c>
      <c r="N85" s="15">
        <f>IFERROR(VLOOKUP($C85,Sheet3!$H$2:$O$200,N$1,FALSE),IFERROR(VLOOKUP($D85,Sheet3!$H$2:$O$200,N$1,FALSE),VLOOKUP($E85,Sheet3!$H$2:$O$200,N$1,FALSE)))</f>
        <v>0</v>
      </c>
      <c r="O85" s="15">
        <f>IFERROR(VLOOKUP($C85,Sheet3!$H$2:$O$200,O$1,FALSE),IFERROR(VLOOKUP($D85,Sheet3!$H$2:$O$200,O$1,FALSE),VLOOKUP($E85,Sheet3!$H$2:$O$200,O$1,FALSE)))</f>
        <v>0</v>
      </c>
      <c r="P85" s="15">
        <f>IFERROR(VLOOKUP($C85,Sheet3!$H$2:$O$200,P$1,FALSE),IFERROR(VLOOKUP($D85,Sheet3!$H$2:$O$200,P$1,FALSE),VLOOKUP($E85,Sheet3!$H$2:$O$200,P$1,FALSE)))</f>
        <v>0</v>
      </c>
      <c r="Q85" s="15">
        <f>IFERROR(IF(ISBLANK(J85),IFERROR(VLOOKUP($D85,Sheet3!$H$2:$O$200,Q$1,FALSE),IFERROR(VLOOKUP($E85,Sheet3!$H$2:$O$200,Q$1,FALSE),VLOOKUP($F85,Sheet3!$H$2:$O$200,Q$1,FALSE))),$I$1),$I$1)</f>
        <v>0</v>
      </c>
      <c r="R85" s="15">
        <f>IFERROR(IF(ISBLANK(K85),IFERROR(VLOOKUP($D85,Sheet3!$H$2:$O$200,R$1,FALSE),IFERROR(VLOOKUP($E85,Sheet3!$H$2:$O$200,R$1,FALSE),VLOOKUP($F85,Sheet3!$H$2:$O$200,R$1,FALSE))),$I$1),$I$1)</f>
        <v>0</v>
      </c>
      <c r="S85" s="15">
        <f>IFERROR(IF(ISBLANK(L85),IFERROR(VLOOKUP($D85,Sheet3!$H$2:$O$200,S$1,FALSE),IFERROR(VLOOKUP($E85,Sheet3!$H$2:$O$200,S$1,FALSE),VLOOKUP($F85,Sheet3!$H$2:$O$200,S$1,FALSE))),$I$1),$I$1)</f>
        <v>0</v>
      </c>
      <c r="T85" s="15">
        <f>IFERROR(IF(ISBLANK(M85),IFERROR(VLOOKUP($D85,Sheet3!$H$2:$O$200,T$1,FALSE),IFERROR(VLOOKUP($E85,Sheet3!$H$2:$O$200,T$1,FALSE),VLOOKUP($F85,Sheet3!$H$2:$O$200,T$1,FALSE))),$I$1),$I$1)</f>
        <v>0</v>
      </c>
      <c r="U85" s="15">
        <f>IFERROR(IF(ISBLANK(N85),IFERROR(VLOOKUP($D85,Sheet3!$H$2:$O$200,U$1,FALSE),IFERROR(VLOOKUP($E85,Sheet3!$H$2:$O$200,U$1,FALSE),VLOOKUP($F85,Sheet3!$H$2:$O$200,U$1,FALSE))),$I$1),$I$1)</f>
        <v>0</v>
      </c>
      <c r="V85" s="15">
        <f>IFERROR(IF(ISBLANK(O85),IFERROR(VLOOKUP($D85,Sheet3!$H$2:$O$200,V$1,FALSE),IFERROR(VLOOKUP($E85,Sheet3!$H$2:$O$200,V$1,FALSE),VLOOKUP($F85,Sheet3!$H$2:$O$200,V$1,FALSE))),$I$1),$I$1)</f>
        <v>0</v>
      </c>
      <c r="W85" s="15">
        <f>IFERROR(IF(ISBLANK(P85),IFERROR(VLOOKUP($D85,Sheet3!$H$2:$O$200,W$1,FALSE),IFERROR(VLOOKUP($E85,Sheet3!$H$2:$O$200,W$1,FALSE),VLOOKUP($F85,Sheet3!$H$2:$O$200,W$1,FALSE))),$I$1),$I$1)</f>
        <v>0</v>
      </c>
      <c r="X85" s="15">
        <f>IFERROR(IF(ISBLANK(Q85),IFERROR(VLOOKUP($E85,Sheet3!$H$2:$O$200,X$1,FALSE),IFERROR(VLOOKUP($F85,Sheet3!$H$2:$O$200,X$1,FALSE),VLOOKUP($G85,Sheet3!$H$2:$O$200,X$1,FALSE))),$I$1),$I$1)</f>
        <v>0</v>
      </c>
      <c r="Y85" s="15">
        <f>IFERROR(IF(ISBLANK(R85),IFERROR(VLOOKUP($E85,Sheet3!$H$2:$O$200,Y$1,FALSE),IFERROR(VLOOKUP($F85,Sheet3!$H$2:$O$200,Y$1,FALSE),VLOOKUP($G85,Sheet3!$H$2:$O$200,Y$1,FALSE))),$I$1),$I$1)</f>
        <v>0</v>
      </c>
      <c r="Z85" s="15">
        <f>IFERROR(IF(ISBLANK(S85),IFERROR(VLOOKUP($E85,Sheet3!$H$2:$O$200,Z$1,FALSE),IFERROR(VLOOKUP($F85,Sheet3!$H$2:$O$200,Z$1,FALSE),VLOOKUP($G85,Sheet3!$H$2:$O$200,Z$1,FALSE))),$I$1),$I$1)</f>
        <v>0</v>
      </c>
      <c r="AA85" s="15">
        <f>IFERROR(IF(ISBLANK(T85),IFERROR(VLOOKUP($E85,Sheet3!$H$2:$O$200,AA$1,FALSE),IFERROR(VLOOKUP($F85,Sheet3!$H$2:$O$200,AA$1,FALSE),VLOOKUP($G85,Sheet3!$H$2:$O$200,AA$1,FALSE))),$I$1),$I$1)</f>
        <v>0</v>
      </c>
      <c r="AB85" s="15">
        <f>IFERROR(IF(ISBLANK(U85),IFERROR(VLOOKUP($E85,Sheet3!$H$2:$O$200,AB$1,FALSE),IFERROR(VLOOKUP($F85,Sheet3!$H$2:$O$200,AB$1,FALSE),VLOOKUP($G85,Sheet3!$H$2:$O$200,AB$1,FALSE))),$I$1),$I$1)</f>
        <v>0</v>
      </c>
      <c r="AC85" s="15">
        <f>IFERROR(IF(ISBLANK(V85),IFERROR(VLOOKUP($E85,Sheet3!$H$2:$O$200,AC$1,FALSE),IFERROR(VLOOKUP($F85,Sheet3!$H$2:$O$200,AC$1,FALSE),VLOOKUP($G85,Sheet3!$H$2:$O$200,AC$1,FALSE))),$I$1),$I$1)</f>
        <v>0</v>
      </c>
      <c r="AD85" s="15">
        <f>IFERROR(IF(ISBLANK(W85),IFERROR(VLOOKUP($E85,Sheet3!$H$2:$O$200,AD$1,FALSE),IFERROR(VLOOKUP($F85,Sheet3!$H$2:$O$200,AD$1,FALSE),VLOOKUP($G85,Sheet3!$H$2:$O$200,AD$1,FALSE))),$I$1),$I$1)</f>
        <v>0</v>
      </c>
      <c r="AE85" s="15">
        <f>IFERROR(IF(ISBLANK(X85),IFERROR(VLOOKUP($F85,Sheet3!$H$2:$O$200,AE$1,FALSE),VLOOKUP($G85,Sheet3!$H$2:$O$200,AE$1,FALSE)),$I$1),$I$1)</f>
        <v>0</v>
      </c>
      <c r="AF85" s="15">
        <f>IFERROR(IF(ISBLANK(Y85),IFERROR(VLOOKUP($F85,Sheet3!$H$2:$O$200,AF$1,FALSE),VLOOKUP($G85,Sheet3!$H$2:$O$200,AF$1,FALSE)),$I$1),$I$1)</f>
        <v>0</v>
      </c>
      <c r="AG85" s="15">
        <f>IFERROR(IF(ISBLANK(Z85),IFERROR(VLOOKUP($F85,Sheet3!$H$2:$O$200,AG$1,FALSE),VLOOKUP($G85,Sheet3!$H$2:$O$200,AG$1,FALSE)),$I$1),$I$1)</f>
        <v>0</v>
      </c>
      <c r="AH85" s="15">
        <f>IFERROR(IF(ISBLANK(AA85),IFERROR(VLOOKUP($F85,Sheet3!$H$2:$O$200,AH$1,FALSE),VLOOKUP($G85,Sheet3!$H$2:$O$200,AH$1,FALSE)),$I$1),$I$1)</f>
        <v>0</v>
      </c>
      <c r="AI85" s="15">
        <f>IFERROR(IF(ISBLANK(AB85),IFERROR(VLOOKUP($F85,Sheet3!$H$2:$O$200,AI$1,FALSE),VLOOKUP($G85,Sheet3!$H$2:$O$200,AI$1,FALSE)),$I$1),$I$1)</f>
        <v>0</v>
      </c>
      <c r="AJ85" s="15">
        <f>IFERROR(IF(ISBLANK(AC85),IFERROR(VLOOKUP($F85,Sheet3!$H$2:$O$200,AJ$1,FALSE),VLOOKUP($G85,Sheet3!$H$2:$O$200,AJ$1,FALSE)),$I$1),$I$1)</f>
        <v>0</v>
      </c>
      <c r="AK85" s="15">
        <f>IFERROR(IF(ISBLANK(AD85),IFERROR(VLOOKUP($F85,Sheet3!$H$2:$O$200,AK$1,FALSE),VLOOKUP($G85,Sheet3!$H$2:$O$200,AK$1,FALSE)),$I$1),$I$1)</f>
        <v>0</v>
      </c>
      <c r="AL85" s="15">
        <f>IFERROR(IF(ISBLANK(AE85),VLOOKUP($G85,Sheet3!$H$2:$O$200,AL$1,FALSE),$I$1),$I$1)</f>
        <v>0</v>
      </c>
      <c r="AM85" s="15">
        <f>IFERROR(IF(ISBLANK(AF85),VLOOKUP($G85,Sheet3!$H$2:$O$200,AM$1,FALSE),$I$1),$I$1)</f>
        <v>0</v>
      </c>
      <c r="AN85" s="15">
        <f>IFERROR(IF(ISBLANK(AG85),VLOOKUP($G85,Sheet3!$H$2:$O$200,AN$1,FALSE),$I$1),$I$1)</f>
        <v>0</v>
      </c>
      <c r="AO85" s="15">
        <f>IFERROR(IF(ISBLANK(AH85),VLOOKUP($G85,Sheet3!$H$2:$O$200,AO$1,FALSE),$I$1),$I$1)</f>
        <v>0</v>
      </c>
      <c r="AP85" s="15">
        <f>IFERROR(IF(ISBLANK(AI85),VLOOKUP($G85,Sheet3!$H$2:$O$200,AP$1,FALSE),$I$1),$I$1)</f>
        <v>0</v>
      </c>
      <c r="AQ85" s="15">
        <f>IFERROR(IF(ISBLANK(AJ85),VLOOKUP($G85,Sheet3!$H$2:$O$200,AQ$1,FALSE),$I$1),$I$1)</f>
        <v>0</v>
      </c>
      <c r="AR85" s="15">
        <f>IFERROR(IF(ISBLANK(AK85),VLOOKUP($G85,Sheet3!$H$2:$O$200,AR$1,FALSE),$I$1),$I$1)</f>
        <v>0</v>
      </c>
      <c r="AS85" s="15">
        <f t="shared" si="1"/>
        <v>28</v>
      </c>
      <c r="AT85" s="15" t="b">
        <f t="shared" si="2"/>
        <v>0</v>
      </c>
    </row>
    <row r="86" spans="1:46" x14ac:dyDescent="0.2">
      <c r="A86" s="19" t="s">
        <v>202</v>
      </c>
      <c r="B86" s="19" t="s">
        <v>198</v>
      </c>
      <c r="C86" s="19" t="s">
        <v>178</v>
      </c>
      <c r="D86" s="19" t="s">
        <v>126</v>
      </c>
      <c r="E86" s="19" t="s">
        <v>66</v>
      </c>
      <c r="F86" s="19"/>
      <c r="G86" s="19"/>
      <c r="H86" s="19" t="s">
        <v>202</v>
      </c>
      <c r="I86" s="15">
        <f t="shared" si="0"/>
        <v>3</v>
      </c>
      <c r="J86" s="15">
        <f>IFERROR(VLOOKUP($C86,Sheet3!$H$2:$O$200,J$1,FALSE),IFERROR(VLOOKUP($D86,Sheet3!$H$2:$O$200,J$1,FALSE),VLOOKUP($E86,Sheet3!$H$2:$O$200,J$1,FALSE)))</f>
        <v>0</v>
      </c>
      <c r="K86" s="15">
        <f>IFERROR(VLOOKUP($C86,Sheet3!$H$2:$O$200,K$1,FALSE),IFERROR(VLOOKUP($D86,Sheet3!$H$2:$O$200,K$1,FALSE),VLOOKUP($E86,Sheet3!$H$2:$O$200,K$1,FALSE)))</f>
        <v>0</v>
      </c>
      <c r="L86" s="15">
        <f>IFERROR(VLOOKUP($C86,Sheet3!$H$2:$O$200,L$1,FALSE),IFERROR(VLOOKUP($D86,Sheet3!$H$2:$O$200,L$1,FALSE),VLOOKUP($E86,Sheet3!$H$2:$O$200,L$1,FALSE)))</f>
        <v>0</v>
      </c>
      <c r="M86" s="15" t="str">
        <f>IFERROR(VLOOKUP($C86,Sheet3!$H$2:$O$200,M$1,FALSE),IFERROR(VLOOKUP($D86,Sheet3!$H$2:$O$200,M$1,FALSE),VLOOKUP($E86,Sheet3!$H$2:$O$200,M$1,FALSE)))</f>
        <v>Lillet</v>
      </c>
      <c r="N86" s="15">
        <f>IFERROR(VLOOKUP($C86,Sheet3!$H$2:$O$200,N$1,FALSE),IFERROR(VLOOKUP($D86,Sheet3!$H$2:$O$200,N$1,FALSE),VLOOKUP($E86,Sheet3!$H$2:$O$200,N$1,FALSE)))</f>
        <v>0</v>
      </c>
      <c r="O86" s="15">
        <f>IFERROR(VLOOKUP($C86,Sheet3!$H$2:$O$200,O$1,FALSE),IFERROR(VLOOKUP($D86,Sheet3!$H$2:$O$200,O$1,FALSE),VLOOKUP($E86,Sheet3!$H$2:$O$200,O$1,FALSE)))</f>
        <v>0</v>
      </c>
      <c r="P86" s="15">
        <f>IFERROR(VLOOKUP($C86,Sheet3!$H$2:$O$200,P$1,FALSE),IFERROR(VLOOKUP($D86,Sheet3!$H$2:$O$200,P$1,FALSE),VLOOKUP($E86,Sheet3!$H$2:$O$200,P$1,FALSE)))</f>
        <v>0</v>
      </c>
      <c r="Q86" s="15">
        <f>IFERROR(IF(ISBLANK(J86),IFERROR(VLOOKUP($D86,Sheet3!$H$2:$O$200,Q$1,FALSE),IFERROR(VLOOKUP($E86,Sheet3!$H$2:$O$200,Q$1,FALSE),VLOOKUP($F86,Sheet3!$H$2:$O$200,Q$1,FALSE))),$I$1),$I$1)</f>
        <v>0</v>
      </c>
      <c r="R86" s="15">
        <f>IFERROR(IF(ISBLANK(K86),IFERROR(VLOOKUP($D86,Sheet3!$H$2:$O$200,R$1,FALSE),IFERROR(VLOOKUP($E86,Sheet3!$H$2:$O$200,R$1,FALSE),VLOOKUP($F86,Sheet3!$H$2:$O$200,R$1,FALSE))),$I$1),$I$1)</f>
        <v>0</v>
      </c>
      <c r="S86" s="15">
        <f>IFERROR(IF(ISBLANK(L86),IFERROR(VLOOKUP($D86,Sheet3!$H$2:$O$200,S$1,FALSE),IFERROR(VLOOKUP($E86,Sheet3!$H$2:$O$200,S$1,FALSE),VLOOKUP($F86,Sheet3!$H$2:$O$200,S$1,FALSE))),$I$1),$I$1)</f>
        <v>0</v>
      </c>
      <c r="T86" s="15">
        <f>IFERROR(IF(ISBLANK(M86),IFERROR(VLOOKUP($D86,Sheet3!$H$2:$O$200,T$1,FALSE),IFERROR(VLOOKUP($E86,Sheet3!$H$2:$O$200,T$1,FALSE),VLOOKUP($F86,Sheet3!$H$2:$O$200,T$1,FALSE))),$I$1),$I$1)</f>
        <v>0</v>
      </c>
      <c r="U86" s="15">
        <f>IFERROR(IF(ISBLANK(N86),IFERROR(VLOOKUP($D86,Sheet3!$H$2:$O$200,U$1,FALSE),IFERROR(VLOOKUP($E86,Sheet3!$H$2:$O$200,U$1,FALSE),VLOOKUP($F86,Sheet3!$H$2:$O$200,U$1,FALSE))),$I$1),$I$1)</f>
        <v>0</v>
      </c>
      <c r="V86" s="15">
        <f>IFERROR(IF(ISBLANK(O86),IFERROR(VLOOKUP($D86,Sheet3!$H$2:$O$200,V$1,FALSE),IFERROR(VLOOKUP($E86,Sheet3!$H$2:$O$200,V$1,FALSE),VLOOKUP($F86,Sheet3!$H$2:$O$200,V$1,FALSE))),$I$1),$I$1)</f>
        <v>0</v>
      </c>
      <c r="W86" s="15">
        <f>IFERROR(IF(ISBLANK(P86),IFERROR(VLOOKUP($D86,Sheet3!$H$2:$O$200,W$1,FALSE),IFERROR(VLOOKUP($E86,Sheet3!$H$2:$O$200,W$1,FALSE),VLOOKUP($F86,Sheet3!$H$2:$O$200,W$1,FALSE))),$I$1),$I$1)</f>
        <v>0</v>
      </c>
      <c r="X86" s="15">
        <f>IFERROR(IF(ISBLANK(Q86),IFERROR(VLOOKUP($E86,Sheet3!$H$2:$O$200,X$1,FALSE),IFERROR(VLOOKUP($F86,Sheet3!$H$2:$O$200,X$1,FALSE),VLOOKUP($G86,Sheet3!$H$2:$O$200,X$1,FALSE))),$I$1),$I$1)</f>
        <v>0</v>
      </c>
      <c r="Y86" s="15">
        <f>IFERROR(IF(ISBLANK(R86),IFERROR(VLOOKUP($E86,Sheet3!$H$2:$O$200,Y$1,FALSE),IFERROR(VLOOKUP($F86,Sheet3!$H$2:$O$200,Y$1,FALSE),VLOOKUP($G86,Sheet3!$H$2:$O$200,Y$1,FALSE))),$I$1),$I$1)</f>
        <v>0</v>
      </c>
      <c r="Z86" s="15">
        <f>IFERROR(IF(ISBLANK(S86),IFERROR(VLOOKUP($E86,Sheet3!$H$2:$O$200,Z$1,FALSE),IFERROR(VLOOKUP($F86,Sheet3!$H$2:$O$200,Z$1,FALSE),VLOOKUP($G86,Sheet3!$H$2:$O$200,Z$1,FALSE))),$I$1),$I$1)</f>
        <v>0</v>
      </c>
      <c r="AA86" s="15">
        <f>IFERROR(IF(ISBLANK(T86),IFERROR(VLOOKUP($E86,Sheet3!$H$2:$O$200,AA$1,FALSE),IFERROR(VLOOKUP($F86,Sheet3!$H$2:$O$200,AA$1,FALSE),VLOOKUP($G86,Sheet3!$H$2:$O$200,AA$1,FALSE))),$I$1),$I$1)</f>
        <v>0</v>
      </c>
      <c r="AB86" s="15">
        <f>IFERROR(IF(ISBLANK(U86),IFERROR(VLOOKUP($E86,Sheet3!$H$2:$O$200,AB$1,FALSE),IFERROR(VLOOKUP($F86,Sheet3!$H$2:$O$200,AB$1,FALSE),VLOOKUP($G86,Sheet3!$H$2:$O$200,AB$1,FALSE))),$I$1),$I$1)</f>
        <v>0</v>
      </c>
      <c r="AC86" s="15">
        <f>IFERROR(IF(ISBLANK(V86),IFERROR(VLOOKUP($E86,Sheet3!$H$2:$O$200,AC$1,FALSE),IFERROR(VLOOKUP($F86,Sheet3!$H$2:$O$200,AC$1,FALSE),VLOOKUP($G86,Sheet3!$H$2:$O$200,AC$1,FALSE))),$I$1),$I$1)</f>
        <v>0</v>
      </c>
      <c r="AD86" s="15">
        <f>IFERROR(IF(ISBLANK(W86),IFERROR(VLOOKUP($E86,Sheet3!$H$2:$O$200,AD$1,FALSE),IFERROR(VLOOKUP($F86,Sheet3!$H$2:$O$200,AD$1,FALSE),VLOOKUP($G86,Sheet3!$H$2:$O$200,AD$1,FALSE))),$I$1),$I$1)</f>
        <v>0</v>
      </c>
      <c r="AE86" s="15">
        <f>IFERROR(IF(ISBLANK(X86),IFERROR(VLOOKUP($F86,Sheet3!$H$2:$O$200,AE$1,FALSE),VLOOKUP($G86,Sheet3!$H$2:$O$200,AE$1,FALSE)),$I$1),$I$1)</f>
        <v>0</v>
      </c>
      <c r="AF86" s="15">
        <f>IFERROR(IF(ISBLANK(Y86),IFERROR(VLOOKUP($F86,Sheet3!$H$2:$O$200,AF$1,FALSE),VLOOKUP($G86,Sheet3!$H$2:$O$200,AF$1,FALSE)),$I$1),$I$1)</f>
        <v>0</v>
      </c>
      <c r="AG86" s="15">
        <f>IFERROR(IF(ISBLANK(Z86),IFERROR(VLOOKUP($F86,Sheet3!$H$2:$O$200,AG$1,FALSE),VLOOKUP($G86,Sheet3!$H$2:$O$200,AG$1,FALSE)),$I$1),$I$1)</f>
        <v>0</v>
      </c>
      <c r="AH86" s="15">
        <f>IFERROR(IF(ISBLANK(AA86),IFERROR(VLOOKUP($F86,Sheet3!$H$2:$O$200,AH$1,FALSE),VLOOKUP($G86,Sheet3!$H$2:$O$200,AH$1,FALSE)),$I$1),$I$1)</f>
        <v>0</v>
      </c>
      <c r="AI86" s="15">
        <f>IFERROR(IF(ISBLANK(AB86),IFERROR(VLOOKUP($F86,Sheet3!$H$2:$O$200,AI$1,FALSE),VLOOKUP($G86,Sheet3!$H$2:$O$200,AI$1,FALSE)),$I$1),$I$1)</f>
        <v>0</v>
      </c>
      <c r="AJ86" s="15">
        <f>IFERROR(IF(ISBLANK(AC86),IFERROR(VLOOKUP($F86,Sheet3!$H$2:$O$200,AJ$1,FALSE),VLOOKUP($G86,Sheet3!$H$2:$O$200,AJ$1,FALSE)),$I$1),$I$1)</f>
        <v>0</v>
      </c>
      <c r="AK86" s="15">
        <f>IFERROR(IF(ISBLANK(AD86),IFERROR(VLOOKUP($F86,Sheet3!$H$2:$O$200,AK$1,FALSE),VLOOKUP($G86,Sheet3!$H$2:$O$200,AK$1,FALSE)),$I$1),$I$1)</f>
        <v>0</v>
      </c>
      <c r="AL86" s="15">
        <f>IFERROR(IF(ISBLANK(AE86),VLOOKUP($G86,Sheet3!$H$2:$O$200,AL$1,FALSE),$I$1),$I$1)</f>
        <v>0</v>
      </c>
      <c r="AM86" s="15">
        <f>IFERROR(IF(ISBLANK(AF86),VLOOKUP($G86,Sheet3!$H$2:$O$200,AM$1,FALSE),$I$1),$I$1)</f>
        <v>0</v>
      </c>
      <c r="AN86" s="15">
        <f>IFERROR(IF(ISBLANK(AG86),VLOOKUP($G86,Sheet3!$H$2:$O$200,AN$1,FALSE),$I$1),$I$1)</f>
        <v>0</v>
      </c>
      <c r="AO86" s="15">
        <f>IFERROR(IF(ISBLANK(AH86),VLOOKUP($G86,Sheet3!$H$2:$O$200,AO$1,FALSE),$I$1),$I$1)</f>
        <v>0</v>
      </c>
      <c r="AP86" s="15">
        <f>IFERROR(IF(ISBLANK(AI86),VLOOKUP($G86,Sheet3!$H$2:$O$200,AP$1,FALSE),$I$1),$I$1)</f>
        <v>0</v>
      </c>
      <c r="AQ86" s="15">
        <f>IFERROR(IF(ISBLANK(AJ86),VLOOKUP($G86,Sheet3!$H$2:$O$200,AQ$1,FALSE),$I$1),$I$1)</f>
        <v>0</v>
      </c>
      <c r="AR86" s="15">
        <f>IFERROR(IF(ISBLANK(AK86),VLOOKUP($G86,Sheet3!$H$2:$O$200,AR$1,FALSE),$I$1),$I$1)</f>
        <v>0</v>
      </c>
      <c r="AS86" s="15">
        <f t="shared" si="1"/>
        <v>28</v>
      </c>
      <c r="AT86" s="15" t="b">
        <f t="shared" si="2"/>
        <v>0</v>
      </c>
    </row>
    <row r="87" spans="1:46" x14ac:dyDescent="0.2">
      <c r="A87" s="19" t="s">
        <v>203</v>
      </c>
      <c r="B87" s="19" t="s">
        <v>198</v>
      </c>
      <c r="C87" s="19" t="s">
        <v>204</v>
      </c>
      <c r="D87" s="19" t="s">
        <v>126</v>
      </c>
      <c r="E87" s="19" t="s">
        <v>74</v>
      </c>
      <c r="F87" s="19"/>
      <c r="G87" s="19"/>
      <c r="H87" s="19" t="s">
        <v>203</v>
      </c>
      <c r="I87" s="15">
        <f t="shared" si="0"/>
        <v>3</v>
      </c>
      <c r="J87" s="15">
        <f>IFERROR(VLOOKUP($C87,Sheet3!$H$2:$O$200,J$1,FALSE),IFERROR(VLOOKUP($D87,Sheet3!$H$2:$O$200,J$1,FALSE),VLOOKUP($E87,Sheet3!$H$2:$O$200,J$1,FALSE)))</f>
        <v>0</v>
      </c>
      <c r="K87" s="15">
        <f>IFERROR(VLOOKUP($C87,Sheet3!$H$2:$O$200,K$1,FALSE),IFERROR(VLOOKUP($D87,Sheet3!$H$2:$O$200,K$1,FALSE),VLOOKUP($E87,Sheet3!$H$2:$O$200,K$1,FALSE)))</f>
        <v>0</v>
      </c>
      <c r="L87" s="15">
        <f>IFERROR(VLOOKUP($C87,Sheet3!$H$2:$O$200,L$1,FALSE),IFERROR(VLOOKUP($D87,Sheet3!$H$2:$O$200,L$1,FALSE),VLOOKUP($E87,Sheet3!$H$2:$O$200,L$1,FALSE)))</f>
        <v>0</v>
      </c>
      <c r="M87" s="15" t="str">
        <f>IFERROR(VLOOKUP($C87,Sheet3!$H$2:$O$200,M$1,FALSE),IFERROR(VLOOKUP($D87,Sheet3!$H$2:$O$200,M$1,FALSE),VLOOKUP($E87,Sheet3!$H$2:$O$200,M$1,FALSE)))</f>
        <v>dry vermouth</v>
      </c>
      <c r="N87" s="15">
        <f>IFERROR(VLOOKUP($C87,Sheet3!$H$2:$O$200,N$1,FALSE),IFERROR(VLOOKUP($D87,Sheet3!$H$2:$O$200,N$1,FALSE),VLOOKUP($E87,Sheet3!$H$2:$O$200,N$1,FALSE)))</f>
        <v>0</v>
      </c>
      <c r="O87" s="15">
        <f>IFERROR(VLOOKUP($C87,Sheet3!$H$2:$O$200,O$1,FALSE),IFERROR(VLOOKUP($D87,Sheet3!$H$2:$O$200,O$1,FALSE),VLOOKUP($E87,Sheet3!$H$2:$O$200,O$1,FALSE)))</f>
        <v>0</v>
      </c>
      <c r="P87" s="15" t="str">
        <f>IFERROR(VLOOKUP($C87,Sheet3!$H$2:$O$200,P$1,FALSE),IFERROR(VLOOKUP($D87,Sheet3!$H$2:$O$200,P$1,FALSE),VLOOKUP($E87,Sheet3!$H$2:$O$200,P$1,FALSE)))</f>
        <v>sweet vermouth</v>
      </c>
      <c r="Q87" s="15">
        <f>IFERROR(IF(ISBLANK(J87),IFERROR(VLOOKUP($D87,Sheet3!$H$2:$O$200,Q$1,FALSE),IFERROR(VLOOKUP($E87,Sheet3!$H$2:$O$200,Q$1,FALSE),VLOOKUP($F87,Sheet3!$H$2:$O$200,Q$1,FALSE))),$I$1),$I$1)</f>
        <v>0</v>
      </c>
      <c r="R87" s="15">
        <f>IFERROR(IF(ISBLANK(K87),IFERROR(VLOOKUP($D87,Sheet3!$H$2:$O$200,R$1,FALSE),IFERROR(VLOOKUP($E87,Sheet3!$H$2:$O$200,R$1,FALSE),VLOOKUP($F87,Sheet3!$H$2:$O$200,R$1,FALSE))),$I$1),$I$1)</f>
        <v>0</v>
      </c>
      <c r="S87" s="15">
        <f>IFERROR(IF(ISBLANK(L87),IFERROR(VLOOKUP($D87,Sheet3!$H$2:$O$200,S$1,FALSE),IFERROR(VLOOKUP($E87,Sheet3!$H$2:$O$200,S$1,FALSE),VLOOKUP($F87,Sheet3!$H$2:$O$200,S$1,FALSE))),$I$1),$I$1)</f>
        <v>0</v>
      </c>
      <c r="T87" s="15">
        <f>IFERROR(IF(ISBLANK(M87),IFERROR(VLOOKUP($D87,Sheet3!$H$2:$O$200,T$1,FALSE),IFERROR(VLOOKUP($E87,Sheet3!$H$2:$O$200,T$1,FALSE),VLOOKUP($F87,Sheet3!$H$2:$O$200,T$1,FALSE))),$I$1),$I$1)</f>
        <v>0</v>
      </c>
      <c r="U87" s="15">
        <f>IFERROR(IF(ISBLANK(N87),IFERROR(VLOOKUP($D87,Sheet3!$H$2:$O$200,U$1,FALSE),IFERROR(VLOOKUP($E87,Sheet3!$H$2:$O$200,U$1,FALSE),VLOOKUP($F87,Sheet3!$H$2:$O$200,U$1,FALSE))),$I$1),$I$1)</f>
        <v>0</v>
      </c>
      <c r="V87" s="15">
        <f>IFERROR(IF(ISBLANK(O87),IFERROR(VLOOKUP($D87,Sheet3!$H$2:$O$200,V$1,FALSE),IFERROR(VLOOKUP($E87,Sheet3!$H$2:$O$200,V$1,FALSE),VLOOKUP($F87,Sheet3!$H$2:$O$200,V$1,FALSE))),$I$1),$I$1)</f>
        <v>0</v>
      </c>
      <c r="W87" s="15">
        <f>IFERROR(IF(ISBLANK(P87),IFERROR(VLOOKUP($D87,Sheet3!$H$2:$O$200,W$1,FALSE),IFERROR(VLOOKUP($E87,Sheet3!$H$2:$O$200,W$1,FALSE),VLOOKUP($F87,Sheet3!$H$2:$O$200,W$1,FALSE))),$I$1),$I$1)</f>
        <v>0</v>
      </c>
      <c r="X87" s="15">
        <f>IFERROR(IF(ISBLANK(Q87),IFERROR(VLOOKUP($E87,Sheet3!$H$2:$O$200,X$1,FALSE),IFERROR(VLOOKUP($F87,Sheet3!$H$2:$O$200,X$1,FALSE),VLOOKUP($G87,Sheet3!$H$2:$O$200,X$1,FALSE))),$I$1),$I$1)</f>
        <v>0</v>
      </c>
      <c r="Y87" s="15">
        <f>IFERROR(IF(ISBLANK(R87),IFERROR(VLOOKUP($E87,Sheet3!$H$2:$O$200,Y$1,FALSE),IFERROR(VLOOKUP($F87,Sheet3!$H$2:$O$200,Y$1,FALSE),VLOOKUP($G87,Sheet3!$H$2:$O$200,Y$1,FALSE))),$I$1),$I$1)</f>
        <v>0</v>
      </c>
      <c r="Z87" s="15">
        <f>IFERROR(IF(ISBLANK(S87),IFERROR(VLOOKUP($E87,Sheet3!$H$2:$O$200,Z$1,FALSE),IFERROR(VLOOKUP($F87,Sheet3!$H$2:$O$200,Z$1,FALSE),VLOOKUP($G87,Sheet3!$H$2:$O$200,Z$1,FALSE))),$I$1),$I$1)</f>
        <v>0</v>
      </c>
      <c r="AA87" s="15">
        <f>IFERROR(IF(ISBLANK(T87),IFERROR(VLOOKUP($E87,Sheet3!$H$2:$O$200,AA$1,FALSE),IFERROR(VLOOKUP($F87,Sheet3!$H$2:$O$200,AA$1,FALSE),VLOOKUP($G87,Sheet3!$H$2:$O$200,AA$1,FALSE))),$I$1),$I$1)</f>
        <v>0</v>
      </c>
      <c r="AB87" s="15">
        <f>IFERROR(IF(ISBLANK(U87),IFERROR(VLOOKUP($E87,Sheet3!$H$2:$O$200,AB$1,FALSE),IFERROR(VLOOKUP($F87,Sheet3!$H$2:$O$200,AB$1,FALSE),VLOOKUP($G87,Sheet3!$H$2:$O$200,AB$1,FALSE))),$I$1),$I$1)</f>
        <v>0</v>
      </c>
      <c r="AC87" s="15">
        <f>IFERROR(IF(ISBLANK(V87),IFERROR(VLOOKUP($E87,Sheet3!$H$2:$O$200,AC$1,FALSE),IFERROR(VLOOKUP($F87,Sheet3!$H$2:$O$200,AC$1,FALSE),VLOOKUP($G87,Sheet3!$H$2:$O$200,AC$1,FALSE))),$I$1),$I$1)</f>
        <v>0</v>
      </c>
      <c r="AD87" s="15">
        <f>IFERROR(IF(ISBLANK(W87),IFERROR(VLOOKUP($E87,Sheet3!$H$2:$O$200,AD$1,FALSE),IFERROR(VLOOKUP($F87,Sheet3!$H$2:$O$200,AD$1,FALSE),VLOOKUP($G87,Sheet3!$H$2:$O$200,AD$1,FALSE))),$I$1),$I$1)</f>
        <v>0</v>
      </c>
      <c r="AE87" s="15">
        <f>IFERROR(IF(ISBLANK(X87),IFERROR(VLOOKUP($F87,Sheet3!$H$2:$O$200,AE$1,FALSE),VLOOKUP($G87,Sheet3!$H$2:$O$200,AE$1,FALSE)),$I$1),$I$1)</f>
        <v>0</v>
      </c>
      <c r="AF87" s="15">
        <f>IFERROR(IF(ISBLANK(Y87),IFERROR(VLOOKUP($F87,Sheet3!$H$2:$O$200,AF$1,FALSE),VLOOKUP($G87,Sheet3!$H$2:$O$200,AF$1,FALSE)),$I$1),$I$1)</f>
        <v>0</v>
      </c>
      <c r="AG87" s="15">
        <f>IFERROR(IF(ISBLANK(Z87),IFERROR(VLOOKUP($F87,Sheet3!$H$2:$O$200,AG$1,FALSE),VLOOKUP($G87,Sheet3!$H$2:$O$200,AG$1,FALSE)),$I$1),$I$1)</f>
        <v>0</v>
      </c>
      <c r="AH87" s="15">
        <f>IFERROR(IF(ISBLANK(AA87),IFERROR(VLOOKUP($F87,Sheet3!$H$2:$O$200,AH$1,FALSE),VLOOKUP($G87,Sheet3!$H$2:$O$200,AH$1,FALSE)),$I$1),$I$1)</f>
        <v>0</v>
      </c>
      <c r="AI87" s="15">
        <f>IFERROR(IF(ISBLANK(AB87),IFERROR(VLOOKUP($F87,Sheet3!$H$2:$O$200,AI$1,FALSE),VLOOKUP($G87,Sheet3!$H$2:$O$200,AI$1,FALSE)),$I$1),$I$1)</f>
        <v>0</v>
      </c>
      <c r="AJ87" s="15">
        <f>IFERROR(IF(ISBLANK(AC87),IFERROR(VLOOKUP($F87,Sheet3!$H$2:$O$200,AJ$1,FALSE),VLOOKUP($G87,Sheet3!$H$2:$O$200,AJ$1,FALSE)),$I$1),$I$1)</f>
        <v>0</v>
      </c>
      <c r="AK87" s="15">
        <f>IFERROR(IF(ISBLANK(AD87),IFERROR(VLOOKUP($F87,Sheet3!$H$2:$O$200,AK$1,FALSE),VLOOKUP($G87,Sheet3!$H$2:$O$200,AK$1,FALSE)),$I$1),$I$1)</f>
        <v>0</v>
      </c>
      <c r="AL87" s="15">
        <f>IFERROR(IF(ISBLANK(AE87),VLOOKUP($G87,Sheet3!$H$2:$O$200,AL$1,FALSE),$I$1),$I$1)</f>
        <v>0</v>
      </c>
      <c r="AM87" s="15">
        <f>IFERROR(IF(ISBLANK(AF87),VLOOKUP($G87,Sheet3!$H$2:$O$200,AM$1,FALSE),$I$1),$I$1)</f>
        <v>0</v>
      </c>
      <c r="AN87" s="15">
        <f>IFERROR(IF(ISBLANK(AG87),VLOOKUP($G87,Sheet3!$H$2:$O$200,AN$1,FALSE),$I$1),$I$1)</f>
        <v>0</v>
      </c>
      <c r="AO87" s="15">
        <f>IFERROR(IF(ISBLANK(AH87),VLOOKUP($G87,Sheet3!$H$2:$O$200,AO$1,FALSE),$I$1),$I$1)</f>
        <v>0</v>
      </c>
      <c r="AP87" s="15">
        <f>IFERROR(IF(ISBLANK(AI87),VLOOKUP($G87,Sheet3!$H$2:$O$200,AP$1,FALSE),$I$1),$I$1)</f>
        <v>0</v>
      </c>
      <c r="AQ87" s="15">
        <f>IFERROR(IF(ISBLANK(AJ87),VLOOKUP($G87,Sheet3!$H$2:$O$200,AQ$1,FALSE),$I$1),$I$1)</f>
        <v>0</v>
      </c>
      <c r="AR87" s="15">
        <f>IFERROR(IF(ISBLANK(AK87),VLOOKUP($G87,Sheet3!$H$2:$O$200,AR$1,FALSE),$I$1),$I$1)</f>
        <v>0</v>
      </c>
      <c r="AS87" s="15">
        <f t="shared" si="1"/>
        <v>28</v>
      </c>
      <c r="AT87" s="15" t="b">
        <f t="shared" si="2"/>
        <v>0</v>
      </c>
    </row>
    <row r="88" spans="1:46" x14ac:dyDescent="0.2">
      <c r="A88" s="19" t="s">
        <v>205</v>
      </c>
      <c r="B88" s="19" t="s">
        <v>198</v>
      </c>
      <c r="C88" s="19" t="s">
        <v>204</v>
      </c>
      <c r="D88" s="19" t="s">
        <v>126</v>
      </c>
      <c r="E88" s="19" t="s">
        <v>66</v>
      </c>
      <c r="F88" s="19"/>
      <c r="G88" s="19"/>
      <c r="H88" s="19" t="s">
        <v>205</v>
      </c>
      <c r="I88" s="15">
        <f t="shared" si="0"/>
        <v>3</v>
      </c>
      <c r="J88" s="15">
        <f>IFERROR(VLOOKUP($C88,Sheet3!$H$2:$O$200,J$1,FALSE),IFERROR(VLOOKUP($D88,Sheet3!$H$2:$O$200,J$1,FALSE),VLOOKUP($E88,Sheet3!$H$2:$O$200,J$1,FALSE)))</f>
        <v>0</v>
      </c>
      <c r="K88" s="15">
        <f>IFERROR(VLOOKUP($C88,Sheet3!$H$2:$O$200,K$1,FALSE),IFERROR(VLOOKUP($D88,Sheet3!$H$2:$O$200,K$1,FALSE),VLOOKUP($E88,Sheet3!$H$2:$O$200,K$1,FALSE)))</f>
        <v>0</v>
      </c>
      <c r="L88" s="15">
        <f>IFERROR(VLOOKUP($C88,Sheet3!$H$2:$O$200,L$1,FALSE),IFERROR(VLOOKUP($D88,Sheet3!$H$2:$O$200,L$1,FALSE),VLOOKUP($E88,Sheet3!$H$2:$O$200,L$1,FALSE)))</f>
        <v>0</v>
      </c>
      <c r="M88" s="15" t="str">
        <f>IFERROR(VLOOKUP($C88,Sheet3!$H$2:$O$200,M$1,FALSE),IFERROR(VLOOKUP($D88,Sheet3!$H$2:$O$200,M$1,FALSE),VLOOKUP($E88,Sheet3!$H$2:$O$200,M$1,FALSE)))</f>
        <v>dry vermouth</v>
      </c>
      <c r="N88" s="15">
        <f>IFERROR(VLOOKUP($C88,Sheet3!$H$2:$O$200,N$1,FALSE),IFERROR(VLOOKUP($D88,Sheet3!$H$2:$O$200,N$1,FALSE),VLOOKUP($E88,Sheet3!$H$2:$O$200,N$1,FALSE)))</f>
        <v>0</v>
      </c>
      <c r="O88" s="15">
        <f>IFERROR(VLOOKUP($C88,Sheet3!$H$2:$O$200,O$1,FALSE),IFERROR(VLOOKUP($D88,Sheet3!$H$2:$O$200,O$1,FALSE),VLOOKUP($E88,Sheet3!$H$2:$O$200,O$1,FALSE)))</f>
        <v>0</v>
      </c>
      <c r="P88" s="15" t="str">
        <f>IFERROR(VLOOKUP($C88,Sheet3!$H$2:$O$200,P$1,FALSE),IFERROR(VLOOKUP($D88,Sheet3!$H$2:$O$200,P$1,FALSE),VLOOKUP($E88,Sheet3!$H$2:$O$200,P$1,FALSE)))</f>
        <v>sweet vermouth</v>
      </c>
      <c r="Q88" s="15">
        <f>IFERROR(IF(ISBLANK(J88),IFERROR(VLOOKUP($D88,Sheet3!$H$2:$O$200,Q$1,FALSE),IFERROR(VLOOKUP($E88,Sheet3!$H$2:$O$200,Q$1,FALSE),VLOOKUP($F88,Sheet3!$H$2:$O$200,Q$1,FALSE))),$I$1),$I$1)</f>
        <v>0</v>
      </c>
      <c r="R88" s="15">
        <f>IFERROR(IF(ISBLANK(K88),IFERROR(VLOOKUP($D88,Sheet3!$H$2:$O$200,R$1,FALSE),IFERROR(VLOOKUP($E88,Sheet3!$H$2:$O$200,R$1,FALSE),VLOOKUP($F88,Sheet3!$H$2:$O$200,R$1,FALSE))),$I$1),$I$1)</f>
        <v>0</v>
      </c>
      <c r="S88" s="15">
        <f>IFERROR(IF(ISBLANK(L88),IFERROR(VLOOKUP($D88,Sheet3!$H$2:$O$200,S$1,FALSE),IFERROR(VLOOKUP($E88,Sheet3!$H$2:$O$200,S$1,FALSE),VLOOKUP($F88,Sheet3!$H$2:$O$200,S$1,FALSE))),$I$1),$I$1)</f>
        <v>0</v>
      </c>
      <c r="T88" s="15">
        <f>IFERROR(IF(ISBLANK(M88),IFERROR(VLOOKUP($D88,Sheet3!$H$2:$O$200,T$1,FALSE),IFERROR(VLOOKUP($E88,Sheet3!$H$2:$O$200,T$1,FALSE),VLOOKUP($F88,Sheet3!$H$2:$O$200,T$1,FALSE))),$I$1),$I$1)</f>
        <v>0</v>
      </c>
      <c r="U88" s="15">
        <f>IFERROR(IF(ISBLANK(N88),IFERROR(VLOOKUP($D88,Sheet3!$H$2:$O$200,U$1,FALSE),IFERROR(VLOOKUP($E88,Sheet3!$H$2:$O$200,U$1,FALSE),VLOOKUP($F88,Sheet3!$H$2:$O$200,U$1,FALSE))),$I$1),$I$1)</f>
        <v>0</v>
      </c>
      <c r="V88" s="15">
        <f>IFERROR(IF(ISBLANK(O88),IFERROR(VLOOKUP($D88,Sheet3!$H$2:$O$200,V$1,FALSE),IFERROR(VLOOKUP($E88,Sheet3!$H$2:$O$200,V$1,FALSE),VLOOKUP($F88,Sheet3!$H$2:$O$200,V$1,FALSE))),$I$1),$I$1)</f>
        <v>0</v>
      </c>
      <c r="W88" s="15">
        <f>IFERROR(IF(ISBLANK(P88),IFERROR(VLOOKUP($D88,Sheet3!$H$2:$O$200,W$1,FALSE),IFERROR(VLOOKUP($E88,Sheet3!$H$2:$O$200,W$1,FALSE),VLOOKUP($F88,Sheet3!$H$2:$O$200,W$1,FALSE))),$I$1),$I$1)</f>
        <v>0</v>
      </c>
      <c r="X88" s="15">
        <f>IFERROR(IF(ISBLANK(Q88),IFERROR(VLOOKUP($E88,Sheet3!$H$2:$O$200,X$1,FALSE),IFERROR(VLOOKUP($F88,Sheet3!$H$2:$O$200,X$1,FALSE),VLOOKUP($G88,Sheet3!$H$2:$O$200,X$1,FALSE))),$I$1),$I$1)</f>
        <v>0</v>
      </c>
      <c r="Y88" s="15">
        <f>IFERROR(IF(ISBLANK(R88),IFERROR(VLOOKUP($E88,Sheet3!$H$2:$O$200,Y$1,FALSE),IFERROR(VLOOKUP($F88,Sheet3!$H$2:$O$200,Y$1,FALSE),VLOOKUP($G88,Sheet3!$H$2:$O$200,Y$1,FALSE))),$I$1),$I$1)</f>
        <v>0</v>
      </c>
      <c r="Z88" s="15">
        <f>IFERROR(IF(ISBLANK(S88),IFERROR(VLOOKUP($E88,Sheet3!$H$2:$O$200,Z$1,FALSE),IFERROR(VLOOKUP($F88,Sheet3!$H$2:$O$200,Z$1,FALSE),VLOOKUP($G88,Sheet3!$H$2:$O$200,Z$1,FALSE))),$I$1),$I$1)</f>
        <v>0</v>
      </c>
      <c r="AA88" s="15">
        <f>IFERROR(IF(ISBLANK(T88),IFERROR(VLOOKUP($E88,Sheet3!$H$2:$O$200,AA$1,FALSE),IFERROR(VLOOKUP($F88,Sheet3!$H$2:$O$200,AA$1,FALSE),VLOOKUP($G88,Sheet3!$H$2:$O$200,AA$1,FALSE))),$I$1),$I$1)</f>
        <v>0</v>
      </c>
      <c r="AB88" s="15">
        <f>IFERROR(IF(ISBLANK(U88),IFERROR(VLOOKUP($E88,Sheet3!$H$2:$O$200,AB$1,FALSE),IFERROR(VLOOKUP($F88,Sheet3!$H$2:$O$200,AB$1,FALSE),VLOOKUP($G88,Sheet3!$H$2:$O$200,AB$1,FALSE))),$I$1),$I$1)</f>
        <v>0</v>
      </c>
      <c r="AC88" s="15">
        <f>IFERROR(IF(ISBLANK(V88),IFERROR(VLOOKUP($E88,Sheet3!$H$2:$O$200,AC$1,FALSE),IFERROR(VLOOKUP($F88,Sheet3!$H$2:$O$200,AC$1,FALSE),VLOOKUP($G88,Sheet3!$H$2:$O$200,AC$1,FALSE))),$I$1),$I$1)</f>
        <v>0</v>
      </c>
      <c r="AD88" s="15">
        <f>IFERROR(IF(ISBLANK(W88),IFERROR(VLOOKUP($E88,Sheet3!$H$2:$O$200,AD$1,FALSE),IFERROR(VLOOKUP($F88,Sheet3!$H$2:$O$200,AD$1,FALSE),VLOOKUP($G88,Sheet3!$H$2:$O$200,AD$1,FALSE))),$I$1),$I$1)</f>
        <v>0</v>
      </c>
      <c r="AE88" s="15">
        <f>IFERROR(IF(ISBLANK(X88),IFERROR(VLOOKUP($F88,Sheet3!$H$2:$O$200,AE$1,FALSE),VLOOKUP($G88,Sheet3!$H$2:$O$200,AE$1,FALSE)),$I$1),$I$1)</f>
        <v>0</v>
      </c>
      <c r="AF88" s="15">
        <f>IFERROR(IF(ISBLANK(Y88),IFERROR(VLOOKUP($F88,Sheet3!$H$2:$O$200,AF$1,FALSE),VLOOKUP($G88,Sheet3!$H$2:$O$200,AF$1,FALSE)),$I$1),$I$1)</f>
        <v>0</v>
      </c>
      <c r="AG88" s="15">
        <f>IFERROR(IF(ISBLANK(Z88),IFERROR(VLOOKUP($F88,Sheet3!$H$2:$O$200,AG$1,FALSE),VLOOKUP($G88,Sheet3!$H$2:$O$200,AG$1,FALSE)),$I$1),$I$1)</f>
        <v>0</v>
      </c>
      <c r="AH88" s="15">
        <f>IFERROR(IF(ISBLANK(AA88),IFERROR(VLOOKUP($F88,Sheet3!$H$2:$O$200,AH$1,FALSE),VLOOKUP($G88,Sheet3!$H$2:$O$200,AH$1,FALSE)),$I$1),$I$1)</f>
        <v>0</v>
      </c>
      <c r="AI88" s="15">
        <f>IFERROR(IF(ISBLANK(AB88),IFERROR(VLOOKUP($F88,Sheet3!$H$2:$O$200,AI$1,FALSE),VLOOKUP($G88,Sheet3!$H$2:$O$200,AI$1,FALSE)),$I$1),$I$1)</f>
        <v>0</v>
      </c>
      <c r="AJ88" s="15">
        <f>IFERROR(IF(ISBLANK(AC88),IFERROR(VLOOKUP($F88,Sheet3!$H$2:$O$200,AJ$1,FALSE),VLOOKUP($G88,Sheet3!$H$2:$O$200,AJ$1,FALSE)),$I$1),$I$1)</f>
        <v>0</v>
      </c>
      <c r="AK88" s="15">
        <f>IFERROR(IF(ISBLANK(AD88),IFERROR(VLOOKUP($F88,Sheet3!$H$2:$O$200,AK$1,FALSE),VLOOKUP($G88,Sheet3!$H$2:$O$200,AK$1,FALSE)),$I$1),$I$1)</f>
        <v>0</v>
      </c>
      <c r="AL88" s="15">
        <f>IFERROR(IF(ISBLANK(AE88),VLOOKUP($G88,Sheet3!$H$2:$O$200,AL$1,FALSE),$I$1),$I$1)</f>
        <v>0</v>
      </c>
      <c r="AM88" s="15">
        <f>IFERROR(IF(ISBLANK(AF88),VLOOKUP($G88,Sheet3!$H$2:$O$200,AM$1,FALSE),$I$1),$I$1)</f>
        <v>0</v>
      </c>
      <c r="AN88" s="15">
        <f>IFERROR(IF(ISBLANK(AG88),VLOOKUP($G88,Sheet3!$H$2:$O$200,AN$1,FALSE),$I$1),$I$1)</f>
        <v>0</v>
      </c>
      <c r="AO88" s="15">
        <f>IFERROR(IF(ISBLANK(AH88),VLOOKUP($G88,Sheet3!$H$2:$O$200,AO$1,FALSE),$I$1),$I$1)</f>
        <v>0</v>
      </c>
      <c r="AP88" s="15">
        <f>IFERROR(IF(ISBLANK(AI88),VLOOKUP($G88,Sheet3!$H$2:$O$200,AP$1,FALSE),$I$1),$I$1)</f>
        <v>0</v>
      </c>
      <c r="AQ88" s="15">
        <f>IFERROR(IF(ISBLANK(AJ88),VLOOKUP($G88,Sheet3!$H$2:$O$200,AQ$1,FALSE),$I$1),$I$1)</f>
        <v>0</v>
      </c>
      <c r="AR88" s="15">
        <f>IFERROR(IF(ISBLANK(AK88),VLOOKUP($G88,Sheet3!$H$2:$O$200,AR$1,FALSE),$I$1),$I$1)</f>
        <v>0</v>
      </c>
      <c r="AS88" s="15">
        <f t="shared" si="1"/>
        <v>28</v>
      </c>
      <c r="AT88" s="15" t="b">
        <f t="shared" si="2"/>
        <v>0</v>
      </c>
    </row>
    <row r="89" spans="1:46" x14ac:dyDescent="0.2">
      <c r="A89" s="19" t="s">
        <v>206</v>
      </c>
      <c r="B89" s="19" t="s">
        <v>198</v>
      </c>
      <c r="C89" s="19" t="s">
        <v>204</v>
      </c>
      <c r="D89" s="19" t="s">
        <v>126</v>
      </c>
      <c r="E89" s="19" t="s">
        <v>104</v>
      </c>
      <c r="F89" s="19"/>
      <c r="G89" s="19"/>
      <c r="H89" s="19" t="s">
        <v>206</v>
      </c>
      <c r="I89" s="15">
        <f t="shared" si="0"/>
        <v>3</v>
      </c>
      <c r="J89" s="15">
        <f>IFERROR(VLOOKUP($C89,Sheet3!$H$2:$O$200,J$1,FALSE),IFERROR(VLOOKUP($D89,Sheet3!$H$2:$O$200,J$1,FALSE),VLOOKUP($E89,Sheet3!$H$2:$O$200,J$1,FALSE)))</f>
        <v>0</v>
      </c>
      <c r="K89" s="15">
        <f>IFERROR(VLOOKUP($C89,Sheet3!$H$2:$O$200,K$1,FALSE),IFERROR(VLOOKUP($D89,Sheet3!$H$2:$O$200,K$1,FALSE),VLOOKUP($E89,Sheet3!$H$2:$O$200,K$1,FALSE)))</f>
        <v>0</v>
      </c>
      <c r="L89" s="15">
        <f>IFERROR(VLOOKUP($C89,Sheet3!$H$2:$O$200,L$1,FALSE),IFERROR(VLOOKUP($D89,Sheet3!$H$2:$O$200,L$1,FALSE),VLOOKUP($E89,Sheet3!$H$2:$O$200,L$1,FALSE)))</f>
        <v>0</v>
      </c>
      <c r="M89" s="15" t="str">
        <f>IFERROR(VLOOKUP($C89,Sheet3!$H$2:$O$200,M$1,FALSE),IFERROR(VLOOKUP($D89,Sheet3!$H$2:$O$200,M$1,FALSE),VLOOKUP($E89,Sheet3!$H$2:$O$200,M$1,FALSE)))</f>
        <v>dry vermouth</v>
      </c>
      <c r="N89" s="15">
        <f>IFERROR(VLOOKUP($C89,Sheet3!$H$2:$O$200,N$1,FALSE),IFERROR(VLOOKUP($D89,Sheet3!$H$2:$O$200,N$1,FALSE),VLOOKUP($E89,Sheet3!$H$2:$O$200,N$1,FALSE)))</f>
        <v>0</v>
      </c>
      <c r="O89" s="15">
        <f>IFERROR(VLOOKUP($C89,Sheet3!$H$2:$O$200,O$1,FALSE),IFERROR(VLOOKUP($D89,Sheet3!$H$2:$O$200,O$1,FALSE),VLOOKUP($E89,Sheet3!$H$2:$O$200,O$1,FALSE)))</f>
        <v>0</v>
      </c>
      <c r="P89" s="15" t="str">
        <f>IFERROR(VLOOKUP($C89,Sheet3!$H$2:$O$200,P$1,FALSE),IFERROR(VLOOKUP($D89,Sheet3!$H$2:$O$200,P$1,FALSE),VLOOKUP($E89,Sheet3!$H$2:$O$200,P$1,FALSE)))</f>
        <v>sweet vermouth</v>
      </c>
      <c r="Q89" s="15">
        <f>IFERROR(IF(ISBLANK(J89),IFERROR(VLOOKUP($D89,Sheet3!$H$2:$O$200,Q$1,FALSE),IFERROR(VLOOKUP($E89,Sheet3!$H$2:$O$200,Q$1,FALSE),VLOOKUP($F89,Sheet3!$H$2:$O$200,Q$1,FALSE))),$I$1),$I$1)</f>
        <v>0</v>
      </c>
      <c r="R89" s="15">
        <f>IFERROR(IF(ISBLANK(K89),IFERROR(VLOOKUP($D89,Sheet3!$H$2:$O$200,R$1,FALSE),IFERROR(VLOOKUP($E89,Sheet3!$H$2:$O$200,R$1,FALSE),VLOOKUP($F89,Sheet3!$H$2:$O$200,R$1,FALSE))),$I$1),$I$1)</f>
        <v>0</v>
      </c>
      <c r="S89" s="15">
        <f>IFERROR(IF(ISBLANK(L89),IFERROR(VLOOKUP($D89,Sheet3!$H$2:$O$200,S$1,FALSE),IFERROR(VLOOKUP($E89,Sheet3!$H$2:$O$200,S$1,FALSE),VLOOKUP($F89,Sheet3!$H$2:$O$200,S$1,FALSE))),$I$1),$I$1)</f>
        <v>0</v>
      </c>
      <c r="T89" s="15">
        <f>IFERROR(IF(ISBLANK(M89),IFERROR(VLOOKUP($D89,Sheet3!$H$2:$O$200,T$1,FALSE),IFERROR(VLOOKUP($E89,Sheet3!$H$2:$O$200,T$1,FALSE),VLOOKUP($F89,Sheet3!$H$2:$O$200,T$1,FALSE))),$I$1),$I$1)</f>
        <v>0</v>
      </c>
      <c r="U89" s="15">
        <f>IFERROR(IF(ISBLANK(N89),IFERROR(VLOOKUP($D89,Sheet3!$H$2:$O$200,U$1,FALSE),IFERROR(VLOOKUP($E89,Sheet3!$H$2:$O$200,U$1,FALSE),VLOOKUP($F89,Sheet3!$H$2:$O$200,U$1,FALSE))),$I$1),$I$1)</f>
        <v>0</v>
      </c>
      <c r="V89" s="15">
        <f>IFERROR(IF(ISBLANK(O89),IFERROR(VLOOKUP($D89,Sheet3!$H$2:$O$200,V$1,FALSE),IFERROR(VLOOKUP($E89,Sheet3!$H$2:$O$200,V$1,FALSE),VLOOKUP($F89,Sheet3!$H$2:$O$200,V$1,FALSE))),$I$1),$I$1)</f>
        <v>0</v>
      </c>
      <c r="W89" s="15">
        <f>IFERROR(IF(ISBLANK(P89),IFERROR(VLOOKUP($D89,Sheet3!$H$2:$O$200,W$1,FALSE),IFERROR(VLOOKUP($E89,Sheet3!$H$2:$O$200,W$1,FALSE),VLOOKUP($F89,Sheet3!$H$2:$O$200,W$1,FALSE))),$I$1),$I$1)</f>
        <v>0</v>
      </c>
      <c r="X89" s="15">
        <f>IFERROR(IF(ISBLANK(Q89),IFERROR(VLOOKUP($E89,Sheet3!$H$2:$O$200,X$1,FALSE),IFERROR(VLOOKUP($F89,Sheet3!$H$2:$O$200,X$1,FALSE),VLOOKUP($G89,Sheet3!$H$2:$O$200,X$1,FALSE))),$I$1),$I$1)</f>
        <v>0</v>
      </c>
      <c r="Y89" s="15">
        <f>IFERROR(IF(ISBLANK(R89),IFERROR(VLOOKUP($E89,Sheet3!$H$2:$O$200,Y$1,FALSE),IFERROR(VLOOKUP($F89,Sheet3!$H$2:$O$200,Y$1,FALSE),VLOOKUP($G89,Sheet3!$H$2:$O$200,Y$1,FALSE))),$I$1),$I$1)</f>
        <v>0</v>
      </c>
      <c r="Z89" s="15">
        <f>IFERROR(IF(ISBLANK(S89),IFERROR(VLOOKUP($E89,Sheet3!$H$2:$O$200,Z$1,FALSE),IFERROR(VLOOKUP($F89,Sheet3!$H$2:$O$200,Z$1,FALSE),VLOOKUP($G89,Sheet3!$H$2:$O$200,Z$1,FALSE))),$I$1),$I$1)</f>
        <v>0</v>
      </c>
      <c r="AA89" s="15">
        <f>IFERROR(IF(ISBLANK(T89),IFERROR(VLOOKUP($E89,Sheet3!$H$2:$O$200,AA$1,FALSE),IFERROR(VLOOKUP($F89,Sheet3!$H$2:$O$200,AA$1,FALSE),VLOOKUP($G89,Sheet3!$H$2:$O$200,AA$1,FALSE))),$I$1),$I$1)</f>
        <v>0</v>
      </c>
      <c r="AB89" s="15">
        <f>IFERROR(IF(ISBLANK(U89),IFERROR(VLOOKUP($E89,Sheet3!$H$2:$O$200,AB$1,FALSE),IFERROR(VLOOKUP($F89,Sheet3!$H$2:$O$200,AB$1,FALSE),VLOOKUP($G89,Sheet3!$H$2:$O$200,AB$1,FALSE))),$I$1),$I$1)</f>
        <v>0</v>
      </c>
      <c r="AC89" s="15">
        <f>IFERROR(IF(ISBLANK(V89),IFERROR(VLOOKUP($E89,Sheet3!$H$2:$O$200,AC$1,FALSE),IFERROR(VLOOKUP($F89,Sheet3!$H$2:$O$200,AC$1,FALSE),VLOOKUP($G89,Sheet3!$H$2:$O$200,AC$1,FALSE))),$I$1),$I$1)</f>
        <v>0</v>
      </c>
      <c r="AD89" s="15">
        <f>IFERROR(IF(ISBLANK(W89),IFERROR(VLOOKUP($E89,Sheet3!$H$2:$O$200,AD$1,FALSE),IFERROR(VLOOKUP($F89,Sheet3!$H$2:$O$200,AD$1,FALSE),VLOOKUP($G89,Sheet3!$H$2:$O$200,AD$1,FALSE))),$I$1),$I$1)</f>
        <v>0</v>
      </c>
      <c r="AE89" s="15">
        <f>IFERROR(IF(ISBLANK(X89),IFERROR(VLOOKUP($F89,Sheet3!$H$2:$O$200,AE$1,FALSE),VLOOKUP($G89,Sheet3!$H$2:$O$200,AE$1,FALSE)),$I$1),$I$1)</f>
        <v>0</v>
      </c>
      <c r="AF89" s="15">
        <f>IFERROR(IF(ISBLANK(Y89),IFERROR(VLOOKUP($F89,Sheet3!$H$2:$O$200,AF$1,FALSE),VLOOKUP($G89,Sheet3!$H$2:$O$200,AF$1,FALSE)),$I$1),$I$1)</f>
        <v>0</v>
      </c>
      <c r="AG89" s="15">
        <f>IFERROR(IF(ISBLANK(Z89),IFERROR(VLOOKUP($F89,Sheet3!$H$2:$O$200,AG$1,FALSE),VLOOKUP($G89,Sheet3!$H$2:$O$200,AG$1,FALSE)),$I$1),$I$1)</f>
        <v>0</v>
      </c>
      <c r="AH89" s="15">
        <f>IFERROR(IF(ISBLANK(AA89),IFERROR(VLOOKUP($F89,Sheet3!$H$2:$O$200,AH$1,FALSE),VLOOKUP($G89,Sheet3!$H$2:$O$200,AH$1,FALSE)),$I$1),$I$1)</f>
        <v>0</v>
      </c>
      <c r="AI89" s="15">
        <f>IFERROR(IF(ISBLANK(AB89),IFERROR(VLOOKUP($F89,Sheet3!$H$2:$O$200,AI$1,FALSE),VLOOKUP($G89,Sheet3!$H$2:$O$200,AI$1,FALSE)),$I$1),$I$1)</f>
        <v>0</v>
      </c>
      <c r="AJ89" s="15">
        <f>IFERROR(IF(ISBLANK(AC89),IFERROR(VLOOKUP($F89,Sheet3!$H$2:$O$200,AJ$1,FALSE),VLOOKUP($G89,Sheet3!$H$2:$O$200,AJ$1,FALSE)),$I$1),$I$1)</f>
        <v>0</v>
      </c>
      <c r="AK89" s="15">
        <f>IFERROR(IF(ISBLANK(AD89),IFERROR(VLOOKUP($F89,Sheet3!$H$2:$O$200,AK$1,FALSE),VLOOKUP($G89,Sheet3!$H$2:$O$200,AK$1,FALSE)),$I$1),$I$1)</f>
        <v>0</v>
      </c>
      <c r="AL89" s="15">
        <f>IFERROR(IF(ISBLANK(AE89),VLOOKUP($G89,Sheet3!$H$2:$O$200,AL$1,FALSE),$I$1),$I$1)</f>
        <v>0</v>
      </c>
      <c r="AM89" s="15">
        <f>IFERROR(IF(ISBLANK(AF89),VLOOKUP($G89,Sheet3!$H$2:$O$200,AM$1,FALSE),$I$1),$I$1)</f>
        <v>0</v>
      </c>
      <c r="AN89" s="15">
        <f>IFERROR(IF(ISBLANK(AG89),VLOOKUP($G89,Sheet3!$H$2:$O$200,AN$1,FALSE),$I$1),$I$1)</f>
        <v>0</v>
      </c>
      <c r="AO89" s="15">
        <f>IFERROR(IF(ISBLANK(AH89),VLOOKUP($G89,Sheet3!$H$2:$O$200,AO$1,FALSE),$I$1),$I$1)</f>
        <v>0</v>
      </c>
      <c r="AP89" s="15">
        <f>IFERROR(IF(ISBLANK(AI89),VLOOKUP($G89,Sheet3!$H$2:$O$200,AP$1,FALSE),$I$1),$I$1)</f>
        <v>0</v>
      </c>
      <c r="AQ89" s="15">
        <f>IFERROR(IF(ISBLANK(AJ89),VLOOKUP($G89,Sheet3!$H$2:$O$200,AQ$1,FALSE),$I$1),$I$1)</f>
        <v>0</v>
      </c>
      <c r="AR89" s="15">
        <f>IFERROR(IF(ISBLANK(AK89),VLOOKUP($G89,Sheet3!$H$2:$O$200,AR$1,FALSE),$I$1),$I$1)</f>
        <v>0</v>
      </c>
      <c r="AS89" s="15">
        <f t="shared" si="1"/>
        <v>28</v>
      </c>
      <c r="AT89" s="15" t="b">
        <f t="shared" si="2"/>
        <v>0</v>
      </c>
    </row>
    <row r="90" spans="1:46" x14ac:dyDescent="0.2">
      <c r="A90" s="19" t="s">
        <v>207</v>
      </c>
      <c r="B90" s="19" t="s">
        <v>198</v>
      </c>
      <c r="C90" s="19" t="s">
        <v>48</v>
      </c>
      <c r="D90" s="19" t="s">
        <v>134</v>
      </c>
      <c r="E90" s="19" t="s">
        <v>100</v>
      </c>
      <c r="F90" s="19" t="s">
        <v>208</v>
      </c>
      <c r="G90" s="19"/>
      <c r="H90" s="19" t="s">
        <v>207</v>
      </c>
      <c r="I90" s="15">
        <f t="shared" si="0"/>
        <v>4</v>
      </c>
      <c r="J90" s="15">
        <f>IFERROR(VLOOKUP($C90,Sheet3!$H$2:$O$200,J$1,FALSE),IFERROR(VLOOKUP($D90,Sheet3!$H$2:$O$200,J$1,FALSE),VLOOKUP($E90,Sheet3!$H$2:$O$200,J$1,FALSE)))</f>
        <v>0</v>
      </c>
      <c r="K90" s="15">
        <f>IFERROR(VLOOKUP($C90,Sheet3!$H$2:$O$200,K$1,FALSE),IFERROR(VLOOKUP($D90,Sheet3!$H$2:$O$200,K$1,FALSE),VLOOKUP($E90,Sheet3!$H$2:$O$200,K$1,FALSE)))</f>
        <v>0</v>
      </c>
      <c r="L90" s="15">
        <f>IFERROR(VLOOKUP($C90,Sheet3!$H$2:$O$200,L$1,FALSE),IFERROR(VLOOKUP($D90,Sheet3!$H$2:$O$200,L$1,FALSE),VLOOKUP($E90,Sheet3!$H$2:$O$200,L$1,FALSE)))</f>
        <v>0</v>
      </c>
      <c r="M90" s="15" t="str">
        <f>IFERROR(VLOOKUP($C90,Sheet3!$H$2:$O$200,M$1,FALSE),IFERROR(VLOOKUP($D90,Sheet3!$H$2:$O$200,M$1,FALSE),VLOOKUP($E90,Sheet3!$H$2:$O$200,M$1,FALSE)))</f>
        <v>sweet vermouth</v>
      </c>
      <c r="N90" s="15">
        <f>IFERROR(VLOOKUP($C90,Sheet3!$H$2:$O$200,N$1,FALSE),IFERROR(VLOOKUP($D90,Sheet3!$H$2:$O$200,N$1,FALSE),VLOOKUP($E90,Sheet3!$H$2:$O$200,N$1,FALSE)))</f>
        <v>0</v>
      </c>
      <c r="O90" s="15">
        <f>IFERROR(VLOOKUP($C90,Sheet3!$H$2:$O$200,O$1,FALSE),IFERROR(VLOOKUP($D90,Sheet3!$H$2:$O$200,O$1,FALSE),VLOOKUP($E90,Sheet3!$H$2:$O$200,O$1,FALSE)))</f>
        <v>0</v>
      </c>
      <c r="P90" s="15">
        <f>IFERROR(VLOOKUP($C90,Sheet3!$H$2:$O$200,P$1,FALSE),IFERROR(VLOOKUP($D90,Sheet3!$H$2:$O$200,P$1,FALSE),VLOOKUP($E90,Sheet3!$H$2:$O$200,P$1,FALSE)))</f>
        <v>0</v>
      </c>
      <c r="Q90" s="15">
        <f>IFERROR(IF(ISBLANK(J90),IFERROR(VLOOKUP($D90,Sheet3!$H$2:$O$200,Q$1,FALSE),IFERROR(VLOOKUP($E90,Sheet3!$H$2:$O$200,Q$1,FALSE),VLOOKUP($F90,Sheet3!$H$2:$O$200,Q$1,FALSE))),$I$1),$I$1)</f>
        <v>0</v>
      </c>
      <c r="R90" s="15">
        <f>IFERROR(IF(ISBLANK(K90),IFERROR(VLOOKUP($D90,Sheet3!$H$2:$O$200,R$1,FALSE),IFERROR(VLOOKUP($E90,Sheet3!$H$2:$O$200,R$1,FALSE),VLOOKUP($F90,Sheet3!$H$2:$O$200,R$1,FALSE))),$I$1),$I$1)</f>
        <v>0</v>
      </c>
      <c r="S90" s="15">
        <f>IFERROR(IF(ISBLANK(L90),IFERROR(VLOOKUP($D90,Sheet3!$H$2:$O$200,S$1,FALSE),IFERROR(VLOOKUP($E90,Sheet3!$H$2:$O$200,S$1,FALSE),VLOOKUP($F90,Sheet3!$H$2:$O$200,S$1,FALSE))),$I$1),$I$1)</f>
        <v>0</v>
      </c>
      <c r="T90" s="15">
        <f>IFERROR(IF(ISBLANK(M90),IFERROR(VLOOKUP($D90,Sheet3!$H$2:$O$200,T$1,FALSE),IFERROR(VLOOKUP($E90,Sheet3!$H$2:$O$200,T$1,FALSE),VLOOKUP($F90,Sheet3!$H$2:$O$200,T$1,FALSE))),$I$1),$I$1)</f>
        <v>0</v>
      </c>
      <c r="U90" s="15">
        <f>IFERROR(IF(ISBLANK(N90),IFERROR(VLOOKUP($D90,Sheet3!$H$2:$O$200,U$1,FALSE),IFERROR(VLOOKUP($E90,Sheet3!$H$2:$O$200,U$1,FALSE),VLOOKUP($F90,Sheet3!$H$2:$O$200,U$1,FALSE))),$I$1),$I$1)</f>
        <v>0</v>
      </c>
      <c r="V90" s="15">
        <f>IFERROR(IF(ISBLANK(O90),IFERROR(VLOOKUP($D90,Sheet3!$H$2:$O$200,V$1,FALSE),IFERROR(VLOOKUP($E90,Sheet3!$H$2:$O$200,V$1,FALSE),VLOOKUP($F90,Sheet3!$H$2:$O$200,V$1,FALSE))),$I$1),$I$1)</f>
        <v>0</v>
      </c>
      <c r="W90" s="15">
        <f>IFERROR(IF(ISBLANK(P90),IFERROR(VLOOKUP($D90,Sheet3!$H$2:$O$200,W$1,FALSE),IFERROR(VLOOKUP($E90,Sheet3!$H$2:$O$200,W$1,FALSE),VLOOKUP($F90,Sheet3!$H$2:$O$200,W$1,FALSE))),$I$1),$I$1)</f>
        <v>0</v>
      </c>
      <c r="X90" s="15">
        <f>IFERROR(IF(ISBLANK(Q90),IFERROR(VLOOKUP($E90,Sheet3!$H$2:$O$200,X$1,FALSE),IFERROR(VLOOKUP($F90,Sheet3!$H$2:$O$200,X$1,FALSE),VLOOKUP($G90,Sheet3!$H$2:$O$200,X$1,FALSE))),$I$1),$I$1)</f>
        <v>0</v>
      </c>
      <c r="Y90" s="15">
        <f>IFERROR(IF(ISBLANK(R90),IFERROR(VLOOKUP($E90,Sheet3!$H$2:$O$200,Y$1,FALSE),IFERROR(VLOOKUP($F90,Sheet3!$H$2:$O$200,Y$1,FALSE),VLOOKUP($G90,Sheet3!$H$2:$O$200,Y$1,FALSE))),$I$1),$I$1)</f>
        <v>0</v>
      </c>
      <c r="Z90" s="15">
        <f>IFERROR(IF(ISBLANK(S90),IFERROR(VLOOKUP($E90,Sheet3!$H$2:$O$200,Z$1,FALSE),IFERROR(VLOOKUP($F90,Sheet3!$H$2:$O$200,Z$1,FALSE),VLOOKUP($G90,Sheet3!$H$2:$O$200,Z$1,FALSE))),$I$1),$I$1)</f>
        <v>0</v>
      </c>
      <c r="AA90" s="15">
        <f>IFERROR(IF(ISBLANK(T90),IFERROR(VLOOKUP($E90,Sheet3!$H$2:$O$200,AA$1,FALSE),IFERROR(VLOOKUP($F90,Sheet3!$H$2:$O$200,AA$1,FALSE),VLOOKUP($G90,Sheet3!$H$2:$O$200,AA$1,FALSE))),$I$1),$I$1)</f>
        <v>0</v>
      </c>
      <c r="AB90" s="15">
        <f>IFERROR(IF(ISBLANK(U90),IFERROR(VLOOKUP($E90,Sheet3!$H$2:$O$200,AB$1,FALSE),IFERROR(VLOOKUP($F90,Sheet3!$H$2:$O$200,AB$1,FALSE),VLOOKUP($G90,Sheet3!$H$2:$O$200,AB$1,FALSE))),$I$1),$I$1)</f>
        <v>0</v>
      </c>
      <c r="AC90" s="15">
        <f>IFERROR(IF(ISBLANK(V90),IFERROR(VLOOKUP($E90,Sheet3!$H$2:$O$200,AC$1,FALSE),IFERROR(VLOOKUP($F90,Sheet3!$H$2:$O$200,AC$1,FALSE),VLOOKUP($G90,Sheet3!$H$2:$O$200,AC$1,FALSE))),$I$1),$I$1)</f>
        <v>0</v>
      </c>
      <c r="AD90" s="15">
        <f>IFERROR(IF(ISBLANK(W90),IFERROR(VLOOKUP($E90,Sheet3!$H$2:$O$200,AD$1,FALSE),IFERROR(VLOOKUP($F90,Sheet3!$H$2:$O$200,AD$1,FALSE),VLOOKUP($G90,Sheet3!$H$2:$O$200,AD$1,FALSE))),$I$1),$I$1)</f>
        <v>0</v>
      </c>
      <c r="AE90" s="15">
        <f>IFERROR(IF(ISBLANK(X90),IFERROR(VLOOKUP($F90,Sheet3!$H$2:$O$200,AE$1,FALSE),VLOOKUP($G90,Sheet3!$H$2:$O$200,AE$1,FALSE)),$I$1),$I$1)</f>
        <v>0</v>
      </c>
      <c r="AF90" s="15">
        <f>IFERROR(IF(ISBLANK(Y90),IFERROR(VLOOKUP($F90,Sheet3!$H$2:$O$200,AF$1,FALSE),VLOOKUP($G90,Sheet3!$H$2:$O$200,AF$1,FALSE)),$I$1),$I$1)</f>
        <v>0</v>
      </c>
      <c r="AG90" s="15">
        <f>IFERROR(IF(ISBLANK(Z90),IFERROR(VLOOKUP($F90,Sheet3!$H$2:$O$200,AG$1,FALSE),VLOOKUP($G90,Sheet3!$H$2:$O$200,AG$1,FALSE)),$I$1),$I$1)</f>
        <v>0</v>
      </c>
      <c r="AH90" s="15">
        <f>IFERROR(IF(ISBLANK(AA90),IFERROR(VLOOKUP($F90,Sheet3!$H$2:$O$200,AH$1,FALSE),VLOOKUP($G90,Sheet3!$H$2:$O$200,AH$1,FALSE)),$I$1),$I$1)</f>
        <v>0</v>
      </c>
      <c r="AI90" s="15">
        <f>IFERROR(IF(ISBLANK(AB90),IFERROR(VLOOKUP($F90,Sheet3!$H$2:$O$200,AI$1,FALSE),VLOOKUP($G90,Sheet3!$H$2:$O$200,AI$1,FALSE)),$I$1),$I$1)</f>
        <v>0</v>
      </c>
      <c r="AJ90" s="15">
        <f>IFERROR(IF(ISBLANK(AC90),IFERROR(VLOOKUP($F90,Sheet3!$H$2:$O$200,AJ$1,FALSE),VLOOKUP($G90,Sheet3!$H$2:$O$200,AJ$1,FALSE)),$I$1),$I$1)</f>
        <v>0</v>
      </c>
      <c r="AK90" s="15">
        <f>IFERROR(IF(ISBLANK(AD90),IFERROR(VLOOKUP($F90,Sheet3!$H$2:$O$200,AK$1,FALSE),VLOOKUP($G90,Sheet3!$H$2:$O$200,AK$1,FALSE)),$I$1),$I$1)</f>
        <v>0</v>
      </c>
      <c r="AL90" s="15">
        <f>IFERROR(IF(ISBLANK(AE90),VLOOKUP($G90,Sheet3!$H$2:$O$200,AL$1,FALSE),$I$1),$I$1)</f>
        <v>0</v>
      </c>
      <c r="AM90" s="15">
        <f>IFERROR(IF(ISBLANK(AF90),VLOOKUP($G90,Sheet3!$H$2:$O$200,AM$1,FALSE),$I$1),$I$1)</f>
        <v>0</v>
      </c>
      <c r="AN90" s="15">
        <f>IFERROR(IF(ISBLANK(AG90),VLOOKUP($G90,Sheet3!$H$2:$O$200,AN$1,FALSE),$I$1),$I$1)</f>
        <v>0</v>
      </c>
      <c r="AO90" s="15">
        <f>IFERROR(IF(ISBLANK(AH90),VLOOKUP($G90,Sheet3!$H$2:$O$200,AO$1,FALSE),$I$1),$I$1)</f>
        <v>0</v>
      </c>
      <c r="AP90" s="15">
        <f>IFERROR(IF(ISBLANK(AI90),VLOOKUP($G90,Sheet3!$H$2:$O$200,AP$1,FALSE),$I$1),$I$1)</f>
        <v>0</v>
      </c>
      <c r="AQ90" s="15">
        <f>IFERROR(IF(ISBLANK(AJ90),VLOOKUP($G90,Sheet3!$H$2:$O$200,AQ$1,FALSE),$I$1),$I$1)</f>
        <v>0</v>
      </c>
      <c r="AR90" s="15">
        <f>IFERROR(IF(ISBLANK(AK90),VLOOKUP($G90,Sheet3!$H$2:$O$200,AR$1,FALSE),$I$1),$I$1)</f>
        <v>0</v>
      </c>
      <c r="AS90" s="15">
        <f t="shared" si="1"/>
        <v>28</v>
      </c>
      <c r="AT90" s="15" t="b">
        <f t="shared" si="2"/>
        <v>0</v>
      </c>
    </row>
    <row r="91" spans="1:46" x14ac:dyDescent="0.2">
      <c r="A91" s="19" t="s">
        <v>209</v>
      </c>
      <c r="B91" s="19" t="s">
        <v>198</v>
      </c>
      <c r="C91" s="19" t="s">
        <v>52</v>
      </c>
      <c r="D91" s="19"/>
      <c r="E91" s="19" t="s">
        <v>100</v>
      </c>
      <c r="F91" s="19"/>
      <c r="G91" s="19"/>
      <c r="H91" s="19" t="s">
        <v>209</v>
      </c>
      <c r="I91" s="15">
        <f t="shared" si="0"/>
        <v>2</v>
      </c>
      <c r="J91" s="15">
        <f>IFERROR(VLOOKUP($C91,Sheet3!$H$2:$O$200,J$1,FALSE),IFERROR(VLOOKUP($D91,Sheet3!$H$2:$O$200,J$1,FALSE),VLOOKUP($E91,Sheet3!$H$2:$O$200,J$1,FALSE)))</f>
        <v>0</v>
      </c>
      <c r="K91" s="15">
        <f>IFERROR(VLOOKUP($C91,Sheet3!$H$2:$O$200,K$1,FALSE),IFERROR(VLOOKUP($D91,Sheet3!$H$2:$O$200,K$1,FALSE),VLOOKUP($E91,Sheet3!$H$2:$O$200,K$1,FALSE)))</f>
        <v>0</v>
      </c>
      <c r="L91" s="15">
        <f>IFERROR(VLOOKUP($C91,Sheet3!$H$2:$O$200,L$1,FALSE),IFERROR(VLOOKUP($D91,Sheet3!$H$2:$O$200,L$1,FALSE),VLOOKUP($E91,Sheet3!$H$2:$O$200,L$1,FALSE)))</f>
        <v>0</v>
      </c>
      <c r="M91" s="15" t="str">
        <f>IFERROR(VLOOKUP($C91,Sheet3!$H$2:$O$200,M$1,FALSE),IFERROR(VLOOKUP($D91,Sheet3!$H$2:$O$200,M$1,FALSE),VLOOKUP($E91,Sheet3!$H$2:$O$200,M$1,FALSE)))</f>
        <v>dry vermouth</v>
      </c>
      <c r="N91" s="15">
        <f>IFERROR(VLOOKUP($C91,Sheet3!$H$2:$O$200,N$1,FALSE),IFERROR(VLOOKUP($D91,Sheet3!$H$2:$O$200,N$1,FALSE),VLOOKUP($E91,Sheet3!$H$2:$O$200,N$1,FALSE)))</f>
        <v>0</v>
      </c>
      <c r="O91" s="15">
        <f>IFERROR(VLOOKUP($C91,Sheet3!$H$2:$O$200,O$1,FALSE),IFERROR(VLOOKUP($D91,Sheet3!$H$2:$O$200,O$1,FALSE),VLOOKUP($E91,Sheet3!$H$2:$O$200,O$1,FALSE)))</f>
        <v>0</v>
      </c>
      <c r="P91" s="15">
        <f>IFERROR(VLOOKUP($C91,Sheet3!$H$2:$O$200,P$1,FALSE),IFERROR(VLOOKUP($D91,Sheet3!$H$2:$O$200,P$1,FALSE),VLOOKUP($E91,Sheet3!$H$2:$O$200,P$1,FALSE)))</f>
        <v>0</v>
      </c>
      <c r="Q91" s="15">
        <f>IFERROR(IF(ISBLANK(J91),IFERROR(VLOOKUP($D91,Sheet3!$H$2:$O$200,Q$1,FALSE),IFERROR(VLOOKUP($E91,Sheet3!$H$2:$O$200,Q$1,FALSE),VLOOKUP($F91,Sheet3!$H$2:$O$200,Q$1,FALSE))),$I$1),$I$1)</f>
        <v>0</v>
      </c>
      <c r="R91" s="15">
        <f>IFERROR(IF(ISBLANK(K91),IFERROR(VLOOKUP($D91,Sheet3!$H$2:$O$200,R$1,FALSE),IFERROR(VLOOKUP($E91,Sheet3!$H$2:$O$200,R$1,FALSE),VLOOKUP($F91,Sheet3!$H$2:$O$200,R$1,FALSE))),$I$1),$I$1)</f>
        <v>0</v>
      </c>
      <c r="S91" s="15">
        <f>IFERROR(IF(ISBLANK(L91),IFERROR(VLOOKUP($D91,Sheet3!$H$2:$O$200,S$1,FALSE),IFERROR(VLOOKUP($E91,Sheet3!$H$2:$O$200,S$1,FALSE),VLOOKUP($F91,Sheet3!$H$2:$O$200,S$1,FALSE))),$I$1),$I$1)</f>
        <v>0</v>
      </c>
      <c r="T91" s="15">
        <f>IFERROR(IF(ISBLANK(M91),IFERROR(VLOOKUP($D91,Sheet3!$H$2:$O$200,T$1,FALSE),IFERROR(VLOOKUP($E91,Sheet3!$H$2:$O$200,T$1,FALSE),VLOOKUP($F91,Sheet3!$H$2:$O$200,T$1,FALSE))),$I$1),$I$1)</f>
        <v>0</v>
      </c>
      <c r="U91" s="15">
        <f>IFERROR(IF(ISBLANK(N91),IFERROR(VLOOKUP($D91,Sheet3!$H$2:$O$200,U$1,FALSE),IFERROR(VLOOKUP($E91,Sheet3!$H$2:$O$200,U$1,FALSE),VLOOKUP($F91,Sheet3!$H$2:$O$200,U$1,FALSE))),$I$1),$I$1)</f>
        <v>0</v>
      </c>
      <c r="V91" s="15">
        <f>IFERROR(IF(ISBLANK(O91),IFERROR(VLOOKUP($D91,Sheet3!$H$2:$O$200,V$1,FALSE),IFERROR(VLOOKUP($E91,Sheet3!$H$2:$O$200,V$1,FALSE),VLOOKUP($F91,Sheet3!$H$2:$O$200,V$1,FALSE))),$I$1),$I$1)</f>
        <v>0</v>
      </c>
      <c r="W91" s="15">
        <f>IFERROR(IF(ISBLANK(P91),IFERROR(VLOOKUP($D91,Sheet3!$H$2:$O$200,W$1,FALSE),IFERROR(VLOOKUP($E91,Sheet3!$H$2:$O$200,W$1,FALSE),VLOOKUP($F91,Sheet3!$H$2:$O$200,W$1,FALSE))),$I$1),$I$1)</f>
        <v>0</v>
      </c>
      <c r="X91" s="15">
        <f>IFERROR(IF(ISBLANK(Q91),IFERROR(VLOOKUP($E91,Sheet3!$H$2:$O$200,X$1,FALSE),IFERROR(VLOOKUP($F91,Sheet3!$H$2:$O$200,X$1,FALSE),VLOOKUP($G91,Sheet3!$H$2:$O$200,X$1,FALSE))),$I$1),$I$1)</f>
        <v>0</v>
      </c>
      <c r="Y91" s="15">
        <f>IFERROR(IF(ISBLANK(R91),IFERROR(VLOOKUP($E91,Sheet3!$H$2:$O$200,Y$1,FALSE),IFERROR(VLOOKUP($F91,Sheet3!$H$2:$O$200,Y$1,FALSE),VLOOKUP($G91,Sheet3!$H$2:$O$200,Y$1,FALSE))),$I$1),$I$1)</f>
        <v>0</v>
      </c>
      <c r="Z91" s="15">
        <f>IFERROR(IF(ISBLANK(S91),IFERROR(VLOOKUP($E91,Sheet3!$H$2:$O$200,Z$1,FALSE),IFERROR(VLOOKUP($F91,Sheet3!$H$2:$O$200,Z$1,FALSE),VLOOKUP($G91,Sheet3!$H$2:$O$200,Z$1,FALSE))),$I$1),$I$1)</f>
        <v>0</v>
      </c>
      <c r="AA91" s="15">
        <f>IFERROR(IF(ISBLANK(T91),IFERROR(VLOOKUP($E91,Sheet3!$H$2:$O$200,AA$1,FALSE),IFERROR(VLOOKUP($F91,Sheet3!$H$2:$O$200,AA$1,FALSE),VLOOKUP($G91,Sheet3!$H$2:$O$200,AA$1,FALSE))),$I$1),$I$1)</f>
        <v>0</v>
      </c>
      <c r="AB91" s="15">
        <f>IFERROR(IF(ISBLANK(U91),IFERROR(VLOOKUP($E91,Sheet3!$H$2:$O$200,AB$1,FALSE),IFERROR(VLOOKUP($F91,Sheet3!$H$2:$O$200,AB$1,FALSE),VLOOKUP($G91,Sheet3!$H$2:$O$200,AB$1,FALSE))),$I$1),$I$1)</f>
        <v>0</v>
      </c>
      <c r="AC91" s="15">
        <f>IFERROR(IF(ISBLANK(V91),IFERROR(VLOOKUP($E91,Sheet3!$H$2:$O$200,AC$1,FALSE),IFERROR(VLOOKUP($F91,Sheet3!$H$2:$O$200,AC$1,FALSE),VLOOKUP($G91,Sheet3!$H$2:$O$200,AC$1,FALSE))),$I$1),$I$1)</f>
        <v>0</v>
      </c>
      <c r="AD91" s="15">
        <f>IFERROR(IF(ISBLANK(W91),IFERROR(VLOOKUP($E91,Sheet3!$H$2:$O$200,AD$1,FALSE),IFERROR(VLOOKUP($F91,Sheet3!$H$2:$O$200,AD$1,FALSE),VLOOKUP($G91,Sheet3!$H$2:$O$200,AD$1,FALSE))),$I$1),$I$1)</f>
        <v>0</v>
      </c>
      <c r="AE91" s="15">
        <f>IFERROR(IF(ISBLANK(X91),IFERROR(VLOOKUP($F91,Sheet3!$H$2:$O$200,AE$1,FALSE),VLOOKUP($G91,Sheet3!$H$2:$O$200,AE$1,FALSE)),$I$1),$I$1)</f>
        <v>0</v>
      </c>
      <c r="AF91" s="15">
        <f>IFERROR(IF(ISBLANK(Y91),IFERROR(VLOOKUP($F91,Sheet3!$H$2:$O$200,AF$1,FALSE),VLOOKUP($G91,Sheet3!$H$2:$O$200,AF$1,FALSE)),$I$1),$I$1)</f>
        <v>0</v>
      </c>
      <c r="AG91" s="15">
        <f>IFERROR(IF(ISBLANK(Z91),IFERROR(VLOOKUP($F91,Sheet3!$H$2:$O$200,AG$1,FALSE),VLOOKUP($G91,Sheet3!$H$2:$O$200,AG$1,FALSE)),$I$1),$I$1)</f>
        <v>0</v>
      </c>
      <c r="AH91" s="15">
        <f>IFERROR(IF(ISBLANK(AA91),IFERROR(VLOOKUP($F91,Sheet3!$H$2:$O$200,AH$1,FALSE),VLOOKUP($G91,Sheet3!$H$2:$O$200,AH$1,FALSE)),$I$1),$I$1)</f>
        <v>0</v>
      </c>
      <c r="AI91" s="15">
        <f>IFERROR(IF(ISBLANK(AB91),IFERROR(VLOOKUP($F91,Sheet3!$H$2:$O$200,AI$1,FALSE),VLOOKUP($G91,Sheet3!$H$2:$O$200,AI$1,FALSE)),$I$1),$I$1)</f>
        <v>0</v>
      </c>
      <c r="AJ91" s="15">
        <f>IFERROR(IF(ISBLANK(AC91),IFERROR(VLOOKUP($F91,Sheet3!$H$2:$O$200,AJ$1,FALSE),VLOOKUP($G91,Sheet3!$H$2:$O$200,AJ$1,FALSE)),$I$1),$I$1)</f>
        <v>0</v>
      </c>
      <c r="AK91" s="15">
        <f>IFERROR(IF(ISBLANK(AD91),IFERROR(VLOOKUP($F91,Sheet3!$H$2:$O$200,AK$1,FALSE),VLOOKUP($G91,Sheet3!$H$2:$O$200,AK$1,FALSE)),$I$1),$I$1)</f>
        <v>0</v>
      </c>
      <c r="AL91" s="15">
        <f>IFERROR(IF(ISBLANK(AE91),VLOOKUP($G91,Sheet3!$H$2:$O$200,AL$1,FALSE),$I$1),$I$1)</f>
        <v>0</v>
      </c>
      <c r="AM91" s="15">
        <f>IFERROR(IF(ISBLANK(AF91),VLOOKUP($G91,Sheet3!$H$2:$O$200,AM$1,FALSE),$I$1),$I$1)</f>
        <v>0</v>
      </c>
      <c r="AN91" s="15">
        <f>IFERROR(IF(ISBLANK(AG91),VLOOKUP($G91,Sheet3!$H$2:$O$200,AN$1,FALSE),$I$1),$I$1)</f>
        <v>0</v>
      </c>
      <c r="AO91" s="15">
        <f>IFERROR(IF(ISBLANK(AH91),VLOOKUP($G91,Sheet3!$H$2:$O$200,AO$1,FALSE),$I$1),$I$1)</f>
        <v>0</v>
      </c>
      <c r="AP91" s="15">
        <f>IFERROR(IF(ISBLANK(AI91),VLOOKUP($G91,Sheet3!$H$2:$O$200,AP$1,FALSE),$I$1),$I$1)</f>
        <v>0</v>
      </c>
      <c r="AQ91" s="15">
        <f>IFERROR(IF(ISBLANK(AJ91),VLOOKUP($G91,Sheet3!$H$2:$O$200,AQ$1,FALSE),$I$1),$I$1)</f>
        <v>0</v>
      </c>
      <c r="AR91" s="15">
        <f>IFERROR(IF(ISBLANK(AK91),VLOOKUP($G91,Sheet3!$H$2:$O$200,AR$1,FALSE),$I$1),$I$1)</f>
        <v>0</v>
      </c>
      <c r="AS91" s="15">
        <f t="shared" si="1"/>
        <v>28</v>
      </c>
      <c r="AT91" s="15" t="b">
        <f t="shared" si="2"/>
        <v>0</v>
      </c>
    </row>
    <row r="92" spans="1:46" x14ac:dyDescent="0.2">
      <c r="A92" s="19" t="s">
        <v>210</v>
      </c>
      <c r="B92" s="19" t="s">
        <v>198</v>
      </c>
      <c r="C92" s="19" t="s">
        <v>52</v>
      </c>
      <c r="D92" s="19"/>
      <c r="E92" s="19" t="s">
        <v>100</v>
      </c>
      <c r="F92" s="19" t="s">
        <v>60</v>
      </c>
      <c r="G92" s="19"/>
      <c r="H92" s="19" t="s">
        <v>210</v>
      </c>
      <c r="I92" s="15">
        <f t="shared" si="0"/>
        <v>3</v>
      </c>
      <c r="J92" s="15">
        <f>IFERROR(VLOOKUP($C92,Sheet3!$H$2:$O$200,J$1,FALSE),IFERROR(VLOOKUP($D92,Sheet3!$H$2:$O$200,J$1,FALSE),VLOOKUP($E92,Sheet3!$H$2:$O$200,J$1,FALSE)))</f>
        <v>0</v>
      </c>
      <c r="K92" s="15">
        <f>IFERROR(VLOOKUP($C92,Sheet3!$H$2:$O$200,K$1,FALSE),IFERROR(VLOOKUP($D92,Sheet3!$H$2:$O$200,K$1,FALSE),VLOOKUP($E92,Sheet3!$H$2:$O$200,K$1,FALSE)))</f>
        <v>0</v>
      </c>
      <c r="L92" s="15">
        <f>IFERROR(VLOOKUP($C92,Sheet3!$H$2:$O$200,L$1,FALSE),IFERROR(VLOOKUP($D92,Sheet3!$H$2:$O$200,L$1,FALSE),VLOOKUP($E92,Sheet3!$H$2:$O$200,L$1,FALSE)))</f>
        <v>0</v>
      </c>
      <c r="M92" s="15" t="str">
        <f>IFERROR(VLOOKUP($C92,Sheet3!$H$2:$O$200,M$1,FALSE),IFERROR(VLOOKUP($D92,Sheet3!$H$2:$O$200,M$1,FALSE),VLOOKUP($E92,Sheet3!$H$2:$O$200,M$1,FALSE)))</f>
        <v>dry vermouth</v>
      </c>
      <c r="N92" s="15">
        <f>IFERROR(VLOOKUP($C92,Sheet3!$H$2:$O$200,N$1,FALSE),IFERROR(VLOOKUP($D92,Sheet3!$H$2:$O$200,N$1,FALSE),VLOOKUP($E92,Sheet3!$H$2:$O$200,N$1,FALSE)))</f>
        <v>0</v>
      </c>
      <c r="O92" s="15">
        <f>IFERROR(VLOOKUP($C92,Sheet3!$H$2:$O$200,O$1,FALSE),IFERROR(VLOOKUP($D92,Sheet3!$H$2:$O$200,O$1,FALSE),VLOOKUP($E92,Sheet3!$H$2:$O$200,O$1,FALSE)))</f>
        <v>0</v>
      </c>
      <c r="P92" s="15">
        <f>IFERROR(VLOOKUP($C92,Sheet3!$H$2:$O$200,P$1,FALSE),IFERROR(VLOOKUP($D92,Sheet3!$H$2:$O$200,P$1,FALSE),VLOOKUP($E92,Sheet3!$H$2:$O$200,P$1,FALSE)))</f>
        <v>0</v>
      </c>
      <c r="Q92" s="15">
        <f>IFERROR(IF(ISBLANK(J92),IFERROR(VLOOKUP($D92,Sheet3!$H$2:$O$200,Q$1,FALSE),IFERROR(VLOOKUP($E92,Sheet3!$H$2:$O$200,Q$1,FALSE),VLOOKUP($F92,Sheet3!$H$2:$O$200,Q$1,FALSE))),$I$1),$I$1)</f>
        <v>0</v>
      </c>
      <c r="R92" s="15">
        <f>IFERROR(IF(ISBLANK(K92),IFERROR(VLOOKUP($D92,Sheet3!$H$2:$O$200,R$1,FALSE),IFERROR(VLOOKUP($E92,Sheet3!$H$2:$O$200,R$1,FALSE),VLOOKUP($F92,Sheet3!$H$2:$O$200,R$1,FALSE))),$I$1),$I$1)</f>
        <v>0</v>
      </c>
      <c r="S92" s="15">
        <f>IFERROR(IF(ISBLANK(L92),IFERROR(VLOOKUP($D92,Sheet3!$H$2:$O$200,S$1,FALSE),IFERROR(VLOOKUP($E92,Sheet3!$H$2:$O$200,S$1,FALSE),VLOOKUP($F92,Sheet3!$H$2:$O$200,S$1,FALSE))),$I$1),$I$1)</f>
        <v>0</v>
      </c>
      <c r="T92" s="15">
        <f>IFERROR(IF(ISBLANK(M92),IFERROR(VLOOKUP($D92,Sheet3!$H$2:$O$200,T$1,FALSE),IFERROR(VLOOKUP($E92,Sheet3!$H$2:$O$200,T$1,FALSE),VLOOKUP($F92,Sheet3!$H$2:$O$200,T$1,FALSE))),$I$1),$I$1)</f>
        <v>0</v>
      </c>
      <c r="U92" s="15">
        <f>IFERROR(IF(ISBLANK(N92),IFERROR(VLOOKUP($D92,Sheet3!$H$2:$O$200,U$1,FALSE),IFERROR(VLOOKUP($E92,Sheet3!$H$2:$O$200,U$1,FALSE),VLOOKUP($F92,Sheet3!$H$2:$O$200,U$1,FALSE))),$I$1),$I$1)</f>
        <v>0</v>
      </c>
      <c r="V92" s="15">
        <f>IFERROR(IF(ISBLANK(O92),IFERROR(VLOOKUP($D92,Sheet3!$H$2:$O$200,V$1,FALSE),IFERROR(VLOOKUP($E92,Sheet3!$H$2:$O$200,V$1,FALSE),VLOOKUP($F92,Sheet3!$H$2:$O$200,V$1,FALSE))),$I$1),$I$1)</f>
        <v>0</v>
      </c>
      <c r="W92" s="15">
        <f>IFERROR(IF(ISBLANK(P92),IFERROR(VLOOKUP($D92,Sheet3!$H$2:$O$200,W$1,FALSE),IFERROR(VLOOKUP($E92,Sheet3!$H$2:$O$200,W$1,FALSE),VLOOKUP($F92,Sheet3!$H$2:$O$200,W$1,FALSE))),$I$1),$I$1)</f>
        <v>0</v>
      </c>
      <c r="X92" s="15">
        <f>IFERROR(IF(ISBLANK(Q92),IFERROR(VLOOKUP($E92,Sheet3!$H$2:$O$200,X$1,FALSE),IFERROR(VLOOKUP($F92,Sheet3!$H$2:$O$200,X$1,FALSE),VLOOKUP($G92,Sheet3!$H$2:$O$200,X$1,FALSE))),$I$1),$I$1)</f>
        <v>0</v>
      </c>
      <c r="Y92" s="15">
        <f>IFERROR(IF(ISBLANK(R92),IFERROR(VLOOKUP($E92,Sheet3!$H$2:$O$200,Y$1,FALSE),IFERROR(VLOOKUP($F92,Sheet3!$H$2:$O$200,Y$1,FALSE),VLOOKUP($G92,Sheet3!$H$2:$O$200,Y$1,FALSE))),$I$1),$I$1)</f>
        <v>0</v>
      </c>
      <c r="Z92" s="15">
        <f>IFERROR(IF(ISBLANK(S92),IFERROR(VLOOKUP($E92,Sheet3!$H$2:$O$200,Z$1,FALSE),IFERROR(VLOOKUP($F92,Sheet3!$H$2:$O$200,Z$1,FALSE),VLOOKUP($G92,Sheet3!$H$2:$O$200,Z$1,FALSE))),$I$1),$I$1)</f>
        <v>0</v>
      </c>
      <c r="AA92" s="15">
        <f>IFERROR(IF(ISBLANK(T92),IFERROR(VLOOKUP($E92,Sheet3!$H$2:$O$200,AA$1,FALSE),IFERROR(VLOOKUP($F92,Sheet3!$H$2:$O$200,AA$1,FALSE),VLOOKUP($G92,Sheet3!$H$2:$O$200,AA$1,FALSE))),$I$1),$I$1)</f>
        <v>0</v>
      </c>
      <c r="AB92" s="15">
        <f>IFERROR(IF(ISBLANK(U92),IFERROR(VLOOKUP($E92,Sheet3!$H$2:$O$200,AB$1,FALSE),IFERROR(VLOOKUP($F92,Sheet3!$H$2:$O$200,AB$1,FALSE),VLOOKUP($G92,Sheet3!$H$2:$O$200,AB$1,FALSE))),$I$1),$I$1)</f>
        <v>0</v>
      </c>
      <c r="AC92" s="15">
        <f>IFERROR(IF(ISBLANK(V92),IFERROR(VLOOKUP($E92,Sheet3!$H$2:$O$200,AC$1,FALSE),IFERROR(VLOOKUP($F92,Sheet3!$H$2:$O$200,AC$1,FALSE),VLOOKUP($G92,Sheet3!$H$2:$O$200,AC$1,FALSE))),$I$1),$I$1)</f>
        <v>0</v>
      </c>
      <c r="AD92" s="15">
        <f>IFERROR(IF(ISBLANK(W92),IFERROR(VLOOKUP($E92,Sheet3!$H$2:$O$200,AD$1,FALSE),IFERROR(VLOOKUP($F92,Sheet3!$H$2:$O$200,AD$1,FALSE),VLOOKUP($G92,Sheet3!$H$2:$O$200,AD$1,FALSE))),$I$1),$I$1)</f>
        <v>0</v>
      </c>
      <c r="AE92" s="15">
        <f>IFERROR(IF(ISBLANK(X92),IFERROR(VLOOKUP($F92,Sheet3!$H$2:$O$200,AE$1,FALSE),VLOOKUP($G92,Sheet3!$H$2:$O$200,AE$1,FALSE)),$I$1),$I$1)</f>
        <v>0</v>
      </c>
      <c r="AF92" s="15">
        <f>IFERROR(IF(ISBLANK(Y92),IFERROR(VLOOKUP($F92,Sheet3!$H$2:$O$200,AF$1,FALSE),VLOOKUP($G92,Sheet3!$H$2:$O$200,AF$1,FALSE)),$I$1),$I$1)</f>
        <v>0</v>
      </c>
      <c r="AG92" s="15">
        <f>IFERROR(IF(ISBLANK(Z92),IFERROR(VLOOKUP($F92,Sheet3!$H$2:$O$200,AG$1,FALSE),VLOOKUP($G92,Sheet3!$H$2:$O$200,AG$1,FALSE)),$I$1),$I$1)</f>
        <v>0</v>
      </c>
      <c r="AH92" s="15">
        <f>IFERROR(IF(ISBLANK(AA92),IFERROR(VLOOKUP($F92,Sheet3!$H$2:$O$200,AH$1,FALSE),VLOOKUP($G92,Sheet3!$H$2:$O$200,AH$1,FALSE)),$I$1),$I$1)</f>
        <v>0</v>
      </c>
      <c r="AI92" s="15">
        <f>IFERROR(IF(ISBLANK(AB92),IFERROR(VLOOKUP($F92,Sheet3!$H$2:$O$200,AI$1,FALSE),VLOOKUP($G92,Sheet3!$H$2:$O$200,AI$1,FALSE)),$I$1),$I$1)</f>
        <v>0</v>
      </c>
      <c r="AJ92" s="15">
        <f>IFERROR(IF(ISBLANK(AC92),IFERROR(VLOOKUP($F92,Sheet3!$H$2:$O$200,AJ$1,FALSE),VLOOKUP($G92,Sheet3!$H$2:$O$200,AJ$1,FALSE)),$I$1),$I$1)</f>
        <v>0</v>
      </c>
      <c r="AK92" s="15">
        <f>IFERROR(IF(ISBLANK(AD92),IFERROR(VLOOKUP($F92,Sheet3!$H$2:$O$200,AK$1,FALSE),VLOOKUP($G92,Sheet3!$H$2:$O$200,AK$1,FALSE)),$I$1),$I$1)</f>
        <v>0</v>
      </c>
      <c r="AL92" s="15">
        <f>IFERROR(IF(ISBLANK(AE92),VLOOKUP($G92,Sheet3!$H$2:$O$200,AL$1,FALSE),$I$1),$I$1)</f>
        <v>0</v>
      </c>
      <c r="AM92" s="15">
        <f>IFERROR(IF(ISBLANK(AF92),VLOOKUP($G92,Sheet3!$H$2:$O$200,AM$1,FALSE),$I$1),$I$1)</f>
        <v>0</v>
      </c>
      <c r="AN92" s="15">
        <f>IFERROR(IF(ISBLANK(AG92),VLOOKUP($G92,Sheet3!$H$2:$O$200,AN$1,FALSE),$I$1),$I$1)</f>
        <v>0</v>
      </c>
      <c r="AO92" s="15">
        <f>IFERROR(IF(ISBLANK(AH92),VLOOKUP($G92,Sheet3!$H$2:$O$200,AO$1,FALSE),$I$1),$I$1)</f>
        <v>0</v>
      </c>
      <c r="AP92" s="15">
        <f>IFERROR(IF(ISBLANK(AI92),VLOOKUP($G92,Sheet3!$H$2:$O$200,AP$1,FALSE),$I$1),$I$1)</f>
        <v>0</v>
      </c>
      <c r="AQ92" s="15">
        <f>IFERROR(IF(ISBLANK(AJ92),VLOOKUP($G92,Sheet3!$H$2:$O$200,AQ$1,FALSE),$I$1),$I$1)</f>
        <v>0</v>
      </c>
      <c r="AR92" s="15">
        <f>IFERROR(IF(ISBLANK(AK92),VLOOKUP($G92,Sheet3!$H$2:$O$200,AR$1,FALSE),$I$1),$I$1)</f>
        <v>0</v>
      </c>
      <c r="AS92" s="15">
        <f t="shared" si="1"/>
        <v>28</v>
      </c>
      <c r="AT92" s="15" t="b">
        <f t="shared" si="2"/>
        <v>0</v>
      </c>
    </row>
    <row r="93" spans="1:46" x14ac:dyDescent="0.2">
      <c r="A93" s="19" t="s">
        <v>211</v>
      </c>
      <c r="B93" s="19" t="s">
        <v>198</v>
      </c>
      <c r="C93" s="19" t="s">
        <v>52</v>
      </c>
      <c r="D93" s="19"/>
      <c r="E93" s="19" t="s">
        <v>108</v>
      </c>
      <c r="F93" s="19"/>
      <c r="G93" s="19"/>
      <c r="H93" s="19" t="s">
        <v>211</v>
      </c>
      <c r="I93" s="15">
        <f t="shared" si="0"/>
        <v>2</v>
      </c>
      <c r="J93" s="15">
        <f>IFERROR(VLOOKUP($C93,Sheet3!$H$2:$O$200,J$1,FALSE),IFERROR(VLOOKUP($D93,Sheet3!$H$2:$O$200,J$1,FALSE),VLOOKUP($E93,Sheet3!$H$2:$O$200,J$1,FALSE)))</f>
        <v>0</v>
      </c>
      <c r="K93" s="15">
        <f>IFERROR(VLOOKUP($C93,Sheet3!$H$2:$O$200,K$1,FALSE),IFERROR(VLOOKUP($D93,Sheet3!$H$2:$O$200,K$1,FALSE),VLOOKUP($E93,Sheet3!$H$2:$O$200,K$1,FALSE)))</f>
        <v>0</v>
      </c>
      <c r="L93" s="15">
        <f>IFERROR(VLOOKUP($C93,Sheet3!$H$2:$O$200,L$1,FALSE),IFERROR(VLOOKUP($D93,Sheet3!$H$2:$O$200,L$1,FALSE),VLOOKUP($E93,Sheet3!$H$2:$O$200,L$1,FALSE)))</f>
        <v>0</v>
      </c>
      <c r="M93" s="15" t="str">
        <f>IFERROR(VLOOKUP($C93,Sheet3!$H$2:$O$200,M$1,FALSE),IFERROR(VLOOKUP($D93,Sheet3!$H$2:$O$200,M$1,FALSE),VLOOKUP($E93,Sheet3!$H$2:$O$200,M$1,FALSE)))</f>
        <v>dry vermouth</v>
      </c>
      <c r="N93" s="15">
        <f>IFERROR(VLOOKUP($C93,Sheet3!$H$2:$O$200,N$1,FALSE),IFERROR(VLOOKUP($D93,Sheet3!$H$2:$O$200,N$1,FALSE),VLOOKUP($E93,Sheet3!$H$2:$O$200,N$1,FALSE)))</f>
        <v>0</v>
      </c>
      <c r="O93" s="15">
        <f>IFERROR(VLOOKUP($C93,Sheet3!$H$2:$O$200,O$1,FALSE),IFERROR(VLOOKUP($D93,Sheet3!$H$2:$O$200,O$1,FALSE),VLOOKUP($E93,Sheet3!$H$2:$O$200,O$1,FALSE)))</f>
        <v>0</v>
      </c>
      <c r="P93" s="15">
        <f>IFERROR(VLOOKUP($C93,Sheet3!$H$2:$O$200,P$1,FALSE),IFERROR(VLOOKUP($D93,Sheet3!$H$2:$O$200,P$1,FALSE),VLOOKUP($E93,Sheet3!$H$2:$O$200,P$1,FALSE)))</f>
        <v>0</v>
      </c>
      <c r="Q93" s="15">
        <f>IFERROR(IF(ISBLANK(J93),IFERROR(VLOOKUP($D93,Sheet3!$H$2:$O$200,Q$1,FALSE),IFERROR(VLOOKUP($E93,Sheet3!$H$2:$O$200,Q$1,FALSE),VLOOKUP($F93,Sheet3!$H$2:$O$200,Q$1,FALSE))),$I$1),$I$1)</f>
        <v>0</v>
      </c>
      <c r="R93" s="15">
        <f>IFERROR(IF(ISBLANK(K93),IFERROR(VLOOKUP($D93,Sheet3!$H$2:$O$200,R$1,FALSE),IFERROR(VLOOKUP($E93,Sheet3!$H$2:$O$200,R$1,FALSE),VLOOKUP($F93,Sheet3!$H$2:$O$200,R$1,FALSE))),$I$1),$I$1)</f>
        <v>0</v>
      </c>
      <c r="S93" s="15">
        <f>IFERROR(IF(ISBLANK(L93),IFERROR(VLOOKUP($D93,Sheet3!$H$2:$O$200,S$1,FALSE),IFERROR(VLOOKUP($E93,Sheet3!$H$2:$O$200,S$1,FALSE),VLOOKUP($F93,Sheet3!$H$2:$O$200,S$1,FALSE))),$I$1),$I$1)</f>
        <v>0</v>
      </c>
      <c r="T93" s="15">
        <f>IFERROR(IF(ISBLANK(M93),IFERROR(VLOOKUP($D93,Sheet3!$H$2:$O$200,T$1,FALSE),IFERROR(VLOOKUP($E93,Sheet3!$H$2:$O$200,T$1,FALSE),VLOOKUP($F93,Sheet3!$H$2:$O$200,T$1,FALSE))),$I$1),$I$1)</f>
        <v>0</v>
      </c>
      <c r="U93" s="15">
        <f>IFERROR(IF(ISBLANK(N93),IFERROR(VLOOKUP($D93,Sheet3!$H$2:$O$200,U$1,FALSE),IFERROR(VLOOKUP($E93,Sheet3!$H$2:$O$200,U$1,FALSE),VLOOKUP($F93,Sheet3!$H$2:$O$200,U$1,FALSE))),$I$1),$I$1)</f>
        <v>0</v>
      </c>
      <c r="V93" s="15">
        <f>IFERROR(IF(ISBLANK(O93),IFERROR(VLOOKUP($D93,Sheet3!$H$2:$O$200,V$1,FALSE),IFERROR(VLOOKUP($E93,Sheet3!$H$2:$O$200,V$1,FALSE),VLOOKUP($F93,Sheet3!$H$2:$O$200,V$1,FALSE))),$I$1),$I$1)</f>
        <v>0</v>
      </c>
      <c r="W93" s="15">
        <f>IFERROR(IF(ISBLANK(P93),IFERROR(VLOOKUP($D93,Sheet3!$H$2:$O$200,W$1,FALSE),IFERROR(VLOOKUP($E93,Sheet3!$H$2:$O$200,W$1,FALSE),VLOOKUP($F93,Sheet3!$H$2:$O$200,W$1,FALSE))),$I$1),$I$1)</f>
        <v>0</v>
      </c>
      <c r="X93" s="15">
        <f>IFERROR(IF(ISBLANK(Q93),IFERROR(VLOOKUP($E93,Sheet3!$H$2:$O$200,X$1,FALSE),IFERROR(VLOOKUP($F93,Sheet3!$H$2:$O$200,X$1,FALSE),VLOOKUP($G93,Sheet3!$H$2:$O$200,X$1,FALSE))),$I$1),$I$1)</f>
        <v>0</v>
      </c>
      <c r="Y93" s="15">
        <f>IFERROR(IF(ISBLANK(R93),IFERROR(VLOOKUP($E93,Sheet3!$H$2:$O$200,Y$1,FALSE),IFERROR(VLOOKUP($F93,Sheet3!$H$2:$O$200,Y$1,FALSE),VLOOKUP($G93,Sheet3!$H$2:$O$200,Y$1,FALSE))),$I$1),$I$1)</f>
        <v>0</v>
      </c>
      <c r="Z93" s="15">
        <f>IFERROR(IF(ISBLANK(S93),IFERROR(VLOOKUP($E93,Sheet3!$H$2:$O$200,Z$1,FALSE),IFERROR(VLOOKUP($F93,Sheet3!$H$2:$O$200,Z$1,FALSE),VLOOKUP($G93,Sheet3!$H$2:$O$200,Z$1,FALSE))),$I$1),$I$1)</f>
        <v>0</v>
      </c>
      <c r="AA93" s="15">
        <f>IFERROR(IF(ISBLANK(T93),IFERROR(VLOOKUP($E93,Sheet3!$H$2:$O$200,AA$1,FALSE),IFERROR(VLOOKUP($F93,Sheet3!$H$2:$O$200,AA$1,FALSE),VLOOKUP($G93,Sheet3!$H$2:$O$200,AA$1,FALSE))),$I$1),$I$1)</f>
        <v>0</v>
      </c>
      <c r="AB93" s="15">
        <f>IFERROR(IF(ISBLANK(U93),IFERROR(VLOOKUP($E93,Sheet3!$H$2:$O$200,AB$1,FALSE),IFERROR(VLOOKUP($F93,Sheet3!$H$2:$O$200,AB$1,FALSE),VLOOKUP($G93,Sheet3!$H$2:$O$200,AB$1,FALSE))),$I$1),$I$1)</f>
        <v>0</v>
      </c>
      <c r="AC93" s="15">
        <f>IFERROR(IF(ISBLANK(V93),IFERROR(VLOOKUP($E93,Sheet3!$H$2:$O$200,AC$1,FALSE),IFERROR(VLOOKUP($F93,Sheet3!$H$2:$O$200,AC$1,FALSE),VLOOKUP($G93,Sheet3!$H$2:$O$200,AC$1,FALSE))),$I$1),$I$1)</f>
        <v>0</v>
      </c>
      <c r="AD93" s="15">
        <f>IFERROR(IF(ISBLANK(W93),IFERROR(VLOOKUP($E93,Sheet3!$H$2:$O$200,AD$1,FALSE),IFERROR(VLOOKUP($F93,Sheet3!$H$2:$O$200,AD$1,FALSE),VLOOKUP($G93,Sheet3!$H$2:$O$200,AD$1,FALSE))),$I$1),$I$1)</f>
        <v>0</v>
      </c>
      <c r="AE93" s="15">
        <f>IFERROR(IF(ISBLANK(X93),IFERROR(VLOOKUP($F93,Sheet3!$H$2:$O$200,AE$1,FALSE),VLOOKUP($G93,Sheet3!$H$2:$O$200,AE$1,FALSE)),$I$1),$I$1)</f>
        <v>0</v>
      </c>
      <c r="AF93" s="15">
        <f>IFERROR(IF(ISBLANK(Y93),IFERROR(VLOOKUP($F93,Sheet3!$H$2:$O$200,AF$1,FALSE),VLOOKUP($G93,Sheet3!$H$2:$O$200,AF$1,FALSE)),$I$1),$I$1)</f>
        <v>0</v>
      </c>
      <c r="AG93" s="15">
        <f>IFERROR(IF(ISBLANK(Z93),IFERROR(VLOOKUP($F93,Sheet3!$H$2:$O$200,AG$1,FALSE),VLOOKUP($G93,Sheet3!$H$2:$O$200,AG$1,FALSE)),$I$1),$I$1)</f>
        <v>0</v>
      </c>
      <c r="AH93" s="15">
        <f>IFERROR(IF(ISBLANK(AA93),IFERROR(VLOOKUP($F93,Sheet3!$H$2:$O$200,AH$1,FALSE),VLOOKUP($G93,Sheet3!$H$2:$O$200,AH$1,FALSE)),$I$1),$I$1)</f>
        <v>0</v>
      </c>
      <c r="AI93" s="15">
        <f>IFERROR(IF(ISBLANK(AB93),IFERROR(VLOOKUP($F93,Sheet3!$H$2:$O$200,AI$1,FALSE),VLOOKUP($G93,Sheet3!$H$2:$O$200,AI$1,FALSE)),$I$1),$I$1)</f>
        <v>0</v>
      </c>
      <c r="AJ93" s="15">
        <f>IFERROR(IF(ISBLANK(AC93),IFERROR(VLOOKUP($F93,Sheet3!$H$2:$O$200,AJ$1,FALSE),VLOOKUP($G93,Sheet3!$H$2:$O$200,AJ$1,FALSE)),$I$1),$I$1)</f>
        <v>0</v>
      </c>
      <c r="AK93" s="15">
        <f>IFERROR(IF(ISBLANK(AD93),IFERROR(VLOOKUP($F93,Sheet3!$H$2:$O$200,AK$1,FALSE),VLOOKUP($G93,Sheet3!$H$2:$O$200,AK$1,FALSE)),$I$1),$I$1)</f>
        <v>0</v>
      </c>
      <c r="AL93" s="15">
        <f>IFERROR(IF(ISBLANK(AE93),VLOOKUP($G93,Sheet3!$H$2:$O$200,AL$1,FALSE),$I$1),$I$1)</f>
        <v>0</v>
      </c>
      <c r="AM93" s="15">
        <f>IFERROR(IF(ISBLANK(AF93),VLOOKUP($G93,Sheet3!$H$2:$O$200,AM$1,FALSE),$I$1),$I$1)</f>
        <v>0</v>
      </c>
      <c r="AN93" s="15">
        <f>IFERROR(IF(ISBLANK(AG93),VLOOKUP($G93,Sheet3!$H$2:$O$200,AN$1,FALSE),$I$1),$I$1)</f>
        <v>0</v>
      </c>
      <c r="AO93" s="15">
        <f>IFERROR(IF(ISBLANK(AH93),VLOOKUP($G93,Sheet3!$H$2:$O$200,AO$1,FALSE),$I$1),$I$1)</f>
        <v>0</v>
      </c>
      <c r="AP93" s="15">
        <f>IFERROR(IF(ISBLANK(AI93),VLOOKUP($G93,Sheet3!$H$2:$O$200,AP$1,FALSE),$I$1),$I$1)</f>
        <v>0</v>
      </c>
      <c r="AQ93" s="15">
        <f>IFERROR(IF(ISBLANK(AJ93),VLOOKUP($G93,Sheet3!$H$2:$O$200,AQ$1,FALSE),$I$1),$I$1)</f>
        <v>0</v>
      </c>
      <c r="AR93" s="15">
        <f>IFERROR(IF(ISBLANK(AK93),VLOOKUP($G93,Sheet3!$H$2:$O$200,AR$1,FALSE),$I$1),$I$1)</f>
        <v>0</v>
      </c>
      <c r="AS93" s="15">
        <f t="shared" si="1"/>
        <v>28</v>
      </c>
      <c r="AT93" s="15" t="b">
        <f t="shared" si="2"/>
        <v>0</v>
      </c>
    </row>
    <row r="94" spans="1:46" x14ac:dyDescent="0.2">
      <c r="A94" s="19" t="s">
        <v>212</v>
      </c>
      <c r="B94" s="19" t="s">
        <v>198</v>
      </c>
      <c r="C94" s="19" t="s">
        <v>52</v>
      </c>
      <c r="D94" s="19"/>
      <c r="E94" s="19" t="s">
        <v>213</v>
      </c>
      <c r="F94" s="19"/>
      <c r="G94" s="19"/>
      <c r="H94" s="19" t="s">
        <v>212</v>
      </c>
      <c r="I94" s="15">
        <f t="shared" si="0"/>
        <v>2</v>
      </c>
      <c r="J94" s="15">
        <f>IFERROR(VLOOKUP($C94,Sheet3!$H$2:$O$200,J$1,FALSE),IFERROR(VLOOKUP($D94,Sheet3!$H$2:$O$200,J$1,FALSE),VLOOKUP($E94,Sheet3!$H$2:$O$200,J$1,FALSE)))</f>
        <v>0</v>
      </c>
      <c r="K94" s="15">
        <f>IFERROR(VLOOKUP($C94,Sheet3!$H$2:$O$200,K$1,FALSE),IFERROR(VLOOKUP($D94,Sheet3!$H$2:$O$200,K$1,FALSE),VLOOKUP($E94,Sheet3!$H$2:$O$200,K$1,FALSE)))</f>
        <v>0</v>
      </c>
      <c r="L94" s="15">
        <f>IFERROR(VLOOKUP($C94,Sheet3!$H$2:$O$200,L$1,FALSE),IFERROR(VLOOKUP($D94,Sheet3!$H$2:$O$200,L$1,FALSE),VLOOKUP($E94,Sheet3!$H$2:$O$200,L$1,FALSE)))</f>
        <v>0</v>
      </c>
      <c r="M94" s="15" t="str">
        <f>IFERROR(VLOOKUP($C94,Sheet3!$H$2:$O$200,M$1,FALSE),IFERROR(VLOOKUP($D94,Sheet3!$H$2:$O$200,M$1,FALSE),VLOOKUP($E94,Sheet3!$H$2:$O$200,M$1,FALSE)))</f>
        <v>dry vermouth</v>
      </c>
      <c r="N94" s="15">
        <f>IFERROR(VLOOKUP($C94,Sheet3!$H$2:$O$200,N$1,FALSE),IFERROR(VLOOKUP($D94,Sheet3!$H$2:$O$200,N$1,FALSE),VLOOKUP($E94,Sheet3!$H$2:$O$200,N$1,FALSE)))</f>
        <v>0</v>
      </c>
      <c r="O94" s="15">
        <f>IFERROR(VLOOKUP($C94,Sheet3!$H$2:$O$200,O$1,FALSE),IFERROR(VLOOKUP($D94,Sheet3!$H$2:$O$200,O$1,FALSE),VLOOKUP($E94,Sheet3!$H$2:$O$200,O$1,FALSE)))</f>
        <v>0</v>
      </c>
      <c r="P94" s="15">
        <f>IFERROR(VLOOKUP($C94,Sheet3!$H$2:$O$200,P$1,FALSE),IFERROR(VLOOKUP($D94,Sheet3!$H$2:$O$200,P$1,FALSE),VLOOKUP($E94,Sheet3!$H$2:$O$200,P$1,FALSE)))</f>
        <v>0</v>
      </c>
      <c r="Q94" s="15">
        <f>IFERROR(IF(ISBLANK(J94),IFERROR(VLOOKUP($D94,Sheet3!$H$2:$O$200,Q$1,FALSE),IFERROR(VLOOKUP($E94,Sheet3!$H$2:$O$200,Q$1,FALSE),VLOOKUP($F94,Sheet3!$H$2:$O$200,Q$1,FALSE))),$I$1),$I$1)</f>
        <v>0</v>
      </c>
      <c r="R94" s="15">
        <f>IFERROR(IF(ISBLANK(K94),IFERROR(VLOOKUP($D94,Sheet3!$H$2:$O$200,R$1,FALSE),IFERROR(VLOOKUP($E94,Sheet3!$H$2:$O$200,R$1,FALSE),VLOOKUP($F94,Sheet3!$H$2:$O$200,R$1,FALSE))),$I$1),$I$1)</f>
        <v>0</v>
      </c>
      <c r="S94" s="15">
        <f>IFERROR(IF(ISBLANK(L94),IFERROR(VLOOKUP($D94,Sheet3!$H$2:$O$200,S$1,FALSE),IFERROR(VLOOKUP($E94,Sheet3!$H$2:$O$200,S$1,FALSE),VLOOKUP($F94,Sheet3!$H$2:$O$200,S$1,FALSE))),$I$1),$I$1)</f>
        <v>0</v>
      </c>
      <c r="T94" s="15">
        <f>IFERROR(IF(ISBLANK(M94),IFERROR(VLOOKUP($D94,Sheet3!$H$2:$O$200,T$1,FALSE),IFERROR(VLOOKUP($E94,Sheet3!$H$2:$O$200,T$1,FALSE),VLOOKUP($F94,Sheet3!$H$2:$O$200,T$1,FALSE))),$I$1),$I$1)</f>
        <v>0</v>
      </c>
      <c r="U94" s="15">
        <f>IFERROR(IF(ISBLANK(N94),IFERROR(VLOOKUP($D94,Sheet3!$H$2:$O$200,U$1,FALSE),IFERROR(VLOOKUP($E94,Sheet3!$H$2:$O$200,U$1,FALSE),VLOOKUP($F94,Sheet3!$H$2:$O$200,U$1,FALSE))),$I$1),$I$1)</f>
        <v>0</v>
      </c>
      <c r="V94" s="15">
        <f>IFERROR(IF(ISBLANK(O94),IFERROR(VLOOKUP($D94,Sheet3!$H$2:$O$200,V$1,FALSE),IFERROR(VLOOKUP($E94,Sheet3!$H$2:$O$200,V$1,FALSE),VLOOKUP($F94,Sheet3!$H$2:$O$200,V$1,FALSE))),$I$1),$I$1)</f>
        <v>0</v>
      </c>
      <c r="W94" s="15">
        <f>IFERROR(IF(ISBLANK(P94),IFERROR(VLOOKUP($D94,Sheet3!$H$2:$O$200,W$1,FALSE),IFERROR(VLOOKUP($E94,Sheet3!$H$2:$O$200,W$1,FALSE),VLOOKUP($F94,Sheet3!$H$2:$O$200,W$1,FALSE))),$I$1),$I$1)</f>
        <v>0</v>
      </c>
      <c r="X94" s="15">
        <f>IFERROR(IF(ISBLANK(Q94),IFERROR(VLOOKUP($E94,Sheet3!$H$2:$O$200,X$1,FALSE),IFERROR(VLOOKUP($F94,Sheet3!$H$2:$O$200,X$1,FALSE),VLOOKUP($G94,Sheet3!$H$2:$O$200,X$1,FALSE))),$I$1),$I$1)</f>
        <v>0</v>
      </c>
      <c r="Y94" s="15">
        <f>IFERROR(IF(ISBLANK(R94),IFERROR(VLOOKUP($E94,Sheet3!$H$2:$O$200,Y$1,FALSE),IFERROR(VLOOKUP($F94,Sheet3!$H$2:$O$200,Y$1,FALSE),VLOOKUP($G94,Sheet3!$H$2:$O$200,Y$1,FALSE))),$I$1),$I$1)</f>
        <v>0</v>
      </c>
      <c r="Z94" s="15">
        <f>IFERROR(IF(ISBLANK(S94),IFERROR(VLOOKUP($E94,Sheet3!$H$2:$O$200,Z$1,FALSE),IFERROR(VLOOKUP($F94,Sheet3!$H$2:$O$200,Z$1,FALSE),VLOOKUP($G94,Sheet3!$H$2:$O$200,Z$1,FALSE))),$I$1),$I$1)</f>
        <v>0</v>
      </c>
      <c r="AA94" s="15">
        <f>IFERROR(IF(ISBLANK(T94),IFERROR(VLOOKUP($E94,Sheet3!$H$2:$O$200,AA$1,FALSE),IFERROR(VLOOKUP($F94,Sheet3!$H$2:$O$200,AA$1,FALSE),VLOOKUP($G94,Sheet3!$H$2:$O$200,AA$1,FALSE))),$I$1),$I$1)</f>
        <v>0</v>
      </c>
      <c r="AB94" s="15">
        <f>IFERROR(IF(ISBLANK(U94),IFERROR(VLOOKUP($E94,Sheet3!$H$2:$O$200,AB$1,FALSE),IFERROR(VLOOKUP($F94,Sheet3!$H$2:$O$200,AB$1,FALSE),VLOOKUP($G94,Sheet3!$H$2:$O$200,AB$1,FALSE))),$I$1),$I$1)</f>
        <v>0</v>
      </c>
      <c r="AC94" s="15">
        <f>IFERROR(IF(ISBLANK(V94),IFERROR(VLOOKUP($E94,Sheet3!$H$2:$O$200,AC$1,FALSE),IFERROR(VLOOKUP($F94,Sheet3!$H$2:$O$200,AC$1,FALSE),VLOOKUP($G94,Sheet3!$H$2:$O$200,AC$1,FALSE))),$I$1),$I$1)</f>
        <v>0</v>
      </c>
      <c r="AD94" s="15">
        <f>IFERROR(IF(ISBLANK(W94),IFERROR(VLOOKUP($E94,Sheet3!$H$2:$O$200,AD$1,FALSE),IFERROR(VLOOKUP($F94,Sheet3!$H$2:$O$200,AD$1,FALSE),VLOOKUP($G94,Sheet3!$H$2:$O$200,AD$1,FALSE))),$I$1),$I$1)</f>
        <v>0</v>
      </c>
      <c r="AE94" s="15">
        <f>IFERROR(IF(ISBLANK(X94),IFERROR(VLOOKUP($F94,Sheet3!$H$2:$O$200,AE$1,FALSE),VLOOKUP($G94,Sheet3!$H$2:$O$200,AE$1,FALSE)),$I$1),$I$1)</f>
        <v>0</v>
      </c>
      <c r="AF94" s="15">
        <f>IFERROR(IF(ISBLANK(Y94),IFERROR(VLOOKUP($F94,Sheet3!$H$2:$O$200,AF$1,FALSE),VLOOKUP($G94,Sheet3!$H$2:$O$200,AF$1,FALSE)),$I$1),$I$1)</f>
        <v>0</v>
      </c>
      <c r="AG94" s="15">
        <f>IFERROR(IF(ISBLANK(Z94),IFERROR(VLOOKUP($F94,Sheet3!$H$2:$O$200,AG$1,FALSE),VLOOKUP($G94,Sheet3!$H$2:$O$200,AG$1,FALSE)),$I$1),$I$1)</f>
        <v>0</v>
      </c>
      <c r="AH94" s="15">
        <f>IFERROR(IF(ISBLANK(AA94),IFERROR(VLOOKUP($F94,Sheet3!$H$2:$O$200,AH$1,FALSE),VLOOKUP($G94,Sheet3!$H$2:$O$200,AH$1,FALSE)),$I$1),$I$1)</f>
        <v>0</v>
      </c>
      <c r="AI94" s="15">
        <f>IFERROR(IF(ISBLANK(AB94),IFERROR(VLOOKUP($F94,Sheet3!$H$2:$O$200,AI$1,FALSE),VLOOKUP($G94,Sheet3!$H$2:$O$200,AI$1,FALSE)),$I$1),$I$1)</f>
        <v>0</v>
      </c>
      <c r="AJ94" s="15">
        <f>IFERROR(IF(ISBLANK(AC94),IFERROR(VLOOKUP($F94,Sheet3!$H$2:$O$200,AJ$1,FALSE),VLOOKUP($G94,Sheet3!$H$2:$O$200,AJ$1,FALSE)),$I$1),$I$1)</f>
        <v>0</v>
      </c>
      <c r="AK94" s="15">
        <f>IFERROR(IF(ISBLANK(AD94),IFERROR(VLOOKUP($F94,Sheet3!$H$2:$O$200,AK$1,FALSE),VLOOKUP($G94,Sheet3!$H$2:$O$200,AK$1,FALSE)),$I$1),$I$1)</f>
        <v>0</v>
      </c>
      <c r="AL94" s="15">
        <f>IFERROR(IF(ISBLANK(AE94),VLOOKUP($G94,Sheet3!$H$2:$O$200,AL$1,FALSE),$I$1),$I$1)</f>
        <v>0</v>
      </c>
      <c r="AM94" s="15">
        <f>IFERROR(IF(ISBLANK(AF94),VLOOKUP($G94,Sheet3!$H$2:$O$200,AM$1,FALSE),$I$1),$I$1)</f>
        <v>0</v>
      </c>
      <c r="AN94" s="15">
        <f>IFERROR(IF(ISBLANK(AG94),VLOOKUP($G94,Sheet3!$H$2:$O$200,AN$1,FALSE),$I$1),$I$1)</f>
        <v>0</v>
      </c>
      <c r="AO94" s="15">
        <f>IFERROR(IF(ISBLANK(AH94),VLOOKUP($G94,Sheet3!$H$2:$O$200,AO$1,FALSE),$I$1),$I$1)</f>
        <v>0</v>
      </c>
      <c r="AP94" s="15">
        <f>IFERROR(IF(ISBLANK(AI94),VLOOKUP($G94,Sheet3!$H$2:$O$200,AP$1,FALSE),$I$1),$I$1)</f>
        <v>0</v>
      </c>
      <c r="AQ94" s="15">
        <f>IFERROR(IF(ISBLANK(AJ94),VLOOKUP($G94,Sheet3!$H$2:$O$200,AQ$1,FALSE),$I$1),$I$1)</f>
        <v>0</v>
      </c>
      <c r="AR94" s="15">
        <f>IFERROR(IF(ISBLANK(AK94),VLOOKUP($G94,Sheet3!$H$2:$O$200,AR$1,FALSE),$I$1),$I$1)</f>
        <v>0</v>
      </c>
      <c r="AS94" s="15">
        <f t="shared" si="1"/>
        <v>28</v>
      </c>
      <c r="AT94" s="15" t="b">
        <f t="shared" si="2"/>
        <v>0</v>
      </c>
    </row>
    <row r="95" spans="1:46" x14ac:dyDescent="0.2">
      <c r="A95" s="19" t="s">
        <v>214</v>
      </c>
      <c r="B95" s="19" t="s">
        <v>198</v>
      </c>
      <c r="C95" s="19" t="s">
        <v>52</v>
      </c>
      <c r="D95" s="19"/>
      <c r="E95" s="19" t="s">
        <v>215</v>
      </c>
      <c r="F95" s="19"/>
      <c r="G95" s="19"/>
      <c r="H95" s="19" t="s">
        <v>214</v>
      </c>
      <c r="I95" s="15">
        <f t="shared" si="0"/>
        <v>2</v>
      </c>
      <c r="J95" s="15">
        <f>IFERROR(VLOOKUP($C95,Sheet3!$H$2:$O$200,J$1,FALSE),IFERROR(VLOOKUP($D95,Sheet3!$H$2:$O$200,J$1,FALSE),VLOOKUP($E95,Sheet3!$H$2:$O$200,J$1,FALSE)))</f>
        <v>0</v>
      </c>
      <c r="K95" s="15">
        <f>IFERROR(VLOOKUP($C95,Sheet3!$H$2:$O$200,K$1,FALSE),IFERROR(VLOOKUP($D95,Sheet3!$H$2:$O$200,K$1,FALSE),VLOOKUP($E95,Sheet3!$H$2:$O$200,K$1,FALSE)))</f>
        <v>0</v>
      </c>
      <c r="L95" s="15">
        <f>IFERROR(VLOOKUP($C95,Sheet3!$H$2:$O$200,L$1,FALSE),IFERROR(VLOOKUP($D95,Sheet3!$H$2:$O$200,L$1,FALSE),VLOOKUP($E95,Sheet3!$H$2:$O$200,L$1,FALSE)))</f>
        <v>0</v>
      </c>
      <c r="M95" s="15" t="str">
        <f>IFERROR(VLOOKUP($C95,Sheet3!$H$2:$O$200,M$1,FALSE),IFERROR(VLOOKUP($D95,Sheet3!$H$2:$O$200,M$1,FALSE),VLOOKUP($E95,Sheet3!$H$2:$O$200,M$1,FALSE)))</f>
        <v>dry vermouth</v>
      </c>
      <c r="N95" s="15">
        <f>IFERROR(VLOOKUP($C95,Sheet3!$H$2:$O$200,N$1,FALSE),IFERROR(VLOOKUP($D95,Sheet3!$H$2:$O$200,N$1,FALSE),VLOOKUP($E95,Sheet3!$H$2:$O$200,N$1,FALSE)))</f>
        <v>0</v>
      </c>
      <c r="O95" s="15">
        <f>IFERROR(VLOOKUP($C95,Sheet3!$H$2:$O$200,O$1,FALSE),IFERROR(VLOOKUP($D95,Sheet3!$H$2:$O$200,O$1,FALSE),VLOOKUP($E95,Sheet3!$H$2:$O$200,O$1,FALSE)))</f>
        <v>0</v>
      </c>
      <c r="P95" s="15">
        <f>IFERROR(VLOOKUP($C95,Sheet3!$H$2:$O$200,P$1,FALSE),IFERROR(VLOOKUP($D95,Sheet3!$H$2:$O$200,P$1,FALSE),VLOOKUP($E95,Sheet3!$H$2:$O$200,P$1,FALSE)))</f>
        <v>0</v>
      </c>
      <c r="Q95" s="15">
        <f>IFERROR(IF(ISBLANK(J95),IFERROR(VLOOKUP($D95,Sheet3!$H$2:$O$200,Q$1,FALSE),IFERROR(VLOOKUP($E95,Sheet3!$H$2:$O$200,Q$1,FALSE),VLOOKUP($F95,Sheet3!$H$2:$O$200,Q$1,FALSE))),$I$1),$I$1)</f>
        <v>0</v>
      </c>
      <c r="R95" s="15">
        <f>IFERROR(IF(ISBLANK(K95),IFERROR(VLOOKUP($D95,Sheet3!$H$2:$O$200,R$1,FALSE),IFERROR(VLOOKUP($E95,Sheet3!$H$2:$O$200,R$1,FALSE),VLOOKUP($F95,Sheet3!$H$2:$O$200,R$1,FALSE))),$I$1),$I$1)</f>
        <v>0</v>
      </c>
      <c r="S95" s="15">
        <f>IFERROR(IF(ISBLANK(L95),IFERROR(VLOOKUP($D95,Sheet3!$H$2:$O$200,S$1,FALSE),IFERROR(VLOOKUP($E95,Sheet3!$H$2:$O$200,S$1,FALSE),VLOOKUP($F95,Sheet3!$H$2:$O$200,S$1,FALSE))),$I$1),$I$1)</f>
        <v>0</v>
      </c>
      <c r="T95" s="15">
        <f>IFERROR(IF(ISBLANK(M95),IFERROR(VLOOKUP($D95,Sheet3!$H$2:$O$200,T$1,FALSE),IFERROR(VLOOKUP($E95,Sheet3!$H$2:$O$200,T$1,FALSE),VLOOKUP($F95,Sheet3!$H$2:$O$200,T$1,FALSE))),$I$1),$I$1)</f>
        <v>0</v>
      </c>
      <c r="U95" s="15">
        <f>IFERROR(IF(ISBLANK(N95),IFERROR(VLOOKUP($D95,Sheet3!$H$2:$O$200,U$1,FALSE),IFERROR(VLOOKUP($E95,Sheet3!$H$2:$O$200,U$1,FALSE),VLOOKUP($F95,Sheet3!$H$2:$O$200,U$1,FALSE))),$I$1),$I$1)</f>
        <v>0</v>
      </c>
      <c r="V95" s="15">
        <f>IFERROR(IF(ISBLANK(O95),IFERROR(VLOOKUP($D95,Sheet3!$H$2:$O$200,V$1,FALSE),IFERROR(VLOOKUP($E95,Sheet3!$H$2:$O$200,V$1,FALSE),VLOOKUP($F95,Sheet3!$H$2:$O$200,V$1,FALSE))),$I$1),$I$1)</f>
        <v>0</v>
      </c>
      <c r="W95" s="15">
        <f>IFERROR(IF(ISBLANK(P95),IFERROR(VLOOKUP($D95,Sheet3!$H$2:$O$200,W$1,FALSE),IFERROR(VLOOKUP($E95,Sheet3!$H$2:$O$200,W$1,FALSE),VLOOKUP($F95,Sheet3!$H$2:$O$200,W$1,FALSE))),$I$1),$I$1)</f>
        <v>0</v>
      </c>
      <c r="X95" s="15">
        <f>IFERROR(IF(ISBLANK(Q95),IFERROR(VLOOKUP($E95,Sheet3!$H$2:$O$200,X$1,FALSE),IFERROR(VLOOKUP($F95,Sheet3!$H$2:$O$200,X$1,FALSE),VLOOKUP($G95,Sheet3!$H$2:$O$200,X$1,FALSE))),$I$1),$I$1)</f>
        <v>0</v>
      </c>
      <c r="Y95" s="15">
        <f>IFERROR(IF(ISBLANK(R95),IFERROR(VLOOKUP($E95,Sheet3!$H$2:$O$200,Y$1,FALSE),IFERROR(VLOOKUP($F95,Sheet3!$H$2:$O$200,Y$1,FALSE),VLOOKUP($G95,Sheet3!$H$2:$O$200,Y$1,FALSE))),$I$1),$I$1)</f>
        <v>0</v>
      </c>
      <c r="Z95" s="15">
        <f>IFERROR(IF(ISBLANK(S95),IFERROR(VLOOKUP($E95,Sheet3!$H$2:$O$200,Z$1,FALSE),IFERROR(VLOOKUP($F95,Sheet3!$H$2:$O$200,Z$1,FALSE),VLOOKUP($G95,Sheet3!$H$2:$O$200,Z$1,FALSE))),$I$1),$I$1)</f>
        <v>0</v>
      </c>
      <c r="AA95" s="15">
        <f>IFERROR(IF(ISBLANK(T95),IFERROR(VLOOKUP($E95,Sheet3!$H$2:$O$200,AA$1,FALSE),IFERROR(VLOOKUP($F95,Sheet3!$H$2:$O$200,AA$1,FALSE),VLOOKUP($G95,Sheet3!$H$2:$O$200,AA$1,FALSE))),$I$1),$I$1)</f>
        <v>0</v>
      </c>
      <c r="AB95" s="15">
        <f>IFERROR(IF(ISBLANK(U95),IFERROR(VLOOKUP($E95,Sheet3!$H$2:$O$200,AB$1,FALSE),IFERROR(VLOOKUP($F95,Sheet3!$H$2:$O$200,AB$1,FALSE),VLOOKUP($G95,Sheet3!$H$2:$O$200,AB$1,FALSE))),$I$1),$I$1)</f>
        <v>0</v>
      </c>
      <c r="AC95" s="15">
        <f>IFERROR(IF(ISBLANK(V95),IFERROR(VLOOKUP($E95,Sheet3!$H$2:$O$200,AC$1,FALSE),IFERROR(VLOOKUP($F95,Sheet3!$H$2:$O$200,AC$1,FALSE),VLOOKUP($G95,Sheet3!$H$2:$O$200,AC$1,FALSE))),$I$1),$I$1)</f>
        <v>0</v>
      </c>
      <c r="AD95" s="15">
        <f>IFERROR(IF(ISBLANK(W95),IFERROR(VLOOKUP($E95,Sheet3!$H$2:$O$200,AD$1,FALSE),IFERROR(VLOOKUP($F95,Sheet3!$H$2:$O$200,AD$1,FALSE),VLOOKUP($G95,Sheet3!$H$2:$O$200,AD$1,FALSE))),$I$1),$I$1)</f>
        <v>0</v>
      </c>
      <c r="AE95" s="15">
        <f>IFERROR(IF(ISBLANK(X95),IFERROR(VLOOKUP($F95,Sheet3!$H$2:$O$200,AE$1,FALSE),VLOOKUP($G95,Sheet3!$H$2:$O$200,AE$1,FALSE)),$I$1),$I$1)</f>
        <v>0</v>
      </c>
      <c r="AF95" s="15">
        <f>IFERROR(IF(ISBLANK(Y95),IFERROR(VLOOKUP($F95,Sheet3!$H$2:$O$200,AF$1,FALSE),VLOOKUP($G95,Sheet3!$H$2:$O$200,AF$1,FALSE)),$I$1),$I$1)</f>
        <v>0</v>
      </c>
      <c r="AG95" s="15">
        <f>IFERROR(IF(ISBLANK(Z95),IFERROR(VLOOKUP($F95,Sheet3!$H$2:$O$200,AG$1,FALSE),VLOOKUP($G95,Sheet3!$H$2:$O$200,AG$1,FALSE)),$I$1),$I$1)</f>
        <v>0</v>
      </c>
      <c r="AH95" s="15">
        <f>IFERROR(IF(ISBLANK(AA95),IFERROR(VLOOKUP($F95,Sheet3!$H$2:$O$200,AH$1,FALSE),VLOOKUP($G95,Sheet3!$H$2:$O$200,AH$1,FALSE)),$I$1),$I$1)</f>
        <v>0</v>
      </c>
      <c r="AI95" s="15">
        <f>IFERROR(IF(ISBLANK(AB95),IFERROR(VLOOKUP($F95,Sheet3!$H$2:$O$200,AI$1,FALSE),VLOOKUP($G95,Sheet3!$H$2:$O$200,AI$1,FALSE)),$I$1),$I$1)</f>
        <v>0</v>
      </c>
      <c r="AJ95" s="15">
        <f>IFERROR(IF(ISBLANK(AC95),IFERROR(VLOOKUP($F95,Sheet3!$H$2:$O$200,AJ$1,FALSE),VLOOKUP($G95,Sheet3!$H$2:$O$200,AJ$1,FALSE)),$I$1),$I$1)</f>
        <v>0</v>
      </c>
      <c r="AK95" s="15">
        <f>IFERROR(IF(ISBLANK(AD95),IFERROR(VLOOKUP($F95,Sheet3!$H$2:$O$200,AK$1,FALSE),VLOOKUP($G95,Sheet3!$H$2:$O$200,AK$1,FALSE)),$I$1),$I$1)</f>
        <v>0</v>
      </c>
      <c r="AL95" s="15">
        <f>IFERROR(IF(ISBLANK(AE95),VLOOKUP($G95,Sheet3!$H$2:$O$200,AL$1,FALSE),$I$1),$I$1)</f>
        <v>0</v>
      </c>
      <c r="AM95" s="15">
        <f>IFERROR(IF(ISBLANK(AF95),VLOOKUP($G95,Sheet3!$H$2:$O$200,AM$1,FALSE),$I$1),$I$1)</f>
        <v>0</v>
      </c>
      <c r="AN95" s="15">
        <f>IFERROR(IF(ISBLANK(AG95),VLOOKUP($G95,Sheet3!$H$2:$O$200,AN$1,FALSE),$I$1),$I$1)</f>
        <v>0</v>
      </c>
      <c r="AO95" s="15">
        <f>IFERROR(IF(ISBLANK(AH95),VLOOKUP($G95,Sheet3!$H$2:$O$200,AO$1,FALSE),$I$1),$I$1)</f>
        <v>0</v>
      </c>
      <c r="AP95" s="15">
        <f>IFERROR(IF(ISBLANK(AI95),VLOOKUP($G95,Sheet3!$H$2:$O$200,AP$1,FALSE),$I$1),$I$1)</f>
        <v>0</v>
      </c>
      <c r="AQ95" s="15">
        <f>IFERROR(IF(ISBLANK(AJ95),VLOOKUP($G95,Sheet3!$H$2:$O$200,AQ$1,FALSE),$I$1),$I$1)</f>
        <v>0</v>
      </c>
      <c r="AR95" s="15">
        <f>IFERROR(IF(ISBLANK(AK95),VLOOKUP($G95,Sheet3!$H$2:$O$200,AR$1,FALSE),$I$1),$I$1)</f>
        <v>0</v>
      </c>
      <c r="AS95" s="15">
        <f t="shared" si="1"/>
        <v>28</v>
      </c>
      <c r="AT95" s="15" t="b">
        <f t="shared" si="2"/>
        <v>0</v>
      </c>
    </row>
    <row r="96" spans="1:46" x14ac:dyDescent="0.2">
      <c r="A96" s="19" t="s">
        <v>216</v>
      </c>
      <c r="B96" s="19" t="s">
        <v>198</v>
      </c>
      <c r="C96" s="19" t="s">
        <v>48</v>
      </c>
      <c r="D96" s="19"/>
      <c r="E96" s="19" t="s">
        <v>73</v>
      </c>
      <c r="F96" s="19" t="s">
        <v>66</v>
      </c>
      <c r="G96" s="19"/>
      <c r="H96" s="19" t="s">
        <v>216</v>
      </c>
      <c r="I96" s="15">
        <f t="shared" si="0"/>
        <v>3</v>
      </c>
      <c r="J96" s="15">
        <f>IFERROR(VLOOKUP($C96,Sheet3!$H$2:$O$200,J$1,FALSE),IFERROR(VLOOKUP($D96,Sheet3!$H$2:$O$200,J$1,FALSE),VLOOKUP($E96,Sheet3!$H$2:$O$200,J$1,FALSE)))</f>
        <v>0</v>
      </c>
      <c r="K96" s="15">
        <f>IFERROR(VLOOKUP($C96,Sheet3!$H$2:$O$200,K$1,FALSE),IFERROR(VLOOKUP($D96,Sheet3!$H$2:$O$200,K$1,FALSE),VLOOKUP($E96,Sheet3!$H$2:$O$200,K$1,FALSE)))</f>
        <v>0</v>
      </c>
      <c r="L96" s="15">
        <f>IFERROR(VLOOKUP($C96,Sheet3!$H$2:$O$200,L$1,FALSE),IFERROR(VLOOKUP($D96,Sheet3!$H$2:$O$200,L$1,FALSE),VLOOKUP($E96,Sheet3!$H$2:$O$200,L$1,FALSE)))</f>
        <v>0</v>
      </c>
      <c r="M96" s="15" t="str">
        <f>IFERROR(VLOOKUP($C96,Sheet3!$H$2:$O$200,M$1,FALSE),IFERROR(VLOOKUP($D96,Sheet3!$H$2:$O$200,M$1,FALSE),VLOOKUP($E96,Sheet3!$H$2:$O$200,M$1,FALSE)))</f>
        <v>sweet vermouth</v>
      </c>
      <c r="N96" s="15">
        <f>IFERROR(VLOOKUP($C96,Sheet3!$H$2:$O$200,N$1,FALSE),IFERROR(VLOOKUP($D96,Sheet3!$H$2:$O$200,N$1,FALSE),VLOOKUP($E96,Sheet3!$H$2:$O$200,N$1,FALSE)))</f>
        <v>0</v>
      </c>
      <c r="O96" s="15">
        <f>IFERROR(VLOOKUP($C96,Sheet3!$H$2:$O$200,O$1,FALSE),IFERROR(VLOOKUP($D96,Sheet3!$H$2:$O$200,O$1,FALSE),VLOOKUP($E96,Sheet3!$H$2:$O$200,O$1,FALSE)))</f>
        <v>0</v>
      </c>
      <c r="P96" s="15">
        <f>IFERROR(VLOOKUP($C96,Sheet3!$H$2:$O$200,P$1,FALSE),IFERROR(VLOOKUP($D96,Sheet3!$H$2:$O$200,P$1,FALSE),VLOOKUP($E96,Sheet3!$H$2:$O$200,P$1,FALSE)))</f>
        <v>0</v>
      </c>
      <c r="Q96" s="15">
        <f>IFERROR(IF(ISBLANK(J96),IFERROR(VLOOKUP($D96,Sheet3!$H$2:$O$200,Q$1,FALSE),IFERROR(VLOOKUP($E96,Sheet3!$H$2:$O$200,Q$1,FALSE),VLOOKUP($F96,Sheet3!$H$2:$O$200,Q$1,FALSE))),$I$1),$I$1)</f>
        <v>0</v>
      </c>
      <c r="R96" s="15">
        <f>IFERROR(IF(ISBLANK(K96),IFERROR(VLOOKUP($D96,Sheet3!$H$2:$O$200,R$1,FALSE),IFERROR(VLOOKUP($E96,Sheet3!$H$2:$O$200,R$1,FALSE),VLOOKUP($F96,Sheet3!$H$2:$O$200,R$1,FALSE))),$I$1),$I$1)</f>
        <v>0</v>
      </c>
      <c r="S96" s="15">
        <f>IFERROR(IF(ISBLANK(L96),IFERROR(VLOOKUP($D96,Sheet3!$H$2:$O$200,S$1,FALSE),IFERROR(VLOOKUP($E96,Sheet3!$H$2:$O$200,S$1,FALSE),VLOOKUP($F96,Sheet3!$H$2:$O$200,S$1,FALSE))),$I$1),$I$1)</f>
        <v>0</v>
      </c>
      <c r="T96" s="15">
        <f>IFERROR(IF(ISBLANK(M96),IFERROR(VLOOKUP($D96,Sheet3!$H$2:$O$200,T$1,FALSE),IFERROR(VLOOKUP($E96,Sheet3!$H$2:$O$200,T$1,FALSE),VLOOKUP($F96,Sheet3!$H$2:$O$200,T$1,FALSE))),$I$1),$I$1)</f>
        <v>0</v>
      </c>
      <c r="U96" s="15">
        <f>IFERROR(IF(ISBLANK(N96),IFERROR(VLOOKUP($D96,Sheet3!$H$2:$O$200,U$1,FALSE),IFERROR(VLOOKUP($E96,Sheet3!$H$2:$O$200,U$1,FALSE),VLOOKUP($F96,Sheet3!$H$2:$O$200,U$1,FALSE))),$I$1),$I$1)</f>
        <v>0</v>
      </c>
      <c r="V96" s="15">
        <f>IFERROR(IF(ISBLANK(O96),IFERROR(VLOOKUP($D96,Sheet3!$H$2:$O$200,V$1,FALSE),IFERROR(VLOOKUP($E96,Sheet3!$H$2:$O$200,V$1,FALSE),VLOOKUP($F96,Sheet3!$H$2:$O$200,V$1,FALSE))),$I$1),$I$1)</f>
        <v>0</v>
      </c>
      <c r="W96" s="15">
        <f>IFERROR(IF(ISBLANK(P96),IFERROR(VLOOKUP($D96,Sheet3!$H$2:$O$200,W$1,FALSE),IFERROR(VLOOKUP($E96,Sheet3!$H$2:$O$200,W$1,FALSE),VLOOKUP($F96,Sheet3!$H$2:$O$200,W$1,FALSE))),$I$1),$I$1)</f>
        <v>0</v>
      </c>
      <c r="X96" s="15">
        <f>IFERROR(IF(ISBLANK(Q96),IFERROR(VLOOKUP($E96,Sheet3!$H$2:$O$200,X$1,FALSE),IFERROR(VLOOKUP($F96,Sheet3!$H$2:$O$200,X$1,FALSE),VLOOKUP($G96,Sheet3!$H$2:$O$200,X$1,FALSE))),$I$1),$I$1)</f>
        <v>0</v>
      </c>
      <c r="Y96" s="15">
        <f>IFERROR(IF(ISBLANK(R96),IFERROR(VLOOKUP($E96,Sheet3!$H$2:$O$200,Y$1,FALSE),IFERROR(VLOOKUP($F96,Sheet3!$H$2:$O$200,Y$1,FALSE),VLOOKUP($G96,Sheet3!$H$2:$O$200,Y$1,FALSE))),$I$1),$I$1)</f>
        <v>0</v>
      </c>
      <c r="Z96" s="15">
        <f>IFERROR(IF(ISBLANK(S96),IFERROR(VLOOKUP($E96,Sheet3!$H$2:$O$200,Z$1,FALSE),IFERROR(VLOOKUP($F96,Sheet3!$H$2:$O$200,Z$1,FALSE),VLOOKUP($G96,Sheet3!$H$2:$O$200,Z$1,FALSE))),$I$1),$I$1)</f>
        <v>0</v>
      </c>
      <c r="AA96" s="15">
        <f>IFERROR(IF(ISBLANK(T96),IFERROR(VLOOKUP($E96,Sheet3!$H$2:$O$200,AA$1,FALSE),IFERROR(VLOOKUP($F96,Sheet3!$H$2:$O$200,AA$1,FALSE),VLOOKUP($G96,Sheet3!$H$2:$O$200,AA$1,FALSE))),$I$1),$I$1)</f>
        <v>0</v>
      </c>
      <c r="AB96" s="15">
        <f>IFERROR(IF(ISBLANK(U96),IFERROR(VLOOKUP($E96,Sheet3!$H$2:$O$200,AB$1,FALSE),IFERROR(VLOOKUP($F96,Sheet3!$H$2:$O$200,AB$1,FALSE),VLOOKUP($G96,Sheet3!$H$2:$O$200,AB$1,FALSE))),$I$1),$I$1)</f>
        <v>0</v>
      </c>
      <c r="AC96" s="15">
        <f>IFERROR(IF(ISBLANK(V96),IFERROR(VLOOKUP($E96,Sheet3!$H$2:$O$200,AC$1,FALSE),IFERROR(VLOOKUP($F96,Sheet3!$H$2:$O$200,AC$1,FALSE),VLOOKUP($G96,Sheet3!$H$2:$O$200,AC$1,FALSE))),$I$1),$I$1)</f>
        <v>0</v>
      </c>
      <c r="AD96" s="15">
        <f>IFERROR(IF(ISBLANK(W96),IFERROR(VLOOKUP($E96,Sheet3!$H$2:$O$200,AD$1,FALSE),IFERROR(VLOOKUP($F96,Sheet3!$H$2:$O$200,AD$1,FALSE),VLOOKUP($G96,Sheet3!$H$2:$O$200,AD$1,FALSE))),$I$1),$I$1)</f>
        <v>0</v>
      </c>
      <c r="AE96" s="15">
        <f>IFERROR(IF(ISBLANK(X96),IFERROR(VLOOKUP($F96,Sheet3!$H$2:$O$200,AE$1,FALSE),VLOOKUP($G96,Sheet3!$H$2:$O$200,AE$1,FALSE)),$I$1),$I$1)</f>
        <v>0</v>
      </c>
      <c r="AF96" s="15">
        <f>IFERROR(IF(ISBLANK(Y96),IFERROR(VLOOKUP($F96,Sheet3!$H$2:$O$200,AF$1,FALSE),VLOOKUP($G96,Sheet3!$H$2:$O$200,AF$1,FALSE)),$I$1),$I$1)</f>
        <v>0</v>
      </c>
      <c r="AG96" s="15">
        <f>IFERROR(IF(ISBLANK(Z96),IFERROR(VLOOKUP($F96,Sheet3!$H$2:$O$200,AG$1,FALSE),VLOOKUP($G96,Sheet3!$H$2:$O$200,AG$1,FALSE)),$I$1),$I$1)</f>
        <v>0</v>
      </c>
      <c r="AH96" s="15">
        <f>IFERROR(IF(ISBLANK(AA96),IFERROR(VLOOKUP($F96,Sheet3!$H$2:$O$200,AH$1,FALSE),VLOOKUP($G96,Sheet3!$H$2:$O$200,AH$1,FALSE)),$I$1),$I$1)</f>
        <v>0</v>
      </c>
      <c r="AI96" s="15">
        <f>IFERROR(IF(ISBLANK(AB96),IFERROR(VLOOKUP($F96,Sheet3!$H$2:$O$200,AI$1,FALSE),VLOOKUP($G96,Sheet3!$H$2:$O$200,AI$1,FALSE)),$I$1),$I$1)</f>
        <v>0</v>
      </c>
      <c r="AJ96" s="15">
        <f>IFERROR(IF(ISBLANK(AC96),IFERROR(VLOOKUP($F96,Sheet3!$H$2:$O$200,AJ$1,FALSE),VLOOKUP($G96,Sheet3!$H$2:$O$200,AJ$1,FALSE)),$I$1),$I$1)</f>
        <v>0</v>
      </c>
      <c r="AK96" s="15">
        <f>IFERROR(IF(ISBLANK(AD96),IFERROR(VLOOKUP($F96,Sheet3!$H$2:$O$200,AK$1,FALSE),VLOOKUP($G96,Sheet3!$H$2:$O$200,AK$1,FALSE)),$I$1),$I$1)</f>
        <v>0</v>
      </c>
      <c r="AL96" s="15">
        <f>IFERROR(IF(ISBLANK(AE96),VLOOKUP($G96,Sheet3!$H$2:$O$200,AL$1,FALSE),$I$1),$I$1)</f>
        <v>0</v>
      </c>
      <c r="AM96" s="15">
        <f>IFERROR(IF(ISBLANK(AF96),VLOOKUP($G96,Sheet3!$H$2:$O$200,AM$1,FALSE),$I$1),$I$1)</f>
        <v>0</v>
      </c>
      <c r="AN96" s="15">
        <f>IFERROR(IF(ISBLANK(AG96),VLOOKUP($G96,Sheet3!$H$2:$O$200,AN$1,FALSE),$I$1),$I$1)</f>
        <v>0</v>
      </c>
      <c r="AO96" s="15">
        <f>IFERROR(IF(ISBLANK(AH96),VLOOKUP($G96,Sheet3!$H$2:$O$200,AO$1,FALSE),$I$1),$I$1)</f>
        <v>0</v>
      </c>
      <c r="AP96" s="15">
        <f>IFERROR(IF(ISBLANK(AI96),VLOOKUP($G96,Sheet3!$H$2:$O$200,AP$1,FALSE),$I$1),$I$1)</f>
        <v>0</v>
      </c>
      <c r="AQ96" s="15">
        <f>IFERROR(IF(ISBLANK(AJ96),VLOOKUP($G96,Sheet3!$H$2:$O$200,AQ$1,FALSE),$I$1),$I$1)</f>
        <v>0</v>
      </c>
      <c r="AR96" s="15">
        <f>IFERROR(IF(ISBLANK(AK96),VLOOKUP($G96,Sheet3!$H$2:$O$200,AR$1,FALSE),$I$1),$I$1)</f>
        <v>0</v>
      </c>
      <c r="AS96" s="15">
        <f t="shared" si="1"/>
        <v>28</v>
      </c>
      <c r="AT96" s="15" t="b">
        <f t="shared" si="2"/>
        <v>0</v>
      </c>
    </row>
    <row r="97" spans="1:46" x14ac:dyDescent="0.2">
      <c r="A97" s="19" t="s">
        <v>217</v>
      </c>
      <c r="B97" s="19" t="s">
        <v>198</v>
      </c>
      <c r="C97" s="19" t="s">
        <v>48</v>
      </c>
      <c r="D97" s="19"/>
      <c r="E97" s="19" t="s">
        <v>60</v>
      </c>
      <c r="F97" s="19" t="s">
        <v>55</v>
      </c>
      <c r="G97" s="19"/>
      <c r="H97" s="19" t="s">
        <v>217</v>
      </c>
      <c r="I97" s="15">
        <f t="shared" si="0"/>
        <v>3</v>
      </c>
      <c r="J97" s="15">
        <f>IFERROR(VLOOKUP($C97,Sheet3!$H$2:$O$200,J$1,FALSE),IFERROR(VLOOKUP($D97,Sheet3!$H$2:$O$200,J$1,FALSE),VLOOKUP($E97,Sheet3!$H$2:$O$200,J$1,FALSE)))</f>
        <v>0</v>
      </c>
      <c r="K97" s="15">
        <f>IFERROR(VLOOKUP($C97,Sheet3!$H$2:$O$200,K$1,FALSE),IFERROR(VLOOKUP($D97,Sheet3!$H$2:$O$200,K$1,FALSE),VLOOKUP($E97,Sheet3!$H$2:$O$200,K$1,FALSE)))</f>
        <v>0</v>
      </c>
      <c r="L97" s="15">
        <f>IFERROR(VLOOKUP($C97,Sheet3!$H$2:$O$200,L$1,FALSE),IFERROR(VLOOKUP($D97,Sheet3!$H$2:$O$200,L$1,FALSE),VLOOKUP($E97,Sheet3!$H$2:$O$200,L$1,FALSE)))</f>
        <v>0</v>
      </c>
      <c r="M97" s="15" t="str">
        <f>IFERROR(VLOOKUP($C97,Sheet3!$H$2:$O$200,M$1,FALSE),IFERROR(VLOOKUP($D97,Sheet3!$H$2:$O$200,M$1,FALSE),VLOOKUP($E97,Sheet3!$H$2:$O$200,M$1,FALSE)))</f>
        <v>sweet vermouth</v>
      </c>
      <c r="N97" s="15">
        <f>IFERROR(VLOOKUP($C97,Sheet3!$H$2:$O$200,N$1,FALSE),IFERROR(VLOOKUP($D97,Sheet3!$H$2:$O$200,N$1,FALSE),VLOOKUP($E97,Sheet3!$H$2:$O$200,N$1,FALSE)))</f>
        <v>0</v>
      </c>
      <c r="O97" s="15">
        <f>IFERROR(VLOOKUP($C97,Sheet3!$H$2:$O$200,O$1,FALSE),IFERROR(VLOOKUP($D97,Sheet3!$H$2:$O$200,O$1,FALSE),VLOOKUP($E97,Sheet3!$H$2:$O$200,O$1,FALSE)))</f>
        <v>0</v>
      </c>
      <c r="P97" s="15">
        <f>IFERROR(VLOOKUP($C97,Sheet3!$H$2:$O$200,P$1,FALSE),IFERROR(VLOOKUP($D97,Sheet3!$H$2:$O$200,P$1,FALSE),VLOOKUP($E97,Sheet3!$H$2:$O$200,P$1,FALSE)))</f>
        <v>0</v>
      </c>
      <c r="Q97" s="15">
        <f>IFERROR(IF(ISBLANK(J97),IFERROR(VLOOKUP($D97,Sheet3!$H$2:$O$200,Q$1,FALSE),IFERROR(VLOOKUP($E97,Sheet3!$H$2:$O$200,Q$1,FALSE),VLOOKUP($F97,Sheet3!$H$2:$O$200,Q$1,FALSE))),$I$1),$I$1)</f>
        <v>0</v>
      </c>
      <c r="R97" s="15">
        <f>IFERROR(IF(ISBLANK(K97),IFERROR(VLOOKUP($D97,Sheet3!$H$2:$O$200,R$1,FALSE),IFERROR(VLOOKUP($E97,Sheet3!$H$2:$O$200,R$1,FALSE),VLOOKUP($F97,Sheet3!$H$2:$O$200,R$1,FALSE))),$I$1),$I$1)</f>
        <v>0</v>
      </c>
      <c r="S97" s="15">
        <f>IFERROR(IF(ISBLANK(L97),IFERROR(VLOOKUP($D97,Sheet3!$H$2:$O$200,S$1,FALSE),IFERROR(VLOOKUP($E97,Sheet3!$H$2:$O$200,S$1,FALSE),VLOOKUP($F97,Sheet3!$H$2:$O$200,S$1,FALSE))),$I$1),$I$1)</f>
        <v>0</v>
      </c>
      <c r="T97" s="15">
        <f>IFERROR(IF(ISBLANK(M97),IFERROR(VLOOKUP($D97,Sheet3!$H$2:$O$200,T$1,FALSE),IFERROR(VLOOKUP($E97,Sheet3!$H$2:$O$200,T$1,FALSE),VLOOKUP($F97,Sheet3!$H$2:$O$200,T$1,FALSE))),$I$1),$I$1)</f>
        <v>0</v>
      </c>
      <c r="U97" s="15">
        <f>IFERROR(IF(ISBLANK(N97),IFERROR(VLOOKUP($D97,Sheet3!$H$2:$O$200,U$1,FALSE),IFERROR(VLOOKUP($E97,Sheet3!$H$2:$O$200,U$1,FALSE),VLOOKUP($F97,Sheet3!$H$2:$O$200,U$1,FALSE))),$I$1),$I$1)</f>
        <v>0</v>
      </c>
      <c r="V97" s="15">
        <f>IFERROR(IF(ISBLANK(O97),IFERROR(VLOOKUP($D97,Sheet3!$H$2:$O$200,V$1,FALSE),IFERROR(VLOOKUP($E97,Sheet3!$H$2:$O$200,V$1,FALSE),VLOOKUP($F97,Sheet3!$H$2:$O$200,V$1,FALSE))),$I$1),$I$1)</f>
        <v>0</v>
      </c>
      <c r="W97" s="15">
        <f>IFERROR(IF(ISBLANK(P97),IFERROR(VLOOKUP($D97,Sheet3!$H$2:$O$200,W$1,FALSE),IFERROR(VLOOKUP($E97,Sheet3!$H$2:$O$200,W$1,FALSE),VLOOKUP($F97,Sheet3!$H$2:$O$200,W$1,FALSE))),$I$1),$I$1)</f>
        <v>0</v>
      </c>
      <c r="X97" s="15">
        <f>IFERROR(IF(ISBLANK(Q97),IFERROR(VLOOKUP($E97,Sheet3!$H$2:$O$200,X$1,FALSE),IFERROR(VLOOKUP($F97,Sheet3!$H$2:$O$200,X$1,FALSE),VLOOKUP($G97,Sheet3!$H$2:$O$200,X$1,FALSE))),$I$1),$I$1)</f>
        <v>0</v>
      </c>
      <c r="Y97" s="15">
        <f>IFERROR(IF(ISBLANK(R97),IFERROR(VLOOKUP($E97,Sheet3!$H$2:$O$200,Y$1,FALSE),IFERROR(VLOOKUP($F97,Sheet3!$H$2:$O$200,Y$1,FALSE),VLOOKUP($G97,Sheet3!$H$2:$O$200,Y$1,FALSE))),$I$1),$I$1)</f>
        <v>0</v>
      </c>
      <c r="Z97" s="15">
        <f>IFERROR(IF(ISBLANK(S97),IFERROR(VLOOKUP($E97,Sheet3!$H$2:$O$200,Z$1,FALSE),IFERROR(VLOOKUP($F97,Sheet3!$H$2:$O$200,Z$1,FALSE),VLOOKUP($G97,Sheet3!$H$2:$O$200,Z$1,FALSE))),$I$1),$I$1)</f>
        <v>0</v>
      </c>
      <c r="AA97" s="15">
        <f>IFERROR(IF(ISBLANK(T97),IFERROR(VLOOKUP($E97,Sheet3!$H$2:$O$200,AA$1,FALSE),IFERROR(VLOOKUP($F97,Sheet3!$H$2:$O$200,AA$1,FALSE),VLOOKUP($G97,Sheet3!$H$2:$O$200,AA$1,FALSE))),$I$1),$I$1)</f>
        <v>0</v>
      </c>
      <c r="AB97" s="15">
        <f>IFERROR(IF(ISBLANK(U97),IFERROR(VLOOKUP($E97,Sheet3!$H$2:$O$200,AB$1,FALSE),IFERROR(VLOOKUP($F97,Sheet3!$H$2:$O$200,AB$1,FALSE),VLOOKUP($G97,Sheet3!$H$2:$O$200,AB$1,FALSE))),$I$1),$I$1)</f>
        <v>0</v>
      </c>
      <c r="AC97" s="15">
        <f>IFERROR(IF(ISBLANK(V97),IFERROR(VLOOKUP($E97,Sheet3!$H$2:$O$200,AC$1,FALSE),IFERROR(VLOOKUP($F97,Sheet3!$H$2:$O$200,AC$1,FALSE),VLOOKUP($G97,Sheet3!$H$2:$O$200,AC$1,FALSE))),$I$1),$I$1)</f>
        <v>0</v>
      </c>
      <c r="AD97" s="15">
        <f>IFERROR(IF(ISBLANK(W97),IFERROR(VLOOKUP($E97,Sheet3!$H$2:$O$200,AD$1,FALSE),IFERROR(VLOOKUP($F97,Sheet3!$H$2:$O$200,AD$1,FALSE),VLOOKUP($G97,Sheet3!$H$2:$O$200,AD$1,FALSE))),$I$1),$I$1)</f>
        <v>0</v>
      </c>
      <c r="AE97" s="15">
        <f>IFERROR(IF(ISBLANK(X97),IFERROR(VLOOKUP($F97,Sheet3!$H$2:$O$200,AE$1,FALSE),VLOOKUP($G97,Sheet3!$H$2:$O$200,AE$1,FALSE)),$I$1),$I$1)</f>
        <v>0</v>
      </c>
      <c r="AF97" s="15">
        <f>IFERROR(IF(ISBLANK(Y97),IFERROR(VLOOKUP($F97,Sheet3!$H$2:$O$200,AF$1,FALSE),VLOOKUP($G97,Sheet3!$H$2:$O$200,AF$1,FALSE)),$I$1),$I$1)</f>
        <v>0</v>
      </c>
      <c r="AG97" s="15">
        <f>IFERROR(IF(ISBLANK(Z97),IFERROR(VLOOKUP($F97,Sheet3!$H$2:$O$200,AG$1,FALSE),VLOOKUP($G97,Sheet3!$H$2:$O$200,AG$1,FALSE)),$I$1),$I$1)</f>
        <v>0</v>
      </c>
      <c r="AH97" s="15">
        <f>IFERROR(IF(ISBLANK(AA97),IFERROR(VLOOKUP($F97,Sheet3!$H$2:$O$200,AH$1,FALSE),VLOOKUP($G97,Sheet3!$H$2:$O$200,AH$1,FALSE)),$I$1),$I$1)</f>
        <v>0</v>
      </c>
      <c r="AI97" s="15">
        <f>IFERROR(IF(ISBLANK(AB97),IFERROR(VLOOKUP($F97,Sheet3!$H$2:$O$200,AI$1,FALSE),VLOOKUP($G97,Sheet3!$H$2:$O$200,AI$1,FALSE)),$I$1),$I$1)</f>
        <v>0</v>
      </c>
      <c r="AJ97" s="15">
        <f>IFERROR(IF(ISBLANK(AC97),IFERROR(VLOOKUP($F97,Sheet3!$H$2:$O$200,AJ$1,FALSE),VLOOKUP($G97,Sheet3!$H$2:$O$200,AJ$1,FALSE)),$I$1),$I$1)</f>
        <v>0</v>
      </c>
      <c r="AK97" s="15">
        <f>IFERROR(IF(ISBLANK(AD97),IFERROR(VLOOKUP($F97,Sheet3!$H$2:$O$200,AK$1,FALSE),VLOOKUP($G97,Sheet3!$H$2:$O$200,AK$1,FALSE)),$I$1),$I$1)</f>
        <v>0</v>
      </c>
      <c r="AL97" s="15">
        <f>IFERROR(IF(ISBLANK(AE97),VLOOKUP($G97,Sheet3!$H$2:$O$200,AL$1,FALSE),$I$1),$I$1)</f>
        <v>0</v>
      </c>
      <c r="AM97" s="15">
        <f>IFERROR(IF(ISBLANK(AF97),VLOOKUP($G97,Sheet3!$H$2:$O$200,AM$1,FALSE),$I$1),$I$1)</f>
        <v>0</v>
      </c>
      <c r="AN97" s="15">
        <f>IFERROR(IF(ISBLANK(AG97),VLOOKUP($G97,Sheet3!$H$2:$O$200,AN$1,FALSE),$I$1),$I$1)</f>
        <v>0</v>
      </c>
      <c r="AO97" s="15">
        <f>IFERROR(IF(ISBLANK(AH97),VLOOKUP($G97,Sheet3!$H$2:$O$200,AO$1,FALSE),$I$1),$I$1)</f>
        <v>0</v>
      </c>
      <c r="AP97" s="15">
        <f>IFERROR(IF(ISBLANK(AI97),VLOOKUP($G97,Sheet3!$H$2:$O$200,AP$1,FALSE),$I$1),$I$1)</f>
        <v>0</v>
      </c>
      <c r="AQ97" s="15">
        <f>IFERROR(IF(ISBLANK(AJ97),VLOOKUP($G97,Sheet3!$H$2:$O$200,AQ$1,FALSE),$I$1),$I$1)</f>
        <v>0</v>
      </c>
      <c r="AR97" s="15">
        <f>IFERROR(IF(ISBLANK(AK97),VLOOKUP($G97,Sheet3!$H$2:$O$200,AR$1,FALSE),$I$1),$I$1)</f>
        <v>0</v>
      </c>
      <c r="AS97" s="15">
        <f t="shared" si="1"/>
        <v>28</v>
      </c>
      <c r="AT97" s="15" t="b">
        <f t="shared" si="2"/>
        <v>0</v>
      </c>
    </row>
    <row r="98" spans="1:46" x14ac:dyDescent="0.2">
      <c r="A98" s="19" t="s">
        <v>218</v>
      </c>
      <c r="B98" s="19" t="s">
        <v>219</v>
      </c>
      <c r="C98" s="19" t="s">
        <v>173</v>
      </c>
      <c r="D98" s="19"/>
      <c r="E98" s="19"/>
      <c r="F98" s="19"/>
      <c r="G98" s="19"/>
      <c r="H98" s="19" t="s">
        <v>218</v>
      </c>
      <c r="I98" s="15">
        <f t="shared" si="0"/>
        <v>1</v>
      </c>
      <c r="J98" s="15">
        <f>IFERROR(VLOOKUP($C98,Sheet3!$H$2:$O$200,J$1,FALSE),IFERROR(VLOOKUP($D98,Sheet3!$H$2:$O$200,J$1,FALSE),VLOOKUP($E98,Sheet3!$H$2:$O$200,J$1,FALSE)))</f>
        <v>0</v>
      </c>
      <c r="K98" s="15">
        <f>IFERROR(VLOOKUP($C98,Sheet3!$H$2:$O$200,K$1,FALSE),IFERROR(VLOOKUP($D98,Sheet3!$H$2:$O$200,K$1,FALSE),VLOOKUP($E98,Sheet3!$H$2:$O$200,K$1,FALSE)))</f>
        <v>0</v>
      </c>
      <c r="L98" s="15">
        <f>IFERROR(VLOOKUP($C98,Sheet3!$H$2:$O$200,L$1,FALSE),IFERROR(VLOOKUP($D98,Sheet3!$H$2:$O$200,L$1,FALSE),VLOOKUP($E98,Sheet3!$H$2:$O$200,L$1,FALSE)))</f>
        <v>0</v>
      </c>
      <c r="M98" s="15" t="str">
        <f>IFERROR(VLOOKUP($C98,Sheet3!$H$2:$O$200,M$1,FALSE),IFERROR(VLOOKUP($D98,Sheet3!$H$2:$O$200,M$1,FALSE),VLOOKUP($E98,Sheet3!$H$2:$O$200,M$1,FALSE)))</f>
        <v>ginger liqueur</v>
      </c>
      <c r="N98" s="15">
        <f>IFERROR(VLOOKUP($C98,Sheet3!$H$2:$O$200,N$1,FALSE),IFERROR(VLOOKUP($D98,Sheet3!$H$2:$O$200,N$1,FALSE),VLOOKUP($E98,Sheet3!$H$2:$O$200,N$1,FALSE)))</f>
        <v>0</v>
      </c>
      <c r="O98" s="15">
        <f>IFERROR(VLOOKUP($C98,Sheet3!$H$2:$O$200,O$1,FALSE),IFERROR(VLOOKUP($D98,Sheet3!$H$2:$O$200,O$1,FALSE),VLOOKUP($E98,Sheet3!$H$2:$O$200,O$1,FALSE)))</f>
        <v>0</v>
      </c>
      <c r="P98" s="15">
        <f>IFERROR(VLOOKUP($C98,Sheet3!$H$2:$O$200,P$1,FALSE),IFERROR(VLOOKUP($D98,Sheet3!$H$2:$O$200,P$1,FALSE),VLOOKUP($E98,Sheet3!$H$2:$O$200,P$1,FALSE)))</f>
        <v>0</v>
      </c>
      <c r="Q98" s="15">
        <f>IFERROR(IF(ISBLANK(J98),IFERROR(VLOOKUP($D98,Sheet3!$H$2:$O$200,Q$1,FALSE),IFERROR(VLOOKUP($E98,Sheet3!$H$2:$O$200,Q$1,FALSE),VLOOKUP($F98,Sheet3!$H$2:$O$200,Q$1,FALSE))),$I$1),$I$1)</f>
        <v>0</v>
      </c>
      <c r="R98" s="15">
        <f>IFERROR(IF(ISBLANK(K98),IFERROR(VLOOKUP($D98,Sheet3!$H$2:$O$200,R$1,FALSE),IFERROR(VLOOKUP($E98,Sheet3!$H$2:$O$200,R$1,FALSE),VLOOKUP($F98,Sheet3!$H$2:$O$200,R$1,FALSE))),$I$1),$I$1)</f>
        <v>0</v>
      </c>
      <c r="S98" s="15">
        <f>IFERROR(IF(ISBLANK(L98),IFERROR(VLOOKUP($D98,Sheet3!$H$2:$O$200,S$1,FALSE),IFERROR(VLOOKUP($E98,Sheet3!$H$2:$O$200,S$1,FALSE),VLOOKUP($F98,Sheet3!$H$2:$O$200,S$1,FALSE))),$I$1),$I$1)</f>
        <v>0</v>
      </c>
      <c r="T98" s="15">
        <f>IFERROR(IF(ISBLANK(M98),IFERROR(VLOOKUP($D98,Sheet3!$H$2:$O$200,T$1,FALSE),IFERROR(VLOOKUP($E98,Sheet3!$H$2:$O$200,T$1,FALSE),VLOOKUP($F98,Sheet3!$H$2:$O$200,T$1,FALSE))),$I$1),$I$1)</f>
        <v>0</v>
      </c>
      <c r="U98" s="15">
        <f>IFERROR(IF(ISBLANK(N98),IFERROR(VLOOKUP($D98,Sheet3!$H$2:$O$200,U$1,FALSE),IFERROR(VLOOKUP($E98,Sheet3!$H$2:$O$200,U$1,FALSE),VLOOKUP($F98,Sheet3!$H$2:$O$200,U$1,FALSE))),$I$1),$I$1)</f>
        <v>0</v>
      </c>
      <c r="V98" s="15">
        <f>IFERROR(IF(ISBLANK(O98),IFERROR(VLOOKUP($D98,Sheet3!$H$2:$O$200,V$1,FALSE),IFERROR(VLOOKUP($E98,Sheet3!$H$2:$O$200,V$1,FALSE),VLOOKUP($F98,Sheet3!$H$2:$O$200,V$1,FALSE))),$I$1),$I$1)</f>
        <v>0</v>
      </c>
      <c r="W98" s="15">
        <f>IFERROR(IF(ISBLANK(P98),IFERROR(VLOOKUP($D98,Sheet3!$H$2:$O$200,W$1,FALSE),IFERROR(VLOOKUP($E98,Sheet3!$H$2:$O$200,W$1,FALSE),VLOOKUP($F98,Sheet3!$H$2:$O$200,W$1,FALSE))),$I$1),$I$1)</f>
        <v>0</v>
      </c>
      <c r="X98" s="15">
        <f>IFERROR(IF(ISBLANK(Q98),IFERROR(VLOOKUP($E98,Sheet3!$H$2:$O$200,X$1,FALSE),IFERROR(VLOOKUP($F98,Sheet3!$H$2:$O$200,X$1,FALSE),VLOOKUP($G98,Sheet3!$H$2:$O$200,X$1,FALSE))),$I$1),$I$1)</f>
        <v>0</v>
      </c>
      <c r="Y98" s="15">
        <f>IFERROR(IF(ISBLANK(R98),IFERROR(VLOOKUP($E98,Sheet3!$H$2:$O$200,Y$1,FALSE),IFERROR(VLOOKUP($F98,Sheet3!$H$2:$O$200,Y$1,FALSE),VLOOKUP($G98,Sheet3!$H$2:$O$200,Y$1,FALSE))),$I$1),$I$1)</f>
        <v>0</v>
      </c>
      <c r="Z98" s="15">
        <f>IFERROR(IF(ISBLANK(S98),IFERROR(VLOOKUP($E98,Sheet3!$H$2:$O$200,Z$1,FALSE),IFERROR(VLOOKUP($F98,Sheet3!$H$2:$O$200,Z$1,FALSE),VLOOKUP($G98,Sheet3!$H$2:$O$200,Z$1,FALSE))),$I$1),$I$1)</f>
        <v>0</v>
      </c>
      <c r="AA98" s="15">
        <f>IFERROR(IF(ISBLANK(T98),IFERROR(VLOOKUP($E98,Sheet3!$H$2:$O$200,AA$1,FALSE),IFERROR(VLOOKUP($F98,Sheet3!$H$2:$O$200,AA$1,FALSE),VLOOKUP($G98,Sheet3!$H$2:$O$200,AA$1,FALSE))),$I$1),$I$1)</f>
        <v>0</v>
      </c>
      <c r="AB98" s="15">
        <f>IFERROR(IF(ISBLANK(U98),IFERROR(VLOOKUP($E98,Sheet3!$H$2:$O$200,AB$1,FALSE),IFERROR(VLOOKUP($F98,Sheet3!$H$2:$O$200,AB$1,FALSE),VLOOKUP($G98,Sheet3!$H$2:$O$200,AB$1,FALSE))),$I$1),$I$1)</f>
        <v>0</v>
      </c>
      <c r="AC98" s="15">
        <f>IFERROR(IF(ISBLANK(V98),IFERROR(VLOOKUP($E98,Sheet3!$H$2:$O$200,AC$1,FALSE),IFERROR(VLOOKUP($F98,Sheet3!$H$2:$O$200,AC$1,FALSE),VLOOKUP($G98,Sheet3!$H$2:$O$200,AC$1,FALSE))),$I$1),$I$1)</f>
        <v>0</v>
      </c>
      <c r="AD98" s="15">
        <f>IFERROR(IF(ISBLANK(W98),IFERROR(VLOOKUP($E98,Sheet3!$H$2:$O$200,AD$1,FALSE),IFERROR(VLOOKUP($F98,Sheet3!$H$2:$O$200,AD$1,FALSE),VLOOKUP($G98,Sheet3!$H$2:$O$200,AD$1,FALSE))),$I$1),$I$1)</f>
        <v>0</v>
      </c>
      <c r="AE98" s="15">
        <f>IFERROR(IF(ISBLANK(X98),IFERROR(VLOOKUP($F98,Sheet3!$H$2:$O$200,AE$1,FALSE),VLOOKUP($G98,Sheet3!$H$2:$O$200,AE$1,FALSE)),$I$1),$I$1)</f>
        <v>0</v>
      </c>
      <c r="AF98" s="15">
        <f>IFERROR(IF(ISBLANK(Y98),IFERROR(VLOOKUP($F98,Sheet3!$H$2:$O$200,AF$1,FALSE),VLOOKUP($G98,Sheet3!$H$2:$O$200,AF$1,FALSE)),$I$1),$I$1)</f>
        <v>0</v>
      </c>
      <c r="AG98" s="15">
        <f>IFERROR(IF(ISBLANK(Z98),IFERROR(VLOOKUP($F98,Sheet3!$H$2:$O$200,AG$1,FALSE),VLOOKUP($G98,Sheet3!$H$2:$O$200,AG$1,FALSE)),$I$1),$I$1)</f>
        <v>0</v>
      </c>
      <c r="AH98" s="15">
        <f>IFERROR(IF(ISBLANK(AA98),IFERROR(VLOOKUP($F98,Sheet3!$H$2:$O$200,AH$1,FALSE),VLOOKUP($G98,Sheet3!$H$2:$O$200,AH$1,FALSE)),$I$1),$I$1)</f>
        <v>0</v>
      </c>
      <c r="AI98" s="15">
        <f>IFERROR(IF(ISBLANK(AB98),IFERROR(VLOOKUP($F98,Sheet3!$H$2:$O$200,AI$1,FALSE),VLOOKUP($G98,Sheet3!$H$2:$O$200,AI$1,FALSE)),$I$1),$I$1)</f>
        <v>0</v>
      </c>
      <c r="AJ98" s="15">
        <f>IFERROR(IF(ISBLANK(AC98),IFERROR(VLOOKUP($F98,Sheet3!$H$2:$O$200,AJ$1,FALSE),VLOOKUP($G98,Sheet3!$H$2:$O$200,AJ$1,FALSE)),$I$1),$I$1)</f>
        <v>0</v>
      </c>
      <c r="AK98" s="15">
        <f>IFERROR(IF(ISBLANK(AD98),IFERROR(VLOOKUP($F98,Sheet3!$H$2:$O$200,AK$1,FALSE),VLOOKUP($G98,Sheet3!$H$2:$O$200,AK$1,FALSE)),$I$1),$I$1)</f>
        <v>0</v>
      </c>
      <c r="AL98" s="15">
        <f>IFERROR(IF(ISBLANK(AE98),VLOOKUP($G98,Sheet3!$H$2:$O$200,AL$1,FALSE),$I$1),$I$1)</f>
        <v>0</v>
      </c>
      <c r="AM98" s="15">
        <f>IFERROR(IF(ISBLANK(AF98),VLOOKUP($G98,Sheet3!$H$2:$O$200,AM$1,FALSE),$I$1),$I$1)</f>
        <v>0</v>
      </c>
      <c r="AN98" s="15">
        <f>IFERROR(IF(ISBLANK(AG98),VLOOKUP($G98,Sheet3!$H$2:$O$200,AN$1,FALSE),$I$1),$I$1)</f>
        <v>0</v>
      </c>
      <c r="AO98" s="15">
        <f>IFERROR(IF(ISBLANK(AH98),VLOOKUP($G98,Sheet3!$H$2:$O$200,AO$1,FALSE),$I$1),$I$1)</f>
        <v>0</v>
      </c>
      <c r="AP98" s="15">
        <f>IFERROR(IF(ISBLANK(AI98),VLOOKUP($G98,Sheet3!$H$2:$O$200,AP$1,FALSE),$I$1),$I$1)</f>
        <v>0</v>
      </c>
      <c r="AQ98" s="15">
        <f>IFERROR(IF(ISBLANK(AJ98),VLOOKUP($G98,Sheet3!$H$2:$O$200,AQ$1,FALSE),$I$1),$I$1)</f>
        <v>0</v>
      </c>
      <c r="AR98" s="15">
        <f>IFERROR(IF(ISBLANK(AK98),VLOOKUP($G98,Sheet3!$H$2:$O$200,AR$1,FALSE),$I$1),$I$1)</f>
        <v>0</v>
      </c>
      <c r="AS98" s="15">
        <f t="shared" si="1"/>
        <v>28</v>
      </c>
      <c r="AT98" s="15" t="b">
        <f t="shared" si="2"/>
        <v>0</v>
      </c>
    </row>
    <row r="99" spans="1:46" x14ac:dyDescent="0.2">
      <c r="A99" s="19" t="s">
        <v>220</v>
      </c>
      <c r="B99" s="19" t="s">
        <v>219</v>
      </c>
      <c r="C99" s="19" t="s">
        <v>221</v>
      </c>
      <c r="D99" s="19"/>
      <c r="E99" s="19"/>
      <c r="F99" s="19"/>
      <c r="G99" s="19"/>
      <c r="H99" s="19" t="s">
        <v>220</v>
      </c>
      <c r="I99" s="15">
        <f t="shared" si="0"/>
        <v>1</v>
      </c>
      <c r="J99" s="15">
        <f>IFERROR(VLOOKUP($C99,Sheet3!$H$2:$O$200,J$1,FALSE),IFERROR(VLOOKUP($D99,Sheet3!$H$2:$O$200,J$1,FALSE),VLOOKUP($E99,Sheet3!$H$2:$O$200,J$1,FALSE)))</f>
        <v>0</v>
      </c>
      <c r="K99" s="15">
        <f>IFERROR(VLOOKUP($C99,Sheet3!$H$2:$O$200,K$1,FALSE),IFERROR(VLOOKUP($D99,Sheet3!$H$2:$O$200,K$1,FALSE),VLOOKUP($E99,Sheet3!$H$2:$O$200,K$1,FALSE)))</f>
        <v>0</v>
      </c>
      <c r="L99" s="15">
        <f>IFERROR(VLOOKUP($C99,Sheet3!$H$2:$O$200,L$1,FALSE),IFERROR(VLOOKUP($D99,Sheet3!$H$2:$O$200,L$1,FALSE),VLOOKUP($E99,Sheet3!$H$2:$O$200,L$1,FALSE)))</f>
        <v>0</v>
      </c>
      <c r="M99" s="15" t="str">
        <f>IFERROR(VLOOKUP($C99,Sheet3!$H$2:$O$200,M$1,FALSE),IFERROR(VLOOKUP($D99,Sheet3!$H$2:$O$200,M$1,FALSE),VLOOKUP($E99,Sheet3!$H$2:$O$200,M$1,FALSE)))</f>
        <v>green-apple schnapps</v>
      </c>
      <c r="N99" s="15">
        <f>IFERROR(VLOOKUP($C99,Sheet3!$H$2:$O$200,N$1,FALSE),IFERROR(VLOOKUP($D99,Sheet3!$H$2:$O$200,N$1,FALSE),VLOOKUP($E99,Sheet3!$H$2:$O$200,N$1,FALSE)))</f>
        <v>0</v>
      </c>
      <c r="O99" s="15">
        <f>IFERROR(VLOOKUP($C99,Sheet3!$H$2:$O$200,O$1,FALSE),IFERROR(VLOOKUP($D99,Sheet3!$H$2:$O$200,O$1,FALSE),VLOOKUP($E99,Sheet3!$H$2:$O$200,O$1,FALSE)))</f>
        <v>0</v>
      </c>
      <c r="P99" s="15">
        <f>IFERROR(VLOOKUP($C99,Sheet3!$H$2:$O$200,P$1,FALSE),IFERROR(VLOOKUP($D99,Sheet3!$H$2:$O$200,P$1,FALSE),VLOOKUP($E99,Sheet3!$H$2:$O$200,P$1,FALSE)))</f>
        <v>0</v>
      </c>
      <c r="Q99" s="15">
        <f>IFERROR(IF(ISBLANK(J99),IFERROR(VLOOKUP($D99,Sheet3!$H$2:$O$200,Q$1,FALSE),IFERROR(VLOOKUP($E99,Sheet3!$H$2:$O$200,Q$1,FALSE),VLOOKUP($F99,Sheet3!$H$2:$O$200,Q$1,FALSE))),$I$1),$I$1)</f>
        <v>0</v>
      </c>
      <c r="R99" s="15">
        <f>IFERROR(IF(ISBLANK(K99),IFERROR(VLOOKUP($D99,Sheet3!$H$2:$O$200,R$1,FALSE),IFERROR(VLOOKUP($E99,Sheet3!$H$2:$O$200,R$1,FALSE),VLOOKUP($F99,Sheet3!$H$2:$O$200,R$1,FALSE))),$I$1),$I$1)</f>
        <v>0</v>
      </c>
      <c r="S99" s="15">
        <f>IFERROR(IF(ISBLANK(L99),IFERROR(VLOOKUP($D99,Sheet3!$H$2:$O$200,S$1,FALSE),IFERROR(VLOOKUP($E99,Sheet3!$H$2:$O$200,S$1,FALSE),VLOOKUP($F99,Sheet3!$H$2:$O$200,S$1,FALSE))),$I$1),$I$1)</f>
        <v>0</v>
      </c>
      <c r="T99" s="15">
        <f>IFERROR(IF(ISBLANK(M99),IFERROR(VLOOKUP($D99,Sheet3!$H$2:$O$200,T$1,FALSE),IFERROR(VLOOKUP($E99,Sheet3!$H$2:$O$200,T$1,FALSE),VLOOKUP($F99,Sheet3!$H$2:$O$200,T$1,FALSE))),$I$1),$I$1)</f>
        <v>0</v>
      </c>
      <c r="U99" s="15">
        <f>IFERROR(IF(ISBLANK(N99),IFERROR(VLOOKUP($D99,Sheet3!$H$2:$O$200,U$1,FALSE),IFERROR(VLOOKUP($E99,Sheet3!$H$2:$O$200,U$1,FALSE),VLOOKUP($F99,Sheet3!$H$2:$O$200,U$1,FALSE))),$I$1),$I$1)</f>
        <v>0</v>
      </c>
      <c r="V99" s="15">
        <f>IFERROR(IF(ISBLANK(O99),IFERROR(VLOOKUP($D99,Sheet3!$H$2:$O$200,V$1,FALSE),IFERROR(VLOOKUP($E99,Sheet3!$H$2:$O$200,V$1,FALSE),VLOOKUP($F99,Sheet3!$H$2:$O$200,V$1,FALSE))),$I$1),$I$1)</f>
        <v>0</v>
      </c>
      <c r="W99" s="15">
        <f>IFERROR(IF(ISBLANK(P99),IFERROR(VLOOKUP($D99,Sheet3!$H$2:$O$200,W$1,FALSE),IFERROR(VLOOKUP($E99,Sheet3!$H$2:$O$200,W$1,FALSE),VLOOKUP($F99,Sheet3!$H$2:$O$200,W$1,FALSE))),$I$1),$I$1)</f>
        <v>0</v>
      </c>
      <c r="X99" s="15">
        <f>IFERROR(IF(ISBLANK(Q99),IFERROR(VLOOKUP($E99,Sheet3!$H$2:$O$200,X$1,FALSE),IFERROR(VLOOKUP($F99,Sheet3!$H$2:$O$200,X$1,FALSE),VLOOKUP($G99,Sheet3!$H$2:$O$200,X$1,FALSE))),$I$1),$I$1)</f>
        <v>0</v>
      </c>
      <c r="Y99" s="15">
        <f>IFERROR(IF(ISBLANK(R99),IFERROR(VLOOKUP($E99,Sheet3!$H$2:$O$200,Y$1,FALSE),IFERROR(VLOOKUP($F99,Sheet3!$H$2:$O$200,Y$1,FALSE),VLOOKUP($G99,Sheet3!$H$2:$O$200,Y$1,FALSE))),$I$1),$I$1)</f>
        <v>0</v>
      </c>
      <c r="Z99" s="15">
        <f>IFERROR(IF(ISBLANK(S99),IFERROR(VLOOKUP($E99,Sheet3!$H$2:$O$200,Z$1,FALSE),IFERROR(VLOOKUP($F99,Sheet3!$H$2:$O$200,Z$1,FALSE),VLOOKUP($G99,Sheet3!$H$2:$O$200,Z$1,FALSE))),$I$1),$I$1)</f>
        <v>0</v>
      </c>
      <c r="AA99" s="15">
        <f>IFERROR(IF(ISBLANK(T99),IFERROR(VLOOKUP($E99,Sheet3!$H$2:$O$200,AA$1,FALSE),IFERROR(VLOOKUP($F99,Sheet3!$H$2:$O$200,AA$1,FALSE),VLOOKUP($G99,Sheet3!$H$2:$O$200,AA$1,FALSE))),$I$1),$I$1)</f>
        <v>0</v>
      </c>
      <c r="AB99" s="15">
        <f>IFERROR(IF(ISBLANK(U99),IFERROR(VLOOKUP($E99,Sheet3!$H$2:$O$200,AB$1,FALSE),IFERROR(VLOOKUP($F99,Sheet3!$H$2:$O$200,AB$1,FALSE),VLOOKUP($G99,Sheet3!$H$2:$O$200,AB$1,FALSE))),$I$1),$I$1)</f>
        <v>0</v>
      </c>
      <c r="AC99" s="15">
        <f>IFERROR(IF(ISBLANK(V99),IFERROR(VLOOKUP($E99,Sheet3!$H$2:$O$200,AC$1,FALSE),IFERROR(VLOOKUP($F99,Sheet3!$H$2:$O$200,AC$1,FALSE),VLOOKUP($G99,Sheet3!$H$2:$O$200,AC$1,FALSE))),$I$1),$I$1)</f>
        <v>0</v>
      </c>
      <c r="AD99" s="15">
        <f>IFERROR(IF(ISBLANK(W99),IFERROR(VLOOKUP($E99,Sheet3!$H$2:$O$200,AD$1,FALSE),IFERROR(VLOOKUP($F99,Sheet3!$H$2:$O$200,AD$1,FALSE),VLOOKUP($G99,Sheet3!$H$2:$O$200,AD$1,FALSE))),$I$1),$I$1)</f>
        <v>0</v>
      </c>
      <c r="AE99" s="15">
        <f>IFERROR(IF(ISBLANK(X99),IFERROR(VLOOKUP($F99,Sheet3!$H$2:$O$200,AE$1,FALSE),VLOOKUP($G99,Sheet3!$H$2:$O$200,AE$1,FALSE)),$I$1),$I$1)</f>
        <v>0</v>
      </c>
      <c r="AF99" s="15">
        <f>IFERROR(IF(ISBLANK(Y99),IFERROR(VLOOKUP($F99,Sheet3!$H$2:$O$200,AF$1,FALSE),VLOOKUP($G99,Sheet3!$H$2:$O$200,AF$1,FALSE)),$I$1),$I$1)</f>
        <v>0</v>
      </c>
      <c r="AG99" s="15">
        <f>IFERROR(IF(ISBLANK(Z99),IFERROR(VLOOKUP($F99,Sheet3!$H$2:$O$200,AG$1,FALSE),VLOOKUP($G99,Sheet3!$H$2:$O$200,AG$1,FALSE)),$I$1),$I$1)</f>
        <v>0</v>
      </c>
      <c r="AH99" s="15">
        <f>IFERROR(IF(ISBLANK(AA99),IFERROR(VLOOKUP($F99,Sheet3!$H$2:$O$200,AH$1,FALSE),VLOOKUP($G99,Sheet3!$H$2:$O$200,AH$1,FALSE)),$I$1),$I$1)</f>
        <v>0</v>
      </c>
      <c r="AI99" s="15">
        <f>IFERROR(IF(ISBLANK(AB99),IFERROR(VLOOKUP($F99,Sheet3!$H$2:$O$200,AI$1,FALSE),VLOOKUP($G99,Sheet3!$H$2:$O$200,AI$1,FALSE)),$I$1),$I$1)</f>
        <v>0</v>
      </c>
      <c r="AJ99" s="15">
        <f>IFERROR(IF(ISBLANK(AC99),IFERROR(VLOOKUP($F99,Sheet3!$H$2:$O$200,AJ$1,FALSE),VLOOKUP($G99,Sheet3!$H$2:$O$200,AJ$1,FALSE)),$I$1),$I$1)</f>
        <v>0</v>
      </c>
      <c r="AK99" s="15">
        <f>IFERROR(IF(ISBLANK(AD99),IFERROR(VLOOKUP($F99,Sheet3!$H$2:$O$200,AK$1,FALSE),VLOOKUP($G99,Sheet3!$H$2:$O$200,AK$1,FALSE)),$I$1),$I$1)</f>
        <v>0</v>
      </c>
      <c r="AL99" s="15">
        <f>IFERROR(IF(ISBLANK(AE99),VLOOKUP($G99,Sheet3!$H$2:$O$200,AL$1,FALSE),$I$1),$I$1)</f>
        <v>0</v>
      </c>
      <c r="AM99" s="15">
        <f>IFERROR(IF(ISBLANK(AF99),VLOOKUP($G99,Sheet3!$H$2:$O$200,AM$1,FALSE),$I$1),$I$1)</f>
        <v>0</v>
      </c>
      <c r="AN99" s="15">
        <f>IFERROR(IF(ISBLANK(AG99),VLOOKUP($G99,Sheet3!$H$2:$O$200,AN$1,FALSE),$I$1),$I$1)</f>
        <v>0</v>
      </c>
      <c r="AO99" s="15">
        <f>IFERROR(IF(ISBLANK(AH99),VLOOKUP($G99,Sheet3!$H$2:$O$200,AO$1,FALSE),$I$1),$I$1)</f>
        <v>0</v>
      </c>
      <c r="AP99" s="15">
        <f>IFERROR(IF(ISBLANK(AI99),VLOOKUP($G99,Sheet3!$H$2:$O$200,AP$1,FALSE),$I$1),$I$1)</f>
        <v>0</v>
      </c>
      <c r="AQ99" s="15">
        <f>IFERROR(IF(ISBLANK(AJ99),VLOOKUP($G99,Sheet3!$H$2:$O$200,AQ$1,FALSE),$I$1),$I$1)</f>
        <v>0</v>
      </c>
      <c r="AR99" s="15">
        <f>IFERROR(IF(ISBLANK(AK99),VLOOKUP($G99,Sheet3!$H$2:$O$200,AR$1,FALSE),$I$1),$I$1)</f>
        <v>0</v>
      </c>
      <c r="AS99" s="15">
        <f t="shared" si="1"/>
        <v>28</v>
      </c>
      <c r="AT99" s="15" t="b">
        <f t="shared" si="2"/>
        <v>0</v>
      </c>
    </row>
    <row r="100" spans="1:46" x14ac:dyDescent="0.2">
      <c r="A100" s="20" t="s">
        <v>222</v>
      </c>
      <c r="B100" s="20" t="s">
        <v>219</v>
      </c>
      <c r="C100" s="20" t="s">
        <v>52</v>
      </c>
      <c r="D100" s="20"/>
      <c r="E100" s="20"/>
      <c r="F100" s="20"/>
      <c r="G100" s="20"/>
      <c r="H100" s="20" t="s">
        <v>222</v>
      </c>
      <c r="I100" s="15">
        <f t="shared" si="0"/>
        <v>1</v>
      </c>
      <c r="J100" s="15">
        <f>IFERROR(VLOOKUP($C100,Sheet3!$H$2:$O$200,J$1,FALSE),IFERROR(VLOOKUP($D100,Sheet3!$H$2:$O$200,J$1,FALSE),VLOOKUP($E100,Sheet3!$H$2:$O$200,J$1,FALSE)))</f>
        <v>0</v>
      </c>
      <c r="K100" s="15">
        <f>IFERROR(VLOOKUP($C100,Sheet3!$H$2:$O$200,K$1,FALSE),IFERROR(VLOOKUP($D100,Sheet3!$H$2:$O$200,K$1,FALSE),VLOOKUP($E100,Sheet3!$H$2:$O$200,K$1,FALSE)))</f>
        <v>0</v>
      </c>
      <c r="L100" s="15">
        <f>IFERROR(VLOOKUP($C100,Sheet3!$H$2:$O$200,L$1,FALSE),IFERROR(VLOOKUP($D100,Sheet3!$H$2:$O$200,L$1,FALSE),VLOOKUP($E100,Sheet3!$H$2:$O$200,L$1,FALSE)))</f>
        <v>0</v>
      </c>
      <c r="M100" s="15" t="str">
        <f>IFERROR(VLOOKUP($C100,Sheet3!$H$2:$O$200,M$1,FALSE),IFERROR(VLOOKUP($D100,Sheet3!$H$2:$O$200,M$1,FALSE),VLOOKUP($E100,Sheet3!$H$2:$O$200,M$1,FALSE)))</f>
        <v>dry vermouth</v>
      </c>
      <c r="N100" s="15">
        <f>IFERROR(VLOOKUP($C100,Sheet3!$H$2:$O$200,N$1,FALSE),IFERROR(VLOOKUP($D100,Sheet3!$H$2:$O$200,N$1,FALSE),VLOOKUP($E100,Sheet3!$H$2:$O$200,N$1,FALSE)))</f>
        <v>0</v>
      </c>
      <c r="O100" s="15">
        <f>IFERROR(VLOOKUP($C100,Sheet3!$H$2:$O$200,O$1,FALSE),IFERROR(VLOOKUP($D100,Sheet3!$H$2:$O$200,O$1,FALSE),VLOOKUP($E100,Sheet3!$H$2:$O$200,O$1,FALSE)))</f>
        <v>0</v>
      </c>
      <c r="P100" s="15">
        <f>IFERROR(VLOOKUP($C100,Sheet3!$H$2:$O$200,P$1,FALSE),IFERROR(VLOOKUP($D100,Sheet3!$H$2:$O$200,P$1,FALSE),VLOOKUP($E100,Sheet3!$H$2:$O$200,P$1,FALSE)))</f>
        <v>0</v>
      </c>
      <c r="Q100" s="15">
        <f>IFERROR(IF(ISBLANK(J100),IFERROR(VLOOKUP($D100,Sheet3!$H$2:$O$200,Q$1,FALSE),IFERROR(VLOOKUP($E100,Sheet3!$H$2:$O$200,Q$1,FALSE),VLOOKUP($F100,Sheet3!$H$2:$O$200,Q$1,FALSE))),$I$1),$I$1)</f>
        <v>0</v>
      </c>
      <c r="R100" s="15">
        <f>IFERROR(IF(ISBLANK(K100),IFERROR(VLOOKUP($D100,Sheet3!$H$2:$O$200,R$1,FALSE),IFERROR(VLOOKUP($E100,Sheet3!$H$2:$O$200,R$1,FALSE),VLOOKUP($F100,Sheet3!$H$2:$O$200,R$1,FALSE))),$I$1),$I$1)</f>
        <v>0</v>
      </c>
      <c r="S100" s="15">
        <f>IFERROR(IF(ISBLANK(L100),IFERROR(VLOOKUP($D100,Sheet3!$H$2:$O$200,S$1,FALSE),IFERROR(VLOOKUP($E100,Sheet3!$H$2:$O$200,S$1,FALSE),VLOOKUP($F100,Sheet3!$H$2:$O$200,S$1,FALSE))),$I$1),$I$1)</f>
        <v>0</v>
      </c>
      <c r="T100" s="15">
        <f>IFERROR(IF(ISBLANK(M100),IFERROR(VLOOKUP($D100,Sheet3!$H$2:$O$200,T$1,FALSE),IFERROR(VLOOKUP($E100,Sheet3!$H$2:$O$200,T$1,FALSE),VLOOKUP($F100,Sheet3!$H$2:$O$200,T$1,FALSE))),$I$1),$I$1)</f>
        <v>0</v>
      </c>
      <c r="U100" s="15">
        <f>IFERROR(IF(ISBLANK(N100),IFERROR(VLOOKUP($D100,Sheet3!$H$2:$O$200,U$1,FALSE),IFERROR(VLOOKUP($E100,Sheet3!$H$2:$O$200,U$1,FALSE),VLOOKUP($F100,Sheet3!$H$2:$O$200,U$1,FALSE))),$I$1),$I$1)</f>
        <v>0</v>
      </c>
      <c r="V100" s="15">
        <f>IFERROR(IF(ISBLANK(O100),IFERROR(VLOOKUP($D100,Sheet3!$H$2:$O$200,V$1,FALSE),IFERROR(VLOOKUP($E100,Sheet3!$H$2:$O$200,V$1,FALSE),VLOOKUP($F100,Sheet3!$H$2:$O$200,V$1,FALSE))),$I$1),$I$1)</f>
        <v>0</v>
      </c>
      <c r="W100" s="15">
        <f>IFERROR(IF(ISBLANK(P100),IFERROR(VLOOKUP($D100,Sheet3!$H$2:$O$200,W$1,FALSE),IFERROR(VLOOKUP($E100,Sheet3!$H$2:$O$200,W$1,FALSE),VLOOKUP($F100,Sheet3!$H$2:$O$200,W$1,FALSE))),$I$1),$I$1)</f>
        <v>0</v>
      </c>
      <c r="X100" s="15">
        <f>IFERROR(IF(ISBLANK(Q100),IFERROR(VLOOKUP($E100,Sheet3!$H$2:$O$200,X$1,FALSE),IFERROR(VLOOKUP($F100,Sheet3!$H$2:$O$200,X$1,FALSE),VLOOKUP($G100,Sheet3!$H$2:$O$200,X$1,FALSE))),$I$1),$I$1)</f>
        <v>0</v>
      </c>
      <c r="Y100" s="15">
        <f>IFERROR(IF(ISBLANK(R100),IFERROR(VLOOKUP($E100,Sheet3!$H$2:$O$200,Y$1,FALSE),IFERROR(VLOOKUP($F100,Sheet3!$H$2:$O$200,Y$1,FALSE),VLOOKUP($G100,Sheet3!$H$2:$O$200,Y$1,FALSE))),$I$1),$I$1)</f>
        <v>0</v>
      </c>
      <c r="Z100" s="15">
        <f>IFERROR(IF(ISBLANK(S100),IFERROR(VLOOKUP($E100,Sheet3!$H$2:$O$200,Z$1,FALSE),IFERROR(VLOOKUP($F100,Sheet3!$H$2:$O$200,Z$1,FALSE),VLOOKUP($G100,Sheet3!$H$2:$O$200,Z$1,FALSE))),$I$1),$I$1)</f>
        <v>0</v>
      </c>
      <c r="AA100" s="15">
        <f>IFERROR(IF(ISBLANK(T100),IFERROR(VLOOKUP($E100,Sheet3!$H$2:$O$200,AA$1,FALSE),IFERROR(VLOOKUP($F100,Sheet3!$H$2:$O$200,AA$1,FALSE),VLOOKUP($G100,Sheet3!$H$2:$O$200,AA$1,FALSE))),$I$1),$I$1)</f>
        <v>0</v>
      </c>
      <c r="AB100" s="15">
        <f>IFERROR(IF(ISBLANK(U100),IFERROR(VLOOKUP($E100,Sheet3!$H$2:$O$200,AB$1,FALSE),IFERROR(VLOOKUP($F100,Sheet3!$H$2:$O$200,AB$1,FALSE),VLOOKUP($G100,Sheet3!$H$2:$O$200,AB$1,FALSE))),$I$1),$I$1)</f>
        <v>0</v>
      </c>
      <c r="AC100" s="15">
        <f>IFERROR(IF(ISBLANK(V100),IFERROR(VLOOKUP($E100,Sheet3!$H$2:$O$200,AC$1,FALSE),IFERROR(VLOOKUP($F100,Sheet3!$H$2:$O$200,AC$1,FALSE),VLOOKUP($G100,Sheet3!$H$2:$O$200,AC$1,FALSE))),$I$1),$I$1)</f>
        <v>0</v>
      </c>
      <c r="AD100" s="15">
        <f>IFERROR(IF(ISBLANK(W100),IFERROR(VLOOKUP($E100,Sheet3!$H$2:$O$200,AD$1,FALSE),IFERROR(VLOOKUP($F100,Sheet3!$H$2:$O$200,AD$1,FALSE),VLOOKUP($G100,Sheet3!$H$2:$O$200,AD$1,FALSE))),$I$1),$I$1)</f>
        <v>0</v>
      </c>
      <c r="AE100" s="15">
        <f>IFERROR(IF(ISBLANK(X100),IFERROR(VLOOKUP($F100,Sheet3!$H$2:$O$200,AE$1,FALSE),VLOOKUP($G100,Sheet3!$H$2:$O$200,AE$1,FALSE)),$I$1),$I$1)</f>
        <v>0</v>
      </c>
      <c r="AF100" s="15">
        <f>IFERROR(IF(ISBLANK(Y100),IFERROR(VLOOKUP($F100,Sheet3!$H$2:$O$200,AF$1,FALSE),VLOOKUP($G100,Sheet3!$H$2:$O$200,AF$1,FALSE)),$I$1),$I$1)</f>
        <v>0</v>
      </c>
      <c r="AG100" s="15">
        <f>IFERROR(IF(ISBLANK(Z100),IFERROR(VLOOKUP($F100,Sheet3!$H$2:$O$200,AG$1,FALSE),VLOOKUP($G100,Sheet3!$H$2:$O$200,AG$1,FALSE)),$I$1),$I$1)</f>
        <v>0</v>
      </c>
      <c r="AH100" s="15">
        <f>IFERROR(IF(ISBLANK(AA100),IFERROR(VLOOKUP($F100,Sheet3!$H$2:$O$200,AH$1,FALSE),VLOOKUP($G100,Sheet3!$H$2:$O$200,AH$1,FALSE)),$I$1),$I$1)</f>
        <v>0</v>
      </c>
      <c r="AI100" s="15">
        <f>IFERROR(IF(ISBLANK(AB100),IFERROR(VLOOKUP($F100,Sheet3!$H$2:$O$200,AI$1,FALSE),VLOOKUP($G100,Sheet3!$H$2:$O$200,AI$1,FALSE)),$I$1),$I$1)</f>
        <v>0</v>
      </c>
      <c r="AJ100" s="15">
        <f>IFERROR(IF(ISBLANK(AC100),IFERROR(VLOOKUP($F100,Sheet3!$H$2:$O$200,AJ$1,FALSE),VLOOKUP($G100,Sheet3!$H$2:$O$200,AJ$1,FALSE)),$I$1),$I$1)</f>
        <v>0</v>
      </c>
      <c r="AK100" s="15">
        <f>IFERROR(IF(ISBLANK(AD100),IFERROR(VLOOKUP($F100,Sheet3!$H$2:$O$200,AK$1,FALSE),VLOOKUP($G100,Sheet3!$H$2:$O$200,AK$1,FALSE)),$I$1),$I$1)</f>
        <v>0</v>
      </c>
      <c r="AL100" s="15">
        <f>IFERROR(IF(ISBLANK(AE100),VLOOKUP($G100,Sheet3!$H$2:$O$200,AL$1,FALSE),$I$1),$I$1)</f>
        <v>0</v>
      </c>
      <c r="AM100" s="15">
        <f>IFERROR(IF(ISBLANK(AF100),VLOOKUP($G100,Sheet3!$H$2:$O$200,AM$1,FALSE),$I$1),$I$1)</f>
        <v>0</v>
      </c>
      <c r="AN100" s="15">
        <f>IFERROR(IF(ISBLANK(AG100),VLOOKUP($G100,Sheet3!$H$2:$O$200,AN$1,FALSE),$I$1),$I$1)</f>
        <v>0</v>
      </c>
      <c r="AO100" s="15">
        <f>IFERROR(IF(ISBLANK(AH100),VLOOKUP($G100,Sheet3!$H$2:$O$200,AO$1,FALSE),$I$1),$I$1)</f>
        <v>0</v>
      </c>
      <c r="AP100" s="15">
        <f>IFERROR(IF(ISBLANK(AI100),VLOOKUP($G100,Sheet3!$H$2:$O$200,AP$1,FALSE),$I$1),$I$1)</f>
        <v>0</v>
      </c>
      <c r="AQ100" s="15">
        <f>IFERROR(IF(ISBLANK(AJ100),VLOOKUP($G100,Sheet3!$H$2:$O$200,AQ$1,FALSE),$I$1),$I$1)</f>
        <v>0</v>
      </c>
      <c r="AR100" s="15">
        <f>IFERROR(IF(ISBLANK(AK100),VLOOKUP($G100,Sheet3!$H$2:$O$200,AR$1,FALSE),$I$1),$I$1)</f>
        <v>0</v>
      </c>
      <c r="AS100" s="15">
        <f t="shared" si="1"/>
        <v>28</v>
      </c>
      <c r="AT100" s="15" t="b">
        <f t="shared" si="2"/>
        <v>0</v>
      </c>
    </row>
    <row r="101" spans="1:46" x14ac:dyDescent="0.2">
      <c r="A101" s="19" t="s">
        <v>223</v>
      </c>
      <c r="B101" s="19" t="s">
        <v>219</v>
      </c>
      <c r="C101" s="19" t="s">
        <v>52</v>
      </c>
      <c r="D101" s="19"/>
      <c r="E101" s="19" t="s">
        <v>224</v>
      </c>
      <c r="F101" s="19"/>
      <c r="G101" s="19"/>
      <c r="H101" s="19" t="s">
        <v>223</v>
      </c>
      <c r="I101" s="15">
        <f t="shared" si="0"/>
        <v>2</v>
      </c>
      <c r="J101" s="15">
        <f>IFERROR(VLOOKUP($C101,Sheet3!$H$2:$O$200,J$1,FALSE),IFERROR(VLOOKUP($D101,Sheet3!$H$2:$O$200,J$1,FALSE),VLOOKUP($E101,Sheet3!$H$2:$O$200,J$1,FALSE)))</f>
        <v>0</v>
      </c>
      <c r="K101" s="15">
        <f>IFERROR(VLOOKUP($C101,Sheet3!$H$2:$O$200,K$1,FALSE),IFERROR(VLOOKUP($D101,Sheet3!$H$2:$O$200,K$1,FALSE),VLOOKUP($E101,Sheet3!$H$2:$O$200,K$1,FALSE)))</f>
        <v>0</v>
      </c>
      <c r="L101" s="15">
        <f>IFERROR(VLOOKUP($C101,Sheet3!$H$2:$O$200,L$1,FALSE),IFERROR(VLOOKUP($D101,Sheet3!$H$2:$O$200,L$1,FALSE),VLOOKUP($E101,Sheet3!$H$2:$O$200,L$1,FALSE)))</f>
        <v>0</v>
      </c>
      <c r="M101" s="15" t="str">
        <f>IFERROR(VLOOKUP($C101,Sheet3!$H$2:$O$200,M$1,FALSE),IFERROR(VLOOKUP($D101,Sheet3!$H$2:$O$200,M$1,FALSE),VLOOKUP($E101,Sheet3!$H$2:$O$200,M$1,FALSE)))</f>
        <v>dry vermouth</v>
      </c>
      <c r="N101" s="15">
        <f>IFERROR(VLOOKUP($C101,Sheet3!$H$2:$O$200,N$1,FALSE),IFERROR(VLOOKUP($D101,Sheet3!$H$2:$O$200,N$1,FALSE),VLOOKUP($E101,Sheet3!$H$2:$O$200,N$1,FALSE)))</f>
        <v>0</v>
      </c>
      <c r="O101" s="15">
        <f>IFERROR(VLOOKUP($C101,Sheet3!$H$2:$O$200,O$1,FALSE),IFERROR(VLOOKUP($D101,Sheet3!$H$2:$O$200,O$1,FALSE),VLOOKUP($E101,Sheet3!$H$2:$O$200,O$1,FALSE)))</f>
        <v>0</v>
      </c>
      <c r="P101" s="15">
        <f>IFERROR(VLOOKUP($C101,Sheet3!$H$2:$O$200,P$1,FALSE),IFERROR(VLOOKUP($D101,Sheet3!$H$2:$O$200,P$1,FALSE),VLOOKUP($E101,Sheet3!$H$2:$O$200,P$1,FALSE)))</f>
        <v>0</v>
      </c>
      <c r="Q101" s="15">
        <f>IFERROR(IF(ISBLANK(J101),IFERROR(VLOOKUP($D101,Sheet3!$H$2:$O$200,Q$1,FALSE),IFERROR(VLOOKUP($E101,Sheet3!$H$2:$O$200,Q$1,FALSE),VLOOKUP($F101,Sheet3!$H$2:$O$200,Q$1,FALSE))),$I$1),$I$1)</f>
        <v>0</v>
      </c>
      <c r="R101" s="15">
        <f>IFERROR(IF(ISBLANK(K101),IFERROR(VLOOKUP($D101,Sheet3!$H$2:$O$200,R$1,FALSE),IFERROR(VLOOKUP($E101,Sheet3!$H$2:$O$200,R$1,FALSE),VLOOKUP($F101,Sheet3!$H$2:$O$200,R$1,FALSE))),$I$1),$I$1)</f>
        <v>0</v>
      </c>
      <c r="S101" s="15">
        <f>IFERROR(IF(ISBLANK(L101),IFERROR(VLOOKUP($D101,Sheet3!$H$2:$O$200,S$1,FALSE),IFERROR(VLOOKUP($E101,Sheet3!$H$2:$O$200,S$1,FALSE),VLOOKUP($F101,Sheet3!$H$2:$O$200,S$1,FALSE))),$I$1),$I$1)</f>
        <v>0</v>
      </c>
      <c r="T101" s="15">
        <f>IFERROR(IF(ISBLANK(M101),IFERROR(VLOOKUP($D101,Sheet3!$H$2:$O$200,T$1,FALSE),IFERROR(VLOOKUP($E101,Sheet3!$H$2:$O$200,T$1,FALSE),VLOOKUP($F101,Sheet3!$H$2:$O$200,T$1,FALSE))),$I$1),$I$1)</f>
        <v>0</v>
      </c>
      <c r="U101" s="15">
        <f>IFERROR(IF(ISBLANK(N101),IFERROR(VLOOKUP($D101,Sheet3!$H$2:$O$200,U$1,FALSE),IFERROR(VLOOKUP($E101,Sheet3!$H$2:$O$200,U$1,FALSE),VLOOKUP($F101,Sheet3!$H$2:$O$200,U$1,FALSE))),$I$1),$I$1)</f>
        <v>0</v>
      </c>
      <c r="V101" s="15">
        <f>IFERROR(IF(ISBLANK(O101),IFERROR(VLOOKUP($D101,Sheet3!$H$2:$O$200,V$1,FALSE),IFERROR(VLOOKUP($E101,Sheet3!$H$2:$O$200,V$1,FALSE),VLOOKUP($F101,Sheet3!$H$2:$O$200,V$1,FALSE))),$I$1),$I$1)</f>
        <v>0</v>
      </c>
      <c r="W101" s="15">
        <f>IFERROR(IF(ISBLANK(P101),IFERROR(VLOOKUP($D101,Sheet3!$H$2:$O$200,W$1,FALSE),IFERROR(VLOOKUP($E101,Sheet3!$H$2:$O$200,W$1,FALSE),VLOOKUP($F101,Sheet3!$H$2:$O$200,W$1,FALSE))),$I$1),$I$1)</f>
        <v>0</v>
      </c>
      <c r="X101" s="15">
        <f>IFERROR(IF(ISBLANK(Q101),IFERROR(VLOOKUP($E101,Sheet3!$H$2:$O$200,X$1,FALSE),IFERROR(VLOOKUP($F101,Sheet3!$H$2:$O$200,X$1,FALSE),VLOOKUP($G101,Sheet3!$H$2:$O$200,X$1,FALSE))),$I$1),$I$1)</f>
        <v>0</v>
      </c>
      <c r="Y101" s="15">
        <f>IFERROR(IF(ISBLANK(R101),IFERROR(VLOOKUP($E101,Sheet3!$H$2:$O$200,Y$1,FALSE),IFERROR(VLOOKUP($F101,Sheet3!$H$2:$O$200,Y$1,FALSE),VLOOKUP($G101,Sheet3!$H$2:$O$200,Y$1,FALSE))),$I$1),$I$1)</f>
        <v>0</v>
      </c>
      <c r="Z101" s="15">
        <f>IFERROR(IF(ISBLANK(S101),IFERROR(VLOOKUP($E101,Sheet3!$H$2:$O$200,Z$1,FALSE),IFERROR(VLOOKUP($F101,Sheet3!$H$2:$O$200,Z$1,FALSE),VLOOKUP($G101,Sheet3!$H$2:$O$200,Z$1,FALSE))),$I$1),$I$1)</f>
        <v>0</v>
      </c>
      <c r="AA101" s="15">
        <f>IFERROR(IF(ISBLANK(T101),IFERROR(VLOOKUP($E101,Sheet3!$H$2:$O$200,AA$1,FALSE),IFERROR(VLOOKUP($F101,Sheet3!$H$2:$O$200,AA$1,FALSE),VLOOKUP($G101,Sheet3!$H$2:$O$200,AA$1,FALSE))),$I$1),$I$1)</f>
        <v>0</v>
      </c>
      <c r="AB101" s="15">
        <f>IFERROR(IF(ISBLANK(U101),IFERROR(VLOOKUP($E101,Sheet3!$H$2:$O$200,AB$1,FALSE),IFERROR(VLOOKUP($F101,Sheet3!$H$2:$O$200,AB$1,FALSE),VLOOKUP($G101,Sheet3!$H$2:$O$200,AB$1,FALSE))),$I$1),$I$1)</f>
        <v>0</v>
      </c>
      <c r="AC101" s="15">
        <f>IFERROR(IF(ISBLANK(V101),IFERROR(VLOOKUP($E101,Sheet3!$H$2:$O$200,AC$1,FALSE),IFERROR(VLOOKUP($F101,Sheet3!$H$2:$O$200,AC$1,FALSE),VLOOKUP($G101,Sheet3!$H$2:$O$200,AC$1,FALSE))),$I$1),$I$1)</f>
        <v>0</v>
      </c>
      <c r="AD101" s="15">
        <f>IFERROR(IF(ISBLANK(W101),IFERROR(VLOOKUP($E101,Sheet3!$H$2:$O$200,AD$1,FALSE),IFERROR(VLOOKUP($F101,Sheet3!$H$2:$O$200,AD$1,FALSE),VLOOKUP($G101,Sheet3!$H$2:$O$200,AD$1,FALSE))),$I$1),$I$1)</f>
        <v>0</v>
      </c>
      <c r="AE101" s="15">
        <f>IFERROR(IF(ISBLANK(X101),IFERROR(VLOOKUP($F101,Sheet3!$H$2:$O$200,AE$1,FALSE),VLOOKUP($G101,Sheet3!$H$2:$O$200,AE$1,FALSE)),$I$1),$I$1)</f>
        <v>0</v>
      </c>
      <c r="AF101" s="15">
        <f>IFERROR(IF(ISBLANK(Y101),IFERROR(VLOOKUP($F101,Sheet3!$H$2:$O$200,AF$1,FALSE),VLOOKUP($G101,Sheet3!$H$2:$O$200,AF$1,FALSE)),$I$1),$I$1)</f>
        <v>0</v>
      </c>
      <c r="AG101" s="15">
        <f>IFERROR(IF(ISBLANK(Z101),IFERROR(VLOOKUP($F101,Sheet3!$H$2:$O$200,AG$1,FALSE),VLOOKUP($G101,Sheet3!$H$2:$O$200,AG$1,FALSE)),$I$1),$I$1)</f>
        <v>0</v>
      </c>
      <c r="AH101" s="15">
        <f>IFERROR(IF(ISBLANK(AA101),IFERROR(VLOOKUP($F101,Sheet3!$H$2:$O$200,AH$1,FALSE),VLOOKUP($G101,Sheet3!$H$2:$O$200,AH$1,FALSE)),$I$1),$I$1)</f>
        <v>0</v>
      </c>
      <c r="AI101" s="15">
        <f>IFERROR(IF(ISBLANK(AB101),IFERROR(VLOOKUP($F101,Sheet3!$H$2:$O$200,AI$1,FALSE),VLOOKUP($G101,Sheet3!$H$2:$O$200,AI$1,FALSE)),$I$1),$I$1)</f>
        <v>0</v>
      </c>
      <c r="AJ101" s="15">
        <f>IFERROR(IF(ISBLANK(AC101),IFERROR(VLOOKUP($F101,Sheet3!$H$2:$O$200,AJ$1,FALSE),VLOOKUP($G101,Sheet3!$H$2:$O$200,AJ$1,FALSE)),$I$1),$I$1)</f>
        <v>0</v>
      </c>
      <c r="AK101" s="15">
        <f>IFERROR(IF(ISBLANK(AD101),IFERROR(VLOOKUP($F101,Sheet3!$H$2:$O$200,AK$1,FALSE),VLOOKUP($G101,Sheet3!$H$2:$O$200,AK$1,FALSE)),$I$1),$I$1)</f>
        <v>0</v>
      </c>
      <c r="AL101" s="15">
        <f>IFERROR(IF(ISBLANK(AE101),VLOOKUP($G101,Sheet3!$H$2:$O$200,AL$1,FALSE),$I$1),$I$1)</f>
        <v>0</v>
      </c>
      <c r="AM101" s="15">
        <f>IFERROR(IF(ISBLANK(AF101),VLOOKUP($G101,Sheet3!$H$2:$O$200,AM$1,FALSE),$I$1),$I$1)</f>
        <v>0</v>
      </c>
      <c r="AN101" s="15">
        <f>IFERROR(IF(ISBLANK(AG101),VLOOKUP($G101,Sheet3!$H$2:$O$200,AN$1,FALSE),$I$1),$I$1)</f>
        <v>0</v>
      </c>
      <c r="AO101" s="15">
        <f>IFERROR(IF(ISBLANK(AH101),VLOOKUP($G101,Sheet3!$H$2:$O$200,AO$1,FALSE),$I$1),$I$1)</f>
        <v>0</v>
      </c>
      <c r="AP101" s="15">
        <f>IFERROR(IF(ISBLANK(AI101),VLOOKUP($G101,Sheet3!$H$2:$O$200,AP$1,FALSE),$I$1),$I$1)</f>
        <v>0</v>
      </c>
      <c r="AQ101" s="15">
        <f>IFERROR(IF(ISBLANK(AJ101),VLOOKUP($G101,Sheet3!$H$2:$O$200,AQ$1,FALSE),$I$1),$I$1)</f>
        <v>0</v>
      </c>
      <c r="AR101" s="15">
        <f>IFERROR(IF(ISBLANK(AK101),VLOOKUP($G101,Sheet3!$H$2:$O$200,AR$1,FALSE),$I$1),$I$1)</f>
        <v>0</v>
      </c>
      <c r="AS101" s="15">
        <f t="shared" si="1"/>
        <v>28</v>
      </c>
      <c r="AT101" s="15" t="b">
        <f t="shared" si="2"/>
        <v>0</v>
      </c>
    </row>
    <row r="102" spans="1:46" x14ac:dyDescent="0.2">
      <c r="A102" s="20" t="s">
        <v>225</v>
      </c>
      <c r="B102" s="20" t="s">
        <v>219</v>
      </c>
      <c r="C102" s="20" t="s">
        <v>52</v>
      </c>
      <c r="D102" s="20"/>
      <c r="E102" s="20" t="s">
        <v>226</v>
      </c>
      <c r="F102" s="20"/>
      <c r="G102" s="20"/>
      <c r="H102" s="20" t="s">
        <v>225</v>
      </c>
      <c r="I102" s="15">
        <f t="shared" si="0"/>
        <v>2</v>
      </c>
      <c r="J102" s="15">
        <f>IFERROR(VLOOKUP($C102,Sheet3!$H$2:$O$200,J$1,FALSE),IFERROR(VLOOKUP($D102,Sheet3!$H$2:$O$200,J$1,FALSE),VLOOKUP($E102,Sheet3!$H$2:$O$200,J$1,FALSE)))</f>
        <v>0</v>
      </c>
      <c r="K102" s="15">
        <f>IFERROR(VLOOKUP($C102,Sheet3!$H$2:$O$200,K$1,FALSE),IFERROR(VLOOKUP($D102,Sheet3!$H$2:$O$200,K$1,FALSE),VLOOKUP($E102,Sheet3!$H$2:$O$200,K$1,FALSE)))</f>
        <v>0</v>
      </c>
      <c r="L102" s="15">
        <f>IFERROR(VLOOKUP($C102,Sheet3!$H$2:$O$200,L$1,FALSE),IFERROR(VLOOKUP($D102,Sheet3!$H$2:$O$200,L$1,FALSE),VLOOKUP($E102,Sheet3!$H$2:$O$200,L$1,FALSE)))</f>
        <v>0</v>
      </c>
      <c r="M102" s="15" t="str">
        <f>IFERROR(VLOOKUP($C102,Sheet3!$H$2:$O$200,M$1,FALSE),IFERROR(VLOOKUP($D102,Sheet3!$H$2:$O$200,M$1,FALSE),VLOOKUP($E102,Sheet3!$H$2:$O$200,M$1,FALSE)))</f>
        <v>dry vermouth</v>
      </c>
      <c r="N102" s="15">
        <f>IFERROR(VLOOKUP($C102,Sheet3!$H$2:$O$200,N$1,FALSE),IFERROR(VLOOKUP($D102,Sheet3!$H$2:$O$200,N$1,FALSE),VLOOKUP($E102,Sheet3!$H$2:$O$200,N$1,FALSE)))</f>
        <v>0</v>
      </c>
      <c r="O102" s="15">
        <f>IFERROR(VLOOKUP($C102,Sheet3!$H$2:$O$200,O$1,FALSE),IFERROR(VLOOKUP($D102,Sheet3!$H$2:$O$200,O$1,FALSE),VLOOKUP($E102,Sheet3!$H$2:$O$200,O$1,FALSE)))</f>
        <v>0</v>
      </c>
      <c r="P102" s="15">
        <f>IFERROR(VLOOKUP($C102,Sheet3!$H$2:$O$200,P$1,FALSE),IFERROR(VLOOKUP($D102,Sheet3!$H$2:$O$200,P$1,FALSE),VLOOKUP($E102,Sheet3!$H$2:$O$200,P$1,FALSE)))</f>
        <v>0</v>
      </c>
      <c r="Q102" s="15">
        <f>IFERROR(IF(ISBLANK(J102),IFERROR(VLOOKUP($D102,Sheet3!$H$2:$O$200,Q$1,FALSE),IFERROR(VLOOKUP($E102,Sheet3!$H$2:$O$200,Q$1,FALSE),VLOOKUP($F102,Sheet3!$H$2:$O$200,Q$1,FALSE))),$I$1),$I$1)</f>
        <v>0</v>
      </c>
      <c r="R102" s="15">
        <f>IFERROR(IF(ISBLANK(K102),IFERROR(VLOOKUP($D102,Sheet3!$H$2:$O$200,R$1,FALSE),IFERROR(VLOOKUP($E102,Sheet3!$H$2:$O$200,R$1,FALSE),VLOOKUP($F102,Sheet3!$H$2:$O$200,R$1,FALSE))),$I$1),$I$1)</f>
        <v>0</v>
      </c>
      <c r="S102" s="15">
        <f>IFERROR(IF(ISBLANK(L102),IFERROR(VLOOKUP($D102,Sheet3!$H$2:$O$200,S$1,FALSE),IFERROR(VLOOKUP($E102,Sheet3!$H$2:$O$200,S$1,FALSE),VLOOKUP($F102,Sheet3!$H$2:$O$200,S$1,FALSE))),$I$1),$I$1)</f>
        <v>0</v>
      </c>
      <c r="T102" s="15">
        <f>IFERROR(IF(ISBLANK(M102),IFERROR(VLOOKUP($D102,Sheet3!$H$2:$O$200,T$1,FALSE),IFERROR(VLOOKUP($E102,Sheet3!$H$2:$O$200,T$1,FALSE),VLOOKUP($F102,Sheet3!$H$2:$O$200,T$1,FALSE))),$I$1),$I$1)</f>
        <v>0</v>
      </c>
      <c r="U102" s="15">
        <f>IFERROR(IF(ISBLANK(N102),IFERROR(VLOOKUP($D102,Sheet3!$H$2:$O$200,U$1,FALSE),IFERROR(VLOOKUP($E102,Sheet3!$H$2:$O$200,U$1,FALSE),VLOOKUP($F102,Sheet3!$H$2:$O$200,U$1,FALSE))),$I$1),$I$1)</f>
        <v>0</v>
      </c>
      <c r="V102" s="15">
        <f>IFERROR(IF(ISBLANK(O102),IFERROR(VLOOKUP($D102,Sheet3!$H$2:$O$200,V$1,FALSE),IFERROR(VLOOKUP($E102,Sheet3!$H$2:$O$200,V$1,FALSE),VLOOKUP($F102,Sheet3!$H$2:$O$200,V$1,FALSE))),$I$1),$I$1)</f>
        <v>0</v>
      </c>
      <c r="W102" s="15">
        <f>IFERROR(IF(ISBLANK(P102),IFERROR(VLOOKUP($D102,Sheet3!$H$2:$O$200,W$1,FALSE),IFERROR(VLOOKUP($E102,Sheet3!$H$2:$O$200,W$1,FALSE),VLOOKUP($F102,Sheet3!$H$2:$O$200,W$1,FALSE))),$I$1),$I$1)</f>
        <v>0</v>
      </c>
      <c r="X102" s="15">
        <f>IFERROR(IF(ISBLANK(Q102),IFERROR(VLOOKUP($E102,Sheet3!$H$2:$O$200,X$1,FALSE),IFERROR(VLOOKUP($F102,Sheet3!$H$2:$O$200,X$1,FALSE),VLOOKUP($G102,Sheet3!$H$2:$O$200,X$1,FALSE))),$I$1),$I$1)</f>
        <v>0</v>
      </c>
      <c r="Y102" s="15">
        <f>IFERROR(IF(ISBLANK(R102),IFERROR(VLOOKUP($E102,Sheet3!$H$2:$O$200,Y$1,FALSE),IFERROR(VLOOKUP($F102,Sheet3!$H$2:$O$200,Y$1,FALSE),VLOOKUP($G102,Sheet3!$H$2:$O$200,Y$1,FALSE))),$I$1),$I$1)</f>
        <v>0</v>
      </c>
      <c r="Z102" s="15">
        <f>IFERROR(IF(ISBLANK(S102),IFERROR(VLOOKUP($E102,Sheet3!$H$2:$O$200,Z$1,FALSE),IFERROR(VLOOKUP($F102,Sheet3!$H$2:$O$200,Z$1,FALSE),VLOOKUP($G102,Sheet3!$H$2:$O$200,Z$1,FALSE))),$I$1),$I$1)</f>
        <v>0</v>
      </c>
      <c r="AA102" s="15">
        <f>IFERROR(IF(ISBLANK(T102),IFERROR(VLOOKUP($E102,Sheet3!$H$2:$O$200,AA$1,FALSE),IFERROR(VLOOKUP($F102,Sheet3!$H$2:$O$200,AA$1,FALSE),VLOOKUP($G102,Sheet3!$H$2:$O$200,AA$1,FALSE))),$I$1),$I$1)</f>
        <v>0</v>
      </c>
      <c r="AB102" s="15">
        <f>IFERROR(IF(ISBLANK(U102),IFERROR(VLOOKUP($E102,Sheet3!$H$2:$O$200,AB$1,FALSE),IFERROR(VLOOKUP($F102,Sheet3!$H$2:$O$200,AB$1,FALSE),VLOOKUP($G102,Sheet3!$H$2:$O$200,AB$1,FALSE))),$I$1),$I$1)</f>
        <v>0</v>
      </c>
      <c r="AC102" s="15">
        <f>IFERROR(IF(ISBLANK(V102),IFERROR(VLOOKUP($E102,Sheet3!$H$2:$O$200,AC$1,FALSE),IFERROR(VLOOKUP($F102,Sheet3!$H$2:$O$200,AC$1,FALSE),VLOOKUP($G102,Sheet3!$H$2:$O$200,AC$1,FALSE))),$I$1),$I$1)</f>
        <v>0</v>
      </c>
      <c r="AD102" s="15">
        <f>IFERROR(IF(ISBLANK(W102),IFERROR(VLOOKUP($E102,Sheet3!$H$2:$O$200,AD$1,FALSE),IFERROR(VLOOKUP($F102,Sheet3!$H$2:$O$200,AD$1,FALSE),VLOOKUP($G102,Sheet3!$H$2:$O$200,AD$1,FALSE))),$I$1),$I$1)</f>
        <v>0</v>
      </c>
      <c r="AE102" s="15">
        <f>IFERROR(IF(ISBLANK(X102),IFERROR(VLOOKUP($F102,Sheet3!$H$2:$O$200,AE$1,FALSE),VLOOKUP($G102,Sheet3!$H$2:$O$200,AE$1,FALSE)),$I$1),$I$1)</f>
        <v>0</v>
      </c>
      <c r="AF102" s="15">
        <f>IFERROR(IF(ISBLANK(Y102),IFERROR(VLOOKUP($F102,Sheet3!$H$2:$O$200,AF$1,FALSE),VLOOKUP($G102,Sheet3!$H$2:$O$200,AF$1,FALSE)),$I$1),$I$1)</f>
        <v>0</v>
      </c>
      <c r="AG102" s="15">
        <f>IFERROR(IF(ISBLANK(Z102),IFERROR(VLOOKUP($F102,Sheet3!$H$2:$O$200,AG$1,FALSE),VLOOKUP($G102,Sheet3!$H$2:$O$200,AG$1,FALSE)),$I$1),$I$1)</f>
        <v>0</v>
      </c>
      <c r="AH102" s="15">
        <f>IFERROR(IF(ISBLANK(AA102),IFERROR(VLOOKUP($F102,Sheet3!$H$2:$O$200,AH$1,FALSE),VLOOKUP($G102,Sheet3!$H$2:$O$200,AH$1,FALSE)),$I$1),$I$1)</f>
        <v>0</v>
      </c>
      <c r="AI102" s="15">
        <f>IFERROR(IF(ISBLANK(AB102),IFERROR(VLOOKUP($F102,Sheet3!$H$2:$O$200,AI$1,FALSE),VLOOKUP($G102,Sheet3!$H$2:$O$200,AI$1,FALSE)),$I$1),$I$1)</f>
        <v>0</v>
      </c>
      <c r="AJ102" s="15">
        <f>IFERROR(IF(ISBLANK(AC102),IFERROR(VLOOKUP($F102,Sheet3!$H$2:$O$200,AJ$1,FALSE),VLOOKUP($G102,Sheet3!$H$2:$O$200,AJ$1,FALSE)),$I$1),$I$1)</f>
        <v>0</v>
      </c>
      <c r="AK102" s="15">
        <f>IFERROR(IF(ISBLANK(AD102),IFERROR(VLOOKUP($F102,Sheet3!$H$2:$O$200,AK$1,FALSE),VLOOKUP($G102,Sheet3!$H$2:$O$200,AK$1,FALSE)),$I$1),$I$1)</f>
        <v>0</v>
      </c>
      <c r="AL102" s="15">
        <f>IFERROR(IF(ISBLANK(AE102),VLOOKUP($G102,Sheet3!$H$2:$O$200,AL$1,FALSE),$I$1),$I$1)</f>
        <v>0</v>
      </c>
      <c r="AM102" s="15">
        <f>IFERROR(IF(ISBLANK(AF102),VLOOKUP($G102,Sheet3!$H$2:$O$200,AM$1,FALSE),$I$1),$I$1)</f>
        <v>0</v>
      </c>
      <c r="AN102" s="15">
        <f>IFERROR(IF(ISBLANK(AG102),VLOOKUP($G102,Sheet3!$H$2:$O$200,AN$1,FALSE),$I$1),$I$1)</f>
        <v>0</v>
      </c>
      <c r="AO102" s="15">
        <f>IFERROR(IF(ISBLANK(AH102),VLOOKUP($G102,Sheet3!$H$2:$O$200,AO$1,FALSE),$I$1),$I$1)</f>
        <v>0</v>
      </c>
      <c r="AP102" s="15">
        <f>IFERROR(IF(ISBLANK(AI102),VLOOKUP($G102,Sheet3!$H$2:$O$200,AP$1,FALSE),$I$1),$I$1)</f>
        <v>0</v>
      </c>
      <c r="AQ102" s="15">
        <f>IFERROR(IF(ISBLANK(AJ102),VLOOKUP($G102,Sheet3!$H$2:$O$200,AQ$1,FALSE),$I$1),$I$1)</f>
        <v>0</v>
      </c>
      <c r="AR102" s="15">
        <f>IFERROR(IF(ISBLANK(AK102),VLOOKUP($G102,Sheet3!$H$2:$O$200,AR$1,FALSE),$I$1),$I$1)</f>
        <v>0</v>
      </c>
      <c r="AS102" s="15">
        <f t="shared" si="1"/>
        <v>28</v>
      </c>
      <c r="AT102" s="15" t="b">
        <f t="shared" si="2"/>
        <v>0</v>
      </c>
    </row>
    <row r="103" spans="1:46" x14ac:dyDescent="0.2">
      <c r="A103" s="19" t="s">
        <v>227</v>
      </c>
      <c r="B103" s="19" t="s">
        <v>219</v>
      </c>
      <c r="C103" s="19" t="s">
        <v>178</v>
      </c>
      <c r="D103" s="19"/>
      <c r="E103" s="19"/>
      <c r="F103" s="19"/>
      <c r="G103" s="19"/>
      <c r="H103" s="19" t="s">
        <v>227</v>
      </c>
      <c r="I103" s="15">
        <f t="shared" si="0"/>
        <v>1</v>
      </c>
      <c r="J103" s="15">
        <f>IFERROR(VLOOKUP($C103,Sheet3!$H$2:$O$200,J$1,FALSE),IFERROR(VLOOKUP($D103,Sheet3!$H$2:$O$200,J$1,FALSE),VLOOKUP($E103,Sheet3!$H$2:$O$200,J$1,FALSE)))</f>
        <v>0</v>
      </c>
      <c r="K103" s="15">
        <f>IFERROR(VLOOKUP($C103,Sheet3!$H$2:$O$200,K$1,FALSE),IFERROR(VLOOKUP($D103,Sheet3!$H$2:$O$200,K$1,FALSE),VLOOKUP($E103,Sheet3!$H$2:$O$200,K$1,FALSE)))</f>
        <v>0</v>
      </c>
      <c r="L103" s="15">
        <f>IFERROR(VLOOKUP($C103,Sheet3!$H$2:$O$200,L$1,FALSE),IFERROR(VLOOKUP($D103,Sheet3!$H$2:$O$200,L$1,FALSE),VLOOKUP($E103,Sheet3!$H$2:$O$200,L$1,FALSE)))</f>
        <v>0</v>
      </c>
      <c r="M103" s="15" t="str">
        <f>IFERROR(VLOOKUP($C103,Sheet3!$H$2:$O$200,M$1,FALSE),IFERROR(VLOOKUP($D103,Sheet3!$H$2:$O$200,M$1,FALSE),VLOOKUP($E103,Sheet3!$H$2:$O$200,M$1,FALSE)))</f>
        <v>Lillet</v>
      </c>
      <c r="N103" s="15">
        <f>IFERROR(VLOOKUP($C103,Sheet3!$H$2:$O$200,N$1,FALSE),IFERROR(VLOOKUP($D103,Sheet3!$H$2:$O$200,N$1,FALSE),VLOOKUP($E103,Sheet3!$H$2:$O$200,N$1,FALSE)))</f>
        <v>0</v>
      </c>
      <c r="O103" s="15">
        <f>IFERROR(VLOOKUP($C103,Sheet3!$H$2:$O$200,O$1,FALSE),IFERROR(VLOOKUP($D103,Sheet3!$H$2:$O$200,O$1,FALSE),VLOOKUP($E103,Sheet3!$H$2:$O$200,O$1,FALSE)))</f>
        <v>0</v>
      </c>
      <c r="P103" s="15">
        <f>IFERROR(VLOOKUP($C103,Sheet3!$H$2:$O$200,P$1,FALSE),IFERROR(VLOOKUP($D103,Sheet3!$H$2:$O$200,P$1,FALSE),VLOOKUP($E103,Sheet3!$H$2:$O$200,P$1,FALSE)))</f>
        <v>0</v>
      </c>
      <c r="Q103" s="15">
        <f>IFERROR(IF(ISBLANK(J103),IFERROR(VLOOKUP($D103,Sheet3!$H$2:$O$200,Q$1,FALSE),IFERROR(VLOOKUP($E103,Sheet3!$H$2:$O$200,Q$1,FALSE),VLOOKUP($F103,Sheet3!$H$2:$O$200,Q$1,FALSE))),$I$1),$I$1)</f>
        <v>0</v>
      </c>
      <c r="R103" s="15">
        <f>IFERROR(IF(ISBLANK(K103),IFERROR(VLOOKUP($D103,Sheet3!$H$2:$O$200,R$1,FALSE),IFERROR(VLOOKUP($E103,Sheet3!$H$2:$O$200,R$1,FALSE),VLOOKUP($F103,Sheet3!$H$2:$O$200,R$1,FALSE))),$I$1),$I$1)</f>
        <v>0</v>
      </c>
      <c r="S103" s="15">
        <f>IFERROR(IF(ISBLANK(L103),IFERROR(VLOOKUP($D103,Sheet3!$H$2:$O$200,S$1,FALSE),IFERROR(VLOOKUP($E103,Sheet3!$H$2:$O$200,S$1,FALSE),VLOOKUP($F103,Sheet3!$H$2:$O$200,S$1,FALSE))),$I$1),$I$1)</f>
        <v>0</v>
      </c>
      <c r="T103" s="15">
        <f>IFERROR(IF(ISBLANK(M103),IFERROR(VLOOKUP($D103,Sheet3!$H$2:$O$200,T$1,FALSE),IFERROR(VLOOKUP($E103,Sheet3!$H$2:$O$200,T$1,FALSE),VLOOKUP($F103,Sheet3!$H$2:$O$200,T$1,FALSE))),$I$1),$I$1)</f>
        <v>0</v>
      </c>
      <c r="U103" s="15">
        <f>IFERROR(IF(ISBLANK(N103),IFERROR(VLOOKUP($D103,Sheet3!$H$2:$O$200,U$1,FALSE),IFERROR(VLOOKUP($E103,Sheet3!$H$2:$O$200,U$1,FALSE),VLOOKUP($F103,Sheet3!$H$2:$O$200,U$1,FALSE))),$I$1),$I$1)</f>
        <v>0</v>
      </c>
      <c r="V103" s="15">
        <f>IFERROR(IF(ISBLANK(O103),IFERROR(VLOOKUP($D103,Sheet3!$H$2:$O$200,V$1,FALSE),IFERROR(VLOOKUP($E103,Sheet3!$H$2:$O$200,V$1,FALSE),VLOOKUP($F103,Sheet3!$H$2:$O$200,V$1,FALSE))),$I$1),$I$1)</f>
        <v>0</v>
      </c>
      <c r="W103" s="15">
        <f>IFERROR(IF(ISBLANK(P103),IFERROR(VLOOKUP($D103,Sheet3!$H$2:$O$200,W$1,FALSE),IFERROR(VLOOKUP($E103,Sheet3!$H$2:$O$200,W$1,FALSE),VLOOKUP($F103,Sheet3!$H$2:$O$200,W$1,FALSE))),$I$1),$I$1)</f>
        <v>0</v>
      </c>
      <c r="X103" s="15">
        <f>IFERROR(IF(ISBLANK(Q103),IFERROR(VLOOKUP($E103,Sheet3!$H$2:$O$200,X$1,FALSE),IFERROR(VLOOKUP($F103,Sheet3!$H$2:$O$200,X$1,FALSE),VLOOKUP($G103,Sheet3!$H$2:$O$200,X$1,FALSE))),$I$1),$I$1)</f>
        <v>0</v>
      </c>
      <c r="Y103" s="15">
        <f>IFERROR(IF(ISBLANK(R103),IFERROR(VLOOKUP($E103,Sheet3!$H$2:$O$200,Y$1,FALSE),IFERROR(VLOOKUP($F103,Sheet3!$H$2:$O$200,Y$1,FALSE),VLOOKUP($G103,Sheet3!$H$2:$O$200,Y$1,FALSE))),$I$1),$I$1)</f>
        <v>0</v>
      </c>
      <c r="Z103" s="15">
        <f>IFERROR(IF(ISBLANK(S103),IFERROR(VLOOKUP($E103,Sheet3!$H$2:$O$200,Z$1,FALSE),IFERROR(VLOOKUP($F103,Sheet3!$H$2:$O$200,Z$1,FALSE),VLOOKUP($G103,Sheet3!$H$2:$O$200,Z$1,FALSE))),$I$1),$I$1)</f>
        <v>0</v>
      </c>
      <c r="AA103" s="15">
        <f>IFERROR(IF(ISBLANK(T103),IFERROR(VLOOKUP($E103,Sheet3!$H$2:$O$200,AA$1,FALSE),IFERROR(VLOOKUP($F103,Sheet3!$H$2:$O$200,AA$1,FALSE),VLOOKUP($G103,Sheet3!$H$2:$O$200,AA$1,FALSE))),$I$1),$I$1)</f>
        <v>0</v>
      </c>
      <c r="AB103" s="15">
        <f>IFERROR(IF(ISBLANK(U103),IFERROR(VLOOKUP($E103,Sheet3!$H$2:$O$200,AB$1,FALSE),IFERROR(VLOOKUP($F103,Sheet3!$H$2:$O$200,AB$1,FALSE),VLOOKUP($G103,Sheet3!$H$2:$O$200,AB$1,FALSE))),$I$1),$I$1)</f>
        <v>0</v>
      </c>
      <c r="AC103" s="15">
        <f>IFERROR(IF(ISBLANK(V103),IFERROR(VLOOKUP($E103,Sheet3!$H$2:$O$200,AC$1,FALSE),IFERROR(VLOOKUP($F103,Sheet3!$H$2:$O$200,AC$1,FALSE),VLOOKUP($G103,Sheet3!$H$2:$O$200,AC$1,FALSE))),$I$1),$I$1)</f>
        <v>0</v>
      </c>
      <c r="AD103" s="15">
        <f>IFERROR(IF(ISBLANK(W103),IFERROR(VLOOKUP($E103,Sheet3!$H$2:$O$200,AD$1,FALSE),IFERROR(VLOOKUP($F103,Sheet3!$H$2:$O$200,AD$1,FALSE),VLOOKUP($G103,Sheet3!$H$2:$O$200,AD$1,FALSE))),$I$1),$I$1)</f>
        <v>0</v>
      </c>
      <c r="AE103" s="15">
        <f>IFERROR(IF(ISBLANK(X103),IFERROR(VLOOKUP($F103,Sheet3!$H$2:$O$200,AE$1,FALSE),VLOOKUP($G103,Sheet3!$H$2:$O$200,AE$1,FALSE)),$I$1),$I$1)</f>
        <v>0</v>
      </c>
      <c r="AF103" s="15">
        <f>IFERROR(IF(ISBLANK(Y103),IFERROR(VLOOKUP($F103,Sheet3!$H$2:$O$200,AF$1,FALSE),VLOOKUP($G103,Sheet3!$H$2:$O$200,AF$1,FALSE)),$I$1),$I$1)</f>
        <v>0</v>
      </c>
      <c r="AG103" s="15">
        <f>IFERROR(IF(ISBLANK(Z103),IFERROR(VLOOKUP($F103,Sheet3!$H$2:$O$200,AG$1,FALSE),VLOOKUP($G103,Sheet3!$H$2:$O$200,AG$1,FALSE)),$I$1),$I$1)</f>
        <v>0</v>
      </c>
      <c r="AH103" s="15">
        <f>IFERROR(IF(ISBLANK(AA103),IFERROR(VLOOKUP($F103,Sheet3!$H$2:$O$200,AH$1,FALSE),VLOOKUP($G103,Sheet3!$H$2:$O$200,AH$1,FALSE)),$I$1),$I$1)</f>
        <v>0</v>
      </c>
      <c r="AI103" s="15">
        <f>IFERROR(IF(ISBLANK(AB103),IFERROR(VLOOKUP($F103,Sheet3!$H$2:$O$200,AI$1,FALSE),VLOOKUP($G103,Sheet3!$H$2:$O$200,AI$1,FALSE)),$I$1),$I$1)</f>
        <v>0</v>
      </c>
      <c r="AJ103" s="15">
        <f>IFERROR(IF(ISBLANK(AC103),IFERROR(VLOOKUP($F103,Sheet3!$H$2:$O$200,AJ$1,FALSE),VLOOKUP($G103,Sheet3!$H$2:$O$200,AJ$1,FALSE)),$I$1),$I$1)</f>
        <v>0</v>
      </c>
      <c r="AK103" s="15">
        <f>IFERROR(IF(ISBLANK(AD103),IFERROR(VLOOKUP($F103,Sheet3!$H$2:$O$200,AK$1,FALSE),VLOOKUP($G103,Sheet3!$H$2:$O$200,AK$1,FALSE)),$I$1),$I$1)</f>
        <v>0</v>
      </c>
      <c r="AL103" s="15">
        <f>IFERROR(IF(ISBLANK(AE103),VLOOKUP($G103,Sheet3!$H$2:$O$200,AL$1,FALSE),$I$1),$I$1)</f>
        <v>0</v>
      </c>
      <c r="AM103" s="15">
        <f>IFERROR(IF(ISBLANK(AF103),VLOOKUP($G103,Sheet3!$H$2:$O$200,AM$1,FALSE),$I$1),$I$1)</f>
        <v>0</v>
      </c>
      <c r="AN103" s="15">
        <f>IFERROR(IF(ISBLANK(AG103),VLOOKUP($G103,Sheet3!$H$2:$O$200,AN$1,FALSE),$I$1),$I$1)</f>
        <v>0</v>
      </c>
      <c r="AO103" s="15">
        <f>IFERROR(IF(ISBLANK(AH103),VLOOKUP($G103,Sheet3!$H$2:$O$200,AO$1,FALSE),$I$1),$I$1)</f>
        <v>0</v>
      </c>
      <c r="AP103" s="15">
        <f>IFERROR(IF(ISBLANK(AI103),VLOOKUP($G103,Sheet3!$H$2:$O$200,AP$1,FALSE),$I$1),$I$1)</f>
        <v>0</v>
      </c>
      <c r="AQ103" s="15">
        <f>IFERROR(IF(ISBLANK(AJ103),VLOOKUP($G103,Sheet3!$H$2:$O$200,AQ$1,FALSE),$I$1),$I$1)</f>
        <v>0</v>
      </c>
      <c r="AR103" s="15">
        <f>IFERROR(IF(ISBLANK(AK103),VLOOKUP($G103,Sheet3!$H$2:$O$200,AR$1,FALSE),$I$1),$I$1)</f>
        <v>0</v>
      </c>
      <c r="AS103" s="15">
        <f t="shared" si="1"/>
        <v>28</v>
      </c>
      <c r="AT103" s="15" t="b">
        <f t="shared" si="2"/>
        <v>0</v>
      </c>
    </row>
    <row r="104" spans="1:46" x14ac:dyDescent="0.2">
      <c r="A104" s="19" t="s">
        <v>228</v>
      </c>
      <c r="B104" s="19" t="s">
        <v>229</v>
      </c>
      <c r="C104" s="19" t="s">
        <v>48</v>
      </c>
      <c r="D104" s="19"/>
      <c r="E104" s="19" t="s">
        <v>66</v>
      </c>
      <c r="F104" s="19"/>
      <c r="G104" s="19"/>
      <c r="H104" s="19" t="s">
        <v>228</v>
      </c>
      <c r="I104" s="15">
        <f t="shared" si="0"/>
        <v>2</v>
      </c>
      <c r="J104" s="15">
        <f>IFERROR(VLOOKUP($C104,Sheet3!$H$2:$O$200,J$1,FALSE),IFERROR(VLOOKUP($D104,Sheet3!$H$2:$O$200,J$1,FALSE),VLOOKUP($E104,Sheet3!$H$2:$O$200,J$1,FALSE)))</f>
        <v>0</v>
      </c>
      <c r="K104" s="15">
        <f>IFERROR(VLOOKUP($C104,Sheet3!$H$2:$O$200,K$1,FALSE),IFERROR(VLOOKUP($D104,Sheet3!$H$2:$O$200,K$1,FALSE),VLOOKUP($E104,Sheet3!$H$2:$O$200,K$1,FALSE)))</f>
        <v>0</v>
      </c>
      <c r="L104" s="15">
        <f>IFERROR(VLOOKUP($C104,Sheet3!$H$2:$O$200,L$1,FALSE),IFERROR(VLOOKUP($D104,Sheet3!$H$2:$O$200,L$1,FALSE),VLOOKUP($E104,Sheet3!$H$2:$O$200,L$1,FALSE)))</f>
        <v>0</v>
      </c>
      <c r="M104" s="15" t="str">
        <f>IFERROR(VLOOKUP($C104,Sheet3!$H$2:$O$200,M$1,FALSE),IFERROR(VLOOKUP($D104,Sheet3!$H$2:$O$200,M$1,FALSE),VLOOKUP($E104,Sheet3!$H$2:$O$200,M$1,FALSE)))</f>
        <v>sweet vermouth</v>
      </c>
      <c r="N104" s="15">
        <f>IFERROR(VLOOKUP($C104,Sheet3!$H$2:$O$200,N$1,FALSE),IFERROR(VLOOKUP($D104,Sheet3!$H$2:$O$200,N$1,FALSE),VLOOKUP($E104,Sheet3!$H$2:$O$200,N$1,FALSE)))</f>
        <v>0</v>
      </c>
      <c r="O104" s="15">
        <f>IFERROR(VLOOKUP($C104,Sheet3!$H$2:$O$200,O$1,FALSE),IFERROR(VLOOKUP($D104,Sheet3!$H$2:$O$200,O$1,FALSE),VLOOKUP($E104,Sheet3!$H$2:$O$200,O$1,FALSE)))</f>
        <v>0</v>
      </c>
      <c r="P104" s="15">
        <f>IFERROR(VLOOKUP($C104,Sheet3!$H$2:$O$200,P$1,FALSE),IFERROR(VLOOKUP($D104,Sheet3!$H$2:$O$200,P$1,FALSE),VLOOKUP($E104,Sheet3!$H$2:$O$200,P$1,FALSE)))</f>
        <v>0</v>
      </c>
      <c r="Q104" s="15">
        <f>IFERROR(IF(ISBLANK(J104),IFERROR(VLOOKUP($D104,Sheet3!$H$2:$O$200,Q$1,FALSE),IFERROR(VLOOKUP($E104,Sheet3!$H$2:$O$200,Q$1,FALSE),VLOOKUP($F104,Sheet3!$H$2:$O$200,Q$1,FALSE))),$I$1),$I$1)</f>
        <v>0</v>
      </c>
      <c r="R104" s="15">
        <f>IFERROR(IF(ISBLANK(K104),IFERROR(VLOOKUP($D104,Sheet3!$H$2:$O$200,R$1,FALSE),IFERROR(VLOOKUP($E104,Sheet3!$H$2:$O$200,R$1,FALSE),VLOOKUP($F104,Sheet3!$H$2:$O$200,R$1,FALSE))),$I$1),$I$1)</f>
        <v>0</v>
      </c>
      <c r="S104" s="15">
        <f>IFERROR(IF(ISBLANK(L104),IFERROR(VLOOKUP($D104,Sheet3!$H$2:$O$200,S$1,FALSE),IFERROR(VLOOKUP($E104,Sheet3!$H$2:$O$200,S$1,FALSE),VLOOKUP($F104,Sheet3!$H$2:$O$200,S$1,FALSE))),$I$1),$I$1)</f>
        <v>0</v>
      </c>
      <c r="T104" s="15">
        <f>IFERROR(IF(ISBLANK(M104),IFERROR(VLOOKUP($D104,Sheet3!$H$2:$O$200,T$1,FALSE),IFERROR(VLOOKUP($E104,Sheet3!$H$2:$O$200,T$1,FALSE),VLOOKUP($F104,Sheet3!$H$2:$O$200,T$1,FALSE))),$I$1),$I$1)</f>
        <v>0</v>
      </c>
      <c r="U104" s="15">
        <f>IFERROR(IF(ISBLANK(N104),IFERROR(VLOOKUP($D104,Sheet3!$H$2:$O$200,U$1,FALSE),IFERROR(VLOOKUP($E104,Sheet3!$H$2:$O$200,U$1,FALSE),VLOOKUP($F104,Sheet3!$H$2:$O$200,U$1,FALSE))),$I$1),$I$1)</f>
        <v>0</v>
      </c>
      <c r="V104" s="15">
        <f>IFERROR(IF(ISBLANK(O104),IFERROR(VLOOKUP($D104,Sheet3!$H$2:$O$200,V$1,FALSE),IFERROR(VLOOKUP($E104,Sheet3!$H$2:$O$200,V$1,FALSE),VLOOKUP($F104,Sheet3!$H$2:$O$200,V$1,FALSE))),$I$1),$I$1)</f>
        <v>0</v>
      </c>
      <c r="W104" s="15">
        <f>IFERROR(IF(ISBLANK(P104),IFERROR(VLOOKUP($D104,Sheet3!$H$2:$O$200,W$1,FALSE),IFERROR(VLOOKUP($E104,Sheet3!$H$2:$O$200,W$1,FALSE),VLOOKUP($F104,Sheet3!$H$2:$O$200,W$1,FALSE))),$I$1),$I$1)</f>
        <v>0</v>
      </c>
      <c r="X104" s="15">
        <f>IFERROR(IF(ISBLANK(Q104),IFERROR(VLOOKUP($E104,Sheet3!$H$2:$O$200,X$1,FALSE),IFERROR(VLOOKUP($F104,Sheet3!$H$2:$O$200,X$1,FALSE),VLOOKUP($G104,Sheet3!$H$2:$O$200,X$1,FALSE))),$I$1),$I$1)</f>
        <v>0</v>
      </c>
      <c r="Y104" s="15">
        <f>IFERROR(IF(ISBLANK(R104),IFERROR(VLOOKUP($E104,Sheet3!$H$2:$O$200,Y$1,FALSE),IFERROR(VLOOKUP($F104,Sheet3!$H$2:$O$200,Y$1,FALSE),VLOOKUP($G104,Sheet3!$H$2:$O$200,Y$1,FALSE))),$I$1),$I$1)</f>
        <v>0</v>
      </c>
      <c r="Z104" s="15">
        <f>IFERROR(IF(ISBLANK(S104),IFERROR(VLOOKUP($E104,Sheet3!$H$2:$O$200,Z$1,FALSE),IFERROR(VLOOKUP($F104,Sheet3!$H$2:$O$200,Z$1,FALSE),VLOOKUP($G104,Sheet3!$H$2:$O$200,Z$1,FALSE))),$I$1),$I$1)</f>
        <v>0</v>
      </c>
      <c r="AA104" s="15">
        <f>IFERROR(IF(ISBLANK(T104),IFERROR(VLOOKUP($E104,Sheet3!$H$2:$O$200,AA$1,FALSE),IFERROR(VLOOKUP($F104,Sheet3!$H$2:$O$200,AA$1,FALSE),VLOOKUP($G104,Sheet3!$H$2:$O$200,AA$1,FALSE))),$I$1),$I$1)</f>
        <v>0</v>
      </c>
      <c r="AB104" s="15">
        <f>IFERROR(IF(ISBLANK(U104),IFERROR(VLOOKUP($E104,Sheet3!$H$2:$O$200,AB$1,FALSE),IFERROR(VLOOKUP($F104,Sheet3!$H$2:$O$200,AB$1,FALSE),VLOOKUP($G104,Sheet3!$H$2:$O$200,AB$1,FALSE))),$I$1),$I$1)</f>
        <v>0</v>
      </c>
      <c r="AC104" s="15">
        <f>IFERROR(IF(ISBLANK(V104),IFERROR(VLOOKUP($E104,Sheet3!$H$2:$O$200,AC$1,FALSE),IFERROR(VLOOKUP($F104,Sheet3!$H$2:$O$200,AC$1,FALSE),VLOOKUP($G104,Sheet3!$H$2:$O$200,AC$1,FALSE))),$I$1),$I$1)</f>
        <v>0</v>
      </c>
      <c r="AD104" s="15">
        <f>IFERROR(IF(ISBLANK(W104),IFERROR(VLOOKUP($E104,Sheet3!$H$2:$O$200,AD$1,FALSE),IFERROR(VLOOKUP($F104,Sheet3!$H$2:$O$200,AD$1,FALSE),VLOOKUP($G104,Sheet3!$H$2:$O$200,AD$1,FALSE))),$I$1),$I$1)</f>
        <v>0</v>
      </c>
      <c r="AE104" s="15">
        <f>IFERROR(IF(ISBLANK(X104),IFERROR(VLOOKUP($F104,Sheet3!$H$2:$O$200,AE$1,FALSE),VLOOKUP($G104,Sheet3!$H$2:$O$200,AE$1,FALSE)),$I$1),$I$1)</f>
        <v>0</v>
      </c>
      <c r="AF104" s="15">
        <f>IFERROR(IF(ISBLANK(Y104),IFERROR(VLOOKUP($F104,Sheet3!$H$2:$O$200,AF$1,FALSE),VLOOKUP($G104,Sheet3!$H$2:$O$200,AF$1,FALSE)),$I$1),$I$1)</f>
        <v>0</v>
      </c>
      <c r="AG104" s="15">
        <f>IFERROR(IF(ISBLANK(Z104),IFERROR(VLOOKUP($F104,Sheet3!$H$2:$O$200,AG$1,FALSE),VLOOKUP($G104,Sheet3!$H$2:$O$200,AG$1,FALSE)),$I$1),$I$1)</f>
        <v>0</v>
      </c>
      <c r="AH104" s="15">
        <f>IFERROR(IF(ISBLANK(AA104),IFERROR(VLOOKUP($F104,Sheet3!$H$2:$O$200,AH$1,FALSE),VLOOKUP($G104,Sheet3!$H$2:$O$200,AH$1,FALSE)),$I$1),$I$1)</f>
        <v>0</v>
      </c>
      <c r="AI104" s="15">
        <f>IFERROR(IF(ISBLANK(AB104),IFERROR(VLOOKUP($F104,Sheet3!$H$2:$O$200,AI$1,FALSE),VLOOKUP($G104,Sheet3!$H$2:$O$200,AI$1,FALSE)),$I$1),$I$1)</f>
        <v>0</v>
      </c>
      <c r="AJ104" s="15">
        <f>IFERROR(IF(ISBLANK(AC104),IFERROR(VLOOKUP($F104,Sheet3!$H$2:$O$200,AJ$1,FALSE),VLOOKUP($G104,Sheet3!$H$2:$O$200,AJ$1,FALSE)),$I$1),$I$1)</f>
        <v>0</v>
      </c>
      <c r="AK104" s="15">
        <f>IFERROR(IF(ISBLANK(AD104),IFERROR(VLOOKUP($F104,Sheet3!$H$2:$O$200,AK$1,FALSE),VLOOKUP($G104,Sheet3!$H$2:$O$200,AK$1,FALSE)),$I$1),$I$1)</f>
        <v>0</v>
      </c>
      <c r="AL104" s="15">
        <f>IFERROR(IF(ISBLANK(AE104),VLOOKUP($G104,Sheet3!$H$2:$O$200,AL$1,FALSE),$I$1),$I$1)</f>
        <v>0</v>
      </c>
      <c r="AM104" s="15">
        <f>IFERROR(IF(ISBLANK(AF104),VLOOKUP($G104,Sheet3!$H$2:$O$200,AM$1,FALSE),$I$1),$I$1)</f>
        <v>0</v>
      </c>
      <c r="AN104" s="15">
        <f>IFERROR(IF(ISBLANK(AG104),VLOOKUP($G104,Sheet3!$H$2:$O$200,AN$1,FALSE),$I$1),$I$1)</f>
        <v>0</v>
      </c>
      <c r="AO104" s="15">
        <f>IFERROR(IF(ISBLANK(AH104),VLOOKUP($G104,Sheet3!$H$2:$O$200,AO$1,FALSE),$I$1),$I$1)</f>
        <v>0</v>
      </c>
      <c r="AP104" s="15">
        <f>IFERROR(IF(ISBLANK(AI104),VLOOKUP($G104,Sheet3!$H$2:$O$200,AP$1,FALSE),$I$1),$I$1)</f>
        <v>0</v>
      </c>
      <c r="AQ104" s="15">
        <f>IFERROR(IF(ISBLANK(AJ104),VLOOKUP($G104,Sheet3!$H$2:$O$200,AQ$1,FALSE),$I$1),$I$1)</f>
        <v>0</v>
      </c>
      <c r="AR104" s="15">
        <f>IFERROR(IF(ISBLANK(AK104),VLOOKUP($G104,Sheet3!$H$2:$O$200,AR$1,FALSE),$I$1),$I$1)</f>
        <v>0</v>
      </c>
      <c r="AS104" s="15">
        <f t="shared" si="1"/>
        <v>28</v>
      </c>
      <c r="AT104" s="15" t="b">
        <f t="shared" si="2"/>
        <v>0</v>
      </c>
    </row>
    <row r="105" spans="1:46" x14ac:dyDescent="0.2">
      <c r="A105" s="19" t="s">
        <v>230</v>
      </c>
      <c r="B105" s="19" t="s">
        <v>229</v>
      </c>
      <c r="C105" s="19" t="s">
        <v>48</v>
      </c>
      <c r="D105" s="19"/>
      <c r="E105" s="18" t="s">
        <v>104</v>
      </c>
      <c r="F105" s="18" t="s">
        <v>66</v>
      </c>
      <c r="G105" s="19"/>
      <c r="H105" s="19" t="s">
        <v>230</v>
      </c>
      <c r="I105" s="15">
        <f t="shared" si="0"/>
        <v>3</v>
      </c>
      <c r="J105" s="15">
        <f>IFERROR(VLOOKUP($C105,Sheet3!$H$2:$O$200,J$1,FALSE),IFERROR(VLOOKUP($D105,Sheet3!$H$2:$O$200,J$1,FALSE),VLOOKUP($E105,Sheet3!$H$2:$O$200,J$1,FALSE)))</f>
        <v>0</v>
      </c>
      <c r="K105" s="15">
        <f>IFERROR(VLOOKUP($C105,Sheet3!$H$2:$O$200,K$1,FALSE),IFERROR(VLOOKUP($D105,Sheet3!$H$2:$O$200,K$1,FALSE),VLOOKUP($E105,Sheet3!$H$2:$O$200,K$1,FALSE)))</f>
        <v>0</v>
      </c>
      <c r="L105" s="15">
        <f>IFERROR(VLOOKUP($C105,Sheet3!$H$2:$O$200,L$1,FALSE),IFERROR(VLOOKUP($D105,Sheet3!$H$2:$O$200,L$1,FALSE),VLOOKUP($E105,Sheet3!$H$2:$O$200,L$1,FALSE)))</f>
        <v>0</v>
      </c>
      <c r="M105" s="15" t="str">
        <f>IFERROR(VLOOKUP($C105,Sheet3!$H$2:$O$200,M$1,FALSE),IFERROR(VLOOKUP($D105,Sheet3!$H$2:$O$200,M$1,FALSE),VLOOKUP($E105,Sheet3!$H$2:$O$200,M$1,FALSE)))</f>
        <v>sweet vermouth</v>
      </c>
      <c r="N105" s="15">
        <f>IFERROR(VLOOKUP($C105,Sheet3!$H$2:$O$200,N$1,FALSE),IFERROR(VLOOKUP($D105,Sheet3!$H$2:$O$200,N$1,FALSE),VLOOKUP($E105,Sheet3!$H$2:$O$200,N$1,FALSE)))</f>
        <v>0</v>
      </c>
      <c r="O105" s="15">
        <f>IFERROR(VLOOKUP($C105,Sheet3!$H$2:$O$200,O$1,FALSE),IFERROR(VLOOKUP($D105,Sheet3!$H$2:$O$200,O$1,FALSE),VLOOKUP($E105,Sheet3!$H$2:$O$200,O$1,FALSE)))</f>
        <v>0</v>
      </c>
      <c r="P105" s="15">
        <f>IFERROR(VLOOKUP($C105,Sheet3!$H$2:$O$200,P$1,FALSE),IFERROR(VLOOKUP($D105,Sheet3!$H$2:$O$200,P$1,FALSE),VLOOKUP($E105,Sheet3!$H$2:$O$200,P$1,FALSE)))</f>
        <v>0</v>
      </c>
      <c r="Q105" s="15">
        <f>IFERROR(IF(ISBLANK(J105),IFERROR(VLOOKUP($D105,Sheet3!$H$2:$O$200,Q$1,FALSE),IFERROR(VLOOKUP($E105,Sheet3!$H$2:$O$200,Q$1,FALSE),VLOOKUP($F105,Sheet3!$H$2:$O$200,Q$1,FALSE))),$I$1),$I$1)</f>
        <v>0</v>
      </c>
      <c r="R105" s="15">
        <f>IFERROR(IF(ISBLANK(K105),IFERROR(VLOOKUP($D105,Sheet3!$H$2:$O$200,R$1,FALSE),IFERROR(VLOOKUP($E105,Sheet3!$H$2:$O$200,R$1,FALSE),VLOOKUP($F105,Sheet3!$H$2:$O$200,R$1,FALSE))),$I$1),$I$1)</f>
        <v>0</v>
      </c>
      <c r="S105" s="15">
        <f>IFERROR(IF(ISBLANK(L105),IFERROR(VLOOKUP($D105,Sheet3!$H$2:$O$200,S$1,FALSE),IFERROR(VLOOKUP($E105,Sheet3!$H$2:$O$200,S$1,FALSE),VLOOKUP($F105,Sheet3!$H$2:$O$200,S$1,FALSE))),$I$1),$I$1)</f>
        <v>0</v>
      </c>
      <c r="T105" s="15">
        <f>IFERROR(IF(ISBLANK(M105),IFERROR(VLOOKUP($D105,Sheet3!$H$2:$O$200,T$1,FALSE),IFERROR(VLOOKUP($E105,Sheet3!$H$2:$O$200,T$1,FALSE),VLOOKUP($F105,Sheet3!$H$2:$O$200,T$1,FALSE))),$I$1),$I$1)</f>
        <v>0</v>
      </c>
      <c r="U105" s="15">
        <f>IFERROR(IF(ISBLANK(N105),IFERROR(VLOOKUP($D105,Sheet3!$H$2:$O$200,U$1,FALSE),IFERROR(VLOOKUP($E105,Sheet3!$H$2:$O$200,U$1,FALSE),VLOOKUP($F105,Sheet3!$H$2:$O$200,U$1,FALSE))),$I$1),$I$1)</f>
        <v>0</v>
      </c>
      <c r="V105" s="15">
        <f>IFERROR(IF(ISBLANK(O105),IFERROR(VLOOKUP($D105,Sheet3!$H$2:$O$200,V$1,FALSE),IFERROR(VLOOKUP($E105,Sheet3!$H$2:$O$200,V$1,FALSE),VLOOKUP($F105,Sheet3!$H$2:$O$200,V$1,FALSE))),$I$1),$I$1)</f>
        <v>0</v>
      </c>
      <c r="W105" s="15">
        <f>IFERROR(IF(ISBLANK(P105),IFERROR(VLOOKUP($D105,Sheet3!$H$2:$O$200,W$1,FALSE),IFERROR(VLOOKUP($E105,Sheet3!$H$2:$O$200,W$1,FALSE),VLOOKUP($F105,Sheet3!$H$2:$O$200,W$1,FALSE))),$I$1),$I$1)</f>
        <v>0</v>
      </c>
      <c r="X105" s="15">
        <f>IFERROR(IF(ISBLANK(Q105),IFERROR(VLOOKUP($E105,Sheet3!$H$2:$O$200,X$1,FALSE),IFERROR(VLOOKUP($F105,Sheet3!$H$2:$O$200,X$1,FALSE),VLOOKUP($G105,Sheet3!$H$2:$O$200,X$1,FALSE))),$I$1),$I$1)</f>
        <v>0</v>
      </c>
      <c r="Y105" s="15">
        <f>IFERROR(IF(ISBLANK(R105),IFERROR(VLOOKUP($E105,Sheet3!$H$2:$O$200,Y$1,FALSE),IFERROR(VLOOKUP($F105,Sheet3!$H$2:$O$200,Y$1,FALSE),VLOOKUP($G105,Sheet3!$H$2:$O$200,Y$1,FALSE))),$I$1),$I$1)</f>
        <v>0</v>
      </c>
      <c r="Z105" s="15">
        <f>IFERROR(IF(ISBLANK(S105),IFERROR(VLOOKUP($E105,Sheet3!$H$2:$O$200,Z$1,FALSE),IFERROR(VLOOKUP($F105,Sheet3!$H$2:$O$200,Z$1,FALSE),VLOOKUP($G105,Sheet3!$H$2:$O$200,Z$1,FALSE))),$I$1),$I$1)</f>
        <v>0</v>
      </c>
      <c r="AA105" s="15">
        <f>IFERROR(IF(ISBLANK(T105),IFERROR(VLOOKUP($E105,Sheet3!$H$2:$O$200,AA$1,FALSE),IFERROR(VLOOKUP($F105,Sheet3!$H$2:$O$200,AA$1,FALSE),VLOOKUP($G105,Sheet3!$H$2:$O$200,AA$1,FALSE))),$I$1),$I$1)</f>
        <v>0</v>
      </c>
      <c r="AB105" s="15">
        <f>IFERROR(IF(ISBLANK(U105),IFERROR(VLOOKUP($E105,Sheet3!$H$2:$O$200,AB$1,FALSE),IFERROR(VLOOKUP($F105,Sheet3!$H$2:$O$200,AB$1,FALSE),VLOOKUP($G105,Sheet3!$H$2:$O$200,AB$1,FALSE))),$I$1),$I$1)</f>
        <v>0</v>
      </c>
      <c r="AC105" s="15">
        <f>IFERROR(IF(ISBLANK(V105),IFERROR(VLOOKUP($E105,Sheet3!$H$2:$O$200,AC$1,FALSE),IFERROR(VLOOKUP($F105,Sheet3!$H$2:$O$200,AC$1,FALSE),VLOOKUP($G105,Sheet3!$H$2:$O$200,AC$1,FALSE))),$I$1),$I$1)</f>
        <v>0</v>
      </c>
      <c r="AD105" s="15">
        <f>IFERROR(IF(ISBLANK(W105),IFERROR(VLOOKUP($E105,Sheet3!$H$2:$O$200,AD$1,FALSE),IFERROR(VLOOKUP($F105,Sheet3!$H$2:$O$200,AD$1,FALSE),VLOOKUP($G105,Sheet3!$H$2:$O$200,AD$1,FALSE))),$I$1),$I$1)</f>
        <v>0</v>
      </c>
      <c r="AE105" s="15">
        <f>IFERROR(IF(ISBLANK(X105),IFERROR(VLOOKUP($F105,Sheet3!$H$2:$O$200,AE$1,FALSE),VLOOKUP($G105,Sheet3!$H$2:$O$200,AE$1,FALSE)),$I$1),$I$1)</f>
        <v>0</v>
      </c>
      <c r="AF105" s="15">
        <f>IFERROR(IF(ISBLANK(Y105),IFERROR(VLOOKUP($F105,Sheet3!$H$2:$O$200,AF$1,FALSE),VLOOKUP($G105,Sheet3!$H$2:$O$200,AF$1,FALSE)),$I$1),$I$1)</f>
        <v>0</v>
      </c>
      <c r="AG105" s="15">
        <f>IFERROR(IF(ISBLANK(Z105),IFERROR(VLOOKUP($F105,Sheet3!$H$2:$O$200,AG$1,FALSE),VLOOKUP($G105,Sheet3!$H$2:$O$200,AG$1,FALSE)),$I$1),$I$1)</f>
        <v>0</v>
      </c>
      <c r="AH105" s="15">
        <f>IFERROR(IF(ISBLANK(AA105),IFERROR(VLOOKUP($F105,Sheet3!$H$2:$O$200,AH$1,FALSE),VLOOKUP($G105,Sheet3!$H$2:$O$200,AH$1,FALSE)),$I$1),$I$1)</f>
        <v>0</v>
      </c>
      <c r="AI105" s="15">
        <f>IFERROR(IF(ISBLANK(AB105),IFERROR(VLOOKUP($F105,Sheet3!$H$2:$O$200,AI$1,FALSE),VLOOKUP($G105,Sheet3!$H$2:$O$200,AI$1,FALSE)),$I$1),$I$1)</f>
        <v>0</v>
      </c>
      <c r="AJ105" s="15">
        <f>IFERROR(IF(ISBLANK(AC105),IFERROR(VLOOKUP($F105,Sheet3!$H$2:$O$200,AJ$1,FALSE),VLOOKUP($G105,Sheet3!$H$2:$O$200,AJ$1,FALSE)),$I$1),$I$1)</f>
        <v>0</v>
      </c>
      <c r="AK105" s="15">
        <f>IFERROR(IF(ISBLANK(AD105),IFERROR(VLOOKUP($F105,Sheet3!$H$2:$O$200,AK$1,FALSE),VLOOKUP($G105,Sheet3!$H$2:$O$200,AK$1,FALSE)),$I$1),$I$1)</f>
        <v>0</v>
      </c>
      <c r="AL105" s="15">
        <f>IFERROR(IF(ISBLANK(AE105),VLOOKUP($G105,Sheet3!$H$2:$O$200,AL$1,FALSE),$I$1),$I$1)</f>
        <v>0</v>
      </c>
      <c r="AM105" s="15">
        <f>IFERROR(IF(ISBLANK(AF105),VLOOKUP($G105,Sheet3!$H$2:$O$200,AM$1,FALSE),$I$1),$I$1)</f>
        <v>0</v>
      </c>
      <c r="AN105" s="15">
        <f>IFERROR(IF(ISBLANK(AG105),VLOOKUP($G105,Sheet3!$H$2:$O$200,AN$1,FALSE),$I$1),$I$1)</f>
        <v>0</v>
      </c>
      <c r="AO105" s="15">
        <f>IFERROR(IF(ISBLANK(AH105),VLOOKUP($G105,Sheet3!$H$2:$O$200,AO$1,FALSE),$I$1),$I$1)</f>
        <v>0</v>
      </c>
      <c r="AP105" s="15">
        <f>IFERROR(IF(ISBLANK(AI105),VLOOKUP($G105,Sheet3!$H$2:$O$200,AP$1,FALSE),$I$1),$I$1)</f>
        <v>0</v>
      </c>
      <c r="AQ105" s="15">
        <f>IFERROR(IF(ISBLANK(AJ105),VLOOKUP($G105,Sheet3!$H$2:$O$200,AQ$1,FALSE),$I$1),$I$1)</f>
        <v>0</v>
      </c>
      <c r="AR105" s="15">
        <f>IFERROR(IF(ISBLANK(AK105),VLOOKUP($G105,Sheet3!$H$2:$O$200,AR$1,FALSE),$I$1),$I$1)</f>
        <v>0</v>
      </c>
      <c r="AS105" s="15">
        <f t="shared" si="1"/>
        <v>28</v>
      </c>
      <c r="AT105" s="15" t="b">
        <f t="shared" si="2"/>
        <v>0</v>
      </c>
    </row>
    <row r="106" spans="1:46" x14ac:dyDescent="0.2">
      <c r="A106" s="19" t="s">
        <v>231</v>
      </c>
      <c r="B106" s="19" t="s">
        <v>229</v>
      </c>
      <c r="C106" s="19" t="s">
        <v>48</v>
      </c>
      <c r="D106" s="19"/>
      <c r="E106" s="19" t="s">
        <v>139</v>
      </c>
      <c r="F106" s="19" t="s">
        <v>74</v>
      </c>
      <c r="G106" s="19"/>
      <c r="H106" s="19" t="s">
        <v>231</v>
      </c>
      <c r="I106" s="15">
        <f t="shared" si="0"/>
        <v>3</v>
      </c>
      <c r="J106" s="15">
        <f>IFERROR(VLOOKUP($C106,Sheet3!$H$2:$O$200,J$1,FALSE),IFERROR(VLOOKUP($D106,Sheet3!$H$2:$O$200,J$1,FALSE),VLOOKUP($E106,Sheet3!$H$2:$O$200,J$1,FALSE)))</f>
        <v>0</v>
      </c>
      <c r="K106" s="15">
        <f>IFERROR(VLOOKUP($C106,Sheet3!$H$2:$O$200,K$1,FALSE),IFERROR(VLOOKUP($D106,Sheet3!$H$2:$O$200,K$1,FALSE),VLOOKUP($E106,Sheet3!$H$2:$O$200,K$1,FALSE)))</f>
        <v>0</v>
      </c>
      <c r="L106" s="15">
        <f>IFERROR(VLOOKUP($C106,Sheet3!$H$2:$O$200,L$1,FALSE),IFERROR(VLOOKUP($D106,Sheet3!$H$2:$O$200,L$1,FALSE),VLOOKUP($E106,Sheet3!$H$2:$O$200,L$1,FALSE)))</f>
        <v>0</v>
      </c>
      <c r="M106" s="15" t="str">
        <f>IFERROR(VLOOKUP($C106,Sheet3!$H$2:$O$200,M$1,FALSE),IFERROR(VLOOKUP($D106,Sheet3!$H$2:$O$200,M$1,FALSE),VLOOKUP($E106,Sheet3!$H$2:$O$200,M$1,FALSE)))</f>
        <v>sweet vermouth</v>
      </c>
      <c r="N106" s="15">
        <f>IFERROR(VLOOKUP($C106,Sheet3!$H$2:$O$200,N$1,FALSE),IFERROR(VLOOKUP($D106,Sheet3!$H$2:$O$200,N$1,FALSE),VLOOKUP($E106,Sheet3!$H$2:$O$200,N$1,FALSE)))</f>
        <v>0</v>
      </c>
      <c r="O106" s="15">
        <f>IFERROR(VLOOKUP($C106,Sheet3!$H$2:$O$200,O$1,FALSE),IFERROR(VLOOKUP($D106,Sheet3!$H$2:$O$200,O$1,FALSE),VLOOKUP($E106,Sheet3!$H$2:$O$200,O$1,FALSE)))</f>
        <v>0</v>
      </c>
      <c r="P106" s="15">
        <f>IFERROR(VLOOKUP($C106,Sheet3!$H$2:$O$200,P$1,FALSE),IFERROR(VLOOKUP($D106,Sheet3!$H$2:$O$200,P$1,FALSE),VLOOKUP($E106,Sheet3!$H$2:$O$200,P$1,FALSE)))</f>
        <v>0</v>
      </c>
      <c r="Q106" s="15">
        <f>IFERROR(IF(ISBLANK(J106),IFERROR(VLOOKUP($D106,Sheet3!$H$2:$O$200,Q$1,FALSE),IFERROR(VLOOKUP($E106,Sheet3!$H$2:$O$200,Q$1,FALSE),VLOOKUP($F106,Sheet3!$H$2:$O$200,Q$1,FALSE))),$I$1),$I$1)</f>
        <v>0</v>
      </c>
      <c r="R106" s="15">
        <f>IFERROR(IF(ISBLANK(K106),IFERROR(VLOOKUP($D106,Sheet3!$H$2:$O$200,R$1,FALSE),IFERROR(VLOOKUP($E106,Sheet3!$H$2:$O$200,R$1,FALSE),VLOOKUP($F106,Sheet3!$H$2:$O$200,R$1,FALSE))),$I$1),$I$1)</f>
        <v>0</v>
      </c>
      <c r="S106" s="15">
        <f>IFERROR(IF(ISBLANK(L106),IFERROR(VLOOKUP($D106,Sheet3!$H$2:$O$200,S$1,FALSE),IFERROR(VLOOKUP($E106,Sheet3!$H$2:$O$200,S$1,FALSE),VLOOKUP($F106,Sheet3!$H$2:$O$200,S$1,FALSE))),$I$1),$I$1)</f>
        <v>0</v>
      </c>
      <c r="T106" s="15">
        <f>IFERROR(IF(ISBLANK(M106),IFERROR(VLOOKUP($D106,Sheet3!$H$2:$O$200,T$1,FALSE),IFERROR(VLOOKUP($E106,Sheet3!$H$2:$O$200,T$1,FALSE),VLOOKUP($F106,Sheet3!$H$2:$O$200,T$1,FALSE))),$I$1),$I$1)</f>
        <v>0</v>
      </c>
      <c r="U106" s="15">
        <f>IFERROR(IF(ISBLANK(N106),IFERROR(VLOOKUP($D106,Sheet3!$H$2:$O$200,U$1,FALSE),IFERROR(VLOOKUP($E106,Sheet3!$H$2:$O$200,U$1,FALSE),VLOOKUP($F106,Sheet3!$H$2:$O$200,U$1,FALSE))),$I$1),$I$1)</f>
        <v>0</v>
      </c>
      <c r="V106" s="15">
        <f>IFERROR(IF(ISBLANK(O106),IFERROR(VLOOKUP($D106,Sheet3!$H$2:$O$200,V$1,FALSE),IFERROR(VLOOKUP($E106,Sheet3!$H$2:$O$200,V$1,FALSE),VLOOKUP($F106,Sheet3!$H$2:$O$200,V$1,FALSE))),$I$1),$I$1)</f>
        <v>0</v>
      </c>
      <c r="W106" s="15">
        <f>IFERROR(IF(ISBLANK(P106),IFERROR(VLOOKUP($D106,Sheet3!$H$2:$O$200,W$1,FALSE),IFERROR(VLOOKUP($E106,Sheet3!$H$2:$O$200,W$1,FALSE),VLOOKUP($F106,Sheet3!$H$2:$O$200,W$1,FALSE))),$I$1),$I$1)</f>
        <v>0</v>
      </c>
      <c r="X106" s="15">
        <f>IFERROR(IF(ISBLANK(Q106),IFERROR(VLOOKUP($E106,Sheet3!$H$2:$O$200,X$1,FALSE),IFERROR(VLOOKUP($F106,Sheet3!$H$2:$O$200,X$1,FALSE),VLOOKUP($G106,Sheet3!$H$2:$O$200,X$1,FALSE))),$I$1),$I$1)</f>
        <v>0</v>
      </c>
      <c r="Y106" s="15">
        <f>IFERROR(IF(ISBLANK(R106),IFERROR(VLOOKUP($E106,Sheet3!$H$2:$O$200,Y$1,FALSE),IFERROR(VLOOKUP($F106,Sheet3!$H$2:$O$200,Y$1,FALSE),VLOOKUP($G106,Sheet3!$H$2:$O$200,Y$1,FALSE))),$I$1),$I$1)</f>
        <v>0</v>
      </c>
      <c r="Z106" s="15">
        <f>IFERROR(IF(ISBLANK(S106),IFERROR(VLOOKUP($E106,Sheet3!$H$2:$O$200,Z$1,FALSE),IFERROR(VLOOKUP($F106,Sheet3!$H$2:$O$200,Z$1,FALSE),VLOOKUP($G106,Sheet3!$H$2:$O$200,Z$1,FALSE))),$I$1),$I$1)</f>
        <v>0</v>
      </c>
      <c r="AA106" s="15">
        <f>IFERROR(IF(ISBLANK(T106),IFERROR(VLOOKUP($E106,Sheet3!$H$2:$O$200,AA$1,FALSE),IFERROR(VLOOKUP($F106,Sheet3!$H$2:$O$200,AA$1,FALSE),VLOOKUP($G106,Sheet3!$H$2:$O$200,AA$1,FALSE))),$I$1),$I$1)</f>
        <v>0</v>
      </c>
      <c r="AB106" s="15">
        <f>IFERROR(IF(ISBLANK(U106),IFERROR(VLOOKUP($E106,Sheet3!$H$2:$O$200,AB$1,FALSE),IFERROR(VLOOKUP($F106,Sheet3!$H$2:$O$200,AB$1,FALSE),VLOOKUP($G106,Sheet3!$H$2:$O$200,AB$1,FALSE))),$I$1),$I$1)</f>
        <v>0</v>
      </c>
      <c r="AC106" s="15">
        <f>IFERROR(IF(ISBLANK(V106),IFERROR(VLOOKUP($E106,Sheet3!$H$2:$O$200,AC$1,FALSE),IFERROR(VLOOKUP($F106,Sheet3!$H$2:$O$200,AC$1,FALSE),VLOOKUP($G106,Sheet3!$H$2:$O$200,AC$1,FALSE))),$I$1),$I$1)</f>
        <v>0</v>
      </c>
      <c r="AD106" s="15">
        <f>IFERROR(IF(ISBLANK(W106),IFERROR(VLOOKUP($E106,Sheet3!$H$2:$O$200,AD$1,FALSE),IFERROR(VLOOKUP($F106,Sheet3!$H$2:$O$200,AD$1,FALSE),VLOOKUP($G106,Sheet3!$H$2:$O$200,AD$1,FALSE))),$I$1),$I$1)</f>
        <v>0</v>
      </c>
      <c r="AE106" s="15">
        <f>IFERROR(IF(ISBLANK(X106),IFERROR(VLOOKUP($F106,Sheet3!$H$2:$O$200,AE$1,FALSE),VLOOKUP($G106,Sheet3!$H$2:$O$200,AE$1,FALSE)),$I$1),$I$1)</f>
        <v>0</v>
      </c>
      <c r="AF106" s="15">
        <f>IFERROR(IF(ISBLANK(Y106),IFERROR(VLOOKUP($F106,Sheet3!$H$2:$O$200,AF$1,FALSE),VLOOKUP($G106,Sheet3!$H$2:$O$200,AF$1,FALSE)),$I$1),$I$1)</f>
        <v>0</v>
      </c>
      <c r="AG106" s="15">
        <f>IFERROR(IF(ISBLANK(Z106),IFERROR(VLOOKUP($F106,Sheet3!$H$2:$O$200,AG$1,FALSE),VLOOKUP($G106,Sheet3!$H$2:$O$200,AG$1,FALSE)),$I$1),$I$1)</f>
        <v>0</v>
      </c>
      <c r="AH106" s="15">
        <f>IFERROR(IF(ISBLANK(AA106),IFERROR(VLOOKUP($F106,Sheet3!$H$2:$O$200,AH$1,FALSE),VLOOKUP($G106,Sheet3!$H$2:$O$200,AH$1,FALSE)),$I$1),$I$1)</f>
        <v>0</v>
      </c>
      <c r="AI106" s="15">
        <f>IFERROR(IF(ISBLANK(AB106),IFERROR(VLOOKUP($F106,Sheet3!$H$2:$O$200,AI$1,FALSE),VLOOKUP($G106,Sheet3!$H$2:$O$200,AI$1,FALSE)),$I$1),$I$1)</f>
        <v>0</v>
      </c>
      <c r="AJ106" s="15">
        <f>IFERROR(IF(ISBLANK(AC106),IFERROR(VLOOKUP($F106,Sheet3!$H$2:$O$200,AJ$1,FALSE),VLOOKUP($G106,Sheet3!$H$2:$O$200,AJ$1,FALSE)),$I$1),$I$1)</f>
        <v>0</v>
      </c>
      <c r="AK106" s="15">
        <f>IFERROR(IF(ISBLANK(AD106),IFERROR(VLOOKUP($F106,Sheet3!$H$2:$O$200,AK$1,FALSE),VLOOKUP($G106,Sheet3!$H$2:$O$200,AK$1,FALSE)),$I$1),$I$1)</f>
        <v>0</v>
      </c>
      <c r="AL106" s="15">
        <f>IFERROR(IF(ISBLANK(AE106),VLOOKUP($G106,Sheet3!$H$2:$O$200,AL$1,FALSE),$I$1),$I$1)</f>
        <v>0</v>
      </c>
      <c r="AM106" s="15">
        <f>IFERROR(IF(ISBLANK(AF106),VLOOKUP($G106,Sheet3!$H$2:$O$200,AM$1,FALSE),$I$1),$I$1)</f>
        <v>0</v>
      </c>
      <c r="AN106" s="15">
        <f>IFERROR(IF(ISBLANK(AG106),VLOOKUP($G106,Sheet3!$H$2:$O$200,AN$1,FALSE),$I$1),$I$1)</f>
        <v>0</v>
      </c>
      <c r="AO106" s="15">
        <f>IFERROR(IF(ISBLANK(AH106),VLOOKUP($G106,Sheet3!$H$2:$O$200,AO$1,FALSE),$I$1),$I$1)</f>
        <v>0</v>
      </c>
      <c r="AP106" s="15">
        <f>IFERROR(IF(ISBLANK(AI106),VLOOKUP($G106,Sheet3!$H$2:$O$200,AP$1,FALSE),$I$1),$I$1)</f>
        <v>0</v>
      </c>
      <c r="AQ106" s="15">
        <f>IFERROR(IF(ISBLANK(AJ106),VLOOKUP($G106,Sheet3!$H$2:$O$200,AQ$1,FALSE),$I$1),$I$1)</f>
        <v>0</v>
      </c>
      <c r="AR106" s="15">
        <f>IFERROR(IF(ISBLANK(AK106),VLOOKUP($G106,Sheet3!$H$2:$O$200,AR$1,FALSE),$I$1),$I$1)</f>
        <v>0</v>
      </c>
      <c r="AS106" s="15">
        <f t="shared" si="1"/>
        <v>28</v>
      </c>
      <c r="AT106" s="15" t="b">
        <f t="shared" si="2"/>
        <v>0</v>
      </c>
    </row>
    <row r="107" spans="1:46" x14ac:dyDescent="0.2">
      <c r="A107" s="19" t="s">
        <v>232</v>
      </c>
      <c r="B107" s="19" t="s">
        <v>233</v>
      </c>
      <c r="C107" s="19" t="s">
        <v>100</v>
      </c>
      <c r="D107" s="19" t="s">
        <v>90</v>
      </c>
      <c r="E107" s="19" t="s">
        <v>48</v>
      </c>
      <c r="F107" s="19"/>
      <c r="G107" s="19"/>
      <c r="H107" s="19" t="s">
        <v>232</v>
      </c>
      <c r="I107" s="15">
        <f t="shared" si="0"/>
        <v>3</v>
      </c>
      <c r="J107" s="15">
        <f>IFERROR(VLOOKUP($C107,Sheet3!$H$2:$O$200,J$1,FALSE),IFERROR(VLOOKUP($D107,Sheet3!$H$2:$O$200,J$1,FALSE),VLOOKUP($E107,Sheet3!$H$2:$O$200,J$1,FALSE)))</f>
        <v>0</v>
      </c>
      <c r="K107" s="15">
        <f>IFERROR(VLOOKUP($C107,Sheet3!$H$2:$O$200,K$1,FALSE),IFERROR(VLOOKUP($D107,Sheet3!$H$2:$O$200,K$1,FALSE),VLOOKUP($E107,Sheet3!$H$2:$O$200,K$1,FALSE)))</f>
        <v>0</v>
      </c>
      <c r="L107" s="15">
        <f>IFERROR(VLOOKUP($C107,Sheet3!$H$2:$O$200,L$1,FALSE),IFERROR(VLOOKUP($D107,Sheet3!$H$2:$O$200,L$1,FALSE),VLOOKUP($E107,Sheet3!$H$2:$O$200,L$1,FALSE)))</f>
        <v>0</v>
      </c>
      <c r="M107" s="15" t="str">
        <f>IFERROR(VLOOKUP($C107,Sheet3!$H$2:$O$200,M$1,FALSE),IFERROR(VLOOKUP($D107,Sheet3!$H$2:$O$200,M$1,FALSE),VLOOKUP($E107,Sheet3!$H$2:$O$200,M$1,FALSE)))</f>
        <v>triple sec</v>
      </c>
      <c r="N107" s="15">
        <f>IFERROR(VLOOKUP($C107,Sheet3!$H$2:$O$200,N$1,FALSE),IFERROR(VLOOKUP($D107,Sheet3!$H$2:$O$200,N$1,FALSE),VLOOKUP($E107,Sheet3!$H$2:$O$200,N$1,FALSE)))</f>
        <v>0</v>
      </c>
      <c r="O107" s="15">
        <f>IFERROR(VLOOKUP($C107,Sheet3!$H$2:$O$200,O$1,FALSE),IFERROR(VLOOKUP($D107,Sheet3!$H$2:$O$200,O$1,FALSE),VLOOKUP($E107,Sheet3!$H$2:$O$200,O$1,FALSE)))</f>
        <v>0</v>
      </c>
      <c r="P107" s="15">
        <f>IFERROR(VLOOKUP($C107,Sheet3!$H$2:$O$200,P$1,FALSE),IFERROR(VLOOKUP($D107,Sheet3!$H$2:$O$200,P$1,FALSE),VLOOKUP($E107,Sheet3!$H$2:$O$200,P$1,FALSE)))</f>
        <v>0</v>
      </c>
      <c r="Q107" s="15">
        <f>IFERROR(IF(ISBLANK(J107),IFERROR(VLOOKUP($D107,Sheet3!$H$2:$O$200,Q$1,FALSE),IFERROR(VLOOKUP($E107,Sheet3!$H$2:$O$200,Q$1,FALSE),VLOOKUP($F107,Sheet3!$H$2:$O$200,Q$1,FALSE))),$I$1),$I$1)</f>
        <v>0</v>
      </c>
      <c r="R107" s="15">
        <f>IFERROR(IF(ISBLANK(K107),IFERROR(VLOOKUP($D107,Sheet3!$H$2:$O$200,R$1,FALSE),IFERROR(VLOOKUP($E107,Sheet3!$H$2:$O$200,R$1,FALSE),VLOOKUP($F107,Sheet3!$H$2:$O$200,R$1,FALSE))),$I$1),$I$1)</f>
        <v>0</v>
      </c>
      <c r="S107" s="15">
        <f>IFERROR(IF(ISBLANK(L107),IFERROR(VLOOKUP($D107,Sheet3!$H$2:$O$200,S$1,FALSE),IFERROR(VLOOKUP($E107,Sheet3!$H$2:$O$200,S$1,FALSE),VLOOKUP($F107,Sheet3!$H$2:$O$200,S$1,FALSE))),$I$1),$I$1)</f>
        <v>0</v>
      </c>
      <c r="T107" s="15">
        <f>IFERROR(IF(ISBLANK(M107),IFERROR(VLOOKUP($D107,Sheet3!$H$2:$O$200,T$1,FALSE),IFERROR(VLOOKUP($E107,Sheet3!$H$2:$O$200,T$1,FALSE),VLOOKUP($F107,Sheet3!$H$2:$O$200,T$1,FALSE))),$I$1),$I$1)</f>
        <v>0</v>
      </c>
      <c r="U107" s="15">
        <f>IFERROR(IF(ISBLANK(N107),IFERROR(VLOOKUP($D107,Sheet3!$H$2:$O$200,U$1,FALSE),IFERROR(VLOOKUP($E107,Sheet3!$H$2:$O$200,U$1,FALSE),VLOOKUP($F107,Sheet3!$H$2:$O$200,U$1,FALSE))),$I$1),$I$1)</f>
        <v>0</v>
      </c>
      <c r="V107" s="15">
        <f>IFERROR(IF(ISBLANK(O107),IFERROR(VLOOKUP($D107,Sheet3!$H$2:$O$200,V$1,FALSE),IFERROR(VLOOKUP($E107,Sheet3!$H$2:$O$200,V$1,FALSE),VLOOKUP($F107,Sheet3!$H$2:$O$200,V$1,FALSE))),$I$1),$I$1)</f>
        <v>0</v>
      </c>
      <c r="W107" s="15">
        <f>IFERROR(IF(ISBLANK(P107),IFERROR(VLOOKUP($D107,Sheet3!$H$2:$O$200,W$1,FALSE),IFERROR(VLOOKUP($E107,Sheet3!$H$2:$O$200,W$1,FALSE),VLOOKUP($F107,Sheet3!$H$2:$O$200,W$1,FALSE))),$I$1),$I$1)</f>
        <v>0</v>
      </c>
      <c r="X107" s="15">
        <f>IFERROR(IF(ISBLANK(Q107),IFERROR(VLOOKUP($E107,Sheet3!$H$2:$O$200,X$1,FALSE),IFERROR(VLOOKUP($F107,Sheet3!$H$2:$O$200,X$1,FALSE),VLOOKUP($G107,Sheet3!$H$2:$O$200,X$1,FALSE))),$I$1),$I$1)</f>
        <v>0</v>
      </c>
      <c r="Y107" s="15">
        <f>IFERROR(IF(ISBLANK(R107),IFERROR(VLOOKUP($E107,Sheet3!$H$2:$O$200,Y$1,FALSE),IFERROR(VLOOKUP($F107,Sheet3!$H$2:$O$200,Y$1,FALSE),VLOOKUP($G107,Sheet3!$H$2:$O$200,Y$1,FALSE))),$I$1),$I$1)</f>
        <v>0</v>
      </c>
      <c r="Z107" s="15">
        <f>IFERROR(IF(ISBLANK(S107),IFERROR(VLOOKUP($E107,Sheet3!$H$2:$O$200,Z$1,FALSE),IFERROR(VLOOKUP($F107,Sheet3!$H$2:$O$200,Z$1,FALSE),VLOOKUP($G107,Sheet3!$H$2:$O$200,Z$1,FALSE))),$I$1),$I$1)</f>
        <v>0</v>
      </c>
      <c r="AA107" s="15">
        <f>IFERROR(IF(ISBLANK(T107),IFERROR(VLOOKUP($E107,Sheet3!$H$2:$O$200,AA$1,FALSE),IFERROR(VLOOKUP($F107,Sheet3!$H$2:$O$200,AA$1,FALSE),VLOOKUP($G107,Sheet3!$H$2:$O$200,AA$1,FALSE))),$I$1),$I$1)</f>
        <v>0</v>
      </c>
      <c r="AB107" s="15">
        <f>IFERROR(IF(ISBLANK(U107),IFERROR(VLOOKUP($E107,Sheet3!$H$2:$O$200,AB$1,FALSE),IFERROR(VLOOKUP($F107,Sheet3!$H$2:$O$200,AB$1,FALSE),VLOOKUP($G107,Sheet3!$H$2:$O$200,AB$1,FALSE))),$I$1),$I$1)</f>
        <v>0</v>
      </c>
      <c r="AC107" s="15">
        <f>IFERROR(IF(ISBLANK(V107),IFERROR(VLOOKUP($E107,Sheet3!$H$2:$O$200,AC$1,FALSE),IFERROR(VLOOKUP($F107,Sheet3!$H$2:$O$200,AC$1,FALSE),VLOOKUP($G107,Sheet3!$H$2:$O$200,AC$1,FALSE))),$I$1),$I$1)</f>
        <v>0</v>
      </c>
      <c r="AD107" s="15">
        <f>IFERROR(IF(ISBLANK(W107),IFERROR(VLOOKUP($E107,Sheet3!$H$2:$O$200,AD$1,FALSE),IFERROR(VLOOKUP($F107,Sheet3!$H$2:$O$200,AD$1,FALSE),VLOOKUP($G107,Sheet3!$H$2:$O$200,AD$1,FALSE))),$I$1),$I$1)</f>
        <v>0</v>
      </c>
      <c r="AE107" s="15">
        <f>IFERROR(IF(ISBLANK(X107),IFERROR(VLOOKUP($F107,Sheet3!$H$2:$O$200,AE$1,FALSE),VLOOKUP($G107,Sheet3!$H$2:$O$200,AE$1,FALSE)),$I$1),$I$1)</f>
        <v>0</v>
      </c>
      <c r="AF107" s="15">
        <f>IFERROR(IF(ISBLANK(Y107),IFERROR(VLOOKUP($F107,Sheet3!$H$2:$O$200,AF$1,FALSE),VLOOKUP($G107,Sheet3!$H$2:$O$200,AF$1,FALSE)),$I$1),$I$1)</f>
        <v>0</v>
      </c>
      <c r="AG107" s="15">
        <f>IFERROR(IF(ISBLANK(Z107),IFERROR(VLOOKUP($F107,Sheet3!$H$2:$O$200,AG$1,FALSE),VLOOKUP($G107,Sheet3!$H$2:$O$200,AG$1,FALSE)),$I$1),$I$1)</f>
        <v>0</v>
      </c>
      <c r="AH107" s="15">
        <f>IFERROR(IF(ISBLANK(AA107),IFERROR(VLOOKUP($F107,Sheet3!$H$2:$O$200,AH$1,FALSE),VLOOKUP($G107,Sheet3!$H$2:$O$200,AH$1,FALSE)),$I$1),$I$1)</f>
        <v>0</v>
      </c>
      <c r="AI107" s="15">
        <f>IFERROR(IF(ISBLANK(AB107),IFERROR(VLOOKUP($F107,Sheet3!$H$2:$O$200,AI$1,FALSE),VLOOKUP($G107,Sheet3!$H$2:$O$200,AI$1,FALSE)),$I$1),$I$1)</f>
        <v>0</v>
      </c>
      <c r="AJ107" s="15">
        <f>IFERROR(IF(ISBLANK(AC107),IFERROR(VLOOKUP($F107,Sheet3!$H$2:$O$200,AJ$1,FALSE),VLOOKUP($G107,Sheet3!$H$2:$O$200,AJ$1,FALSE)),$I$1),$I$1)</f>
        <v>0</v>
      </c>
      <c r="AK107" s="15">
        <f>IFERROR(IF(ISBLANK(AD107),IFERROR(VLOOKUP($F107,Sheet3!$H$2:$O$200,AK$1,FALSE),VLOOKUP($G107,Sheet3!$H$2:$O$200,AK$1,FALSE)),$I$1),$I$1)</f>
        <v>0</v>
      </c>
      <c r="AL107" s="15">
        <f>IFERROR(IF(ISBLANK(AE107),VLOOKUP($G107,Sheet3!$H$2:$O$200,AL$1,FALSE),$I$1),$I$1)</f>
        <v>0</v>
      </c>
      <c r="AM107" s="15">
        <f>IFERROR(IF(ISBLANK(AF107),VLOOKUP($G107,Sheet3!$H$2:$O$200,AM$1,FALSE),$I$1),$I$1)</f>
        <v>0</v>
      </c>
      <c r="AN107" s="15">
        <f>IFERROR(IF(ISBLANK(AG107),VLOOKUP($G107,Sheet3!$H$2:$O$200,AN$1,FALSE),$I$1),$I$1)</f>
        <v>0</v>
      </c>
      <c r="AO107" s="15">
        <f>IFERROR(IF(ISBLANK(AH107),VLOOKUP($G107,Sheet3!$H$2:$O$200,AO$1,FALSE),$I$1),$I$1)</f>
        <v>0</v>
      </c>
      <c r="AP107" s="15">
        <f>IFERROR(IF(ISBLANK(AI107),VLOOKUP($G107,Sheet3!$H$2:$O$200,AP$1,FALSE),$I$1),$I$1)</f>
        <v>0</v>
      </c>
      <c r="AQ107" s="15">
        <f>IFERROR(IF(ISBLANK(AJ107),VLOOKUP($G107,Sheet3!$H$2:$O$200,AQ$1,FALSE),$I$1),$I$1)</f>
        <v>0</v>
      </c>
      <c r="AR107" s="15">
        <f>IFERROR(IF(ISBLANK(AK107),VLOOKUP($G107,Sheet3!$H$2:$O$200,AR$1,FALSE),$I$1),$I$1)</f>
        <v>0</v>
      </c>
      <c r="AS107" s="15">
        <f t="shared" si="1"/>
        <v>28</v>
      </c>
      <c r="AT107" s="15" t="b">
        <f t="shared" si="2"/>
        <v>0</v>
      </c>
    </row>
    <row r="108" spans="1:46" x14ac:dyDescent="0.2">
      <c r="A108" s="19" t="s">
        <v>234</v>
      </c>
      <c r="B108" s="19" t="s">
        <v>233</v>
      </c>
      <c r="C108" s="19" t="s">
        <v>57</v>
      </c>
      <c r="D108" s="19" t="s">
        <v>38</v>
      </c>
      <c r="E108" s="19"/>
      <c r="F108" s="19"/>
      <c r="G108" s="19"/>
      <c r="H108" s="19" t="s">
        <v>234</v>
      </c>
      <c r="I108" s="15">
        <f t="shared" si="0"/>
        <v>2</v>
      </c>
      <c r="J108" s="15">
        <f>IFERROR(VLOOKUP($C108,Sheet3!$H$2:$O$200,J$1,FALSE),IFERROR(VLOOKUP($D108,Sheet3!$H$2:$O$200,J$1,FALSE),VLOOKUP($E108,Sheet3!$H$2:$O$200,J$1,FALSE)))</f>
        <v>0</v>
      </c>
      <c r="K108" s="15">
        <f>IFERROR(VLOOKUP($C108,Sheet3!$H$2:$O$200,K$1,FALSE),IFERROR(VLOOKUP($D108,Sheet3!$H$2:$O$200,K$1,FALSE),VLOOKUP($E108,Sheet3!$H$2:$O$200,K$1,FALSE)))</f>
        <v>0</v>
      </c>
      <c r="L108" s="15">
        <f>IFERROR(VLOOKUP($C108,Sheet3!$H$2:$O$200,L$1,FALSE),IFERROR(VLOOKUP($D108,Sheet3!$H$2:$O$200,L$1,FALSE),VLOOKUP($E108,Sheet3!$H$2:$O$200,L$1,FALSE)))</f>
        <v>0</v>
      </c>
      <c r="M108" s="15" t="str">
        <f>IFERROR(VLOOKUP($C108,Sheet3!$H$2:$O$200,M$1,FALSE),IFERROR(VLOOKUP($D108,Sheet3!$H$2:$O$200,M$1,FALSE),VLOOKUP($E108,Sheet3!$H$2:$O$200,M$1,FALSE)))</f>
        <v>crème de noyau</v>
      </c>
      <c r="N108" s="15">
        <f>IFERROR(VLOOKUP($C108,Sheet3!$H$2:$O$200,N$1,FALSE),IFERROR(VLOOKUP($D108,Sheet3!$H$2:$O$200,N$1,FALSE),VLOOKUP($E108,Sheet3!$H$2:$O$200,N$1,FALSE)))</f>
        <v>0</v>
      </c>
      <c r="O108" s="15">
        <f>IFERROR(VLOOKUP($C108,Sheet3!$H$2:$O$200,O$1,FALSE),IFERROR(VLOOKUP($D108,Sheet3!$H$2:$O$200,O$1,FALSE),VLOOKUP($E108,Sheet3!$H$2:$O$200,O$1,FALSE)))</f>
        <v>0</v>
      </c>
      <c r="P108" s="15">
        <f>IFERROR(VLOOKUP($C108,Sheet3!$H$2:$O$200,P$1,FALSE),IFERROR(VLOOKUP($D108,Sheet3!$H$2:$O$200,P$1,FALSE),VLOOKUP($E108,Sheet3!$H$2:$O$200,P$1,FALSE)))</f>
        <v>0</v>
      </c>
      <c r="Q108" s="15">
        <f>IFERROR(IF(ISBLANK(J108),IFERROR(VLOOKUP($D108,Sheet3!$H$2:$O$200,Q$1,FALSE),IFERROR(VLOOKUP($E108,Sheet3!$H$2:$O$200,Q$1,FALSE),VLOOKUP($F108,Sheet3!$H$2:$O$200,Q$1,FALSE))),$I$1),$I$1)</f>
        <v>0</v>
      </c>
      <c r="R108" s="15">
        <f>IFERROR(IF(ISBLANK(K108),IFERROR(VLOOKUP($D108,Sheet3!$H$2:$O$200,R$1,FALSE),IFERROR(VLOOKUP($E108,Sheet3!$H$2:$O$200,R$1,FALSE),VLOOKUP($F108,Sheet3!$H$2:$O$200,R$1,FALSE))),$I$1),$I$1)</f>
        <v>0</v>
      </c>
      <c r="S108" s="15">
        <f>IFERROR(IF(ISBLANK(L108),IFERROR(VLOOKUP($D108,Sheet3!$H$2:$O$200,S$1,FALSE),IFERROR(VLOOKUP($E108,Sheet3!$H$2:$O$200,S$1,FALSE),VLOOKUP($F108,Sheet3!$H$2:$O$200,S$1,FALSE))),$I$1),$I$1)</f>
        <v>0</v>
      </c>
      <c r="T108" s="15">
        <f>IFERROR(IF(ISBLANK(M108),IFERROR(VLOOKUP($D108,Sheet3!$H$2:$O$200,T$1,FALSE),IFERROR(VLOOKUP($E108,Sheet3!$H$2:$O$200,T$1,FALSE),VLOOKUP($F108,Sheet3!$H$2:$O$200,T$1,FALSE))),$I$1),$I$1)</f>
        <v>0</v>
      </c>
      <c r="U108" s="15">
        <f>IFERROR(IF(ISBLANK(N108),IFERROR(VLOOKUP($D108,Sheet3!$H$2:$O$200,U$1,FALSE),IFERROR(VLOOKUP($E108,Sheet3!$H$2:$O$200,U$1,FALSE),VLOOKUP($F108,Sheet3!$H$2:$O$200,U$1,FALSE))),$I$1),$I$1)</f>
        <v>0</v>
      </c>
      <c r="V108" s="15">
        <f>IFERROR(IF(ISBLANK(O108),IFERROR(VLOOKUP($D108,Sheet3!$H$2:$O$200,V$1,FALSE),IFERROR(VLOOKUP($E108,Sheet3!$H$2:$O$200,V$1,FALSE),VLOOKUP($F108,Sheet3!$H$2:$O$200,V$1,FALSE))),$I$1),$I$1)</f>
        <v>0</v>
      </c>
      <c r="W108" s="15">
        <f>IFERROR(IF(ISBLANK(P108),IFERROR(VLOOKUP($D108,Sheet3!$H$2:$O$200,W$1,FALSE),IFERROR(VLOOKUP($E108,Sheet3!$H$2:$O$200,W$1,FALSE),VLOOKUP($F108,Sheet3!$H$2:$O$200,W$1,FALSE))),$I$1),$I$1)</f>
        <v>0</v>
      </c>
      <c r="X108" s="15">
        <f>IFERROR(IF(ISBLANK(Q108),IFERROR(VLOOKUP($E108,Sheet3!$H$2:$O$200,X$1,FALSE),IFERROR(VLOOKUP($F108,Sheet3!$H$2:$O$200,X$1,FALSE),VLOOKUP($G108,Sheet3!$H$2:$O$200,X$1,FALSE))),$I$1),$I$1)</f>
        <v>0</v>
      </c>
      <c r="Y108" s="15">
        <f>IFERROR(IF(ISBLANK(R108),IFERROR(VLOOKUP($E108,Sheet3!$H$2:$O$200,Y$1,FALSE),IFERROR(VLOOKUP($F108,Sheet3!$H$2:$O$200,Y$1,FALSE),VLOOKUP($G108,Sheet3!$H$2:$O$200,Y$1,FALSE))),$I$1),$I$1)</f>
        <v>0</v>
      </c>
      <c r="Z108" s="15">
        <f>IFERROR(IF(ISBLANK(S108),IFERROR(VLOOKUP($E108,Sheet3!$H$2:$O$200,Z$1,FALSE),IFERROR(VLOOKUP($F108,Sheet3!$H$2:$O$200,Z$1,FALSE),VLOOKUP($G108,Sheet3!$H$2:$O$200,Z$1,FALSE))),$I$1),$I$1)</f>
        <v>0</v>
      </c>
      <c r="AA108" s="15">
        <f>IFERROR(IF(ISBLANK(T108),IFERROR(VLOOKUP($E108,Sheet3!$H$2:$O$200,AA$1,FALSE),IFERROR(VLOOKUP($F108,Sheet3!$H$2:$O$200,AA$1,FALSE),VLOOKUP($G108,Sheet3!$H$2:$O$200,AA$1,FALSE))),$I$1),$I$1)</f>
        <v>0</v>
      </c>
      <c r="AB108" s="15">
        <f>IFERROR(IF(ISBLANK(U108),IFERROR(VLOOKUP($E108,Sheet3!$H$2:$O$200,AB$1,FALSE),IFERROR(VLOOKUP($F108,Sheet3!$H$2:$O$200,AB$1,FALSE),VLOOKUP($G108,Sheet3!$H$2:$O$200,AB$1,FALSE))),$I$1),$I$1)</f>
        <v>0</v>
      </c>
      <c r="AC108" s="15">
        <f>IFERROR(IF(ISBLANK(V108),IFERROR(VLOOKUP($E108,Sheet3!$H$2:$O$200,AC$1,FALSE),IFERROR(VLOOKUP($F108,Sheet3!$H$2:$O$200,AC$1,FALSE),VLOOKUP($G108,Sheet3!$H$2:$O$200,AC$1,FALSE))),$I$1),$I$1)</f>
        <v>0</v>
      </c>
      <c r="AD108" s="15">
        <f>IFERROR(IF(ISBLANK(W108),IFERROR(VLOOKUP($E108,Sheet3!$H$2:$O$200,AD$1,FALSE),IFERROR(VLOOKUP($F108,Sheet3!$H$2:$O$200,AD$1,FALSE),VLOOKUP($G108,Sheet3!$H$2:$O$200,AD$1,FALSE))),$I$1),$I$1)</f>
        <v>0</v>
      </c>
      <c r="AE108" s="15">
        <f>IFERROR(IF(ISBLANK(X108),IFERROR(VLOOKUP($F108,Sheet3!$H$2:$O$200,AE$1,FALSE),VLOOKUP($G108,Sheet3!$H$2:$O$200,AE$1,FALSE)),$I$1),$I$1)</f>
        <v>0</v>
      </c>
      <c r="AF108" s="15">
        <f>IFERROR(IF(ISBLANK(Y108),IFERROR(VLOOKUP($F108,Sheet3!$H$2:$O$200,AF$1,FALSE),VLOOKUP($G108,Sheet3!$H$2:$O$200,AF$1,FALSE)),$I$1),$I$1)</f>
        <v>0</v>
      </c>
      <c r="AG108" s="15">
        <f>IFERROR(IF(ISBLANK(Z108),IFERROR(VLOOKUP($F108,Sheet3!$H$2:$O$200,AG$1,FALSE),VLOOKUP($G108,Sheet3!$H$2:$O$200,AG$1,FALSE)),$I$1),$I$1)</f>
        <v>0</v>
      </c>
      <c r="AH108" s="15">
        <f>IFERROR(IF(ISBLANK(AA108),IFERROR(VLOOKUP($F108,Sheet3!$H$2:$O$200,AH$1,FALSE),VLOOKUP($G108,Sheet3!$H$2:$O$200,AH$1,FALSE)),$I$1),$I$1)</f>
        <v>0</v>
      </c>
      <c r="AI108" s="15">
        <f>IFERROR(IF(ISBLANK(AB108),IFERROR(VLOOKUP($F108,Sheet3!$H$2:$O$200,AI$1,FALSE),VLOOKUP($G108,Sheet3!$H$2:$O$200,AI$1,FALSE)),$I$1),$I$1)</f>
        <v>0</v>
      </c>
      <c r="AJ108" s="15">
        <f>IFERROR(IF(ISBLANK(AC108),IFERROR(VLOOKUP($F108,Sheet3!$H$2:$O$200,AJ$1,FALSE),VLOOKUP($G108,Sheet3!$H$2:$O$200,AJ$1,FALSE)),$I$1),$I$1)</f>
        <v>0</v>
      </c>
      <c r="AK108" s="15">
        <f>IFERROR(IF(ISBLANK(AD108),IFERROR(VLOOKUP($F108,Sheet3!$H$2:$O$200,AK$1,FALSE),VLOOKUP($G108,Sheet3!$H$2:$O$200,AK$1,FALSE)),$I$1),$I$1)</f>
        <v>0</v>
      </c>
      <c r="AL108" s="15">
        <f>IFERROR(IF(ISBLANK(AE108),VLOOKUP($G108,Sheet3!$H$2:$O$200,AL$1,FALSE),$I$1),$I$1)</f>
        <v>0</v>
      </c>
      <c r="AM108" s="15">
        <f>IFERROR(IF(ISBLANK(AF108),VLOOKUP($G108,Sheet3!$H$2:$O$200,AM$1,FALSE),$I$1),$I$1)</f>
        <v>0</v>
      </c>
      <c r="AN108" s="15">
        <f>IFERROR(IF(ISBLANK(AG108),VLOOKUP($G108,Sheet3!$H$2:$O$200,AN$1,FALSE),$I$1),$I$1)</f>
        <v>0</v>
      </c>
      <c r="AO108" s="15">
        <f>IFERROR(IF(ISBLANK(AH108),VLOOKUP($G108,Sheet3!$H$2:$O$200,AO$1,FALSE),$I$1),$I$1)</f>
        <v>0</v>
      </c>
      <c r="AP108" s="15">
        <f>IFERROR(IF(ISBLANK(AI108),VLOOKUP($G108,Sheet3!$H$2:$O$200,AP$1,FALSE),$I$1),$I$1)</f>
        <v>0</v>
      </c>
      <c r="AQ108" s="15">
        <f>IFERROR(IF(ISBLANK(AJ108),VLOOKUP($G108,Sheet3!$H$2:$O$200,AQ$1,FALSE),$I$1),$I$1)</f>
        <v>0</v>
      </c>
      <c r="AR108" s="15">
        <f>IFERROR(IF(ISBLANK(AK108),VLOOKUP($G108,Sheet3!$H$2:$O$200,AR$1,FALSE),$I$1),$I$1)</f>
        <v>0</v>
      </c>
      <c r="AS108" s="15">
        <f t="shared" si="1"/>
        <v>28</v>
      </c>
      <c r="AT108" s="15" t="b">
        <f t="shared" si="2"/>
        <v>0</v>
      </c>
    </row>
    <row r="109" spans="1:46" x14ac:dyDescent="0.2">
      <c r="A109" s="19" t="s">
        <v>235</v>
      </c>
      <c r="B109" s="19" t="s">
        <v>236</v>
      </c>
      <c r="C109" s="19" t="s">
        <v>84</v>
      </c>
      <c r="D109" s="19"/>
      <c r="E109" s="19"/>
      <c r="F109" s="19"/>
      <c r="G109" s="19"/>
      <c r="H109" s="19" t="s">
        <v>235</v>
      </c>
      <c r="I109" s="15">
        <f t="shared" si="0"/>
        <v>1</v>
      </c>
      <c r="J109" s="15">
        <f>IFERROR(VLOOKUP($C109,Sheet3!$H$2:$O$200,J$1,FALSE),IFERROR(VLOOKUP($D109,Sheet3!$H$2:$O$200,J$1,FALSE),VLOOKUP($E109,Sheet3!$H$2:$O$200,J$1,FALSE)))</f>
        <v>0</v>
      </c>
      <c r="K109" s="15" t="str">
        <f>IFERROR(VLOOKUP($C109,Sheet3!$H$2:$O$200,K$1,FALSE),IFERROR(VLOOKUP($D109,Sheet3!$H$2:$O$200,K$1,FALSE),VLOOKUP($E109,Sheet3!$H$2:$O$200,K$1,FALSE)))</f>
        <v>Coca-cola</v>
      </c>
      <c r="L109" s="15">
        <f>IFERROR(VLOOKUP($C109,Sheet3!$H$2:$O$200,L$1,FALSE),IFERROR(VLOOKUP($D109,Sheet3!$H$2:$O$200,L$1,FALSE),VLOOKUP($E109,Sheet3!$H$2:$O$200,L$1,FALSE)))</f>
        <v>0</v>
      </c>
      <c r="M109" s="15">
        <f>IFERROR(VLOOKUP($C109,Sheet3!$H$2:$O$200,M$1,FALSE),IFERROR(VLOOKUP($D109,Sheet3!$H$2:$O$200,M$1,FALSE),VLOOKUP($E109,Sheet3!$H$2:$O$200,M$1,FALSE)))</f>
        <v>0</v>
      </c>
      <c r="N109" s="15">
        <f>IFERROR(VLOOKUP($C109,Sheet3!$H$2:$O$200,N$1,FALSE),IFERROR(VLOOKUP($D109,Sheet3!$H$2:$O$200,N$1,FALSE),VLOOKUP($E109,Sheet3!$H$2:$O$200,N$1,FALSE)))</f>
        <v>0</v>
      </c>
      <c r="O109" s="15">
        <f>IFERROR(VLOOKUP($C109,Sheet3!$H$2:$O$200,O$1,FALSE),IFERROR(VLOOKUP($D109,Sheet3!$H$2:$O$200,O$1,FALSE),VLOOKUP($E109,Sheet3!$H$2:$O$200,O$1,FALSE)))</f>
        <v>0</v>
      </c>
      <c r="P109" s="15">
        <f>IFERROR(VLOOKUP($C109,Sheet3!$H$2:$O$200,P$1,FALSE),IFERROR(VLOOKUP($D109,Sheet3!$H$2:$O$200,P$1,FALSE),VLOOKUP($E109,Sheet3!$H$2:$O$200,P$1,FALSE)))</f>
        <v>0</v>
      </c>
      <c r="Q109" s="15">
        <f>IFERROR(IF(ISBLANK(J109),IFERROR(VLOOKUP($D109,Sheet3!$H$2:$O$200,Q$1,FALSE),IFERROR(VLOOKUP($E109,Sheet3!$H$2:$O$200,Q$1,FALSE),VLOOKUP($F109,Sheet3!$H$2:$O$200,Q$1,FALSE))),$I$1),$I$1)</f>
        <v>0</v>
      </c>
      <c r="R109" s="15">
        <f>IFERROR(IF(ISBLANK(K109),IFERROR(VLOOKUP($D109,Sheet3!$H$2:$O$200,R$1,FALSE),IFERROR(VLOOKUP($E109,Sheet3!$H$2:$O$200,R$1,FALSE),VLOOKUP($F109,Sheet3!$H$2:$O$200,R$1,FALSE))),$I$1),$I$1)</f>
        <v>0</v>
      </c>
      <c r="S109" s="15">
        <f>IFERROR(IF(ISBLANK(L109),IFERROR(VLOOKUP($D109,Sheet3!$H$2:$O$200,S$1,FALSE),IFERROR(VLOOKUP($E109,Sheet3!$H$2:$O$200,S$1,FALSE),VLOOKUP($F109,Sheet3!$H$2:$O$200,S$1,FALSE))),$I$1),$I$1)</f>
        <v>0</v>
      </c>
      <c r="T109" s="15">
        <f>IFERROR(IF(ISBLANK(M109),IFERROR(VLOOKUP($D109,Sheet3!$H$2:$O$200,T$1,FALSE),IFERROR(VLOOKUP($E109,Sheet3!$H$2:$O$200,T$1,FALSE),VLOOKUP($F109,Sheet3!$H$2:$O$200,T$1,FALSE))),$I$1),$I$1)</f>
        <v>0</v>
      </c>
      <c r="U109" s="15">
        <f>IFERROR(IF(ISBLANK(N109),IFERROR(VLOOKUP($D109,Sheet3!$H$2:$O$200,U$1,FALSE),IFERROR(VLOOKUP($E109,Sheet3!$H$2:$O$200,U$1,FALSE),VLOOKUP($F109,Sheet3!$H$2:$O$200,U$1,FALSE))),$I$1),$I$1)</f>
        <v>0</v>
      </c>
      <c r="V109" s="15">
        <f>IFERROR(IF(ISBLANK(O109),IFERROR(VLOOKUP($D109,Sheet3!$H$2:$O$200,V$1,FALSE),IFERROR(VLOOKUP($E109,Sheet3!$H$2:$O$200,V$1,FALSE),VLOOKUP($F109,Sheet3!$H$2:$O$200,V$1,FALSE))),$I$1),$I$1)</f>
        <v>0</v>
      </c>
      <c r="W109" s="15">
        <f>IFERROR(IF(ISBLANK(P109),IFERROR(VLOOKUP($D109,Sheet3!$H$2:$O$200,W$1,FALSE),IFERROR(VLOOKUP($E109,Sheet3!$H$2:$O$200,W$1,FALSE),VLOOKUP($F109,Sheet3!$H$2:$O$200,W$1,FALSE))),$I$1),$I$1)</f>
        <v>0</v>
      </c>
      <c r="X109" s="15">
        <f>IFERROR(IF(ISBLANK(Q109),IFERROR(VLOOKUP($E109,Sheet3!$H$2:$O$200,X$1,FALSE),IFERROR(VLOOKUP($F109,Sheet3!$H$2:$O$200,X$1,FALSE),VLOOKUP($G109,Sheet3!$H$2:$O$200,X$1,FALSE))),$I$1),$I$1)</f>
        <v>0</v>
      </c>
      <c r="Y109" s="15">
        <f>IFERROR(IF(ISBLANK(R109),IFERROR(VLOOKUP($E109,Sheet3!$H$2:$O$200,Y$1,FALSE),IFERROR(VLOOKUP($F109,Sheet3!$H$2:$O$200,Y$1,FALSE),VLOOKUP($G109,Sheet3!$H$2:$O$200,Y$1,FALSE))),$I$1),$I$1)</f>
        <v>0</v>
      </c>
      <c r="Z109" s="15">
        <f>IFERROR(IF(ISBLANK(S109),IFERROR(VLOOKUP($E109,Sheet3!$H$2:$O$200,Z$1,FALSE),IFERROR(VLOOKUP($F109,Sheet3!$H$2:$O$200,Z$1,FALSE),VLOOKUP($G109,Sheet3!$H$2:$O$200,Z$1,FALSE))),$I$1),$I$1)</f>
        <v>0</v>
      </c>
      <c r="AA109" s="15">
        <f>IFERROR(IF(ISBLANK(T109),IFERROR(VLOOKUP($E109,Sheet3!$H$2:$O$200,AA$1,FALSE),IFERROR(VLOOKUP($F109,Sheet3!$H$2:$O$200,AA$1,FALSE),VLOOKUP($G109,Sheet3!$H$2:$O$200,AA$1,FALSE))),$I$1),$I$1)</f>
        <v>0</v>
      </c>
      <c r="AB109" s="15">
        <f>IFERROR(IF(ISBLANK(U109),IFERROR(VLOOKUP($E109,Sheet3!$H$2:$O$200,AB$1,FALSE),IFERROR(VLOOKUP($F109,Sheet3!$H$2:$O$200,AB$1,FALSE),VLOOKUP($G109,Sheet3!$H$2:$O$200,AB$1,FALSE))),$I$1),$I$1)</f>
        <v>0</v>
      </c>
      <c r="AC109" s="15">
        <f>IFERROR(IF(ISBLANK(V109),IFERROR(VLOOKUP($E109,Sheet3!$H$2:$O$200,AC$1,FALSE),IFERROR(VLOOKUP($F109,Sheet3!$H$2:$O$200,AC$1,FALSE),VLOOKUP($G109,Sheet3!$H$2:$O$200,AC$1,FALSE))),$I$1),$I$1)</f>
        <v>0</v>
      </c>
      <c r="AD109" s="15">
        <f>IFERROR(IF(ISBLANK(W109),IFERROR(VLOOKUP($E109,Sheet3!$H$2:$O$200,AD$1,FALSE),IFERROR(VLOOKUP($F109,Sheet3!$H$2:$O$200,AD$1,FALSE),VLOOKUP($G109,Sheet3!$H$2:$O$200,AD$1,FALSE))),$I$1),$I$1)</f>
        <v>0</v>
      </c>
      <c r="AE109" s="15">
        <f>IFERROR(IF(ISBLANK(X109),IFERROR(VLOOKUP($F109,Sheet3!$H$2:$O$200,AE$1,FALSE),VLOOKUP($G109,Sheet3!$H$2:$O$200,AE$1,FALSE)),$I$1),$I$1)</f>
        <v>0</v>
      </c>
      <c r="AF109" s="15">
        <f>IFERROR(IF(ISBLANK(Y109),IFERROR(VLOOKUP($F109,Sheet3!$H$2:$O$200,AF$1,FALSE),VLOOKUP($G109,Sheet3!$H$2:$O$200,AF$1,FALSE)),$I$1),$I$1)</f>
        <v>0</v>
      </c>
      <c r="AG109" s="15">
        <f>IFERROR(IF(ISBLANK(Z109),IFERROR(VLOOKUP($F109,Sheet3!$H$2:$O$200,AG$1,FALSE),VLOOKUP($G109,Sheet3!$H$2:$O$200,AG$1,FALSE)),$I$1),$I$1)</f>
        <v>0</v>
      </c>
      <c r="AH109" s="15">
        <f>IFERROR(IF(ISBLANK(AA109),IFERROR(VLOOKUP($F109,Sheet3!$H$2:$O$200,AH$1,FALSE),VLOOKUP($G109,Sheet3!$H$2:$O$200,AH$1,FALSE)),$I$1),$I$1)</f>
        <v>0</v>
      </c>
      <c r="AI109" s="15">
        <f>IFERROR(IF(ISBLANK(AB109),IFERROR(VLOOKUP($F109,Sheet3!$H$2:$O$200,AI$1,FALSE),VLOOKUP($G109,Sheet3!$H$2:$O$200,AI$1,FALSE)),$I$1),$I$1)</f>
        <v>0</v>
      </c>
      <c r="AJ109" s="15">
        <f>IFERROR(IF(ISBLANK(AC109),IFERROR(VLOOKUP($F109,Sheet3!$H$2:$O$200,AJ$1,FALSE),VLOOKUP($G109,Sheet3!$H$2:$O$200,AJ$1,FALSE)),$I$1),$I$1)</f>
        <v>0</v>
      </c>
      <c r="AK109" s="15">
        <f>IFERROR(IF(ISBLANK(AD109),IFERROR(VLOOKUP($F109,Sheet3!$H$2:$O$200,AK$1,FALSE),VLOOKUP($G109,Sheet3!$H$2:$O$200,AK$1,FALSE)),$I$1),$I$1)</f>
        <v>0</v>
      </c>
      <c r="AL109" s="15">
        <f>IFERROR(IF(ISBLANK(AE109),VLOOKUP($G109,Sheet3!$H$2:$O$200,AL$1,FALSE),$I$1),$I$1)</f>
        <v>0</v>
      </c>
      <c r="AM109" s="15">
        <f>IFERROR(IF(ISBLANK(AF109),VLOOKUP($G109,Sheet3!$H$2:$O$200,AM$1,FALSE),$I$1),$I$1)</f>
        <v>0</v>
      </c>
      <c r="AN109" s="15">
        <f>IFERROR(IF(ISBLANK(AG109),VLOOKUP($G109,Sheet3!$H$2:$O$200,AN$1,FALSE),$I$1),$I$1)</f>
        <v>0</v>
      </c>
      <c r="AO109" s="15">
        <f>IFERROR(IF(ISBLANK(AH109),VLOOKUP($G109,Sheet3!$H$2:$O$200,AO$1,FALSE),$I$1),$I$1)</f>
        <v>0</v>
      </c>
      <c r="AP109" s="15">
        <f>IFERROR(IF(ISBLANK(AI109),VLOOKUP($G109,Sheet3!$H$2:$O$200,AP$1,FALSE),$I$1),$I$1)</f>
        <v>0</v>
      </c>
      <c r="AQ109" s="15">
        <f>IFERROR(IF(ISBLANK(AJ109),VLOOKUP($G109,Sheet3!$H$2:$O$200,AQ$1,FALSE),$I$1),$I$1)</f>
        <v>0</v>
      </c>
      <c r="AR109" s="15">
        <f>IFERROR(IF(ISBLANK(AK109),VLOOKUP($G109,Sheet3!$H$2:$O$200,AR$1,FALSE),$I$1),$I$1)</f>
        <v>0</v>
      </c>
      <c r="AS109" s="15">
        <f t="shared" si="1"/>
        <v>28</v>
      </c>
      <c r="AT109" s="15" t="b">
        <f t="shared" si="2"/>
        <v>0</v>
      </c>
    </row>
    <row r="110" spans="1:46" x14ac:dyDescent="0.2">
      <c r="A110" s="20" t="s">
        <v>237</v>
      </c>
      <c r="B110" s="20" t="s">
        <v>238</v>
      </c>
      <c r="C110" s="20" t="s">
        <v>62</v>
      </c>
      <c r="D110" s="20"/>
      <c r="E110" s="20" t="s">
        <v>239</v>
      </c>
      <c r="F110" s="20" t="s">
        <v>240</v>
      </c>
      <c r="G110" s="20" t="s">
        <v>241</v>
      </c>
      <c r="H110" s="20" t="s">
        <v>237</v>
      </c>
      <c r="I110" s="15">
        <f t="shared" si="0"/>
        <v>4</v>
      </c>
      <c r="J110" s="15">
        <f>IFERROR(VLOOKUP($C110,Sheet3!$H$2:$O$200,J$1,FALSE),IFERROR(VLOOKUP($D110,Sheet3!$H$2:$O$200,J$1,FALSE),VLOOKUP($E110,Sheet3!$H$2:$O$200,J$1,FALSE)))</f>
        <v>0</v>
      </c>
      <c r="K110" s="15" t="str">
        <f>IFERROR(VLOOKUP($C110,Sheet3!$H$2:$O$200,K$1,FALSE),IFERROR(VLOOKUP($D110,Sheet3!$H$2:$O$200,K$1,FALSE),VLOOKUP($E110,Sheet3!$H$2:$O$200,K$1,FALSE)))</f>
        <v>club soda</v>
      </c>
      <c r="L110" s="15">
        <f>IFERROR(VLOOKUP($C110,Sheet3!$H$2:$O$200,L$1,FALSE),IFERROR(VLOOKUP($D110,Sheet3!$H$2:$O$200,L$1,FALSE),VLOOKUP($E110,Sheet3!$H$2:$O$200,L$1,FALSE)))</f>
        <v>0</v>
      </c>
      <c r="M110" s="15">
        <f>IFERROR(VLOOKUP($C110,Sheet3!$H$2:$O$200,M$1,FALSE),IFERROR(VLOOKUP($D110,Sheet3!$H$2:$O$200,M$1,FALSE),VLOOKUP($E110,Sheet3!$H$2:$O$200,M$1,FALSE)))</f>
        <v>0</v>
      </c>
      <c r="N110" s="15">
        <f>IFERROR(VLOOKUP($C110,Sheet3!$H$2:$O$200,N$1,FALSE),IFERROR(VLOOKUP($D110,Sheet3!$H$2:$O$200,N$1,FALSE),VLOOKUP($E110,Sheet3!$H$2:$O$200,N$1,FALSE)))</f>
        <v>0</v>
      </c>
      <c r="O110" s="15">
        <f>IFERROR(VLOOKUP($C110,Sheet3!$H$2:$O$200,O$1,FALSE),IFERROR(VLOOKUP($D110,Sheet3!$H$2:$O$200,O$1,FALSE),VLOOKUP($E110,Sheet3!$H$2:$O$200,O$1,FALSE)))</f>
        <v>0</v>
      </c>
      <c r="P110" s="15">
        <f>IFERROR(VLOOKUP($C110,Sheet3!$H$2:$O$200,P$1,FALSE),IFERROR(VLOOKUP($D110,Sheet3!$H$2:$O$200,P$1,FALSE),VLOOKUP($E110,Sheet3!$H$2:$O$200,P$1,FALSE)))</f>
        <v>0</v>
      </c>
      <c r="Q110" s="15">
        <f>IFERROR(IF(ISBLANK(J110),IFERROR(VLOOKUP($D110,Sheet3!$H$2:$O$200,Q$1,FALSE),IFERROR(VLOOKUP($E110,Sheet3!$H$2:$O$200,Q$1,FALSE),VLOOKUP($F110,Sheet3!$H$2:$O$200,Q$1,FALSE))),$I$1),$I$1)</f>
        <v>0</v>
      </c>
      <c r="R110" s="15">
        <f>IFERROR(IF(ISBLANK(K110),IFERROR(VLOOKUP($D110,Sheet3!$H$2:$O$200,R$1,FALSE),IFERROR(VLOOKUP($E110,Sheet3!$H$2:$O$200,R$1,FALSE),VLOOKUP($F110,Sheet3!$H$2:$O$200,R$1,FALSE))),$I$1),$I$1)</f>
        <v>0</v>
      </c>
      <c r="S110" s="15">
        <f>IFERROR(IF(ISBLANK(L110),IFERROR(VLOOKUP($D110,Sheet3!$H$2:$O$200,S$1,FALSE),IFERROR(VLOOKUP($E110,Sheet3!$H$2:$O$200,S$1,FALSE),VLOOKUP($F110,Sheet3!$H$2:$O$200,S$1,FALSE))),$I$1),$I$1)</f>
        <v>0</v>
      </c>
      <c r="T110" s="15">
        <f>IFERROR(IF(ISBLANK(M110),IFERROR(VLOOKUP($D110,Sheet3!$H$2:$O$200,T$1,FALSE),IFERROR(VLOOKUP($E110,Sheet3!$H$2:$O$200,T$1,FALSE),VLOOKUP($F110,Sheet3!$H$2:$O$200,T$1,FALSE))),$I$1),$I$1)</f>
        <v>0</v>
      </c>
      <c r="U110" s="15">
        <f>IFERROR(IF(ISBLANK(N110),IFERROR(VLOOKUP($D110,Sheet3!$H$2:$O$200,U$1,FALSE),IFERROR(VLOOKUP($E110,Sheet3!$H$2:$O$200,U$1,FALSE),VLOOKUP($F110,Sheet3!$H$2:$O$200,U$1,FALSE))),$I$1),$I$1)</f>
        <v>0</v>
      </c>
      <c r="V110" s="15">
        <f>IFERROR(IF(ISBLANK(O110),IFERROR(VLOOKUP($D110,Sheet3!$H$2:$O$200,V$1,FALSE),IFERROR(VLOOKUP($E110,Sheet3!$H$2:$O$200,V$1,FALSE),VLOOKUP($F110,Sheet3!$H$2:$O$200,V$1,FALSE))),$I$1),$I$1)</f>
        <v>0</v>
      </c>
      <c r="W110" s="15">
        <f>IFERROR(IF(ISBLANK(P110),IFERROR(VLOOKUP($D110,Sheet3!$H$2:$O$200,W$1,FALSE),IFERROR(VLOOKUP($E110,Sheet3!$H$2:$O$200,W$1,FALSE),VLOOKUP($F110,Sheet3!$H$2:$O$200,W$1,FALSE))),$I$1),$I$1)</f>
        <v>0</v>
      </c>
      <c r="X110" s="15">
        <f>IFERROR(IF(ISBLANK(Q110),IFERROR(VLOOKUP($E110,Sheet3!$H$2:$O$200,X$1,FALSE),IFERROR(VLOOKUP($F110,Sheet3!$H$2:$O$200,X$1,FALSE),VLOOKUP($G110,Sheet3!$H$2:$O$200,X$1,FALSE))),$I$1),$I$1)</f>
        <v>0</v>
      </c>
      <c r="Y110" s="15">
        <f>IFERROR(IF(ISBLANK(R110),IFERROR(VLOOKUP($E110,Sheet3!$H$2:$O$200,Y$1,FALSE),IFERROR(VLOOKUP($F110,Sheet3!$H$2:$O$200,Y$1,FALSE),VLOOKUP($G110,Sheet3!$H$2:$O$200,Y$1,FALSE))),$I$1),$I$1)</f>
        <v>0</v>
      </c>
      <c r="Z110" s="15">
        <f>IFERROR(IF(ISBLANK(S110),IFERROR(VLOOKUP($E110,Sheet3!$H$2:$O$200,Z$1,FALSE),IFERROR(VLOOKUP($F110,Sheet3!$H$2:$O$200,Z$1,FALSE),VLOOKUP($G110,Sheet3!$H$2:$O$200,Z$1,FALSE))),$I$1),$I$1)</f>
        <v>0</v>
      </c>
      <c r="AA110" s="15">
        <f>IFERROR(IF(ISBLANK(T110),IFERROR(VLOOKUP($E110,Sheet3!$H$2:$O$200,AA$1,FALSE),IFERROR(VLOOKUP($F110,Sheet3!$H$2:$O$200,AA$1,FALSE),VLOOKUP($G110,Sheet3!$H$2:$O$200,AA$1,FALSE))),$I$1),$I$1)</f>
        <v>0</v>
      </c>
      <c r="AB110" s="15">
        <f>IFERROR(IF(ISBLANK(U110),IFERROR(VLOOKUP($E110,Sheet3!$H$2:$O$200,AB$1,FALSE),IFERROR(VLOOKUP($F110,Sheet3!$H$2:$O$200,AB$1,FALSE),VLOOKUP($G110,Sheet3!$H$2:$O$200,AB$1,FALSE))),$I$1),$I$1)</f>
        <v>0</v>
      </c>
      <c r="AC110" s="15">
        <f>IFERROR(IF(ISBLANK(V110),IFERROR(VLOOKUP($E110,Sheet3!$H$2:$O$200,AC$1,FALSE),IFERROR(VLOOKUP($F110,Sheet3!$H$2:$O$200,AC$1,FALSE),VLOOKUP($G110,Sheet3!$H$2:$O$200,AC$1,FALSE))),$I$1),$I$1)</f>
        <v>0</v>
      </c>
      <c r="AD110" s="15">
        <f>IFERROR(IF(ISBLANK(W110),IFERROR(VLOOKUP($E110,Sheet3!$H$2:$O$200,AD$1,FALSE),IFERROR(VLOOKUP($F110,Sheet3!$H$2:$O$200,AD$1,FALSE),VLOOKUP($G110,Sheet3!$H$2:$O$200,AD$1,FALSE))),$I$1),$I$1)</f>
        <v>0</v>
      </c>
      <c r="AE110" s="15">
        <f>IFERROR(IF(ISBLANK(X110),IFERROR(VLOOKUP($F110,Sheet3!$H$2:$O$200,AE$1,FALSE),VLOOKUP($G110,Sheet3!$H$2:$O$200,AE$1,FALSE)),$I$1),$I$1)</f>
        <v>0</v>
      </c>
      <c r="AF110" s="15">
        <f>IFERROR(IF(ISBLANK(Y110),IFERROR(VLOOKUP($F110,Sheet3!$H$2:$O$200,AF$1,FALSE),VLOOKUP($G110,Sheet3!$H$2:$O$200,AF$1,FALSE)),$I$1),$I$1)</f>
        <v>0</v>
      </c>
      <c r="AG110" s="15">
        <f>IFERROR(IF(ISBLANK(Z110),IFERROR(VLOOKUP($F110,Sheet3!$H$2:$O$200,AG$1,FALSE),VLOOKUP($G110,Sheet3!$H$2:$O$200,AG$1,FALSE)),$I$1),$I$1)</f>
        <v>0</v>
      </c>
      <c r="AH110" s="15">
        <f>IFERROR(IF(ISBLANK(AA110),IFERROR(VLOOKUP($F110,Sheet3!$H$2:$O$200,AH$1,FALSE),VLOOKUP($G110,Sheet3!$H$2:$O$200,AH$1,FALSE)),$I$1),$I$1)</f>
        <v>0</v>
      </c>
      <c r="AI110" s="15">
        <f>IFERROR(IF(ISBLANK(AB110),IFERROR(VLOOKUP($F110,Sheet3!$H$2:$O$200,AI$1,FALSE),VLOOKUP($G110,Sheet3!$H$2:$O$200,AI$1,FALSE)),$I$1),$I$1)</f>
        <v>0</v>
      </c>
      <c r="AJ110" s="15">
        <f>IFERROR(IF(ISBLANK(AC110),IFERROR(VLOOKUP($F110,Sheet3!$H$2:$O$200,AJ$1,FALSE),VLOOKUP($G110,Sheet3!$H$2:$O$200,AJ$1,FALSE)),$I$1),$I$1)</f>
        <v>0</v>
      </c>
      <c r="AK110" s="15">
        <f>IFERROR(IF(ISBLANK(AD110),IFERROR(VLOOKUP($F110,Sheet3!$H$2:$O$200,AK$1,FALSE),VLOOKUP($G110,Sheet3!$H$2:$O$200,AK$1,FALSE)),$I$1),$I$1)</f>
        <v>0</v>
      </c>
      <c r="AL110" s="15">
        <f>IFERROR(IF(ISBLANK(AE110),VLOOKUP($G110,Sheet3!$H$2:$O$200,AL$1,FALSE),$I$1),$I$1)</f>
        <v>0</v>
      </c>
      <c r="AM110" s="15">
        <f>IFERROR(IF(ISBLANK(AF110),VLOOKUP($G110,Sheet3!$H$2:$O$200,AM$1,FALSE),$I$1),$I$1)</f>
        <v>0</v>
      </c>
      <c r="AN110" s="15">
        <f>IFERROR(IF(ISBLANK(AG110),VLOOKUP($G110,Sheet3!$H$2:$O$200,AN$1,FALSE),$I$1),$I$1)</f>
        <v>0</v>
      </c>
      <c r="AO110" s="15">
        <f>IFERROR(IF(ISBLANK(AH110),VLOOKUP($G110,Sheet3!$H$2:$O$200,AO$1,FALSE),$I$1),$I$1)</f>
        <v>0</v>
      </c>
      <c r="AP110" s="15">
        <f>IFERROR(IF(ISBLANK(AI110),VLOOKUP($G110,Sheet3!$H$2:$O$200,AP$1,FALSE),$I$1),$I$1)</f>
        <v>0</v>
      </c>
      <c r="AQ110" s="15">
        <f>IFERROR(IF(ISBLANK(AJ110),VLOOKUP($G110,Sheet3!$H$2:$O$200,AQ$1,FALSE),$I$1),$I$1)</f>
        <v>0</v>
      </c>
      <c r="AR110" s="15">
        <f>IFERROR(IF(ISBLANK(AK110),VLOOKUP($G110,Sheet3!$H$2:$O$200,AR$1,FALSE),$I$1),$I$1)</f>
        <v>0</v>
      </c>
      <c r="AS110" s="15">
        <f t="shared" si="1"/>
        <v>28</v>
      </c>
      <c r="AT110" s="15" t="b">
        <f t="shared" si="2"/>
        <v>0</v>
      </c>
    </row>
    <row r="111" spans="1:46" x14ac:dyDescent="0.2">
      <c r="A111" s="19" t="s">
        <v>243</v>
      </c>
      <c r="B111" s="19" t="s">
        <v>244</v>
      </c>
      <c r="C111" s="19"/>
      <c r="D111" s="19" t="s">
        <v>38</v>
      </c>
      <c r="E111" s="19" t="s">
        <v>86</v>
      </c>
      <c r="F111" s="19" t="s">
        <v>245</v>
      </c>
      <c r="G111" s="19"/>
      <c r="H111" s="19" t="s">
        <v>243</v>
      </c>
      <c r="I111" s="15">
        <f t="shared" si="0"/>
        <v>3</v>
      </c>
      <c r="J111" s="15">
        <f>IFERROR(VLOOKUP($C111,Sheet3!$H$2:$O$200,J$1,FALSE),IFERROR(VLOOKUP($D111,Sheet3!$H$2:$O$200,J$1,FALSE),VLOOKUP($E111,Sheet3!$H$2:$O$200,J$1,FALSE)))</f>
        <v>0</v>
      </c>
      <c r="K111" s="15">
        <f>IFERROR(VLOOKUP($C111,Sheet3!$H$2:$O$200,K$1,FALSE),IFERROR(VLOOKUP($D111,Sheet3!$H$2:$O$200,K$1,FALSE),VLOOKUP($E111,Sheet3!$H$2:$O$200,K$1,FALSE)))</f>
        <v>0</v>
      </c>
      <c r="L111" s="15" t="str">
        <f>IFERROR(VLOOKUP($C111,Sheet3!$H$2:$O$200,L$1,FALSE),IFERROR(VLOOKUP($D111,Sheet3!$H$2:$O$200,L$1,FALSE),VLOOKUP($E111,Sheet3!$H$2:$O$200,L$1,FALSE)))</f>
        <v>lemon juice</v>
      </c>
      <c r="M111" s="15">
        <f>IFERROR(VLOOKUP($C111,Sheet3!$H$2:$O$200,M$1,FALSE),IFERROR(VLOOKUP($D111,Sheet3!$H$2:$O$200,M$1,FALSE),VLOOKUP($E111,Sheet3!$H$2:$O$200,M$1,FALSE)))</f>
        <v>0</v>
      </c>
      <c r="N111" s="15">
        <f>IFERROR(VLOOKUP($C111,Sheet3!$H$2:$O$200,N$1,FALSE),IFERROR(VLOOKUP($D111,Sheet3!$H$2:$O$200,N$1,FALSE),VLOOKUP($E111,Sheet3!$H$2:$O$200,N$1,FALSE)))</f>
        <v>0</v>
      </c>
      <c r="O111" s="15">
        <f>IFERROR(VLOOKUP($C111,Sheet3!$H$2:$O$200,O$1,FALSE),IFERROR(VLOOKUP($D111,Sheet3!$H$2:$O$200,O$1,FALSE),VLOOKUP($E111,Sheet3!$H$2:$O$200,O$1,FALSE)))</f>
        <v>0</v>
      </c>
      <c r="P111" s="15">
        <f>IFERROR(VLOOKUP($C111,Sheet3!$H$2:$O$200,P$1,FALSE),IFERROR(VLOOKUP($D111,Sheet3!$H$2:$O$200,P$1,FALSE),VLOOKUP($E111,Sheet3!$H$2:$O$200,P$1,FALSE)))</f>
        <v>0</v>
      </c>
      <c r="Q111" s="15">
        <f>IFERROR(IF(ISBLANK(J111),IFERROR(VLOOKUP($D111,Sheet3!$H$2:$O$200,Q$1,FALSE),IFERROR(VLOOKUP($E111,Sheet3!$H$2:$O$200,Q$1,FALSE),VLOOKUP($F111,Sheet3!$H$2:$O$200,Q$1,FALSE))),$I$1),$I$1)</f>
        <v>0</v>
      </c>
      <c r="R111" s="15">
        <f>IFERROR(IF(ISBLANK(K111),IFERROR(VLOOKUP($D111,Sheet3!$H$2:$O$200,R$1,FALSE),IFERROR(VLOOKUP($E111,Sheet3!$H$2:$O$200,R$1,FALSE),VLOOKUP($F111,Sheet3!$H$2:$O$200,R$1,FALSE))),$I$1),$I$1)</f>
        <v>0</v>
      </c>
      <c r="S111" s="15">
        <f>IFERROR(IF(ISBLANK(L111),IFERROR(VLOOKUP($D111,Sheet3!$H$2:$O$200,S$1,FALSE),IFERROR(VLOOKUP($E111,Sheet3!$H$2:$O$200,S$1,FALSE),VLOOKUP($F111,Sheet3!$H$2:$O$200,S$1,FALSE))),$I$1),$I$1)</f>
        <v>0</v>
      </c>
      <c r="T111" s="15">
        <f>IFERROR(IF(ISBLANK(M111),IFERROR(VLOOKUP($D111,Sheet3!$H$2:$O$200,T$1,FALSE),IFERROR(VLOOKUP($E111,Sheet3!$H$2:$O$200,T$1,FALSE),VLOOKUP($F111,Sheet3!$H$2:$O$200,T$1,FALSE))),$I$1),$I$1)</f>
        <v>0</v>
      </c>
      <c r="U111" s="15">
        <f>IFERROR(IF(ISBLANK(N111),IFERROR(VLOOKUP($D111,Sheet3!$H$2:$O$200,U$1,FALSE),IFERROR(VLOOKUP($E111,Sheet3!$H$2:$O$200,U$1,FALSE),VLOOKUP($F111,Sheet3!$H$2:$O$200,U$1,FALSE))),$I$1),$I$1)</f>
        <v>0</v>
      </c>
      <c r="V111" s="15">
        <f>IFERROR(IF(ISBLANK(O111),IFERROR(VLOOKUP($D111,Sheet3!$H$2:$O$200,V$1,FALSE),IFERROR(VLOOKUP($E111,Sheet3!$H$2:$O$200,V$1,FALSE),VLOOKUP($F111,Sheet3!$H$2:$O$200,V$1,FALSE))),$I$1),$I$1)</f>
        <v>0</v>
      </c>
      <c r="W111" s="15">
        <f>IFERROR(IF(ISBLANK(P111),IFERROR(VLOOKUP($D111,Sheet3!$H$2:$O$200,W$1,FALSE),IFERROR(VLOOKUP($E111,Sheet3!$H$2:$O$200,W$1,FALSE),VLOOKUP($F111,Sheet3!$H$2:$O$200,W$1,FALSE))),$I$1),$I$1)</f>
        <v>0</v>
      </c>
      <c r="X111" s="15">
        <f>IFERROR(IF(ISBLANK(Q111),IFERROR(VLOOKUP($E111,Sheet3!$H$2:$O$200,X$1,FALSE),IFERROR(VLOOKUP($F111,Sheet3!$H$2:$O$200,X$1,FALSE),VLOOKUP($G111,Sheet3!$H$2:$O$200,X$1,FALSE))),$I$1),$I$1)</f>
        <v>0</v>
      </c>
      <c r="Y111" s="15">
        <f>IFERROR(IF(ISBLANK(R111),IFERROR(VLOOKUP($E111,Sheet3!$H$2:$O$200,Y$1,FALSE),IFERROR(VLOOKUP($F111,Sheet3!$H$2:$O$200,Y$1,FALSE),VLOOKUP($G111,Sheet3!$H$2:$O$200,Y$1,FALSE))),$I$1),$I$1)</f>
        <v>0</v>
      </c>
      <c r="Z111" s="15">
        <f>IFERROR(IF(ISBLANK(S111),IFERROR(VLOOKUP($E111,Sheet3!$H$2:$O$200,Z$1,FALSE),IFERROR(VLOOKUP($F111,Sheet3!$H$2:$O$200,Z$1,FALSE),VLOOKUP($G111,Sheet3!$H$2:$O$200,Z$1,FALSE))),$I$1),$I$1)</f>
        <v>0</v>
      </c>
      <c r="AA111" s="15">
        <f>IFERROR(IF(ISBLANK(T111),IFERROR(VLOOKUP($E111,Sheet3!$H$2:$O$200,AA$1,FALSE),IFERROR(VLOOKUP($F111,Sheet3!$H$2:$O$200,AA$1,FALSE),VLOOKUP($G111,Sheet3!$H$2:$O$200,AA$1,FALSE))),$I$1),$I$1)</f>
        <v>0</v>
      </c>
      <c r="AB111" s="15">
        <f>IFERROR(IF(ISBLANK(U111),IFERROR(VLOOKUP($E111,Sheet3!$H$2:$O$200,AB$1,FALSE),IFERROR(VLOOKUP($F111,Sheet3!$H$2:$O$200,AB$1,FALSE),VLOOKUP($G111,Sheet3!$H$2:$O$200,AB$1,FALSE))),$I$1),$I$1)</f>
        <v>0</v>
      </c>
      <c r="AC111" s="15">
        <f>IFERROR(IF(ISBLANK(V111),IFERROR(VLOOKUP($E111,Sheet3!$H$2:$O$200,AC$1,FALSE),IFERROR(VLOOKUP($F111,Sheet3!$H$2:$O$200,AC$1,FALSE),VLOOKUP($G111,Sheet3!$H$2:$O$200,AC$1,FALSE))),$I$1),$I$1)</f>
        <v>0</v>
      </c>
      <c r="AD111" s="15">
        <f>IFERROR(IF(ISBLANK(W111),IFERROR(VLOOKUP($E111,Sheet3!$H$2:$O$200,AD$1,FALSE),IFERROR(VLOOKUP($F111,Sheet3!$H$2:$O$200,AD$1,FALSE),VLOOKUP($G111,Sheet3!$H$2:$O$200,AD$1,FALSE))),$I$1),$I$1)</f>
        <v>0</v>
      </c>
      <c r="AE111" s="15">
        <f>IFERROR(IF(ISBLANK(X111),IFERROR(VLOOKUP($F111,Sheet3!$H$2:$O$200,AE$1,FALSE),VLOOKUP($G111,Sheet3!$H$2:$O$200,AE$1,FALSE)),$I$1),$I$1)</f>
        <v>0</v>
      </c>
      <c r="AF111" s="15">
        <f>IFERROR(IF(ISBLANK(Y111),IFERROR(VLOOKUP($F111,Sheet3!$H$2:$O$200,AF$1,FALSE),VLOOKUP($G111,Sheet3!$H$2:$O$200,AF$1,FALSE)),$I$1),$I$1)</f>
        <v>0</v>
      </c>
      <c r="AG111" s="15">
        <f>IFERROR(IF(ISBLANK(Z111),IFERROR(VLOOKUP($F111,Sheet3!$H$2:$O$200,AG$1,FALSE),VLOOKUP($G111,Sheet3!$H$2:$O$200,AG$1,FALSE)),$I$1),$I$1)</f>
        <v>0</v>
      </c>
      <c r="AH111" s="15">
        <f>IFERROR(IF(ISBLANK(AA111),IFERROR(VLOOKUP($F111,Sheet3!$H$2:$O$200,AH$1,FALSE),VLOOKUP($G111,Sheet3!$H$2:$O$200,AH$1,FALSE)),$I$1),$I$1)</f>
        <v>0</v>
      </c>
      <c r="AI111" s="15">
        <f>IFERROR(IF(ISBLANK(AB111),IFERROR(VLOOKUP($F111,Sheet3!$H$2:$O$200,AI$1,FALSE),VLOOKUP($G111,Sheet3!$H$2:$O$200,AI$1,FALSE)),$I$1),$I$1)</f>
        <v>0</v>
      </c>
      <c r="AJ111" s="15">
        <f>IFERROR(IF(ISBLANK(AC111),IFERROR(VLOOKUP($F111,Sheet3!$H$2:$O$200,AJ$1,FALSE),VLOOKUP($G111,Sheet3!$H$2:$O$200,AJ$1,FALSE)),$I$1),$I$1)</f>
        <v>0</v>
      </c>
      <c r="AK111" s="15">
        <f>IFERROR(IF(ISBLANK(AD111),IFERROR(VLOOKUP($F111,Sheet3!$H$2:$O$200,AK$1,FALSE),VLOOKUP($G111,Sheet3!$H$2:$O$200,AK$1,FALSE)),$I$1),$I$1)</f>
        <v>0</v>
      </c>
      <c r="AL111" s="15">
        <f>IFERROR(IF(ISBLANK(AE111),VLOOKUP($G111,Sheet3!$H$2:$O$200,AL$1,FALSE),$I$1),$I$1)</f>
        <v>0</v>
      </c>
      <c r="AM111" s="15">
        <f>IFERROR(IF(ISBLANK(AF111),VLOOKUP($G111,Sheet3!$H$2:$O$200,AM$1,FALSE),$I$1),$I$1)</f>
        <v>0</v>
      </c>
      <c r="AN111" s="15">
        <f>IFERROR(IF(ISBLANK(AG111),VLOOKUP($G111,Sheet3!$H$2:$O$200,AN$1,FALSE),$I$1),$I$1)</f>
        <v>0</v>
      </c>
      <c r="AO111" s="15">
        <f>IFERROR(IF(ISBLANK(AH111),VLOOKUP($G111,Sheet3!$H$2:$O$200,AO$1,FALSE),$I$1),$I$1)</f>
        <v>0</v>
      </c>
      <c r="AP111" s="15">
        <f>IFERROR(IF(ISBLANK(AI111),VLOOKUP($G111,Sheet3!$H$2:$O$200,AP$1,FALSE),$I$1),$I$1)</f>
        <v>0</v>
      </c>
      <c r="AQ111" s="15">
        <f>IFERROR(IF(ISBLANK(AJ111),VLOOKUP($G111,Sheet3!$H$2:$O$200,AQ$1,FALSE),$I$1),$I$1)</f>
        <v>0</v>
      </c>
      <c r="AR111" s="15">
        <f>IFERROR(IF(ISBLANK(AK111),VLOOKUP($G111,Sheet3!$H$2:$O$200,AR$1,FALSE),$I$1),$I$1)</f>
        <v>0</v>
      </c>
      <c r="AS111" s="15">
        <f t="shared" si="1"/>
        <v>28</v>
      </c>
      <c r="AT111" s="15" t="b">
        <f t="shared" si="2"/>
        <v>0</v>
      </c>
    </row>
    <row r="112" spans="1:46" x14ac:dyDescent="0.2">
      <c r="A112" s="19" t="s">
        <v>246</v>
      </c>
      <c r="B112" s="19" t="s">
        <v>244</v>
      </c>
      <c r="C112" s="19" t="s">
        <v>100</v>
      </c>
      <c r="D112" s="19" t="s">
        <v>90</v>
      </c>
      <c r="E112" s="19" t="s">
        <v>247</v>
      </c>
      <c r="F112" s="19" t="s">
        <v>45</v>
      </c>
      <c r="G112" s="19"/>
      <c r="H112" s="19" t="s">
        <v>246</v>
      </c>
      <c r="I112" s="15">
        <f t="shared" si="0"/>
        <v>4</v>
      </c>
      <c r="J112" s="15">
        <f>IFERROR(VLOOKUP($C112,Sheet3!$H$2:$O$200,J$1,FALSE),IFERROR(VLOOKUP($D112,Sheet3!$H$2:$O$200,J$1,FALSE),VLOOKUP($E112,Sheet3!$H$2:$O$200,J$1,FALSE)))</f>
        <v>0</v>
      </c>
      <c r="K112" s="15">
        <f>IFERROR(VLOOKUP($C112,Sheet3!$H$2:$O$200,K$1,FALSE),IFERROR(VLOOKUP($D112,Sheet3!$H$2:$O$200,K$1,FALSE),VLOOKUP($E112,Sheet3!$H$2:$O$200,K$1,FALSE)))</f>
        <v>0</v>
      </c>
      <c r="L112" s="15">
        <f>IFERROR(VLOOKUP($C112,Sheet3!$H$2:$O$200,L$1,FALSE),IFERROR(VLOOKUP($D112,Sheet3!$H$2:$O$200,L$1,FALSE),VLOOKUP($E112,Sheet3!$H$2:$O$200,L$1,FALSE)))</f>
        <v>0</v>
      </c>
      <c r="M112" s="15" t="str">
        <f>IFERROR(VLOOKUP($C112,Sheet3!$H$2:$O$200,M$1,FALSE),IFERROR(VLOOKUP($D112,Sheet3!$H$2:$O$200,M$1,FALSE),VLOOKUP($E112,Sheet3!$H$2:$O$200,M$1,FALSE)))</f>
        <v>triple sec</v>
      </c>
      <c r="N112" s="15">
        <f>IFERROR(VLOOKUP($C112,Sheet3!$H$2:$O$200,N$1,FALSE),IFERROR(VLOOKUP($D112,Sheet3!$H$2:$O$200,N$1,FALSE),VLOOKUP($E112,Sheet3!$H$2:$O$200,N$1,FALSE)))</f>
        <v>0</v>
      </c>
      <c r="O112" s="15">
        <f>IFERROR(VLOOKUP($C112,Sheet3!$H$2:$O$200,O$1,FALSE),IFERROR(VLOOKUP($D112,Sheet3!$H$2:$O$200,O$1,FALSE),VLOOKUP($E112,Sheet3!$H$2:$O$200,O$1,FALSE)))</f>
        <v>0</v>
      </c>
      <c r="P112" s="15">
        <f>IFERROR(VLOOKUP($C112,Sheet3!$H$2:$O$200,P$1,FALSE),IFERROR(VLOOKUP($D112,Sheet3!$H$2:$O$200,P$1,FALSE),VLOOKUP($E112,Sheet3!$H$2:$O$200,P$1,FALSE)))</f>
        <v>0</v>
      </c>
      <c r="Q112" s="15">
        <f>IFERROR(IF(ISBLANK(J112),IFERROR(VLOOKUP($D112,Sheet3!$H$2:$O$200,Q$1,FALSE),IFERROR(VLOOKUP($E112,Sheet3!$H$2:$O$200,Q$1,FALSE),VLOOKUP($F112,Sheet3!$H$2:$O$200,Q$1,FALSE))),$I$1),$I$1)</f>
        <v>0</v>
      </c>
      <c r="R112" s="15">
        <f>IFERROR(IF(ISBLANK(K112),IFERROR(VLOOKUP($D112,Sheet3!$H$2:$O$200,R$1,FALSE),IFERROR(VLOOKUP($E112,Sheet3!$H$2:$O$200,R$1,FALSE),VLOOKUP($F112,Sheet3!$H$2:$O$200,R$1,FALSE))),$I$1),$I$1)</f>
        <v>0</v>
      </c>
      <c r="S112" s="15">
        <f>IFERROR(IF(ISBLANK(L112),IFERROR(VLOOKUP($D112,Sheet3!$H$2:$O$200,S$1,FALSE),IFERROR(VLOOKUP($E112,Sheet3!$H$2:$O$200,S$1,FALSE),VLOOKUP($F112,Sheet3!$H$2:$O$200,S$1,FALSE))),$I$1),$I$1)</f>
        <v>0</v>
      </c>
      <c r="T112" s="15">
        <f>IFERROR(IF(ISBLANK(M112),IFERROR(VLOOKUP($D112,Sheet3!$H$2:$O$200,T$1,FALSE),IFERROR(VLOOKUP($E112,Sheet3!$H$2:$O$200,T$1,FALSE),VLOOKUP($F112,Sheet3!$H$2:$O$200,T$1,FALSE))),$I$1),$I$1)</f>
        <v>0</v>
      </c>
      <c r="U112" s="15">
        <f>IFERROR(IF(ISBLANK(N112),IFERROR(VLOOKUP($D112,Sheet3!$H$2:$O$200,U$1,FALSE),IFERROR(VLOOKUP($E112,Sheet3!$H$2:$O$200,U$1,FALSE),VLOOKUP($F112,Sheet3!$H$2:$O$200,U$1,FALSE))),$I$1),$I$1)</f>
        <v>0</v>
      </c>
      <c r="V112" s="15">
        <f>IFERROR(IF(ISBLANK(O112),IFERROR(VLOOKUP($D112,Sheet3!$H$2:$O$200,V$1,FALSE),IFERROR(VLOOKUP($E112,Sheet3!$H$2:$O$200,V$1,FALSE),VLOOKUP($F112,Sheet3!$H$2:$O$200,V$1,FALSE))),$I$1),$I$1)</f>
        <v>0</v>
      </c>
      <c r="W112" s="15">
        <f>IFERROR(IF(ISBLANK(P112),IFERROR(VLOOKUP($D112,Sheet3!$H$2:$O$200,W$1,FALSE),IFERROR(VLOOKUP($E112,Sheet3!$H$2:$O$200,W$1,FALSE),VLOOKUP($F112,Sheet3!$H$2:$O$200,W$1,FALSE))),$I$1),$I$1)</f>
        <v>0</v>
      </c>
      <c r="X112" s="15">
        <f>IFERROR(IF(ISBLANK(Q112),IFERROR(VLOOKUP($E112,Sheet3!$H$2:$O$200,X$1,FALSE),IFERROR(VLOOKUP($F112,Sheet3!$H$2:$O$200,X$1,FALSE),VLOOKUP($G112,Sheet3!$H$2:$O$200,X$1,FALSE))),$I$1),$I$1)</f>
        <v>0</v>
      </c>
      <c r="Y112" s="15">
        <f>IFERROR(IF(ISBLANK(R112),IFERROR(VLOOKUP($E112,Sheet3!$H$2:$O$200,Y$1,FALSE),IFERROR(VLOOKUP($F112,Sheet3!$H$2:$O$200,Y$1,FALSE),VLOOKUP($G112,Sheet3!$H$2:$O$200,Y$1,FALSE))),$I$1),$I$1)</f>
        <v>0</v>
      </c>
      <c r="Z112" s="15">
        <f>IFERROR(IF(ISBLANK(S112),IFERROR(VLOOKUP($E112,Sheet3!$H$2:$O$200,Z$1,FALSE),IFERROR(VLOOKUP($F112,Sheet3!$H$2:$O$200,Z$1,FALSE),VLOOKUP($G112,Sheet3!$H$2:$O$200,Z$1,FALSE))),$I$1),$I$1)</f>
        <v>0</v>
      </c>
      <c r="AA112" s="15">
        <f>IFERROR(IF(ISBLANK(T112),IFERROR(VLOOKUP($E112,Sheet3!$H$2:$O$200,AA$1,FALSE),IFERROR(VLOOKUP($F112,Sheet3!$H$2:$O$200,AA$1,FALSE),VLOOKUP($G112,Sheet3!$H$2:$O$200,AA$1,FALSE))),$I$1),$I$1)</f>
        <v>0</v>
      </c>
      <c r="AB112" s="15">
        <f>IFERROR(IF(ISBLANK(U112),IFERROR(VLOOKUP($E112,Sheet3!$H$2:$O$200,AB$1,FALSE),IFERROR(VLOOKUP($F112,Sheet3!$H$2:$O$200,AB$1,FALSE),VLOOKUP($G112,Sheet3!$H$2:$O$200,AB$1,FALSE))),$I$1),$I$1)</f>
        <v>0</v>
      </c>
      <c r="AC112" s="15">
        <f>IFERROR(IF(ISBLANK(V112),IFERROR(VLOOKUP($E112,Sheet3!$H$2:$O$200,AC$1,FALSE),IFERROR(VLOOKUP($F112,Sheet3!$H$2:$O$200,AC$1,FALSE),VLOOKUP($G112,Sheet3!$H$2:$O$200,AC$1,FALSE))),$I$1),$I$1)</f>
        <v>0</v>
      </c>
      <c r="AD112" s="15">
        <f>IFERROR(IF(ISBLANK(W112),IFERROR(VLOOKUP($E112,Sheet3!$H$2:$O$200,AD$1,FALSE),IFERROR(VLOOKUP($F112,Sheet3!$H$2:$O$200,AD$1,FALSE),VLOOKUP($G112,Sheet3!$H$2:$O$200,AD$1,FALSE))),$I$1),$I$1)</f>
        <v>0</v>
      </c>
      <c r="AE112" s="15">
        <f>IFERROR(IF(ISBLANK(X112),IFERROR(VLOOKUP($F112,Sheet3!$H$2:$O$200,AE$1,FALSE),VLOOKUP($G112,Sheet3!$H$2:$O$200,AE$1,FALSE)),$I$1),$I$1)</f>
        <v>0</v>
      </c>
      <c r="AF112" s="15">
        <f>IFERROR(IF(ISBLANK(Y112),IFERROR(VLOOKUP($F112,Sheet3!$H$2:$O$200,AF$1,FALSE),VLOOKUP($G112,Sheet3!$H$2:$O$200,AF$1,FALSE)),$I$1),$I$1)</f>
        <v>0</v>
      </c>
      <c r="AG112" s="15">
        <f>IFERROR(IF(ISBLANK(Z112),IFERROR(VLOOKUP($F112,Sheet3!$H$2:$O$200,AG$1,FALSE),VLOOKUP($G112,Sheet3!$H$2:$O$200,AG$1,FALSE)),$I$1),$I$1)</f>
        <v>0</v>
      </c>
      <c r="AH112" s="15">
        <f>IFERROR(IF(ISBLANK(AA112),IFERROR(VLOOKUP($F112,Sheet3!$H$2:$O$200,AH$1,FALSE),VLOOKUP($G112,Sheet3!$H$2:$O$200,AH$1,FALSE)),$I$1),$I$1)</f>
        <v>0</v>
      </c>
      <c r="AI112" s="15">
        <f>IFERROR(IF(ISBLANK(AB112),IFERROR(VLOOKUP($F112,Sheet3!$H$2:$O$200,AI$1,FALSE),VLOOKUP($G112,Sheet3!$H$2:$O$200,AI$1,FALSE)),$I$1),$I$1)</f>
        <v>0</v>
      </c>
      <c r="AJ112" s="15">
        <f>IFERROR(IF(ISBLANK(AC112),IFERROR(VLOOKUP($F112,Sheet3!$H$2:$O$200,AJ$1,FALSE),VLOOKUP($G112,Sheet3!$H$2:$O$200,AJ$1,FALSE)),$I$1),$I$1)</f>
        <v>0</v>
      </c>
      <c r="AK112" s="15">
        <f>IFERROR(IF(ISBLANK(AD112),IFERROR(VLOOKUP($F112,Sheet3!$H$2:$O$200,AK$1,FALSE),VLOOKUP($G112,Sheet3!$H$2:$O$200,AK$1,FALSE)),$I$1),$I$1)</f>
        <v>0</v>
      </c>
      <c r="AL112" s="15">
        <f>IFERROR(IF(ISBLANK(AE112),VLOOKUP($G112,Sheet3!$H$2:$O$200,AL$1,FALSE),$I$1),$I$1)</f>
        <v>0</v>
      </c>
      <c r="AM112" s="15">
        <f>IFERROR(IF(ISBLANK(AF112),VLOOKUP($G112,Sheet3!$H$2:$O$200,AM$1,FALSE),$I$1),$I$1)</f>
        <v>0</v>
      </c>
      <c r="AN112" s="15">
        <f>IFERROR(IF(ISBLANK(AG112),VLOOKUP($G112,Sheet3!$H$2:$O$200,AN$1,FALSE),$I$1),$I$1)</f>
        <v>0</v>
      </c>
      <c r="AO112" s="15">
        <f>IFERROR(IF(ISBLANK(AH112),VLOOKUP($G112,Sheet3!$H$2:$O$200,AO$1,FALSE),$I$1),$I$1)</f>
        <v>0</v>
      </c>
      <c r="AP112" s="15">
        <f>IFERROR(IF(ISBLANK(AI112),VLOOKUP($G112,Sheet3!$H$2:$O$200,AP$1,FALSE),$I$1),$I$1)</f>
        <v>0</v>
      </c>
      <c r="AQ112" s="15">
        <f>IFERROR(IF(ISBLANK(AJ112),VLOOKUP($G112,Sheet3!$H$2:$O$200,AQ$1,FALSE),$I$1),$I$1)</f>
        <v>0</v>
      </c>
      <c r="AR112" s="15">
        <f>IFERROR(IF(ISBLANK(AK112),VLOOKUP($G112,Sheet3!$H$2:$O$200,AR$1,FALSE),$I$1),$I$1)</f>
        <v>0</v>
      </c>
      <c r="AS112" s="15">
        <f t="shared" si="1"/>
        <v>28</v>
      </c>
      <c r="AT112" s="15" t="b">
        <f t="shared" si="2"/>
        <v>0</v>
      </c>
    </row>
    <row r="113" spans="1:46" x14ac:dyDescent="0.2">
      <c r="A113" s="19" t="s">
        <v>248</v>
      </c>
      <c r="B113" s="19" t="s">
        <v>249</v>
      </c>
      <c r="C113" s="19"/>
      <c r="D113" s="19" t="s">
        <v>38</v>
      </c>
      <c r="E113" s="19" t="s">
        <v>250</v>
      </c>
      <c r="F113" s="19"/>
      <c r="G113" s="19"/>
      <c r="H113" s="19" t="s">
        <v>248</v>
      </c>
      <c r="I113" s="15">
        <f t="shared" si="0"/>
        <v>2</v>
      </c>
      <c r="J113" s="15">
        <f>IFERROR(VLOOKUP($C113,Sheet3!$H$2:$O$200,J$1,FALSE),IFERROR(VLOOKUP($D113,Sheet3!$H$2:$O$200,J$1,FALSE),VLOOKUP($E113,Sheet3!$H$2:$O$200,J$1,FALSE)))</f>
        <v>0</v>
      </c>
      <c r="K113" s="15">
        <f>IFERROR(VLOOKUP($C113,Sheet3!$H$2:$O$200,K$1,FALSE),IFERROR(VLOOKUP($D113,Sheet3!$H$2:$O$200,K$1,FALSE),VLOOKUP($E113,Sheet3!$H$2:$O$200,K$1,FALSE)))</f>
        <v>0</v>
      </c>
      <c r="L113" s="15" t="str">
        <f>IFERROR(VLOOKUP($C113,Sheet3!$H$2:$O$200,L$1,FALSE),IFERROR(VLOOKUP($D113,Sheet3!$H$2:$O$200,L$1,FALSE),VLOOKUP($E113,Sheet3!$H$2:$O$200,L$1,FALSE)))</f>
        <v>lemon juice</v>
      </c>
      <c r="M113" s="15">
        <f>IFERROR(VLOOKUP($C113,Sheet3!$H$2:$O$200,M$1,FALSE),IFERROR(VLOOKUP($D113,Sheet3!$H$2:$O$200,M$1,FALSE),VLOOKUP($E113,Sheet3!$H$2:$O$200,M$1,FALSE)))</f>
        <v>0</v>
      </c>
      <c r="N113" s="15">
        <f>IFERROR(VLOOKUP($C113,Sheet3!$H$2:$O$200,N$1,FALSE),IFERROR(VLOOKUP($D113,Sheet3!$H$2:$O$200,N$1,FALSE),VLOOKUP($E113,Sheet3!$H$2:$O$200,N$1,FALSE)))</f>
        <v>0</v>
      </c>
      <c r="O113" s="15">
        <f>IFERROR(VLOOKUP($C113,Sheet3!$H$2:$O$200,O$1,FALSE),IFERROR(VLOOKUP($D113,Sheet3!$H$2:$O$200,O$1,FALSE),VLOOKUP($E113,Sheet3!$H$2:$O$200,O$1,FALSE)))</f>
        <v>0</v>
      </c>
      <c r="P113" s="15">
        <f>IFERROR(VLOOKUP($C113,Sheet3!$H$2:$O$200,P$1,FALSE),IFERROR(VLOOKUP($D113,Sheet3!$H$2:$O$200,P$1,FALSE),VLOOKUP($E113,Sheet3!$H$2:$O$200,P$1,FALSE)))</f>
        <v>0</v>
      </c>
      <c r="Q113" s="15">
        <f>IFERROR(IF(ISBLANK(J113),IFERROR(VLOOKUP($D113,Sheet3!$H$2:$O$200,Q$1,FALSE),IFERROR(VLOOKUP($E113,Sheet3!$H$2:$O$200,Q$1,FALSE),VLOOKUP($F113,Sheet3!$H$2:$O$200,Q$1,FALSE))),$I$1),$I$1)</f>
        <v>0</v>
      </c>
      <c r="R113" s="15">
        <f>IFERROR(IF(ISBLANK(K113),IFERROR(VLOOKUP($D113,Sheet3!$H$2:$O$200,R$1,FALSE),IFERROR(VLOOKUP($E113,Sheet3!$H$2:$O$200,R$1,FALSE),VLOOKUP($F113,Sheet3!$H$2:$O$200,R$1,FALSE))),$I$1),$I$1)</f>
        <v>0</v>
      </c>
      <c r="S113" s="15">
        <f>IFERROR(IF(ISBLANK(L113),IFERROR(VLOOKUP($D113,Sheet3!$H$2:$O$200,S$1,FALSE),IFERROR(VLOOKUP($E113,Sheet3!$H$2:$O$200,S$1,FALSE),VLOOKUP($F113,Sheet3!$H$2:$O$200,S$1,FALSE))),$I$1),$I$1)</f>
        <v>0</v>
      </c>
      <c r="T113" s="15">
        <f>IFERROR(IF(ISBLANK(M113),IFERROR(VLOOKUP($D113,Sheet3!$H$2:$O$200,T$1,FALSE),IFERROR(VLOOKUP($E113,Sheet3!$H$2:$O$200,T$1,FALSE),VLOOKUP($F113,Sheet3!$H$2:$O$200,T$1,FALSE))),$I$1),$I$1)</f>
        <v>0</v>
      </c>
      <c r="U113" s="15">
        <f>IFERROR(IF(ISBLANK(N113),IFERROR(VLOOKUP($D113,Sheet3!$H$2:$O$200,U$1,FALSE),IFERROR(VLOOKUP($E113,Sheet3!$H$2:$O$200,U$1,FALSE),VLOOKUP($F113,Sheet3!$H$2:$O$200,U$1,FALSE))),$I$1),$I$1)</f>
        <v>0</v>
      </c>
      <c r="V113" s="15">
        <f>IFERROR(IF(ISBLANK(O113),IFERROR(VLOOKUP($D113,Sheet3!$H$2:$O$200,V$1,FALSE),IFERROR(VLOOKUP($E113,Sheet3!$H$2:$O$200,V$1,FALSE),VLOOKUP($F113,Sheet3!$H$2:$O$200,V$1,FALSE))),$I$1),$I$1)</f>
        <v>0</v>
      </c>
      <c r="W113" s="15">
        <f>IFERROR(IF(ISBLANK(P113),IFERROR(VLOOKUP($D113,Sheet3!$H$2:$O$200,W$1,FALSE),IFERROR(VLOOKUP($E113,Sheet3!$H$2:$O$200,W$1,FALSE),VLOOKUP($F113,Sheet3!$H$2:$O$200,W$1,FALSE))),$I$1),$I$1)</f>
        <v>0</v>
      </c>
      <c r="X113" s="15">
        <f>IFERROR(IF(ISBLANK(Q113),IFERROR(VLOOKUP($E113,Sheet3!$H$2:$O$200,X$1,FALSE),IFERROR(VLOOKUP($F113,Sheet3!$H$2:$O$200,X$1,FALSE),VLOOKUP($G113,Sheet3!$H$2:$O$200,X$1,FALSE))),$I$1),$I$1)</f>
        <v>0</v>
      </c>
      <c r="Y113" s="15">
        <f>IFERROR(IF(ISBLANK(R113),IFERROR(VLOOKUP($E113,Sheet3!$H$2:$O$200,Y$1,FALSE),IFERROR(VLOOKUP($F113,Sheet3!$H$2:$O$200,Y$1,FALSE),VLOOKUP($G113,Sheet3!$H$2:$O$200,Y$1,FALSE))),$I$1),$I$1)</f>
        <v>0</v>
      </c>
      <c r="Z113" s="15">
        <f>IFERROR(IF(ISBLANK(S113),IFERROR(VLOOKUP($E113,Sheet3!$H$2:$O$200,Z$1,FALSE),IFERROR(VLOOKUP($F113,Sheet3!$H$2:$O$200,Z$1,FALSE),VLOOKUP($G113,Sheet3!$H$2:$O$200,Z$1,FALSE))),$I$1),$I$1)</f>
        <v>0</v>
      </c>
      <c r="AA113" s="15">
        <f>IFERROR(IF(ISBLANK(T113),IFERROR(VLOOKUP($E113,Sheet3!$H$2:$O$200,AA$1,FALSE),IFERROR(VLOOKUP($F113,Sheet3!$H$2:$O$200,AA$1,FALSE),VLOOKUP($G113,Sheet3!$H$2:$O$200,AA$1,FALSE))),$I$1),$I$1)</f>
        <v>0</v>
      </c>
      <c r="AB113" s="15">
        <f>IFERROR(IF(ISBLANK(U113),IFERROR(VLOOKUP($E113,Sheet3!$H$2:$O$200,AB$1,FALSE),IFERROR(VLOOKUP($F113,Sheet3!$H$2:$O$200,AB$1,FALSE),VLOOKUP($G113,Sheet3!$H$2:$O$200,AB$1,FALSE))),$I$1),$I$1)</f>
        <v>0</v>
      </c>
      <c r="AC113" s="15">
        <f>IFERROR(IF(ISBLANK(V113),IFERROR(VLOOKUP($E113,Sheet3!$H$2:$O$200,AC$1,FALSE),IFERROR(VLOOKUP($F113,Sheet3!$H$2:$O$200,AC$1,FALSE),VLOOKUP($G113,Sheet3!$H$2:$O$200,AC$1,FALSE))),$I$1),$I$1)</f>
        <v>0</v>
      </c>
      <c r="AD113" s="15">
        <f>IFERROR(IF(ISBLANK(W113),IFERROR(VLOOKUP($E113,Sheet3!$H$2:$O$200,AD$1,FALSE),IFERROR(VLOOKUP($F113,Sheet3!$H$2:$O$200,AD$1,FALSE),VLOOKUP($G113,Sheet3!$H$2:$O$200,AD$1,FALSE))),$I$1),$I$1)</f>
        <v>0</v>
      </c>
      <c r="AE113" s="15">
        <f>IFERROR(IF(ISBLANK(X113),IFERROR(VLOOKUP($F113,Sheet3!$H$2:$O$200,AE$1,FALSE),VLOOKUP($G113,Sheet3!$H$2:$O$200,AE$1,FALSE)),$I$1),$I$1)</f>
        <v>0</v>
      </c>
      <c r="AF113" s="15">
        <f>IFERROR(IF(ISBLANK(Y113),IFERROR(VLOOKUP($F113,Sheet3!$H$2:$O$200,AF$1,FALSE),VLOOKUP($G113,Sheet3!$H$2:$O$200,AF$1,FALSE)),$I$1),$I$1)</f>
        <v>0</v>
      </c>
      <c r="AG113" s="15">
        <f>IFERROR(IF(ISBLANK(Z113),IFERROR(VLOOKUP($F113,Sheet3!$H$2:$O$200,AG$1,FALSE),VLOOKUP($G113,Sheet3!$H$2:$O$200,AG$1,FALSE)),$I$1),$I$1)</f>
        <v>0</v>
      </c>
      <c r="AH113" s="15">
        <f>IFERROR(IF(ISBLANK(AA113),IFERROR(VLOOKUP($F113,Sheet3!$H$2:$O$200,AH$1,FALSE),VLOOKUP($G113,Sheet3!$H$2:$O$200,AH$1,FALSE)),$I$1),$I$1)</f>
        <v>0</v>
      </c>
      <c r="AI113" s="15">
        <f>IFERROR(IF(ISBLANK(AB113),IFERROR(VLOOKUP($F113,Sheet3!$H$2:$O$200,AI$1,FALSE),VLOOKUP($G113,Sheet3!$H$2:$O$200,AI$1,FALSE)),$I$1),$I$1)</f>
        <v>0</v>
      </c>
      <c r="AJ113" s="15">
        <f>IFERROR(IF(ISBLANK(AC113),IFERROR(VLOOKUP($F113,Sheet3!$H$2:$O$200,AJ$1,FALSE),VLOOKUP($G113,Sheet3!$H$2:$O$200,AJ$1,FALSE)),$I$1),$I$1)</f>
        <v>0</v>
      </c>
      <c r="AK113" s="15">
        <f>IFERROR(IF(ISBLANK(AD113),IFERROR(VLOOKUP($F113,Sheet3!$H$2:$O$200,AK$1,FALSE),VLOOKUP($G113,Sheet3!$H$2:$O$200,AK$1,FALSE)),$I$1),$I$1)</f>
        <v>0</v>
      </c>
      <c r="AL113" s="15">
        <f>IFERROR(IF(ISBLANK(AE113),VLOOKUP($G113,Sheet3!$H$2:$O$200,AL$1,FALSE),$I$1),$I$1)</f>
        <v>0</v>
      </c>
      <c r="AM113" s="15">
        <f>IFERROR(IF(ISBLANK(AF113),VLOOKUP($G113,Sheet3!$H$2:$O$200,AM$1,FALSE),$I$1),$I$1)</f>
        <v>0</v>
      </c>
      <c r="AN113" s="15">
        <f>IFERROR(IF(ISBLANK(AG113),VLOOKUP($G113,Sheet3!$H$2:$O$200,AN$1,FALSE),$I$1),$I$1)</f>
        <v>0</v>
      </c>
      <c r="AO113" s="15">
        <f>IFERROR(IF(ISBLANK(AH113),VLOOKUP($G113,Sheet3!$H$2:$O$200,AO$1,FALSE),$I$1),$I$1)</f>
        <v>0</v>
      </c>
      <c r="AP113" s="15">
        <f>IFERROR(IF(ISBLANK(AI113),VLOOKUP($G113,Sheet3!$H$2:$O$200,AP$1,FALSE),$I$1),$I$1)</f>
        <v>0</v>
      </c>
      <c r="AQ113" s="15">
        <f>IFERROR(IF(ISBLANK(AJ113),VLOOKUP($G113,Sheet3!$H$2:$O$200,AQ$1,FALSE),$I$1),$I$1)</f>
        <v>0</v>
      </c>
      <c r="AR113" s="15">
        <f>IFERROR(IF(ISBLANK(AK113),VLOOKUP($G113,Sheet3!$H$2:$O$200,AR$1,FALSE),$I$1),$I$1)</f>
        <v>0</v>
      </c>
      <c r="AS113" s="15">
        <f t="shared" si="1"/>
        <v>28</v>
      </c>
      <c r="AT113" s="15" t="b">
        <f t="shared" si="2"/>
        <v>0</v>
      </c>
    </row>
    <row r="114" spans="1:46" x14ac:dyDescent="0.2">
      <c r="A114" s="19" t="s">
        <v>251</v>
      </c>
      <c r="B114" s="19" t="s">
        <v>252</v>
      </c>
      <c r="C114" s="19" t="s">
        <v>253</v>
      </c>
      <c r="D114" s="19"/>
      <c r="E114" s="19"/>
      <c r="F114" s="19"/>
      <c r="G114" s="19"/>
      <c r="H114" s="19" t="s">
        <v>251</v>
      </c>
      <c r="I114" s="15">
        <f t="shared" si="0"/>
        <v>1</v>
      </c>
      <c r="J114" s="15">
        <f>IFERROR(VLOOKUP($C114,Sheet3!$H$2:$O$200,J$1,FALSE),IFERROR(VLOOKUP($D114,Sheet3!$H$2:$O$200,J$1,FALSE),VLOOKUP($E114,Sheet3!$H$2:$O$200,J$1,FALSE)))</f>
        <v>0</v>
      </c>
      <c r="K114" s="15">
        <f>IFERROR(VLOOKUP($C114,Sheet3!$H$2:$O$200,K$1,FALSE),IFERROR(VLOOKUP($D114,Sheet3!$H$2:$O$200,K$1,FALSE),VLOOKUP($E114,Sheet3!$H$2:$O$200,K$1,FALSE)))</f>
        <v>0</v>
      </c>
      <c r="L114" s="15">
        <f>IFERROR(VLOOKUP($C114,Sheet3!$H$2:$O$200,L$1,FALSE),IFERROR(VLOOKUP($D114,Sheet3!$H$2:$O$200,L$1,FALSE),VLOOKUP($E114,Sheet3!$H$2:$O$200,L$1,FALSE)))</f>
        <v>0</v>
      </c>
      <c r="M114" s="15" t="str">
        <f>IFERROR(VLOOKUP($C114,Sheet3!$H$2:$O$200,M$1,FALSE),IFERROR(VLOOKUP($D114,Sheet3!$H$2:$O$200,M$1,FALSE),VLOOKUP($E114,Sheet3!$H$2:$O$200,M$1,FALSE)))</f>
        <v>Baileys</v>
      </c>
      <c r="N114" s="15">
        <f>IFERROR(VLOOKUP($C114,Sheet3!$H$2:$O$200,N$1,FALSE),IFERROR(VLOOKUP($D114,Sheet3!$H$2:$O$200,N$1,FALSE),VLOOKUP($E114,Sheet3!$H$2:$O$200,N$1,FALSE)))</f>
        <v>0</v>
      </c>
      <c r="O114" s="15">
        <f>IFERROR(VLOOKUP($C114,Sheet3!$H$2:$O$200,O$1,FALSE),IFERROR(VLOOKUP($D114,Sheet3!$H$2:$O$200,O$1,FALSE),VLOOKUP($E114,Sheet3!$H$2:$O$200,O$1,FALSE)))</f>
        <v>0</v>
      </c>
      <c r="P114" s="15">
        <f>IFERROR(VLOOKUP($C114,Sheet3!$H$2:$O$200,P$1,FALSE),IFERROR(VLOOKUP($D114,Sheet3!$H$2:$O$200,P$1,FALSE),VLOOKUP($E114,Sheet3!$H$2:$O$200,P$1,FALSE)))</f>
        <v>0</v>
      </c>
      <c r="Q114" s="15">
        <f>IFERROR(IF(ISBLANK(J114),IFERROR(VLOOKUP($D114,Sheet3!$H$2:$O$200,Q$1,FALSE),IFERROR(VLOOKUP($E114,Sheet3!$H$2:$O$200,Q$1,FALSE),VLOOKUP($F114,Sheet3!$H$2:$O$200,Q$1,FALSE))),$I$1),$I$1)</f>
        <v>0</v>
      </c>
      <c r="R114" s="15">
        <f>IFERROR(IF(ISBLANK(K114),IFERROR(VLOOKUP($D114,Sheet3!$H$2:$O$200,R$1,FALSE),IFERROR(VLOOKUP($E114,Sheet3!$H$2:$O$200,R$1,FALSE),VLOOKUP($F114,Sheet3!$H$2:$O$200,R$1,FALSE))),$I$1),$I$1)</f>
        <v>0</v>
      </c>
      <c r="S114" s="15">
        <f>IFERROR(IF(ISBLANK(L114),IFERROR(VLOOKUP($D114,Sheet3!$H$2:$O$200,S$1,FALSE),IFERROR(VLOOKUP($E114,Sheet3!$H$2:$O$200,S$1,FALSE),VLOOKUP($F114,Sheet3!$H$2:$O$200,S$1,FALSE))),$I$1),$I$1)</f>
        <v>0</v>
      </c>
      <c r="T114" s="15">
        <f>IFERROR(IF(ISBLANK(M114),IFERROR(VLOOKUP($D114,Sheet3!$H$2:$O$200,T$1,FALSE),IFERROR(VLOOKUP($E114,Sheet3!$H$2:$O$200,T$1,FALSE),VLOOKUP($F114,Sheet3!$H$2:$O$200,T$1,FALSE))),$I$1),$I$1)</f>
        <v>0</v>
      </c>
      <c r="U114" s="15">
        <f>IFERROR(IF(ISBLANK(N114),IFERROR(VLOOKUP($D114,Sheet3!$H$2:$O$200,U$1,FALSE),IFERROR(VLOOKUP($E114,Sheet3!$H$2:$O$200,U$1,FALSE),VLOOKUP($F114,Sheet3!$H$2:$O$200,U$1,FALSE))),$I$1),$I$1)</f>
        <v>0</v>
      </c>
      <c r="V114" s="15">
        <f>IFERROR(IF(ISBLANK(O114),IFERROR(VLOOKUP($D114,Sheet3!$H$2:$O$200,V$1,FALSE),IFERROR(VLOOKUP($E114,Sheet3!$H$2:$O$200,V$1,FALSE),VLOOKUP($F114,Sheet3!$H$2:$O$200,V$1,FALSE))),$I$1),$I$1)</f>
        <v>0</v>
      </c>
      <c r="W114" s="15">
        <f>IFERROR(IF(ISBLANK(P114),IFERROR(VLOOKUP($D114,Sheet3!$H$2:$O$200,W$1,FALSE),IFERROR(VLOOKUP($E114,Sheet3!$H$2:$O$200,W$1,FALSE),VLOOKUP($F114,Sheet3!$H$2:$O$200,W$1,FALSE))),$I$1),$I$1)</f>
        <v>0</v>
      </c>
      <c r="X114" s="15">
        <f>IFERROR(IF(ISBLANK(Q114),IFERROR(VLOOKUP($E114,Sheet3!$H$2:$O$200,X$1,FALSE),IFERROR(VLOOKUP($F114,Sheet3!$H$2:$O$200,X$1,FALSE),VLOOKUP($G114,Sheet3!$H$2:$O$200,X$1,FALSE))),$I$1),$I$1)</f>
        <v>0</v>
      </c>
      <c r="Y114" s="15">
        <f>IFERROR(IF(ISBLANK(R114),IFERROR(VLOOKUP($E114,Sheet3!$H$2:$O$200,Y$1,FALSE),IFERROR(VLOOKUP($F114,Sheet3!$H$2:$O$200,Y$1,FALSE),VLOOKUP($G114,Sheet3!$H$2:$O$200,Y$1,FALSE))),$I$1),$I$1)</f>
        <v>0</v>
      </c>
      <c r="Z114" s="15">
        <f>IFERROR(IF(ISBLANK(S114),IFERROR(VLOOKUP($E114,Sheet3!$H$2:$O$200,Z$1,FALSE),IFERROR(VLOOKUP($F114,Sheet3!$H$2:$O$200,Z$1,FALSE),VLOOKUP($G114,Sheet3!$H$2:$O$200,Z$1,FALSE))),$I$1),$I$1)</f>
        <v>0</v>
      </c>
      <c r="AA114" s="15">
        <f>IFERROR(IF(ISBLANK(T114),IFERROR(VLOOKUP($E114,Sheet3!$H$2:$O$200,AA$1,FALSE),IFERROR(VLOOKUP($F114,Sheet3!$H$2:$O$200,AA$1,FALSE),VLOOKUP($G114,Sheet3!$H$2:$O$200,AA$1,FALSE))),$I$1),$I$1)</f>
        <v>0</v>
      </c>
      <c r="AB114" s="15">
        <f>IFERROR(IF(ISBLANK(U114),IFERROR(VLOOKUP($E114,Sheet3!$H$2:$O$200,AB$1,FALSE),IFERROR(VLOOKUP($F114,Sheet3!$H$2:$O$200,AB$1,FALSE),VLOOKUP($G114,Sheet3!$H$2:$O$200,AB$1,FALSE))),$I$1),$I$1)</f>
        <v>0</v>
      </c>
      <c r="AC114" s="15">
        <f>IFERROR(IF(ISBLANK(V114),IFERROR(VLOOKUP($E114,Sheet3!$H$2:$O$200,AC$1,FALSE),IFERROR(VLOOKUP($F114,Sheet3!$H$2:$O$200,AC$1,FALSE),VLOOKUP($G114,Sheet3!$H$2:$O$200,AC$1,FALSE))),$I$1),$I$1)</f>
        <v>0</v>
      </c>
      <c r="AD114" s="15">
        <f>IFERROR(IF(ISBLANK(W114),IFERROR(VLOOKUP($E114,Sheet3!$H$2:$O$200,AD$1,FALSE),IFERROR(VLOOKUP($F114,Sheet3!$H$2:$O$200,AD$1,FALSE),VLOOKUP($G114,Sheet3!$H$2:$O$200,AD$1,FALSE))),$I$1),$I$1)</f>
        <v>0</v>
      </c>
      <c r="AE114" s="15">
        <f>IFERROR(IF(ISBLANK(X114),IFERROR(VLOOKUP($F114,Sheet3!$H$2:$O$200,AE$1,FALSE),VLOOKUP($G114,Sheet3!$H$2:$O$200,AE$1,FALSE)),$I$1),$I$1)</f>
        <v>0</v>
      </c>
      <c r="AF114" s="15">
        <f>IFERROR(IF(ISBLANK(Y114),IFERROR(VLOOKUP($F114,Sheet3!$H$2:$O$200,AF$1,FALSE),VLOOKUP($G114,Sheet3!$H$2:$O$200,AF$1,FALSE)),$I$1),$I$1)</f>
        <v>0</v>
      </c>
      <c r="AG114" s="15">
        <f>IFERROR(IF(ISBLANK(Z114),IFERROR(VLOOKUP($F114,Sheet3!$H$2:$O$200,AG$1,FALSE),VLOOKUP($G114,Sheet3!$H$2:$O$200,AG$1,FALSE)),$I$1),$I$1)</f>
        <v>0</v>
      </c>
      <c r="AH114" s="15">
        <f>IFERROR(IF(ISBLANK(AA114),IFERROR(VLOOKUP($F114,Sheet3!$H$2:$O$200,AH$1,FALSE),VLOOKUP($G114,Sheet3!$H$2:$O$200,AH$1,FALSE)),$I$1),$I$1)</f>
        <v>0</v>
      </c>
      <c r="AI114" s="15">
        <f>IFERROR(IF(ISBLANK(AB114),IFERROR(VLOOKUP($F114,Sheet3!$H$2:$O$200,AI$1,FALSE),VLOOKUP($G114,Sheet3!$H$2:$O$200,AI$1,FALSE)),$I$1),$I$1)</f>
        <v>0</v>
      </c>
      <c r="AJ114" s="15">
        <f>IFERROR(IF(ISBLANK(AC114),IFERROR(VLOOKUP($F114,Sheet3!$H$2:$O$200,AJ$1,FALSE),VLOOKUP($G114,Sheet3!$H$2:$O$200,AJ$1,FALSE)),$I$1),$I$1)</f>
        <v>0</v>
      </c>
      <c r="AK114" s="15">
        <f>IFERROR(IF(ISBLANK(AD114),IFERROR(VLOOKUP($F114,Sheet3!$H$2:$O$200,AK$1,FALSE),VLOOKUP($G114,Sheet3!$H$2:$O$200,AK$1,FALSE)),$I$1),$I$1)</f>
        <v>0</v>
      </c>
      <c r="AL114" s="15">
        <f>IFERROR(IF(ISBLANK(AE114),VLOOKUP($G114,Sheet3!$H$2:$O$200,AL$1,FALSE),$I$1),$I$1)</f>
        <v>0</v>
      </c>
      <c r="AM114" s="15">
        <f>IFERROR(IF(ISBLANK(AF114),VLOOKUP($G114,Sheet3!$H$2:$O$200,AM$1,FALSE),$I$1),$I$1)</f>
        <v>0</v>
      </c>
      <c r="AN114" s="15">
        <f>IFERROR(IF(ISBLANK(AG114),VLOOKUP($G114,Sheet3!$H$2:$O$200,AN$1,FALSE),$I$1),$I$1)</f>
        <v>0</v>
      </c>
      <c r="AO114" s="15">
        <f>IFERROR(IF(ISBLANK(AH114),VLOOKUP($G114,Sheet3!$H$2:$O$200,AO$1,FALSE),$I$1),$I$1)</f>
        <v>0</v>
      </c>
      <c r="AP114" s="15">
        <f>IFERROR(IF(ISBLANK(AI114),VLOOKUP($G114,Sheet3!$H$2:$O$200,AP$1,FALSE),$I$1),$I$1)</f>
        <v>0</v>
      </c>
      <c r="AQ114" s="15">
        <f>IFERROR(IF(ISBLANK(AJ114),VLOOKUP($G114,Sheet3!$H$2:$O$200,AQ$1,FALSE),$I$1),$I$1)</f>
        <v>0</v>
      </c>
      <c r="AR114" s="15">
        <f>IFERROR(IF(ISBLANK(AK114),VLOOKUP($G114,Sheet3!$H$2:$O$200,AR$1,FALSE),$I$1),$I$1)</f>
        <v>0</v>
      </c>
      <c r="AS114" s="15">
        <f t="shared" si="1"/>
        <v>28</v>
      </c>
      <c r="AT114" s="15" t="b">
        <f t="shared" si="2"/>
        <v>0</v>
      </c>
    </row>
    <row r="115" spans="1:46" x14ac:dyDescent="0.2">
      <c r="A115" s="19" t="s">
        <v>254</v>
      </c>
      <c r="B115" s="19" t="s">
        <v>255</v>
      </c>
      <c r="C115" s="19" t="s">
        <v>256</v>
      </c>
      <c r="D115" s="19"/>
      <c r="E115" s="19"/>
      <c r="F115" s="19"/>
      <c r="G115" s="19"/>
      <c r="H115" s="19" t="s">
        <v>254</v>
      </c>
      <c r="I115" s="15">
        <f t="shared" si="0"/>
        <v>1</v>
      </c>
      <c r="J115" s="15">
        <f>IFERROR(VLOOKUP($C115,Sheet3!$H$2:$O$200,J$1,FALSE),IFERROR(VLOOKUP($D115,Sheet3!$H$2:$O$200,J$1,FALSE),VLOOKUP($E115,Sheet3!$H$2:$O$200,J$1,FALSE)))</f>
        <v>0</v>
      </c>
      <c r="K115" s="15" t="str">
        <f>IFERROR(VLOOKUP($C115,Sheet3!$H$2:$O$200,K$1,FALSE),IFERROR(VLOOKUP($D115,Sheet3!$H$2:$O$200,K$1,FALSE),VLOOKUP($E115,Sheet3!$H$2:$O$200,K$1,FALSE)))</f>
        <v>ginger ale, lemon-lime soda, or club soda</v>
      </c>
      <c r="L115" s="15">
        <f>IFERROR(VLOOKUP($C115,Sheet3!$H$2:$O$200,L$1,FALSE),IFERROR(VLOOKUP($D115,Sheet3!$H$2:$O$200,L$1,FALSE),VLOOKUP($E115,Sheet3!$H$2:$O$200,L$1,FALSE)))</f>
        <v>0</v>
      </c>
      <c r="M115" s="15">
        <f>IFERROR(VLOOKUP($C115,Sheet3!$H$2:$O$200,M$1,FALSE),IFERROR(VLOOKUP($D115,Sheet3!$H$2:$O$200,M$1,FALSE),VLOOKUP($E115,Sheet3!$H$2:$O$200,M$1,FALSE)))</f>
        <v>0</v>
      </c>
      <c r="N115" s="15">
        <f>IFERROR(VLOOKUP($C115,Sheet3!$H$2:$O$200,N$1,FALSE),IFERROR(VLOOKUP($D115,Sheet3!$H$2:$O$200,N$1,FALSE),VLOOKUP($E115,Sheet3!$H$2:$O$200,N$1,FALSE)))</f>
        <v>0</v>
      </c>
      <c r="O115" s="15">
        <f>IFERROR(VLOOKUP($C115,Sheet3!$H$2:$O$200,O$1,FALSE),IFERROR(VLOOKUP($D115,Sheet3!$H$2:$O$200,O$1,FALSE),VLOOKUP($E115,Sheet3!$H$2:$O$200,O$1,FALSE)))</f>
        <v>0</v>
      </c>
      <c r="P115" s="15">
        <f>IFERROR(VLOOKUP($C115,Sheet3!$H$2:$O$200,P$1,FALSE),IFERROR(VLOOKUP($D115,Sheet3!$H$2:$O$200,P$1,FALSE),VLOOKUP($E115,Sheet3!$H$2:$O$200,P$1,FALSE)))</f>
        <v>0</v>
      </c>
      <c r="Q115" s="15">
        <f>IFERROR(IF(ISBLANK(J115),IFERROR(VLOOKUP($D115,Sheet3!$H$2:$O$200,Q$1,FALSE),IFERROR(VLOOKUP($E115,Sheet3!$H$2:$O$200,Q$1,FALSE),VLOOKUP($F115,Sheet3!$H$2:$O$200,Q$1,FALSE))),$I$1),$I$1)</f>
        <v>0</v>
      </c>
      <c r="R115" s="15">
        <f>IFERROR(IF(ISBLANK(K115),IFERROR(VLOOKUP($D115,Sheet3!$H$2:$O$200,R$1,FALSE),IFERROR(VLOOKUP($E115,Sheet3!$H$2:$O$200,R$1,FALSE),VLOOKUP($F115,Sheet3!$H$2:$O$200,R$1,FALSE))),$I$1),$I$1)</f>
        <v>0</v>
      </c>
      <c r="S115" s="15">
        <f>IFERROR(IF(ISBLANK(L115),IFERROR(VLOOKUP($D115,Sheet3!$H$2:$O$200,S$1,FALSE),IFERROR(VLOOKUP($E115,Sheet3!$H$2:$O$200,S$1,FALSE),VLOOKUP($F115,Sheet3!$H$2:$O$200,S$1,FALSE))),$I$1),$I$1)</f>
        <v>0</v>
      </c>
      <c r="T115" s="15">
        <f>IFERROR(IF(ISBLANK(M115),IFERROR(VLOOKUP($D115,Sheet3!$H$2:$O$200,T$1,FALSE),IFERROR(VLOOKUP($E115,Sheet3!$H$2:$O$200,T$1,FALSE),VLOOKUP($F115,Sheet3!$H$2:$O$200,T$1,FALSE))),$I$1),$I$1)</f>
        <v>0</v>
      </c>
      <c r="U115" s="15">
        <f>IFERROR(IF(ISBLANK(N115),IFERROR(VLOOKUP($D115,Sheet3!$H$2:$O$200,U$1,FALSE),IFERROR(VLOOKUP($E115,Sheet3!$H$2:$O$200,U$1,FALSE),VLOOKUP($F115,Sheet3!$H$2:$O$200,U$1,FALSE))),$I$1),$I$1)</f>
        <v>0</v>
      </c>
      <c r="V115" s="15">
        <f>IFERROR(IF(ISBLANK(O115),IFERROR(VLOOKUP($D115,Sheet3!$H$2:$O$200,V$1,FALSE),IFERROR(VLOOKUP($E115,Sheet3!$H$2:$O$200,V$1,FALSE),VLOOKUP($F115,Sheet3!$H$2:$O$200,V$1,FALSE))),$I$1),$I$1)</f>
        <v>0</v>
      </c>
      <c r="W115" s="15">
        <f>IFERROR(IF(ISBLANK(P115),IFERROR(VLOOKUP($D115,Sheet3!$H$2:$O$200,W$1,FALSE),IFERROR(VLOOKUP($E115,Sheet3!$H$2:$O$200,W$1,FALSE),VLOOKUP($F115,Sheet3!$H$2:$O$200,W$1,FALSE))),$I$1),$I$1)</f>
        <v>0</v>
      </c>
      <c r="X115" s="15">
        <f>IFERROR(IF(ISBLANK(Q115),IFERROR(VLOOKUP($E115,Sheet3!$H$2:$O$200,X$1,FALSE),IFERROR(VLOOKUP($F115,Sheet3!$H$2:$O$200,X$1,FALSE),VLOOKUP($G115,Sheet3!$H$2:$O$200,X$1,FALSE))),$I$1),$I$1)</f>
        <v>0</v>
      </c>
      <c r="Y115" s="15">
        <f>IFERROR(IF(ISBLANK(R115),IFERROR(VLOOKUP($E115,Sheet3!$H$2:$O$200,Y$1,FALSE),IFERROR(VLOOKUP($F115,Sheet3!$H$2:$O$200,Y$1,FALSE),VLOOKUP($G115,Sheet3!$H$2:$O$200,Y$1,FALSE))),$I$1),$I$1)</f>
        <v>0</v>
      </c>
      <c r="Z115" s="15">
        <f>IFERROR(IF(ISBLANK(S115),IFERROR(VLOOKUP($E115,Sheet3!$H$2:$O$200,Z$1,FALSE),IFERROR(VLOOKUP($F115,Sheet3!$H$2:$O$200,Z$1,FALSE),VLOOKUP($G115,Sheet3!$H$2:$O$200,Z$1,FALSE))),$I$1),$I$1)</f>
        <v>0</v>
      </c>
      <c r="AA115" s="15">
        <f>IFERROR(IF(ISBLANK(T115),IFERROR(VLOOKUP($E115,Sheet3!$H$2:$O$200,AA$1,FALSE),IFERROR(VLOOKUP($F115,Sheet3!$H$2:$O$200,AA$1,FALSE),VLOOKUP($G115,Sheet3!$H$2:$O$200,AA$1,FALSE))),$I$1),$I$1)</f>
        <v>0</v>
      </c>
      <c r="AB115" s="15">
        <f>IFERROR(IF(ISBLANK(U115),IFERROR(VLOOKUP($E115,Sheet3!$H$2:$O$200,AB$1,FALSE),IFERROR(VLOOKUP($F115,Sheet3!$H$2:$O$200,AB$1,FALSE),VLOOKUP($G115,Sheet3!$H$2:$O$200,AB$1,FALSE))),$I$1),$I$1)</f>
        <v>0</v>
      </c>
      <c r="AC115" s="15">
        <f>IFERROR(IF(ISBLANK(V115),IFERROR(VLOOKUP($E115,Sheet3!$H$2:$O$200,AC$1,FALSE),IFERROR(VLOOKUP($F115,Sheet3!$H$2:$O$200,AC$1,FALSE),VLOOKUP($G115,Sheet3!$H$2:$O$200,AC$1,FALSE))),$I$1),$I$1)</f>
        <v>0</v>
      </c>
      <c r="AD115" s="15">
        <f>IFERROR(IF(ISBLANK(W115),IFERROR(VLOOKUP($E115,Sheet3!$H$2:$O$200,AD$1,FALSE),IFERROR(VLOOKUP($F115,Sheet3!$H$2:$O$200,AD$1,FALSE),VLOOKUP($G115,Sheet3!$H$2:$O$200,AD$1,FALSE))),$I$1),$I$1)</f>
        <v>0</v>
      </c>
      <c r="AE115" s="15">
        <f>IFERROR(IF(ISBLANK(X115),IFERROR(VLOOKUP($F115,Sheet3!$H$2:$O$200,AE$1,FALSE),VLOOKUP($G115,Sheet3!$H$2:$O$200,AE$1,FALSE)),$I$1),$I$1)</f>
        <v>0</v>
      </c>
      <c r="AF115" s="15">
        <f>IFERROR(IF(ISBLANK(Y115),IFERROR(VLOOKUP($F115,Sheet3!$H$2:$O$200,AF$1,FALSE),VLOOKUP($G115,Sheet3!$H$2:$O$200,AF$1,FALSE)),$I$1),$I$1)</f>
        <v>0</v>
      </c>
      <c r="AG115" s="15">
        <f>IFERROR(IF(ISBLANK(Z115),IFERROR(VLOOKUP($F115,Sheet3!$H$2:$O$200,AG$1,FALSE),VLOOKUP($G115,Sheet3!$H$2:$O$200,AG$1,FALSE)),$I$1),$I$1)</f>
        <v>0</v>
      </c>
      <c r="AH115" s="15">
        <f>IFERROR(IF(ISBLANK(AA115),IFERROR(VLOOKUP($F115,Sheet3!$H$2:$O$200,AH$1,FALSE),VLOOKUP($G115,Sheet3!$H$2:$O$200,AH$1,FALSE)),$I$1),$I$1)</f>
        <v>0</v>
      </c>
      <c r="AI115" s="15">
        <f>IFERROR(IF(ISBLANK(AB115),IFERROR(VLOOKUP($F115,Sheet3!$H$2:$O$200,AI$1,FALSE),VLOOKUP($G115,Sheet3!$H$2:$O$200,AI$1,FALSE)),$I$1),$I$1)</f>
        <v>0</v>
      </c>
      <c r="AJ115" s="15">
        <f>IFERROR(IF(ISBLANK(AC115),IFERROR(VLOOKUP($F115,Sheet3!$H$2:$O$200,AJ$1,FALSE),VLOOKUP($G115,Sheet3!$H$2:$O$200,AJ$1,FALSE)),$I$1),$I$1)</f>
        <v>0</v>
      </c>
      <c r="AK115" s="15">
        <f>IFERROR(IF(ISBLANK(AD115),IFERROR(VLOOKUP($F115,Sheet3!$H$2:$O$200,AK$1,FALSE),VLOOKUP($G115,Sheet3!$H$2:$O$200,AK$1,FALSE)),$I$1),$I$1)</f>
        <v>0</v>
      </c>
      <c r="AL115" s="15">
        <f>IFERROR(IF(ISBLANK(AE115),VLOOKUP($G115,Sheet3!$H$2:$O$200,AL$1,FALSE),$I$1),$I$1)</f>
        <v>0</v>
      </c>
      <c r="AM115" s="15">
        <f>IFERROR(IF(ISBLANK(AF115),VLOOKUP($G115,Sheet3!$H$2:$O$200,AM$1,FALSE),$I$1),$I$1)</f>
        <v>0</v>
      </c>
      <c r="AN115" s="15">
        <f>IFERROR(IF(ISBLANK(AG115),VLOOKUP($G115,Sheet3!$H$2:$O$200,AN$1,FALSE),$I$1),$I$1)</f>
        <v>0</v>
      </c>
      <c r="AO115" s="15">
        <f>IFERROR(IF(ISBLANK(AH115),VLOOKUP($G115,Sheet3!$H$2:$O$200,AO$1,FALSE),$I$1),$I$1)</f>
        <v>0</v>
      </c>
      <c r="AP115" s="15">
        <f>IFERROR(IF(ISBLANK(AI115),VLOOKUP($G115,Sheet3!$H$2:$O$200,AP$1,FALSE),$I$1),$I$1)</f>
        <v>0</v>
      </c>
      <c r="AQ115" s="15">
        <f>IFERROR(IF(ISBLANK(AJ115),VLOOKUP($G115,Sheet3!$H$2:$O$200,AQ$1,FALSE),$I$1),$I$1)</f>
        <v>0</v>
      </c>
      <c r="AR115" s="15">
        <f>IFERROR(IF(ISBLANK(AK115),VLOOKUP($G115,Sheet3!$H$2:$O$200,AR$1,FALSE),$I$1),$I$1)</f>
        <v>0</v>
      </c>
      <c r="AS115" s="15">
        <f t="shared" si="1"/>
        <v>28</v>
      </c>
      <c r="AT115" s="15" t="b">
        <f t="shared" si="2"/>
        <v>0</v>
      </c>
    </row>
    <row r="116" spans="1:46" x14ac:dyDescent="0.2">
      <c r="A116" s="19" t="s">
        <v>257</v>
      </c>
      <c r="B116" s="19" t="s">
        <v>258</v>
      </c>
      <c r="C116" s="19"/>
      <c r="D116" s="19" t="s">
        <v>38</v>
      </c>
      <c r="E116" s="19" t="s">
        <v>86</v>
      </c>
      <c r="F116" s="19" t="s">
        <v>163</v>
      </c>
      <c r="G116" s="18" t="s">
        <v>66</v>
      </c>
      <c r="H116" s="19" t="s">
        <v>257</v>
      </c>
      <c r="I116" s="15">
        <f t="shared" si="0"/>
        <v>4</v>
      </c>
      <c r="J116" s="15">
        <f>IFERROR(VLOOKUP($C116,Sheet3!$H$2:$O$200,J$1,FALSE),IFERROR(VLOOKUP($D116,Sheet3!$H$2:$O$200,J$1,FALSE),VLOOKUP($E116,Sheet3!$H$2:$O$200,J$1,FALSE)))</f>
        <v>0</v>
      </c>
      <c r="K116" s="15">
        <f>IFERROR(VLOOKUP($C116,Sheet3!$H$2:$O$200,K$1,FALSE),IFERROR(VLOOKUP($D116,Sheet3!$H$2:$O$200,K$1,FALSE),VLOOKUP($E116,Sheet3!$H$2:$O$200,K$1,FALSE)))</f>
        <v>0</v>
      </c>
      <c r="L116" s="15" t="str">
        <f>IFERROR(VLOOKUP($C116,Sheet3!$H$2:$O$200,L$1,FALSE),IFERROR(VLOOKUP($D116,Sheet3!$H$2:$O$200,L$1,FALSE),VLOOKUP($E116,Sheet3!$H$2:$O$200,L$1,FALSE)))</f>
        <v>lemon juice</v>
      </c>
      <c r="M116" s="15">
        <f>IFERROR(VLOOKUP($C116,Sheet3!$H$2:$O$200,M$1,FALSE),IFERROR(VLOOKUP($D116,Sheet3!$H$2:$O$200,M$1,FALSE),VLOOKUP($E116,Sheet3!$H$2:$O$200,M$1,FALSE)))</f>
        <v>0</v>
      </c>
      <c r="N116" s="15">
        <f>IFERROR(VLOOKUP($C116,Sheet3!$H$2:$O$200,N$1,FALSE),IFERROR(VLOOKUP($D116,Sheet3!$H$2:$O$200,N$1,FALSE),VLOOKUP($E116,Sheet3!$H$2:$O$200,N$1,FALSE)))</f>
        <v>0</v>
      </c>
      <c r="O116" s="15">
        <f>IFERROR(VLOOKUP($C116,Sheet3!$H$2:$O$200,O$1,FALSE),IFERROR(VLOOKUP($D116,Sheet3!$H$2:$O$200,O$1,FALSE),VLOOKUP($E116,Sheet3!$H$2:$O$200,O$1,FALSE)))</f>
        <v>0</v>
      </c>
      <c r="P116" s="15">
        <f>IFERROR(VLOOKUP($C116,Sheet3!$H$2:$O$200,P$1,FALSE),IFERROR(VLOOKUP($D116,Sheet3!$H$2:$O$200,P$1,FALSE),VLOOKUP($E116,Sheet3!$H$2:$O$200,P$1,FALSE)))</f>
        <v>0</v>
      </c>
      <c r="Q116" s="15">
        <f>IFERROR(IF(ISBLANK(J116),IFERROR(VLOOKUP($D116,Sheet3!$H$2:$O$200,Q$1,FALSE),IFERROR(VLOOKUP($E116,Sheet3!$H$2:$O$200,Q$1,FALSE),VLOOKUP($F116,Sheet3!$H$2:$O$200,Q$1,FALSE))),$I$1),$I$1)</f>
        <v>0</v>
      </c>
      <c r="R116" s="15">
        <f>IFERROR(IF(ISBLANK(K116),IFERROR(VLOOKUP($D116,Sheet3!$H$2:$O$200,R$1,FALSE),IFERROR(VLOOKUP($E116,Sheet3!$H$2:$O$200,R$1,FALSE),VLOOKUP($F116,Sheet3!$H$2:$O$200,R$1,FALSE))),$I$1),$I$1)</f>
        <v>0</v>
      </c>
      <c r="S116" s="15">
        <f>IFERROR(IF(ISBLANK(L116),IFERROR(VLOOKUP($D116,Sheet3!$H$2:$O$200,S$1,FALSE),IFERROR(VLOOKUP($E116,Sheet3!$H$2:$O$200,S$1,FALSE),VLOOKUP($F116,Sheet3!$H$2:$O$200,S$1,FALSE))),$I$1),$I$1)</f>
        <v>0</v>
      </c>
      <c r="T116" s="15">
        <f>IFERROR(IF(ISBLANK(M116),IFERROR(VLOOKUP($D116,Sheet3!$H$2:$O$200,T$1,FALSE),IFERROR(VLOOKUP($E116,Sheet3!$H$2:$O$200,T$1,FALSE),VLOOKUP($F116,Sheet3!$H$2:$O$200,T$1,FALSE))),$I$1),$I$1)</f>
        <v>0</v>
      </c>
      <c r="U116" s="15">
        <f>IFERROR(IF(ISBLANK(N116),IFERROR(VLOOKUP($D116,Sheet3!$H$2:$O$200,U$1,FALSE),IFERROR(VLOOKUP($E116,Sheet3!$H$2:$O$200,U$1,FALSE),VLOOKUP($F116,Sheet3!$H$2:$O$200,U$1,FALSE))),$I$1),$I$1)</f>
        <v>0</v>
      </c>
      <c r="V116" s="15">
        <f>IFERROR(IF(ISBLANK(O116),IFERROR(VLOOKUP($D116,Sheet3!$H$2:$O$200,V$1,FALSE),IFERROR(VLOOKUP($E116,Sheet3!$H$2:$O$200,V$1,FALSE),VLOOKUP($F116,Sheet3!$H$2:$O$200,V$1,FALSE))),$I$1),$I$1)</f>
        <v>0</v>
      </c>
      <c r="W116" s="15">
        <f>IFERROR(IF(ISBLANK(P116),IFERROR(VLOOKUP($D116,Sheet3!$H$2:$O$200,W$1,FALSE),IFERROR(VLOOKUP($E116,Sheet3!$H$2:$O$200,W$1,FALSE),VLOOKUP($F116,Sheet3!$H$2:$O$200,W$1,FALSE))),$I$1),$I$1)</f>
        <v>0</v>
      </c>
      <c r="X116" s="15">
        <f>IFERROR(IF(ISBLANK(Q116),IFERROR(VLOOKUP($E116,Sheet3!$H$2:$O$200,X$1,FALSE),IFERROR(VLOOKUP($F116,Sheet3!$H$2:$O$200,X$1,FALSE),VLOOKUP($G116,Sheet3!$H$2:$O$200,X$1,FALSE))),$I$1),$I$1)</f>
        <v>0</v>
      </c>
      <c r="Y116" s="15">
        <f>IFERROR(IF(ISBLANK(R116),IFERROR(VLOOKUP($E116,Sheet3!$H$2:$O$200,Y$1,FALSE),IFERROR(VLOOKUP($F116,Sheet3!$H$2:$O$200,Y$1,FALSE),VLOOKUP($G116,Sheet3!$H$2:$O$200,Y$1,FALSE))),$I$1),$I$1)</f>
        <v>0</v>
      </c>
      <c r="Z116" s="15">
        <f>IFERROR(IF(ISBLANK(S116),IFERROR(VLOOKUP($E116,Sheet3!$H$2:$O$200,Z$1,FALSE),IFERROR(VLOOKUP($F116,Sheet3!$H$2:$O$200,Z$1,FALSE),VLOOKUP($G116,Sheet3!$H$2:$O$200,Z$1,FALSE))),$I$1),$I$1)</f>
        <v>0</v>
      </c>
      <c r="AA116" s="15">
        <f>IFERROR(IF(ISBLANK(T116),IFERROR(VLOOKUP($E116,Sheet3!$H$2:$O$200,AA$1,FALSE),IFERROR(VLOOKUP($F116,Sheet3!$H$2:$O$200,AA$1,FALSE),VLOOKUP($G116,Sheet3!$H$2:$O$200,AA$1,FALSE))),$I$1),$I$1)</f>
        <v>0</v>
      </c>
      <c r="AB116" s="15">
        <f>IFERROR(IF(ISBLANK(U116),IFERROR(VLOOKUP($E116,Sheet3!$H$2:$O$200,AB$1,FALSE),IFERROR(VLOOKUP($F116,Sheet3!$H$2:$O$200,AB$1,FALSE),VLOOKUP($G116,Sheet3!$H$2:$O$200,AB$1,FALSE))),$I$1),$I$1)</f>
        <v>0</v>
      </c>
      <c r="AC116" s="15">
        <f>IFERROR(IF(ISBLANK(V116),IFERROR(VLOOKUP($E116,Sheet3!$H$2:$O$200,AC$1,FALSE),IFERROR(VLOOKUP($F116,Sheet3!$H$2:$O$200,AC$1,FALSE),VLOOKUP($G116,Sheet3!$H$2:$O$200,AC$1,FALSE))),$I$1),$I$1)</f>
        <v>0</v>
      </c>
      <c r="AD116" s="15">
        <f>IFERROR(IF(ISBLANK(W116),IFERROR(VLOOKUP($E116,Sheet3!$H$2:$O$200,AD$1,FALSE),IFERROR(VLOOKUP($F116,Sheet3!$H$2:$O$200,AD$1,FALSE),VLOOKUP($G116,Sheet3!$H$2:$O$200,AD$1,FALSE))),$I$1),$I$1)</f>
        <v>0</v>
      </c>
      <c r="AE116" s="15">
        <f>IFERROR(IF(ISBLANK(X116),IFERROR(VLOOKUP($F116,Sheet3!$H$2:$O$200,AE$1,FALSE),VLOOKUP($G116,Sheet3!$H$2:$O$200,AE$1,FALSE)),$I$1),$I$1)</f>
        <v>0</v>
      </c>
      <c r="AF116" s="15">
        <f>IFERROR(IF(ISBLANK(Y116),IFERROR(VLOOKUP($F116,Sheet3!$H$2:$O$200,AF$1,FALSE),VLOOKUP($G116,Sheet3!$H$2:$O$200,AF$1,FALSE)),$I$1),$I$1)</f>
        <v>0</v>
      </c>
      <c r="AG116" s="15">
        <f>IFERROR(IF(ISBLANK(Z116),IFERROR(VLOOKUP($F116,Sheet3!$H$2:$O$200,AG$1,FALSE),VLOOKUP($G116,Sheet3!$H$2:$O$200,AG$1,FALSE)),$I$1),$I$1)</f>
        <v>0</v>
      </c>
      <c r="AH116" s="15">
        <f>IFERROR(IF(ISBLANK(AA116),IFERROR(VLOOKUP($F116,Sheet3!$H$2:$O$200,AH$1,FALSE),VLOOKUP($G116,Sheet3!$H$2:$O$200,AH$1,FALSE)),$I$1),$I$1)</f>
        <v>0</v>
      </c>
      <c r="AI116" s="15">
        <f>IFERROR(IF(ISBLANK(AB116),IFERROR(VLOOKUP($F116,Sheet3!$H$2:$O$200,AI$1,FALSE),VLOOKUP($G116,Sheet3!$H$2:$O$200,AI$1,FALSE)),$I$1),$I$1)</f>
        <v>0</v>
      </c>
      <c r="AJ116" s="15">
        <f>IFERROR(IF(ISBLANK(AC116),IFERROR(VLOOKUP($F116,Sheet3!$H$2:$O$200,AJ$1,FALSE),VLOOKUP($G116,Sheet3!$H$2:$O$200,AJ$1,FALSE)),$I$1),$I$1)</f>
        <v>0</v>
      </c>
      <c r="AK116" s="15">
        <f>IFERROR(IF(ISBLANK(AD116),IFERROR(VLOOKUP($F116,Sheet3!$H$2:$O$200,AK$1,FALSE),VLOOKUP($G116,Sheet3!$H$2:$O$200,AK$1,FALSE)),$I$1),$I$1)</f>
        <v>0</v>
      </c>
      <c r="AL116" s="15">
        <f>IFERROR(IF(ISBLANK(AE116),VLOOKUP($G116,Sheet3!$H$2:$O$200,AL$1,FALSE),$I$1),$I$1)</f>
        <v>0</v>
      </c>
      <c r="AM116" s="15">
        <f>IFERROR(IF(ISBLANK(AF116),VLOOKUP($G116,Sheet3!$H$2:$O$200,AM$1,FALSE),$I$1),$I$1)</f>
        <v>0</v>
      </c>
      <c r="AN116" s="15">
        <f>IFERROR(IF(ISBLANK(AG116),VLOOKUP($G116,Sheet3!$H$2:$O$200,AN$1,FALSE),$I$1),$I$1)</f>
        <v>0</v>
      </c>
      <c r="AO116" s="15">
        <f>IFERROR(IF(ISBLANK(AH116),VLOOKUP($G116,Sheet3!$H$2:$O$200,AO$1,FALSE),$I$1),$I$1)</f>
        <v>0</v>
      </c>
      <c r="AP116" s="15">
        <f>IFERROR(IF(ISBLANK(AI116),VLOOKUP($G116,Sheet3!$H$2:$O$200,AP$1,FALSE),$I$1),$I$1)</f>
        <v>0</v>
      </c>
      <c r="AQ116" s="15">
        <f>IFERROR(IF(ISBLANK(AJ116),VLOOKUP($G116,Sheet3!$H$2:$O$200,AQ$1,FALSE),$I$1),$I$1)</f>
        <v>0</v>
      </c>
      <c r="AR116" s="15">
        <f>IFERROR(IF(ISBLANK(AK116),VLOOKUP($G116,Sheet3!$H$2:$O$200,AR$1,FALSE),$I$1),$I$1)</f>
        <v>0</v>
      </c>
      <c r="AS116" s="15">
        <f t="shared" si="1"/>
        <v>28</v>
      </c>
      <c r="AT116" s="15" t="b">
        <f t="shared" si="2"/>
        <v>0</v>
      </c>
    </row>
    <row r="117" spans="1:46" x14ac:dyDescent="0.2">
      <c r="A117" s="19" t="s">
        <v>259</v>
      </c>
      <c r="B117" s="19" t="s">
        <v>258</v>
      </c>
      <c r="C117" s="19" t="s">
        <v>100</v>
      </c>
      <c r="D117" s="19" t="s">
        <v>90</v>
      </c>
      <c r="E117" s="19"/>
      <c r="F117" s="19"/>
      <c r="G117" s="19"/>
      <c r="H117" s="19" t="s">
        <v>259</v>
      </c>
      <c r="I117" s="15">
        <f t="shared" si="0"/>
        <v>2</v>
      </c>
      <c r="J117" s="15">
        <f>IFERROR(VLOOKUP($C117,Sheet3!$H$2:$O$200,J$1,FALSE),IFERROR(VLOOKUP($D117,Sheet3!$H$2:$O$200,J$1,FALSE),VLOOKUP($E117,Sheet3!$H$2:$O$200,J$1,FALSE)))</f>
        <v>0</v>
      </c>
      <c r="K117" s="15">
        <f>IFERROR(VLOOKUP($C117,Sheet3!$H$2:$O$200,K$1,FALSE),IFERROR(VLOOKUP($D117,Sheet3!$H$2:$O$200,K$1,FALSE),VLOOKUP($E117,Sheet3!$H$2:$O$200,K$1,FALSE)))</f>
        <v>0</v>
      </c>
      <c r="L117" s="15">
        <f>IFERROR(VLOOKUP($C117,Sheet3!$H$2:$O$200,L$1,FALSE),IFERROR(VLOOKUP($D117,Sheet3!$H$2:$O$200,L$1,FALSE),VLOOKUP($E117,Sheet3!$H$2:$O$200,L$1,FALSE)))</f>
        <v>0</v>
      </c>
      <c r="M117" s="15" t="str">
        <f>IFERROR(VLOOKUP($C117,Sheet3!$H$2:$O$200,M$1,FALSE),IFERROR(VLOOKUP($D117,Sheet3!$H$2:$O$200,M$1,FALSE),VLOOKUP($E117,Sheet3!$H$2:$O$200,M$1,FALSE)))</f>
        <v>triple sec</v>
      </c>
      <c r="N117" s="15">
        <f>IFERROR(VLOOKUP($C117,Sheet3!$H$2:$O$200,N$1,FALSE),IFERROR(VLOOKUP($D117,Sheet3!$H$2:$O$200,N$1,FALSE),VLOOKUP($E117,Sheet3!$H$2:$O$200,N$1,FALSE)))</f>
        <v>0</v>
      </c>
      <c r="O117" s="15">
        <f>IFERROR(VLOOKUP($C117,Sheet3!$H$2:$O$200,O$1,FALSE),IFERROR(VLOOKUP($D117,Sheet3!$H$2:$O$200,O$1,FALSE),VLOOKUP($E117,Sheet3!$H$2:$O$200,O$1,FALSE)))</f>
        <v>0</v>
      </c>
      <c r="P117" s="15">
        <f>IFERROR(VLOOKUP($C117,Sheet3!$H$2:$O$200,P$1,FALSE),IFERROR(VLOOKUP($D117,Sheet3!$H$2:$O$200,P$1,FALSE),VLOOKUP($E117,Sheet3!$H$2:$O$200,P$1,FALSE)))</f>
        <v>0</v>
      </c>
      <c r="Q117" s="15">
        <f>IFERROR(IF(ISBLANK(J117),IFERROR(VLOOKUP($D117,Sheet3!$H$2:$O$200,Q$1,FALSE),IFERROR(VLOOKUP($E117,Sheet3!$H$2:$O$200,Q$1,FALSE),VLOOKUP($F117,Sheet3!$H$2:$O$200,Q$1,FALSE))),$I$1),$I$1)</f>
        <v>0</v>
      </c>
      <c r="R117" s="15">
        <f>IFERROR(IF(ISBLANK(K117),IFERROR(VLOOKUP($D117,Sheet3!$H$2:$O$200,R$1,FALSE),IFERROR(VLOOKUP($E117,Sheet3!$H$2:$O$200,R$1,FALSE),VLOOKUP($F117,Sheet3!$H$2:$O$200,R$1,FALSE))),$I$1),$I$1)</f>
        <v>0</v>
      </c>
      <c r="S117" s="15">
        <f>IFERROR(IF(ISBLANK(L117),IFERROR(VLOOKUP($D117,Sheet3!$H$2:$O$200,S$1,FALSE),IFERROR(VLOOKUP($E117,Sheet3!$H$2:$O$200,S$1,FALSE),VLOOKUP($F117,Sheet3!$H$2:$O$200,S$1,FALSE))),$I$1),$I$1)</f>
        <v>0</v>
      </c>
      <c r="T117" s="15">
        <f>IFERROR(IF(ISBLANK(M117),IFERROR(VLOOKUP($D117,Sheet3!$H$2:$O$200,T$1,FALSE),IFERROR(VLOOKUP($E117,Sheet3!$H$2:$O$200,T$1,FALSE),VLOOKUP($F117,Sheet3!$H$2:$O$200,T$1,FALSE))),$I$1),$I$1)</f>
        <v>0</v>
      </c>
      <c r="U117" s="15">
        <f>IFERROR(IF(ISBLANK(N117),IFERROR(VLOOKUP($D117,Sheet3!$H$2:$O$200,U$1,FALSE),IFERROR(VLOOKUP($E117,Sheet3!$H$2:$O$200,U$1,FALSE),VLOOKUP($F117,Sheet3!$H$2:$O$200,U$1,FALSE))),$I$1),$I$1)</f>
        <v>0</v>
      </c>
      <c r="V117" s="15">
        <f>IFERROR(IF(ISBLANK(O117),IFERROR(VLOOKUP($D117,Sheet3!$H$2:$O$200,V$1,FALSE),IFERROR(VLOOKUP($E117,Sheet3!$H$2:$O$200,V$1,FALSE),VLOOKUP($F117,Sheet3!$H$2:$O$200,V$1,FALSE))),$I$1),$I$1)</f>
        <v>0</v>
      </c>
      <c r="W117" s="15">
        <f>IFERROR(IF(ISBLANK(P117),IFERROR(VLOOKUP($D117,Sheet3!$H$2:$O$200,W$1,FALSE),IFERROR(VLOOKUP($E117,Sheet3!$H$2:$O$200,W$1,FALSE),VLOOKUP($F117,Sheet3!$H$2:$O$200,W$1,FALSE))),$I$1),$I$1)</f>
        <v>0</v>
      </c>
      <c r="X117" s="15">
        <f>IFERROR(IF(ISBLANK(Q117),IFERROR(VLOOKUP($E117,Sheet3!$H$2:$O$200,X$1,FALSE),IFERROR(VLOOKUP($F117,Sheet3!$H$2:$O$200,X$1,FALSE),VLOOKUP($G117,Sheet3!$H$2:$O$200,X$1,FALSE))),$I$1),$I$1)</f>
        <v>0</v>
      </c>
      <c r="Y117" s="15">
        <f>IFERROR(IF(ISBLANK(R117),IFERROR(VLOOKUP($E117,Sheet3!$H$2:$O$200,Y$1,FALSE),IFERROR(VLOOKUP($F117,Sheet3!$H$2:$O$200,Y$1,FALSE),VLOOKUP($G117,Sheet3!$H$2:$O$200,Y$1,FALSE))),$I$1),$I$1)</f>
        <v>0</v>
      </c>
      <c r="Z117" s="15">
        <f>IFERROR(IF(ISBLANK(S117),IFERROR(VLOOKUP($E117,Sheet3!$H$2:$O$200,Z$1,FALSE),IFERROR(VLOOKUP($F117,Sheet3!$H$2:$O$200,Z$1,FALSE),VLOOKUP($G117,Sheet3!$H$2:$O$200,Z$1,FALSE))),$I$1),$I$1)</f>
        <v>0</v>
      </c>
      <c r="AA117" s="15">
        <f>IFERROR(IF(ISBLANK(T117),IFERROR(VLOOKUP($E117,Sheet3!$H$2:$O$200,AA$1,FALSE),IFERROR(VLOOKUP($F117,Sheet3!$H$2:$O$200,AA$1,FALSE),VLOOKUP($G117,Sheet3!$H$2:$O$200,AA$1,FALSE))),$I$1),$I$1)</f>
        <v>0</v>
      </c>
      <c r="AB117" s="15">
        <f>IFERROR(IF(ISBLANK(U117),IFERROR(VLOOKUP($E117,Sheet3!$H$2:$O$200,AB$1,FALSE),IFERROR(VLOOKUP($F117,Sheet3!$H$2:$O$200,AB$1,FALSE),VLOOKUP($G117,Sheet3!$H$2:$O$200,AB$1,FALSE))),$I$1),$I$1)</f>
        <v>0</v>
      </c>
      <c r="AC117" s="15">
        <f>IFERROR(IF(ISBLANK(V117),IFERROR(VLOOKUP($E117,Sheet3!$H$2:$O$200,AC$1,FALSE),IFERROR(VLOOKUP($F117,Sheet3!$H$2:$O$200,AC$1,FALSE),VLOOKUP($G117,Sheet3!$H$2:$O$200,AC$1,FALSE))),$I$1),$I$1)</f>
        <v>0</v>
      </c>
      <c r="AD117" s="15">
        <f>IFERROR(IF(ISBLANK(W117),IFERROR(VLOOKUP($E117,Sheet3!$H$2:$O$200,AD$1,FALSE),IFERROR(VLOOKUP($F117,Sheet3!$H$2:$O$200,AD$1,FALSE),VLOOKUP($G117,Sheet3!$H$2:$O$200,AD$1,FALSE))),$I$1),$I$1)</f>
        <v>0</v>
      </c>
      <c r="AE117" s="15">
        <f>IFERROR(IF(ISBLANK(X117),IFERROR(VLOOKUP($F117,Sheet3!$H$2:$O$200,AE$1,FALSE),VLOOKUP($G117,Sheet3!$H$2:$O$200,AE$1,FALSE)),$I$1),$I$1)</f>
        <v>0</v>
      </c>
      <c r="AF117" s="15">
        <f>IFERROR(IF(ISBLANK(Y117),IFERROR(VLOOKUP($F117,Sheet3!$H$2:$O$200,AF$1,FALSE),VLOOKUP($G117,Sheet3!$H$2:$O$200,AF$1,FALSE)),$I$1),$I$1)</f>
        <v>0</v>
      </c>
      <c r="AG117" s="15">
        <f>IFERROR(IF(ISBLANK(Z117),IFERROR(VLOOKUP($F117,Sheet3!$H$2:$O$200,AG$1,FALSE),VLOOKUP($G117,Sheet3!$H$2:$O$200,AG$1,FALSE)),$I$1),$I$1)</f>
        <v>0</v>
      </c>
      <c r="AH117" s="15">
        <f>IFERROR(IF(ISBLANK(AA117),IFERROR(VLOOKUP($F117,Sheet3!$H$2:$O$200,AH$1,FALSE),VLOOKUP($G117,Sheet3!$H$2:$O$200,AH$1,FALSE)),$I$1),$I$1)</f>
        <v>0</v>
      </c>
      <c r="AI117" s="15">
        <f>IFERROR(IF(ISBLANK(AB117),IFERROR(VLOOKUP($F117,Sheet3!$H$2:$O$200,AI$1,FALSE),VLOOKUP($G117,Sheet3!$H$2:$O$200,AI$1,FALSE)),$I$1),$I$1)</f>
        <v>0</v>
      </c>
      <c r="AJ117" s="15">
        <f>IFERROR(IF(ISBLANK(AC117),IFERROR(VLOOKUP($F117,Sheet3!$H$2:$O$200,AJ$1,FALSE),VLOOKUP($G117,Sheet3!$H$2:$O$200,AJ$1,FALSE)),$I$1),$I$1)</f>
        <v>0</v>
      </c>
      <c r="AK117" s="15">
        <f>IFERROR(IF(ISBLANK(AD117),IFERROR(VLOOKUP($F117,Sheet3!$H$2:$O$200,AK$1,FALSE),VLOOKUP($G117,Sheet3!$H$2:$O$200,AK$1,FALSE)),$I$1),$I$1)</f>
        <v>0</v>
      </c>
      <c r="AL117" s="15">
        <f>IFERROR(IF(ISBLANK(AE117),VLOOKUP($G117,Sheet3!$H$2:$O$200,AL$1,FALSE),$I$1),$I$1)</f>
        <v>0</v>
      </c>
      <c r="AM117" s="15">
        <f>IFERROR(IF(ISBLANK(AF117),VLOOKUP($G117,Sheet3!$H$2:$O$200,AM$1,FALSE),$I$1),$I$1)</f>
        <v>0</v>
      </c>
      <c r="AN117" s="15">
        <f>IFERROR(IF(ISBLANK(AG117),VLOOKUP($G117,Sheet3!$H$2:$O$200,AN$1,FALSE),$I$1),$I$1)</f>
        <v>0</v>
      </c>
      <c r="AO117" s="15">
        <f>IFERROR(IF(ISBLANK(AH117),VLOOKUP($G117,Sheet3!$H$2:$O$200,AO$1,FALSE),$I$1),$I$1)</f>
        <v>0</v>
      </c>
      <c r="AP117" s="15">
        <f>IFERROR(IF(ISBLANK(AI117),VLOOKUP($G117,Sheet3!$H$2:$O$200,AP$1,FALSE),$I$1),$I$1)</f>
        <v>0</v>
      </c>
      <c r="AQ117" s="15">
        <f>IFERROR(IF(ISBLANK(AJ117),VLOOKUP($G117,Sheet3!$H$2:$O$200,AQ$1,FALSE),$I$1),$I$1)</f>
        <v>0</v>
      </c>
      <c r="AR117" s="15">
        <f>IFERROR(IF(ISBLANK(AK117),VLOOKUP($G117,Sheet3!$H$2:$O$200,AR$1,FALSE),$I$1),$I$1)</f>
        <v>0</v>
      </c>
      <c r="AS117" s="15">
        <f t="shared" si="1"/>
        <v>28</v>
      </c>
      <c r="AT117" s="15" t="b">
        <f t="shared" si="2"/>
        <v>0</v>
      </c>
    </row>
    <row r="118" spans="1:46" x14ac:dyDescent="0.2">
      <c r="A118" s="19" t="s">
        <v>260</v>
      </c>
      <c r="B118" s="19" t="s">
        <v>261</v>
      </c>
      <c r="C118" s="19" t="s">
        <v>139</v>
      </c>
      <c r="D118" s="19"/>
      <c r="E118" s="19"/>
      <c r="F118" s="19"/>
      <c r="G118" s="19"/>
      <c r="H118" s="19" t="s">
        <v>260</v>
      </c>
      <c r="I118" s="15">
        <f t="shared" si="0"/>
        <v>1</v>
      </c>
      <c r="J118" s="15">
        <f>IFERROR(VLOOKUP($C118,Sheet3!$H$2:$O$200,J$1,FALSE),IFERROR(VLOOKUP($D118,Sheet3!$H$2:$O$200,J$1,FALSE),VLOOKUP($E118,Sheet3!$H$2:$O$200,J$1,FALSE)))</f>
        <v>0</v>
      </c>
      <c r="K118" s="15">
        <f>IFERROR(VLOOKUP($C118,Sheet3!$H$2:$O$200,K$1,FALSE),IFERROR(VLOOKUP($D118,Sheet3!$H$2:$O$200,K$1,FALSE),VLOOKUP($E118,Sheet3!$H$2:$O$200,K$1,FALSE)))</f>
        <v>0</v>
      </c>
      <c r="L118" s="15">
        <f>IFERROR(VLOOKUP($C118,Sheet3!$H$2:$O$200,L$1,FALSE),IFERROR(VLOOKUP($D118,Sheet3!$H$2:$O$200,L$1,FALSE),VLOOKUP($E118,Sheet3!$H$2:$O$200,L$1,FALSE)))</f>
        <v>0</v>
      </c>
      <c r="M118" s="15" t="str">
        <f>IFERROR(VLOOKUP($C118,Sheet3!$H$2:$O$200,M$1,FALSE),IFERROR(VLOOKUP($D118,Sheet3!$H$2:$O$200,M$1,FALSE),VLOOKUP($E118,Sheet3!$H$2:$O$200,M$1,FALSE)))</f>
        <v>Grand Marnier</v>
      </c>
      <c r="N118" s="15">
        <f>IFERROR(VLOOKUP($C118,Sheet3!$H$2:$O$200,N$1,FALSE),IFERROR(VLOOKUP($D118,Sheet3!$H$2:$O$200,N$1,FALSE),VLOOKUP($E118,Sheet3!$H$2:$O$200,N$1,FALSE)))</f>
        <v>0</v>
      </c>
      <c r="O118" s="15">
        <f>IFERROR(VLOOKUP($C118,Sheet3!$H$2:$O$200,O$1,FALSE),IFERROR(VLOOKUP($D118,Sheet3!$H$2:$O$200,O$1,FALSE),VLOOKUP($E118,Sheet3!$H$2:$O$200,O$1,FALSE)))</f>
        <v>0</v>
      </c>
      <c r="P118" s="15">
        <f>IFERROR(VLOOKUP($C118,Sheet3!$H$2:$O$200,P$1,FALSE),IFERROR(VLOOKUP($D118,Sheet3!$H$2:$O$200,P$1,FALSE),VLOOKUP($E118,Sheet3!$H$2:$O$200,P$1,FALSE)))</f>
        <v>0</v>
      </c>
      <c r="Q118" s="15">
        <f>IFERROR(IF(ISBLANK(J118),IFERROR(VLOOKUP($D118,Sheet3!$H$2:$O$200,Q$1,FALSE),IFERROR(VLOOKUP($E118,Sheet3!$H$2:$O$200,Q$1,FALSE),VLOOKUP($F118,Sheet3!$H$2:$O$200,Q$1,FALSE))),$I$1),$I$1)</f>
        <v>0</v>
      </c>
      <c r="R118" s="15">
        <f>IFERROR(IF(ISBLANK(K118),IFERROR(VLOOKUP($D118,Sheet3!$H$2:$O$200,R$1,FALSE),IFERROR(VLOOKUP($E118,Sheet3!$H$2:$O$200,R$1,FALSE),VLOOKUP($F118,Sheet3!$H$2:$O$200,R$1,FALSE))),$I$1),$I$1)</f>
        <v>0</v>
      </c>
      <c r="S118" s="15">
        <f>IFERROR(IF(ISBLANK(L118),IFERROR(VLOOKUP($D118,Sheet3!$H$2:$O$200,S$1,FALSE),IFERROR(VLOOKUP($E118,Sheet3!$H$2:$O$200,S$1,FALSE),VLOOKUP($F118,Sheet3!$H$2:$O$200,S$1,FALSE))),$I$1),$I$1)</f>
        <v>0</v>
      </c>
      <c r="T118" s="15">
        <f>IFERROR(IF(ISBLANK(M118),IFERROR(VLOOKUP($D118,Sheet3!$H$2:$O$200,T$1,FALSE),IFERROR(VLOOKUP($E118,Sheet3!$H$2:$O$200,T$1,FALSE),VLOOKUP($F118,Sheet3!$H$2:$O$200,T$1,FALSE))),$I$1),$I$1)</f>
        <v>0</v>
      </c>
      <c r="U118" s="15">
        <f>IFERROR(IF(ISBLANK(N118),IFERROR(VLOOKUP($D118,Sheet3!$H$2:$O$200,U$1,FALSE),IFERROR(VLOOKUP($E118,Sheet3!$H$2:$O$200,U$1,FALSE),VLOOKUP($F118,Sheet3!$H$2:$O$200,U$1,FALSE))),$I$1),$I$1)</f>
        <v>0</v>
      </c>
      <c r="V118" s="15">
        <f>IFERROR(IF(ISBLANK(O118),IFERROR(VLOOKUP($D118,Sheet3!$H$2:$O$200,V$1,FALSE),IFERROR(VLOOKUP($E118,Sheet3!$H$2:$O$200,V$1,FALSE),VLOOKUP($F118,Sheet3!$H$2:$O$200,V$1,FALSE))),$I$1),$I$1)</f>
        <v>0</v>
      </c>
      <c r="W118" s="15">
        <f>IFERROR(IF(ISBLANK(P118),IFERROR(VLOOKUP($D118,Sheet3!$H$2:$O$200,W$1,FALSE),IFERROR(VLOOKUP($E118,Sheet3!$H$2:$O$200,W$1,FALSE),VLOOKUP($F118,Sheet3!$H$2:$O$200,W$1,FALSE))),$I$1),$I$1)</f>
        <v>0</v>
      </c>
      <c r="X118" s="15">
        <f>IFERROR(IF(ISBLANK(Q118),IFERROR(VLOOKUP($E118,Sheet3!$H$2:$O$200,X$1,FALSE),IFERROR(VLOOKUP($F118,Sheet3!$H$2:$O$200,X$1,FALSE),VLOOKUP($G118,Sheet3!$H$2:$O$200,X$1,FALSE))),$I$1),$I$1)</f>
        <v>0</v>
      </c>
      <c r="Y118" s="15">
        <f>IFERROR(IF(ISBLANK(R118),IFERROR(VLOOKUP($E118,Sheet3!$H$2:$O$200,Y$1,FALSE),IFERROR(VLOOKUP($F118,Sheet3!$H$2:$O$200,Y$1,FALSE),VLOOKUP($G118,Sheet3!$H$2:$O$200,Y$1,FALSE))),$I$1),$I$1)</f>
        <v>0</v>
      </c>
      <c r="Z118" s="15">
        <f>IFERROR(IF(ISBLANK(S118),IFERROR(VLOOKUP($E118,Sheet3!$H$2:$O$200,Z$1,FALSE),IFERROR(VLOOKUP($F118,Sheet3!$H$2:$O$200,Z$1,FALSE),VLOOKUP($G118,Sheet3!$H$2:$O$200,Z$1,FALSE))),$I$1),$I$1)</f>
        <v>0</v>
      </c>
      <c r="AA118" s="15">
        <f>IFERROR(IF(ISBLANK(T118),IFERROR(VLOOKUP($E118,Sheet3!$H$2:$O$200,AA$1,FALSE),IFERROR(VLOOKUP($F118,Sheet3!$H$2:$O$200,AA$1,FALSE),VLOOKUP($G118,Sheet3!$H$2:$O$200,AA$1,FALSE))),$I$1),$I$1)</f>
        <v>0</v>
      </c>
      <c r="AB118" s="15">
        <f>IFERROR(IF(ISBLANK(U118),IFERROR(VLOOKUP($E118,Sheet3!$H$2:$O$200,AB$1,FALSE),IFERROR(VLOOKUP($F118,Sheet3!$H$2:$O$200,AB$1,FALSE),VLOOKUP($G118,Sheet3!$H$2:$O$200,AB$1,FALSE))),$I$1),$I$1)</f>
        <v>0</v>
      </c>
      <c r="AC118" s="15">
        <f>IFERROR(IF(ISBLANK(V118),IFERROR(VLOOKUP($E118,Sheet3!$H$2:$O$200,AC$1,FALSE),IFERROR(VLOOKUP($F118,Sheet3!$H$2:$O$200,AC$1,FALSE),VLOOKUP($G118,Sheet3!$H$2:$O$200,AC$1,FALSE))),$I$1),$I$1)</f>
        <v>0</v>
      </c>
      <c r="AD118" s="15">
        <f>IFERROR(IF(ISBLANK(W118),IFERROR(VLOOKUP($E118,Sheet3!$H$2:$O$200,AD$1,FALSE),IFERROR(VLOOKUP($F118,Sheet3!$H$2:$O$200,AD$1,FALSE),VLOOKUP($G118,Sheet3!$H$2:$O$200,AD$1,FALSE))),$I$1),$I$1)</f>
        <v>0</v>
      </c>
      <c r="AE118" s="15">
        <f>IFERROR(IF(ISBLANK(X118),IFERROR(VLOOKUP($F118,Sheet3!$H$2:$O$200,AE$1,FALSE),VLOOKUP($G118,Sheet3!$H$2:$O$200,AE$1,FALSE)),$I$1),$I$1)</f>
        <v>0</v>
      </c>
      <c r="AF118" s="15">
        <f>IFERROR(IF(ISBLANK(Y118),IFERROR(VLOOKUP($F118,Sheet3!$H$2:$O$200,AF$1,FALSE),VLOOKUP($G118,Sheet3!$H$2:$O$200,AF$1,FALSE)),$I$1),$I$1)</f>
        <v>0</v>
      </c>
      <c r="AG118" s="15">
        <f>IFERROR(IF(ISBLANK(Z118),IFERROR(VLOOKUP($F118,Sheet3!$H$2:$O$200,AG$1,FALSE),VLOOKUP($G118,Sheet3!$H$2:$O$200,AG$1,FALSE)),$I$1),$I$1)</f>
        <v>0</v>
      </c>
      <c r="AH118" s="15">
        <f>IFERROR(IF(ISBLANK(AA118),IFERROR(VLOOKUP($F118,Sheet3!$H$2:$O$200,AH$1,FALSE),VLOOKUP($G118,Sheet3!$H$2:$O$200,AH$1,FALSE)),$I$1),$I$1)</f>
        <v>0</v>
      </c>
      <c r="AI118" s="15">
        <f>IFERROR(IF(ISBLANK(AB118),IFERROR(VLOOKUP($F118,Sheet3!$H$2:$O$200,AI$1,FALSE),VLOOKUP($G118,Sheet3!$H$2:$O$200,AI$1,FALSE)),$I$1),$I$1)</f>
        <v>0</v>
      </c>
      <c r="AJ118" s="15">
        <f>IFERROR(IF(ISBLANK(AC118),IFERROR(VLOOKUP($F118,Sheet3!$H$2:$O$200,AJ$1,FALSE),VLOOKUP($G118,Sheet3!$H$2:$O$200,AJ$1,FALSE)),$I$1),$I$1)</f>
        <v>0</v>
      </c>
      <c r="AK118" s="15">
        <f>IFERROR(IF(ISBLANK(AD118),IFERROR(VLOOKUP($F118,Sheet3!$H$2:$O$200,AK$1,FALSE),VLOOKUP($G118,Sheet3!$H$2:$O$200,AK$1,FALSE)),$I$1),$I$1)</f>
        <v>0</v>
      </c>
      <c r="AL118" s="15">
        <f>IFERROR(IF(ISBLANK(AE118),VLOOKUP($G118,Sheet3!$H$2:$O$200,AL$1,FALSE),$I$1),$I$1)</f>
        <v>0</v>
      </c>
      <c r="AM118" s="15">
        <f>IFERROR(IF(ISBLANK(AF118),VLOOKUP($G118,Sheet3!$H$2:$O$200,AM$1,FALSE),$I$1),$I$1)</f>
        <v>0</v>
      </c>
      <c r="AN118" s="15">
        <f>IFERROR(IF(ISBLANK(AG118),VLOOKUP($G118,Sheet3!$H$2:$O$200,AN$1,FALSE),$I$1),$I$1)</f>
        <v>0</v>
      </c>
      <c r="AO118" s="15">
        <f>IFERROR(IF(ISBLANK(AH118),VLOOKUP($G118,Sheet3!$H$2:$O$200,AO$1,FALSE),$I$1),$I$1)</f>
        <v>0</v>
      </c>
      <c r="AP118" s="15">
        <f>IFERROR(IF(ISBLANK(AI118),VLOOKUP($G118,Sheet3!$H$2:$O$200,AP$1,FALSE),$I$1),$I$1)</f>
        <v>0</v>
      </c>
      <c r="AQ118" s="15">
        <f>IFERROR(IF(ISBLANK(AJ118),VLOOKUP($G118,Sheet3!$H$2:$O$200,AQ$1,FALSE),$I$1),$I$1)</f>
        <v>0</v>
      </c>
      <c r="AR118" s="15">
        <f>IFERROR(IF(ISBLANK(AK118),VLOOKUP($G118,Sheet3!$H$2:$O$200,AR$1,FALSE),$I$1),$I$1)</f>
        <v>0</v>
      </c>
      <c r="AS118" s="15">
        <f t="shared" si="1"/>
        <v>28</v>
      </c>
      <c r="AT118" s="15" t="b">
        <f t="shared" si="2"/>
        <v>0</v>
      </c>
    </row>
    <row r="119" spans="1:46" x14ac:dyDescent="0.2">
      <c r="A119" s="19" t="s">
        <v>262</v>
      </c>
      <c r="B119" s="19" t="s">
        <v>261</v>
      </c>
      <c r="C119" s="19" t="s">
        <v>100</v>
      </c>
      <c r="D119" s="19" t="s">
        <v>90</v>
      </c>
      <c r="E119" s="19" t="s">
        <v>263</v>
      </c>
      <c r="F119" s="19"/>
      <c r="G119" s="19"/>
      <c r="H119" s="19" t="s">
        <v>262</v>
      </c>
      <c r="I119" s="15">
        <f t="shared" si="0"/>
        <v>3</v>
      </c>
      <c r="J119" s="15">
        <f>IFERROR(VLOOKUP($C119,Sheet3!$H$2:$O$200,J$1,FALSE),IFERROR(VLOOKUP($D119,Sheet3!$H$2:$O$200,J$1,FALSE),VLOOKUP($E119,Sheet3!$H$2:$O$200,J$1,FALSE)))</f>
        <v>0</v>
      </c>
      <c r="K119" s="15">
        <f>IFERROR(VLOOKUP($C119,Sheet3!$H$2:$O$200,K$1,FALSE),IFERROR(VLOOKUP($D119,Sheet3!$H$2:$O$200,K$1,FALSE),VLOOKUP($E119,Sheet3!$H$2:$O$200,K$1,FALSE)))</f>
        <v>0</v>
      </c>
      <c r="L119" s="15">
        <f>IFERROR(VLOOKUP($C119,Sheet3!$H$2:$O$200,L$1,FALSE),IFERROR(VLOOKUP($D119,Sheet3!$H$2:$O$200,L$1,FALSE),VLOOKUP($E119,Sheet3!$H$2:$O$200,L$1,FALSE)))</f>
        <v>0</v>
      </c>
      <c r="M119" s="15" t="str">
        <f>IFERROR(VLOOKUP($C119,Sheet3!$H$2:$O$200,M$1,FALSE),IFERROR(VLOOKUP($D119,Sheet3!$H$2:$O$200,M$1,FALSE),VLOOKUP($E119,Sheet3!$H$2:$O$200,M$1,FALSE)))</f>
        <v>triple sec</v>
      </c>
      <c r="N119" s="15">
        <f>IFERROR(VLOOKUP($C119,Sheet3!$H$2:$O$200,N$1,FALSE),IFERROR(VLOOKUP($D119,Sheet3!$H$2:$O$200,N$1,FALSE),VLOOKUP($E119,Sheet3!$H$2:$O$200,N$1,FALSE)))</f>
        <v>0</v>
      </c>
      <c r="O119" s="15">
        <f>IFERROR(VLOOKUP($C119,Sheet3!$H$2:$O$200,O$1,FALSE),IFERROR(VLOOKUP($D119,Sheet3!$H$2:$O$200,O$1,FALSE),VLOOKUP($E119,Sheet3!$H$2:$O$200,O$1,FALSE)))</f>
        <v>0</v>
      </c>
      <c r="P119" s="15">
        <f>IFERROR(VLOOKUP($C119,Sheet3!$H$2:$O$200,P$1,FALSE),IFERROR(VLOOKUP($D119,Sheet3!$H$2:$O$200,P$1,FALSE),VLOOKUP($E119,Sheet3!$H$2:$O$200,P$1,FALSE)))</f>
        <v>0</v>
      </c>
      <c r="Q119" s="15">
        <f>IFERROR(IF(ISBLANK(J119),IFERROR(VLOOKUP($D119,Sheet3!$H$2:$O$200,Q$1,FALSE),IFERROR(VLOOKUP($E119,Sheet3!$H$2:$O$200,Q$1,FALSE),VLOOKUP($F119,Sheet3!$H$2:$O$200,Q$1,FALSE))),$I$1),$I$1)</f>
        <v>0</v>
      </c>
      <c r="R119" s="15">
        <f>IFERROR(IF(ISBLANK(K119),IFERROR(VLOOKUP($D119,Sheet3!$H$2:$O$200,R$1,FALSE),IFERROR(VLOOKUP($E119,Sheet3!$H$2:$O$200,R$1,FALSE),VLOOKUP($F119,Sheet3!$H$2:$O$200,R$1,FALSE))),$I$1),$I$1)</f>
        <v>0</v>
      </c>
      <c r="S119" s="15">
        <f>IFERROR(IF(ISBLANK(L119),IFERROR(VLOOKUP($D119,Sheet3!$H$2:$O$200,S$1,FALSE),IFERROR(VLOOKUP($E119,Sheet3!$H$2:$O$200,S$1,FALSE),VLOOKUP($F119,Sheet3!$H$2:$O$200,S$1,FALSE))),$I$1),$I$1)</f>
        <v>0</v>
      </c>
      <c r="T119" s="15">
        <f>IFERROR(IF(ISBLANK(M119),IFERROR(VLOOKUP($D119,Sheet3!$H$2:$O$200,T$1,FALSE),IFERROR(VLOOKUP($E119,Sheet3!$H$2:$O$200,T$1,FALSE),VLOOKUP($F119,Sheet3!$H$2:$O$200,T$1,FALSE))),$I$1),$I$1)</f>
        <v>0</v>
      </c>
      <c r="U119" s="15">
        <f>IFERROR(IF(ISBLANK(N119),IFERROR(VLOOKUP($D119,Sheet3!$H$2:$O$200,U$1,FALSE),IFERROR(VLOOKUP($E119,Sheet3!$H$2:$O$200,U$1,FALSE),VLOOKUP($F119,Sheet3!$H$2:$O$200,U$1,FALSE))),$I$1),$I$1)</f>
        <v>0</v>
      </c>
      <c r="V119" s="15">
        <f>IFERROR(IF(ISBLANK(O119),IFERROR(VLOOKUP($D119,Sheet3!$H$2:$O$200,V$1,FALSE),IFERROR(VLOOKUP($E119,Sheet3!$H$2:$O$200,V$1,FALSE),VLOOKUP($F119,Sheet3!$H$2:$O$200,V$1,FALSE))),$I$1),$I$1)</f>
        <v>0</v>
      </c>
      <c r="W119" s="15">
        <f>IFERROR(IF(ISBLANK(P119),IFERROR(VLOOKUP($D119,Sheet3!$H$2:$O$200,W$1,FALSE),IFERROR(VLOOKUP($E119,Sheet3!$H$2:$O$200,W$1,FALSE),VLOOKUP($F119,Sheet3!$H$2:$O$200,W$1,FALSE))),$I$1),$I$1)</f>
        <v>0</v>
      </c>
      <c r="X119" s="15">
        <f>IFERROR(IF(ISBLANK(Q119),IFERROR(VLOOKUP($E119,Sheet3!$H$2:$O$200,X$1,FALSE),IFERROR(VLOOKUP($F119,Sheet3!$H$2:$O$200,X$1,FALSE),VLOOKUP($G119,Sheet3!$H$2:$O$200,X$1,FALSE))),$I$1),$I$1)</f>
        <v>0</v>
      </c>
      <c r="Y119" s="15">
        <f>IFERROR(IF(ISBLANK(R119),IFERROR(VLOOKUP($E119,Sheet3!$H$2:$O$200,Y$1,FALSE),IFERROR(VLOOKUP($F119,Sheet3!$H$2:$O$200,Y$1,FALSE),VLOOKUP($G119,Sheet3!$H$2:$O$200,Y$1,FALSE))),$I$1),$I$1)</f>
        <v>0</v>
      </c>
      <c r="Z119" s="15">
        <f>IFERROR(IF(ISBLANK(S119),IFERROR(VLOOKUP($E119,Sheet3!$H$2:$O$200,Z$1,FALSE),IFERROR(VLOOKUP($F119,Sheet3!$H$2:$O$200,Z$1,FALSE),VLOOKUP($G119,Sheet3!$H$2:$O$200,Z$1,FALSE))),$I$1),$I$1)</f>
        <v>0</v>
      </c>
      <c r="AA119" s="15">
        <f>IFERROR(IF(ISBLANK(T119),IFERROR(VLOOKUP($E119,Sheet3!$H$2:$O$200,AA$1,FALSE),IFERROR(VLOOKUP($F119,Sheet3!$H$2:$O$200,AA$1,FALSE),VLOOKUP($G119,Sheet3!$H$2:$O$200,AA$1,FALSE))),$I$1),$I$1)</f>
        <v>0</v>
      </c>
      <c r="AB119" s="15">
        <f>IFERROR(IF(ISBLANK(U119),IFERROR(VLOOKUP($E119,Sheet3!$H$2:$O$200,AB$1,FALSE),IFERROR(VLOOKUP($F119,Sheet3!$H$2:$O$200,AB$1,FALSE),VLOOKUP($G119,Sheet3!$H$2:$O$200,AB$1,FALSE))),$I$1),$I$1)</f>
        <v>0</v>
      </c>
      <c r="AC119" s="15">
        <f>IFERROR(IF(ISBLANK(V119),IFERROR(VLOOKUP($E119,Sheet3!$H$2:$O$200,AC$1,FALSE),IFERROR(VLOOKUP($F119,Sheet3!$H$2:$O$200,AC$1,FALSE),VLOOKUP($G119,Sheet3!$H$2:$O$200,AC$1,FALSE))),$I$1),$I$1)</f>
        <v>0</v>
      </c>
      <c r="AD119" s="15">
        <f>IFERROR(IF(ISBLANK(W119),IFERROR(VLOOKUP($E119,Sheet3!$H$2:$O$200,AD$1,FALSE),IFERROR(VLOOKUP($F119,Sheet3!$H$2:$O$200,AD$1,FALSE),VLOOKUP($G119,Sheet3!$H$2:$O$200,AD$1,FALSE))),$I$1),$I$1)</f>
        <v>0</v>
      </c>
      <c r="AE119" s="15">
        <f>IFERROR(IF(ISBLANK(X119),IFERROR(VLOOKUP($F119,Sheet3!$H$2:$O$200,AE$1,FALSE),VLOOKUP($G119,Sheet3!$H$2:$O$200,AE$1,FALSE)),$I$1),$I$1)</f>
        <v>0</v>
      </c>
      <c r="AF119" s="15">
        <f>IFERROR(IF(ISBLANK(Y119),IFERROR(VLOOKUP($F119,Sheet3!$H$2:$O$200,AF$1,FALSE),VLOOKUP($G119,Sheet3!$H$2:$O$200,AF$1,FALSE)),$I$1),$I$1)</f>
        <v>0</v>
      </c>
      <c r="AG119" s="15">
        <f>IFERROR(IF(ISBLANK(Z119),IFERROR(VLOOKUP($F119,Sheet3!$H$2:$O$200,AG$1,FALSE),VLOOKUP($G119,Sheet3!$H$2:$O$200,AG$1,FALSE)),$I$1),$I$1)</f>
        <v>0</v>
      </c>
      <c r="AH119" s="15">
        <f>IFERROR(IF(ISBLANK(AA119),IFERROR(VLOOKUP($F119,Sheet3!$H$2:$O$200,AH$1,FALSE),VLOOKUP($G119,Sheet3!$H$2:$O$200,AH$1,FALSE)),$I$1),$I$1)</f>
        <v>0</v>
      </c>
      <c r="AI119" s="15">
        <f>IFERROR(IF(ISBLANK(AB119),IFERROR(VLOOKUP($F119,Sheet3!$H$2:$O$200,AI$1,FALSE),VLOOKUP($G119,Sheet3!$H$2:$O$200,AI$1,FALSE)),$I$1),$I$1)</f>
        <v>0</v>
      </c>
      <c r="AJ119" s="15">
        <f>IFERROR(IF(ISBLANK(AC119),IFERROR(VLOOKUP($F119,Sheet3!$H$2:$O$200,AJ$1,FALSE),VLOOKUP($G119,Sheet3!$H$2:$O$200,AJ$1,FALSE)),$I$1),$I$1)</f>
        <v>0</v>
      </c>
      <c r="AK119" s="15">
        <f>IFERROR(IF(ISBLANK(AD119),IFERROR(VLOOKUP($F119,Sheet3!$H$2:$O$200,AK$1,FALSE),VLOOKUP($G119,Sheet3!$H$2:$O$200,AK$1,FALSE)),$I$1),$I$1)</f>
        <v>0</v>
      </c>
      <c r="AL119" s="15">
        <f>IFERROR(IF(ISBLANK(AE119),VLOOKUP($G119,Sheet3!$H$2:$O$200,AL$1,FALSE),$I$1),$I$1)</f>
        <v>0</v>
      </c>
      <c r="AM119" s="15">
        <f>IFERROR(IF(ISBLANK(AF119),VLOOKUP($G119,Sheet3!$H$2:$O$200,AM$1,FALSE),$I$1),$I$1)</f>
        <v>0</v>
      </c>
      <c r="AN119" s="15">
        <f>IFERROR(IF(ISBLANK(AG119),VLOOKUP($G119,Sheet3!$H$2:$O$200,AN$1,FALSE),$I$1),$I$1)</f>
        <v>0</v>
      </c>
      <c r="AO119" s="15">
        <f>IFERROR(IF(ISBLANK(AH119),VLOOKUP($G119,Sheet3!$H$2:$O$200,AO$1,FALSE),$I$1),$I$1)</f>
        <v>0</v>
      </c>
      <c r="AP119" s="15">
        <f>IFERROR(IF(ISBLANK(AI119),VLOOKUP($G119,Sheet3!$H$2:$O$200,AP$1,FALSE),$I$1),$I$1)</f>
        <v>0</v>
      </c>
      <c r="AQ119" s="15">
        <f>IFERROR(IF(ISBLANK(AJ119),VLOOKUP($G119,Sheet3!$H$2:$O$200,AQ$1,FALSE),$I$1),$I$1)</f>
        <v>0</v>
      </c>
      <c r="AR119" s="15">
        <f>IFERROR(IF(ISBLANK(AK119),VLOOKUP($G119,Sheet3!$H$2:$O$200,AR$1,FALSE),$I$1),$I$1)</f>
        <v>0</v>
      </c>
      <c r="AS119" s="15">
        <f t="shared" si="1"/>
        <v>28</v>
      </c>
      <c r="AT119" s="15" t="b">
        <f t="shared" si="2"/>
        <v>0</v>
      </c>
    </row>
    <row r="120" spans="1:46" x14ac:dyDescent="0.2">
      <c r="A120" s="19" t="s">
        <v>264</v>
      </c>
      <c r="B120" s="19" t="s">
        <v>265</v>
      </c>
      <c r="C120" s="19" t="s">
        <v>266</v>
      </c>
      <c r="D120" s="19"/>
      <c r="E120" s="19"/>
      <c r="F120" s="19"/>
      <c r="G120" s="19"/>
      <c r="H120" s="19" t="s">
        <v>264</v>
      </c>
      <c r="I120" s="15">
        <f t="shared" si="0"/>
        <v>1</v>
      </c>
      <c r="J120" s="15">
        <f>IFERROR(VLOOKUP($C120,Sheet3!$H$2:$O$200,J$1,FALSE),IFERROR(VLOOKUP($D120,Sheet3!$H$2:$O$200,J$1,FALSE),VLOOKUP($E120,Sheet3!$H$2:$O$200,J$1,FALSE)))</f>
        <v>0</v>
      </c>
      <c r="K120" s="15">
        <f>IFERROR(VLOOKUP($C120,Sheet3!$H$2:$O$200,K$1,FALSE),IFERROR(VLOOKUP($D120,Sheet3!$H$2:$O$200,K$1,FALSE),VLOOKUP($E120,Sheet3!$H$2:$O$200,K$1,FALSE)))</f>
        <v>0</v>
      </c>
      <c r="L120" s="15">
        <f>IFERROR(VLOOKUP($C120,Sheet3!$H$2:$O$200,L$1,FALSE),IFERROR(VLOOKUP($D120,Sheet3!$H$2:$O$200,L$1,FALSE),VLOOKUP($E120,Sheet3!$H$2:$O$200,L$1,FALSE)))</f>
        <v>0</v>
      </c>
      <c r="M120" s="15" t="str">
        <f>IFERROR(VLOOKUP($C120,Sheet3!$H$2:$O$200,M$1,FALSE),IFERROR(VLOOKUP($D120,Sheet3!$H$2:$O$200,M$1,FALSE),VLOOKUP($E120,Sheet3!$H$2:$O$200,M$1,FALSE)))</f>
        <v>Godiva Chocolate Liqueur</v>
      </c>
      <c r="N120" s="15">
        <f>IFERROR(VLOOKUP($C120,Sheet3!$H$2:$O$200,N$1,FALSE),IFERROR(VLOOKUP($D120,Sheet3!$H$2:$O$200,N$1,FALSE),VLOOKUP($E120,Sheet3!$H$2:$O$200,N$1,FALSE)))</f>
        <v>0</v>
      </c>
      <c r="O120" s="15">
        <f>IFERROR(VLOOKUP($C120,Sheet3!$H$2:$O$200,O$1,FALSE),IFERROR(VLOOKUP($D120,Sheet3!$H$2:$O$200,O$1,FALSE),VLOOKUP($E120,Sheet3!$H$2:$O$200,O$1,FALSE)))</f>
        <v>0</v>
      </c>
      <c r="P120" s="15">
        <f>IFERROR(VLOOKUP($C120,Sheet3!$H$2:$O$200,P$1,FALSE),IFERROR(VLOOKUP($D120,Sheet3!$H$2:$O$200,P$1,FALSE),VLOOKUP($E120,Sheet3!$H$2:$O$200,P$1,FALSE)))</f>
        <v>0</v>
      </c>
      <c r="Q120" s="15">
        <f>IFERROR(IF(ISBLANK(J120),IFERROR(VLOOKUP($D120,Sheet3!$H$2:$O$200,Q$1,FALSE),IFERROR(VLOOKUP($E120,Sheet3!$H$2:$O$200,Q$1,FALSE),VLOOKUP($F120,Sheet3!$H$2:$O$200,Q$1,FALSE))),$I$1),$I$1)</f>
        <v>0</v>
      </c>
      <c r="R120" s="15">
        <f>IFERROR(IF(ISBLANK(K120),IFERROR(VLOOKUP($D120,Sheet3!$H$2:$O$200,R$1,FALSE),IFERROR(VLOOKUP($E120,Sheet3!$H$2:$O$200,R$1,FALSE),VLOOKUP($F120,Sheet3!$H$2:$O$200,R$1,FALSE))),$I$1),$I$1)</f>
        <v>0</v>
      </c>
      <c r="S120" s="15">
        <f>IFERROR(IF(ISBLANK(L120),IFERROR(VLOOKUP($D120,Sheet3!$H$2:$O$200,S$1,FALSE),IFERROR(VLOOKUP($E120,Sheet3!$H$2:$O$200,S$1,FALSE),VLOOKUP($F120,Sheet3!$H$2:$O$200,S$1,FALSE))),$I$1),$I$1)</f>
        <v>0</v>
      </c>
      <c r="T120" s="15">
        <f>IFERROR(IF(ISBLANK(M120),IFERROR(VLOOKUP($D120,Sheet3!$H$2:$O$200,T$1,FALSE),IFERROR(VLOOKUP($E120,Sheet3!$H$2:$O$200,T$1,FALSE),VLOOKUP($F120,Sheet3!$H$2:$O$200,T$1,FALSE))),$I$1),$I$1)</f>
        <v>0</v>
      </c>
      <c r="U120" s="15">
        <f>IFERROR(IF(ISBLANK(N120),IFERROR(VLOOKUP($D120,Sheet3!$H$2:$O$200,U$1,FALSE),IFERROR(VLOOKUP($E120,Sheet3!$H$2:$O$200,U$1,FALSE),VLOOKUP($F120,Sheet3!$H$2:$O$200,U$1,FALSE))),$I$1),$I$1)</f>
        <v>0</v>
      </c>
      <c r="V120" s="15">
        <f>IFERROR(IF(ISBLANK(O120),IFERROR(VLOOKUP($D120,Sheet3!$H$2:$O$200,V$1,FALSE),IFERROR(VLOOKUP($E120,Sheet3!$H$2:$O$200,V$1,FALSE),VLOOKUP($F120,Sheet3!$H$2:$O$200,V$1,FALSE))),$I$1),$I$1)</f>
        <v>0</v>
      </c>
      <c r="W120" s="15">
        <f>IFERROR(IF(ISBLANK(P120),IFERROR(VLOOKUP($D120,Sheet3!$H$2:$O$200,W$1,FALSE),IFERROR(VLOOKUP($E120,Sheet3!$H$2:$O$200,W$1,FALSE),VLOOKUP($F120,Sheet3!$H$2:$O$200,W$1,FALSE))),$I$1),$I$1)</f>
        <v>0</v>
      </c>
      <c r="X120" s="15">
        <f>IFERROR(IF(ISBLANK(Q120),IFERROR(VLOOKUP($E120,Sheet3!$H$2:$O$200,X$1,FALSE),IFERROR(VLOOKUP($F120,Sheet3!$H$2:$O$200,X$1,FALSE),VLOOKUP($G120,Sheet3!$H$2:$O$200,X$1,FALSE))),$I$1),$I$1)</f>
        <v>0</v>
      </c>
      <c r="Y120" s="15">
        <f>IFERROR(IF(ISBLANK(R120),IFERROR(VLOOKUP($E120,Sheet3!$H$2:$O$200,Y$1,FALSE),IFERROR(VLOOKUP($F120,Sheet3!$H$2:$O$200,Y$1,FALSE),VLOOKUP($G120,Sheet3!$H$2:$O$200,Y$1,FALSE))),$I$1),$I$1)</f>
        <v>0</v>
      </c>
      <c r="Z120" s="15">
        <f>IFERROR(IF(ISBLANK(S120),IFERROR(VLOOKUP($E120,Sheet3!$H$2:$O$200,Z$1,FALSE),IFERROR(VLOOKUP($F120,Sheet3!$H$2:$O$200,Z$1,FALSE),VLOOKUP($G120,Sheet3!$H$2:$O$200,Z$1,FALSE))),$I$1),$I$1)</f>
        <v>0</v>
      </c>
      <c r="AA120" s="15">
        <f>IFERROR(IF(ISBLANK(T120),IFERROR(VLOOKUP($E120,Sheet3!$H$2:$O$200,AA$1,FALSE),IFERROR(VLOOKUP($F120,Sheet3!$H$2:$O$200,AA$1,FALSE),VLOOKUP($G120,Sheet3!$H$2:$O$200,AA$1,FALSE))),$I$1),$I$1)</f>
        <v>0</v>
      </c>
      <c r="AB120" s="15">
        <f>IFERROR(IF(ISBLANK(U120),IFERROR(VLOOKUP($E120,Sheet3!$H$2:$O$200,AB$1,FALSE),IFERROR(VLOOKUP($F120,Sheet3!$H$2:$O$200,AB$1,FALSE),VLOOKUP($G120,Sheet3!$H$2:$O$200,AB$1,FALSE))),$I$1),$I$1)</f>
        <v>0</v>
      </c>
      <c r="AC120" s="15">
        <f>IFERROR(IF(ISBLANK(V120),IFERROR(VLOOKUP($E120,Sheet3!$H$2:$O$200,AC$1,FALSE),IFERROR(VLOOKUP($F120,Sheet3!$H$2:$O$200,AC$1,FALSE),VLOOKUP($G120,Sheet3!$H$2:$O$200,AC$1,FALSE))),$I$1),$I$1)</f>
        <v>0</v>
      </c>
      <c r="AD120" s="15">
        <f>IFERROR(IF(ISBLANK(W120),IFERROR(VLOOKUP($E120,Sheet3!$H$2:$O$200,AD$1,FALSE),IFERROR(VLOOKUP($F120,Sheet3!$H$2:$O$200,AD$1,FALSE),VLOOKUP($G120,Sheet3!$H$2:$O$200,AD$1,FALSE))),$I$1),$I$1)</f>
        <v>0</v>
      </c>
      <c r="AE120" s="15">
        <f>IFERROR(IF(ISBLANK(X120),IFERROR(VLOOKUP($F120,Sheet3!$H$2:$O$200,AE$1,FALSE),VLOOKUP($G120,Sheet3!$H$2:$O$200,AE$1,FALSE)),$I$1),$I$1)</f>
        <v>0</v>
      </c>
      <c r="AF120" s="15">
        <f>IFERROR(IF(ISBLANK(Y120),IFERROR(VLOOKUP($F120,Sheet3!$H$2:$O$200,AF$1,FALSE),VLOOKUP($G120,Sheet3!$H$2:$O$200,AF$1,FALSE)),$I$1),$I$1)</f>
        <v>0</v>
      </c>
      <c r="AG120" s="15">
        <f>IFERROR(IF(ISBLANK(Z120),IFERROR(VLOOKUP($F120,Sheet3!$H$2:$O$200,AG$1,FALSE),VLOOKUP($G120,Sheet3!$H$2:$O$200,AG$1,FALSE)),$I$1),$I$1)</f>
        <v>0</v>
      </c>
      <c r="AH120" s="15">
        <f>IFERROR(IF(ISBLANK(AA120),IFERROR(VLOOKUP($F120,Sheet3!$H$2:$O$200,AH$1,FALSE),VLOOKUP($G120,Sheet3!$H$2:$O$200,AH$1,FALSE)),$I$1),$I$1)</f>
        <v>0</v>
      </c>
      <c r="AI120" s="15">
        <f>IFERROR(IF(ISBLANK(AB120),IFERROR(VLOOKUP($F120,Sheet3!$H$2:$O$200,AI$1,FALSE),VLOOKUP($G120,Sheet3!$H$2:$O$200,AI$1,FALSE)),$I$1),$I$1)</f>
        <v>0</v>
      </c>
      <c r="AJ120" s="15">
        <f>IFERROR(IF(ISBLANK(AC120),IFERROR(VLOOKUP($F120,Sheet3!$H$2:$O$200,AJ$1,FALSE),VLOOKUP($G120,Sheet3!$H$2:$O$200,AJ$1,FALSE)),$I$1),$I$1)</f>
        <v>0</v>
      </c>
      <c r="AK120" s="15">
        <f>IFERROR(IF(ISBLANK(AD120),IFERROR(VLOOKUP($F120,Sheet3!$H$2:$O$200,AK$1,FALSE),VLOOKUP($G120,Sheet3!$H$2:$O$200,AK$1,FALSE)),$I$1),$I$1)</f>
        <v>0</v>
      </c>
      <c r="AL120" s="15">
        <f>IFERROR(IF(ISBLANK(AE120),VLOOKUP($G120,Sheet3!$H$2:$O$200,AL$1,FALSE),$I$1),$I$1)</f>
        <v>0</v>
      </c>
      <c r="AM120" s="15">
        <f>IFERROR(IF(ISBLANK(AF120),VLOOKUP($G120,Sheet3!$H$2:$O$200,AM$1,FALSE),$I$1),$I$1)</f>
        <v>0</v>
      </c>
      <c r="AN120" s="15">
        <f>IFERROR(IF(ISBLANK(AG120),VLOOKUP($G120,Sheet3!$H$2:$O$200,AN$1,FALSE),$I$1),$I$1)</f>
        <v>0</v>
      </c>
      <c r="AO120" s="15">
        <f>IFERROR(IF(ISBLANK(AH120),VLOOKUP($G120,Sheet3!$H$2:$O$200,AO$1,FALSE),$I$1),$I$1)</f>
        <v>0</v>
      </c>
      <c r="AP120" s="15">
        <f>IFERROR(IF(ISBLANK(AI120),VLOOKUP($G120,Sheet3!$H$2:$O$200,AP$1,FALSE),$I$1),$I$1)</f>
        <v>0</v>
      </c>
      <c r="AQ120" s="15">
        <f>IFERROR(IF(ISBLANK(AJ120),VLOOKUP($G120,Sheet3!$H$2:$O$200,AQ$1,FALSE),$I$1),$I$1)</f>
        <v>0</v>
      </c>
      <c r="AR120" s="15">
        <f>IFERROR(IF(ISBLANK(AK120),VLOOKUP($G120,Sheet3!$H$2:$O$200,AR$1,FALSE),$I$1),$I$1)</f>
        <v>0</v>
      </c>
      <c r="AS120" s="15">
        <f t="shared" si="1"/>
        <v>28</v>
      </c>
      <c r="AT120" s="15" t="b">
        <f t="shared" si="2"/>
        <v>0</v>
      </c>
    </row>
    <row r="121" spans="1:46" x14ac:dyDescent="0.2">
      <c r="A121" s="20" t="s">
        <v>267</v>
      </c>
      <c r="B121" s="20" t="s">
        <v>265</v>
      </c>
      <c r="C121" s="20" t="s">
        <v>268</v>
      </c>
      <c r="D121" s="20" t="s">
        <v>90</v>
      </c>
      <c r="E121" s="20"/>
      <c r="F121" s="20"/>
      <c r="G121" s="20"/>
      <c r="H121" s="20" t="s">
        <v>267</v>
      </c>
      <c r="I121" s="15">
        <f t="shared" si="0"/>
        <v>2</v>
      </c>
      <c r="J121" s="15">
        <f>IFERROR(VLOOKUP($C121,Sheet3!$H$2:$O$200,J$1,FALSE),IFERROR(VLOOKUP($D121,Sheet3!$H$2:$O$200,J$1,FALSE),VLOOKUP($E121,Sheet3!$H$2:$O$200,J$1,FALSE)))</f>
        <v>0</v>
      </c>
      <c r="K121" s="15" t="str">
        <f>IFERROR(VLOOKUP($C121,Sheet3!$H$2:$O$200,K$1,FALSE),IFERROR(VLOOKUP($D121,Sheet3!$H$2:$O$200,K$1,FALSE),VLOOKUP($E121,Sheet3!$H$2:$O$200,K$1,FALSE)))</f>
        <v>cola</v>
      </c>
      <c r="L121" s="15">
        <f>IFERROR(VLOOKUP($C121,Sheet3!$H$2:$O$200,L$1,FALSE),IFERROR(VLOOKUP($D121,Sheet3!$H$2:$O$200,L$1,FALSE),VLOOKUP($E121,Sheet3!$H$2:$O$200,L$1,FALSE)))</f>
        <v>0</v>
      </c>
      <c r="M121" s="15">
        <f>IFERROR(VLOOKUP($C121,Sheet3!$H$2:$O$200,M$1,FALSE),IFERROR(VLOOKUP($D121,Sheet3!$H$2:$O$200,M$1,FALSE),VLOOKUP($E121,Sheet3!$H$2:$O$200,M$1,FALSE)))</f>
        <v>0</v>
      </c>
      <c r="N121" s="15">
        <f>IFERROR(VLOOKUP($C121,Sheet3!$H$2:$O$200,N$1,FALSE),IFERROR(VLOOKUP($D121,Sheet3!$H$2:$O$200,N$1,FALSE),VLOOKUP($E121,Sheet3!$H$2:$O$200,N$1,FALSE)))</f>
        <v>0</v>
      </c>
      <c r="O121" s="15">
        <f>IFERROR(VLOOKUP($C121,Sheet3!$H$2:$O$200,O$1,FALSE),IFERROR(VLOOKUP($D121,Sheet3!$H$2:$O$200,O$1,FALSE),VLOOKUP($E121,Sheet3!$H$2:$O$200,O$1,FALSE)))</f>
        <v>0</v>
      </c>
      <c r="P121" s="15">
        <f>IFERROR(VLOOKUP($C121,Sheet3!$H$2:$O$200,P$1,FALSE),IFERROR(VLOOKUP($D121,Sheet3!$H$2:$O$200,P$1,FALSE),VLOOKUP($E121,Sheet3!$H$2:$O$200,P$1,FALSE)))</f>
        <v>0</v>
      </c>
      <c r="Q121" s="15">
        <f>IFERROR(IF(ISBLANK(J121),IFERROR(VLOOKUP($D121,Sheet3!$H$2:$O$200,Q$1,FALSE),IFERROR(VLOOKUP($E121,Sheet3!$H$2:$O$200,Q$1,FALSE),VLOOKUP($F121,Sheet3!$H$2:$O$200,Q$1,FALSE))),$I$1),$I$1)</f>
        <v>0</v>
      </c>
      <c r="R121" s="15">
        <f>IFERROR(IF(ISBLANK(K121),IFERROR(VLOOKUP($D121,Sheet3!$H$2:$O$200,R$1,FALSE),IFERROR(VLOOKUP($E121,Sheet3!$H$2:$O$200,R$1,FALSE),VLOOKUP($F121,Sheet3!$H$2:$O$200,R$1,FALSE))),$I$1),$I$1)</f>
        <v>0</v>
      </c>
      <c r="S121" s="15">
        <f>IFERROR(IF(ISBLANK(L121),IFERROR(VLOOKUP($D121,Sheet3!$H$2:$O$200,S$1,FALSE),IFERROR(VLOOKUP($E121,Sheet3!$H$2:$O$200,S$1,FALSE),VLOOKUP($F121,Sheet3!$H$2:$O$200,S$1,FALSE))),$I$1),$I$1)</f>
        <v>0</v>
      </c>
      <c r="T121" s="15">
        <f>IFERROR(IF(ISBLANK(M121),IFERROR(VLOOKUP($D121,Sheet3!$H$2:$O$200,T$1,FALSE),IFERROR(VLOOKUP($E121,Sheet3!$H$2:$O$200,T$1,FALSE),VLOOKUP($F121,Sheet3!$H$2:$O$200,T$1,FALSE))),$I$1),$I$1)</f>
        <v>0</v>
      </c>
      <c r="U121" s="15">
        <f>IFERROR(IF(ISBLANK(N121),IFERROR(VLOOKUP($D121,Sheet3!$H$2:$O$200,U$1,FALSE),IFERROR(VLOOKUP($E121,Sheet3!$H$2:$O$200,U$1,FALSE),VLOOKUP($F121,Sheet3!$H$2:$O$200,U$1,FALSE))),$I$1),$I$1)</f>
        <v>0</v>
      </c>
      <c r="V121" s="15">
        <f>IFERROR(IF(ISBLANK(O121),IFERROR(VLOOKUP($D121,Sheet3!$H$2:$O$200,V$1,FALSE),IFERROR(VLOOKUP($E121,Sheet3!$H$2:$O$200,V$1,FALSE),VLOOKUP($F121,Sheet3!$H$2:$O$200,V$1,FALSE))),$I$1),$I$1)</f>
        <v>0</v>
      </c>
      <c r="W121" s="15">
        <f>IFERROR(IF(ISBLANK(P121),IFERROR(VLOOKUP($D121,Sheet3!$H$2:$O$200,W$1,FALSE),IFERROR(VLOOKUP($E121,Sheet3!$H$2:$O$200,W$1,FALSE),VLOOKUP($F121,Sheet3!$H$2:$O$200,W$1,FALSE))),$I$1),$I$1)</f>
        <v>0</v>
      </c>
      <c r="X121" s="15">
        <f>IFERROR(IF(ISBLANK(Q121),IFERROR(VLOOKUP($E121,Sheet3!$H$2:$O$200,X$1,FALSE),IFERROR(VLOOKUP($F121,Sheet3!$H$2:$O$200,X$1,FALSE),VLOOKUP($G121,Sheet3!$H$2:$O$200,X$1,FALSE))),$I$1),$I$1)</f>
        <v>0</v>
      </c>
      <c r="Y121" s="15">
        <f>IFERROR(IF(ISBLANK(R121),IFERROR(VLOOKUP($E121,Sheet3!$H$2:$O$200,Y$1,FALSE),IFERROR(VLOOKUP($F121,Sheet3!$H$2:$O$200,Y$1,FALSE),VLOOKUP($G121,Sheet3!$H$2:$O$200,Y$1,FALSE))),$I$1),$I$1)</f>
        <v>0</v>
      </c>
      <c r="Z121" s="15">
        <f>IFERROR(IF(ISBLANK(S121),IFERROR(VLOOKUP($E121,Sheet3!$H$2:$O$200,Z$1,FALSE),IFERROR(VLOOKUP($F121,Sheet3!$H$2:$O$200,Z$1,FALSE),VLOOKUP($G121,Sheet3!$H$2:$O$200,Z$1,FALSE))),$I$1),$I$1)</f>
        <v>0</v>
      </c>
      <c r="AA121" s="15">
        <f>IFERROR(IF(ISBLANK(T121),IFERROR(VLOOKUP($E121,Sheet3!$H$2:$O$200,AA$1,FALSE),IFERROR(VLOOKUP($F121,Sheet3!$H$2:$O$200,AA$1,FALSE),VLOOKUP($G121,Sheet3!$H$2:$O$200,AA$1,FALSE))),$I$1),$I$1)</f>
        <v>0</v>
      </c>
      <c r="AB121" s="15">
        <f>IFERROR(IF(ISBLANK(U121),IFERROR(VLOOKUP($E121,Sheet3!$H$2:$O$200,AB$1,FALSE),IFERROR(VLOOKUP($F121,Sheet3!$H$2:$O$200,AB$1,FALSE),VLOOKUP($G121,Sheet3!$H$2:$O$200,AB$1,FALSE))),$I$1),$I$1)</f>
        <v>0</v>
      </c>
      <c r="AC121" s="15">
        <f>IFERROR(IF(ISBLANK(V121),IFERROR(VLOOKUP($E121,Sheet3!$H$2:$O$200,AC$1,FALSE),IFERROR(VLOOKUP($F121,Sheet3!$H$2:$O$200,AC$1,FALSE),VLOOKUP($G121,Sheet3!$H$2:$O$200,AC$1,FALSE))),$I$1),$I$1)</f>
        <v>0</v>
      </c>
      <c r="AD121" s="15">
        <f>IFERROR(IF(ISBLANK(W121),IFERROR(VLOOKUP($E121,Sheet3!$H$2:$O$200,AD$1,FALSE),IFERROR(VLOOKUP($F121,Sheet3!$H$2:$O$200,AD$1,FALSE),VLOOKUP($G121,Sheet3!$H$2:$O$200,AD$1,FALSE))),$I$1),$I$1)</f>
        <v>0</v>
      </c>
      <c r="AE121" s="15">
        <f>IFERROR(IF(ISBLANK(X121),IFERROR(VLOOKUP($F121,Sheet3!$H$2:$O$200,AE$1,FALSE),VLOOKUP($G121,Sheet3!$H$2:$O$200,AE$1,FALSE)),$I$1),$I$1)</f>
        <v>0</v>
      </c>
      <c r="AF121" s="15">
        <f>IFERROR(IF(ISBLANK(Y121),IFERROR(VLOOKUP($F121,Sheet3!$H$2:$O$200,AF$1,FALSE),VLOOKUP($G121,Sheet3!$H$2:$O$200,AF$1,FALSE)),$I$1),$I$1)</f>
        <v>0</v>
      </c>
      <c r="AG121" s="15">
        <f>IFERROR(IF(ISBLANK(Z121),IFERROR(VLOOKUP($F121,Sheet3!$H$2:$O$200,AG$1,FALSE),VLOOKUP($G121,Sheet3!$H$2:$O$200,AG$1,FALSE)),$I$1),$I$1)</f>
        <v>0</v>
      </c>
      <c r="AH121" s="15">
        <f>IFERROR(IF(ISBLANK(AA121),IFERROR(VLOOKUP($F121,Sheet3!$H$2:$O$200,AH$1,FALSE),VLOOKUP($G121,Sheet3!$H$2:$O$200,AH$1,FALSE)),$I$1),$I$1)</f>
        <v>0</v>
      </c>
      <c r="AI121" s="15">
        <f>IFERROR(IF(ISBLANK(AB121),IFERROR(VLOOKUP($F121,Sheet3!$H$2:$O$200,AI$1,FALSE),VLOOKUP($G121,Sheet3!$H$2:$O$200,AI$1,FALSE)),$I$1),$I$1)</f>
        <v>0</v>
      </c>
      <c r="AJ121" s="15">
        <f>IFERROR(IF(ISBLANK(AC121),IFERROR(VLOOKUP($F121,Sheet3!$H$2:$O$200,AJ$1,FALSE),VLOOKUP($G121,Sheet3!$H$2:$O$200,AJ$1,FALSE)),$I$1),$I$1)</f>
        <v>0</v>
      </c>
      <c r="AK121" s="15">
        <f>IFERROR(IF(ISBLANK(AD121),IFERROR(VLOOKUP($F121,Sheet3!$H$2:$O$200,AK$1,FALSE),VLOOKUP($G121,Sheet3!$H$2:$O$200,AK$1,FALSE)),$I$1),$I$1)</f>
        <v>0</v>
      </c>
      <c r="AL121" s="15">
        <f>IFERROR(IF(ISBLANK(AE121),VLOOKUP($G121,Sheet3!$H$2:$O$200,AL$1,FALSE),$I$1),$I$1)</f>
        <v>0</v>
      </c>
      <c r="AM121" s="15">
        <f>IFERROR(IF(ISBLANK(AF121),VLOOKUP($G121,Sheet3!$H$2:$O$200,AM$1,FALSE),$I$1),$I$1)</f>
        <v>0</v>
      </c>
      <c r="AN121" s="15">
        <f>IFERROR(IF(ISBLANK(AG121),VLOOKUP($G121,Sheet3!$H$2:$O$200,AN$1,FALSE),$I$1),$I$1)</f>
        <v>0</v>
      </c>
      <c r="AO121" s="15">
        <f>IFERROR(IF(ISBLANK(AH121),VLOOKUP($G121,Sheet3!$H$2:$O$200,AO$1,FALSE),$I$1),$I$1)</f>
        <v>0</v>
      </c>
      <c r="AP121" s="15">
        <f>IFERROR(IF(ISBLANK(AI121),VLOOKUP($G121,Sheet3!$H$2:$O$200,AP$1,FALSE),$I$1),$I$1)</f>
        <v>0</v>
      </c>
      <c r="AQ121" s="15">
        <f>IFERROR(IF(ISBLANK(AJ121),VLOOKUP($G121,Sheet3!$H$2:$O$200,AQ$1,FALSE),$I$1),$I$1)</f>
        <v>0</v>
      </c>
      <c r="AR121" s="15">
        <f>IFERROR(IF(ISBLANK(AK121),VLOOKUP($G121,Sheet3!$H$2:$O$200,AR$1,FALSE),$I$1),$I$1)</f>
        <v>0</v>
      </c>
      <c r="AS121" s="15">
        <f t="shared" si="1"/>
        <v>28</v>
      </c>
      <c r="AT121" s="15" t="b">
        <f t="shared" si="2"/>
        <v>0</v>
      </c>
    </row>
    <row r="122" spans="1:46" x14ac:dyDescent="0.2">
      <c r="A122" s="19" t="s">
        <v>269</v>
      </c>
      <c r="B122" s="19" t="s">
        <v>265</v>
      </c>
      <c r="C122" s="19" t="s">
        <v>270</v>
      </c>
      <c r="D122" s="19"/>
      <c r="E122" s="19"/>
      <c r="F122" s="19"/>
      <c r="G122" s="19"/>
      <c r="H122" s="19" t="s">
        <v>269</v>
      </c>
      <c r="I122" s="15">
        <f t="shared" si="0"/>
        <v>1</v>
      </c>
      <c r="J122" s="15">
        <f>IFERROR(VLOOKUP($C122,Sheet3!$H$2:$O$200,J$1,FALSE),IFERROR(VLOOKUP($D122,Sheet3!$H$2:$O$200,J$1,FALSE),VLOOKUP($E122,Sheet3!$H$2:$O$200,J$1,FALSE)))</f>
        <v>0</v>
      </c>
      <c r="K122" s="15" t="str">
        <f>IFERROR(VLOOKUP($C122,Sheet3!$H$2:$O$200,K$1,FALSE),IFERROR(VLOOKUP($D122,Sheet3!$H$2:$O$200,K$1,FALSE),VLOOKUP($E122,Sheet3!$H$2:$O$200,K$1,FALSE)))</f>
        <v>ginger beer</v>
      </c>
      <c r="L122" s="15">
        <f>IFERROR(VLOOKUP($C122,Sheet3!$H$2:$O$200,L$1,FALSE),IFERROR(VLOOKUP($D122,Sheet3!$H$2:$O$200,L$1,FALSE),VLOOKUP($E122,Sheet3!$H$2:$O$200,L$1,FALSE)))</f>
        <v>0</v>
      </c>
      <c r="M122" s="15">
        <f>IFERROR(VLOOKUP($C122,Sheet3!$H$2:$O$200,M$1,FALSE),IFERROR(VLOOKUP($D122,Sheet3!$H$2:$O$200,M$1,FALSE),VLOOKUP($E122,Sheet3!$H$2:$O$200,M$1,FALSE)))</f>
        <v>0</v>
      </c>
      <c r="N122" s="15">
        <f>IFERROR(VLOOKUP($C122,Sheet3!$H$2:$O$200,N$1,FALSE),IFERROR(VLOOKUP($D122,Sheet3!$H$2:$O$200,N$1,FALSE),VLOOKUP($E122,Sheet3!$H$2:$O$200,N$1,FALSE)))</f>
        <v>0</v>
      </c>
      <c r="O122" s="15">
        <f>IFERROR(VLOOKUP($C122,Sheet3!$H$2:$O$200,O$1,FALSE),IFERROR(VLOOKUP($D122,Sheet3!$H$2:$O$200,O$1,FALSE),VLOOKUP($E122,Sheet3!$H$2:$O$200,O$1,FALSE)))</f>
        <v>0</v>
      </c>
      <c r="P122" s="15">
        <f>IFERROR(VLOOKUP($C122,Sheet3!$H$2:$O$200,P$1,FALSE),IFERROR(VLOOKUP($D122,Sheet3!$H$2:$O$200,P$1,FALSE),VLOOKUP($E122,Sheet3!$H$2:$O$200,P$1,FALSE)))</f>
        <v>0</v>
      </c>
      <c r="Q122" s="15">
        <f>IFERROR(IF(ISBLANK(J122),IFERROR(VLOOKUP($D122,Sheet3!$H$2:$O$200,Q$1,FALSE),IFERROR(VLOOKUP($E122,Sheet3!$H$2:$O$200,Q$1,FALSE),VLOOKUP($F122,Sheet3!$H$2:$O$200,Q$1,FALSE))),$I$1),$I$1)</f>
        <v>0</v>
      </c>
      <c r="R122" s="15">
        <f>IFERROR(IF(ISBLANK(K122),IFERROR(VLOOKUP($D122,Sheet3!$H$2:$O$200,R$1,FALSE),IFERROR(VLOOKUP($E122,Sheet3!$H$2:$O$200,R$1,FALSE),VLOOKUP($F122,Sheet3!$H$2:$O$200,R$1,FALSE))),$I$1),$I$1)</f>
        <v>0</v>
      </c>
      <c r="S122" s="15">
        <f>IFERROR(IF(ISBLANK(L122),IFERROR(VLOOKUP($D122,Sheet3!$H$2:$O$200,S$1,FALSE),IFERROR(VLOOKUP($E122,Sheet3!$H$2:$O$200,S$1,FALSE),VLOOKUP($F122,Sheet3!$H$2:$O$200,S$1,FALSE))),$I$1),$I$1)</f>
        <v>0</v>
      </c>
      <c r="T122" s="15">
        <f>IFERROR(IF(ISBLANK(M122),IFERROR(VLOOKUP($D122,Sheet3!$H$2:$O$200,T$1,FALSE),IFERROR(VLOOKUP($E122,Sheet3!$H$2:$O$200,T$1,FALSE),VLOOKUP($F122,Sheet3!$H$2:$O$200,T$1,FALSE))),$I$1),$I$1)</f>
        <v>0</v>
      </c>
      <c r="U122" s="15">
        <f>IFERROR(IF(ISBLANK(N122),IFERROR(VLOOKUP($D122,Sheet3!$H$2:$O$200,U$1,FALSE),IFERROR(VLOOKUP($E122,Sheet3!$H$2:$O$200,U$1,FALSE),VLOOKUP($F122,Sheet3!$H$2:$O$200,U$1,FALSE))),$I$1),$I$1)</f>
        <v>0</v>
      </c>
      <c r="V122" s="15">
        <f>IFERROR(IF(ISBLANK(O122),IFERROR(VLOOKUP($D122,Sheet3!$H$2:$O$200,V$1,FALSE),IFERROR(VLOOKUP($E122,Sheet3!$H$2:$O$200,V$1,FALSE),VLOOKUP($F122,Sheet3!$H$2:$O$200,V$1,FALSE))),$I$1),$I$1)</f>
        <v>0</v>
      </c>
      <c r="W122" s="15">
        <f>IFERROR(IF(ISBLANK(P122),IFERROR(VLOOKUP($D122,Sheet3!$H$2:$O$200,W$1,FALSE),IFERROR(VLOOKUP($E122,Sheet3!$H$2:$O$200,W$1,FALSE),VLOOKUP($F122,Sheet3!$H$2:$O$200,W$1,FALSE))),$I$1),$I$1)</f>
        <v>0</v>
      </c>
      <c r="X122" s="15">
        <f>IFERROR(IF(ISBLANK(Q122),IFERROR(VLOOKUP($E122,Sheet3!$H$2:$O$200,X$1,FALSE),IFERROR(VLOOKUP($F122,Sheet3!$H$2:$O$200,X$1,FALSE),VLOOKUP($G122,Sheet3!$H$2:$O$200,X$1,FALSE))),$I$1),$I$1)</f>
        <v>0</v>
      </c>
      <c r="Y122" s="15">
        <f>IFERROR(IF(ISBLANK(R122),IFERROR(VLOOKUP($E122,Sheet3!$H$2:$O$200,Y$1,FALSE),IFERROR(VLOOKUP($F122,Sheet3!$H$2:$O$200,Y$1,FALSE),VLOOKUP($G122,Sheet3!$H$2:$O$200,Y$1,FALSE))),$I$1),$I$1)</f>
        <v>0</v>
      </c>
      <c r="Z122" s="15">
        <f>IFERROR(IF(ISBLANK(S122),IFERROR(VLOOKUP($E122,Sheet3!$H$2:$O$200,Z$1,FALSE),IFERROR(VLOOKUP($F122,Sheet3!$H$2:$O$200,Z$1,FALSE),VLOOKUP($G122,Sheet3!$H$2:$O$200,Z$1,FALSE))),$I$1),$I$1)</f>
        <v>0</v>
      </c>
      <c r="AA122" s="15">
        <f>IFERROR(IF(ISBLANK(T122),IFERROR(VLOOKUP($E122,Sheet3!$H$2:$O$200,AA$1,FALSE),IFERROR(VLOOKUP($F122,Sheet3!$H$2:$O$200,AA$1,FALSE),VLOOKUP($G122,Sheet3!$H$2:$O$200,AA$1,FALSE))),$I$1),$I$1)</f>
        <v>0</v>
      </c>
      <c r="AB122" s="15">
        <f>IFERROR(IF(ISBLANK(U122),IFERROR(VLOOKUP($E122,Sheet3!$H$2:$O$200,AB$1,FALSE),IFERROR(VLOOKUP($F122,Sheet3!$H$2:$O$200,AB$1,FALSE),VLOOKUP($G122,Sheet3!$H$2:$O$200,AB$1,FALSE))),$I$1),$I$1)</f>
        <v>0</v>
      </c>
      <c r="AC122" s="15">
        <f>IFERROR(IF(ISBLANK(V122),IFERROR(VLOOKUP($E122,Sheet3!$H$2:$O$200,AC$1,FALSE),IFERROR(VLOOKUP($F122,Sheet3!$H$2:$O$200,AC$1,FALSE),VLOOKUP($G122,Sheet3!$H$2:$O$200,AC$1,FALSE))),$I$1),$I$1)</f>
        <v>0</v>
      </c>
      <c r="AD122" s="15">
        <f>IFERROR(IF(ISBLANK(W122),IFERROR(VLOOKUP($E122,Sheet3!$H$2:$O$200,AD$1,FALSE),IFERROR(VLOOKUP($F122,Sheet3!$H$2:$O$200,AD$1,FALSE),VLOOKUP($G122,Sheet3!$H$2:$O$200,AD$1,FALSE))),$I$1),$I$1)</f>
        <v>0</v>
      </c>
      <c r="AE122" s="15">
        <f>IFERROR(IF(ISBLANK(X122),IFERROR(VLOOKUP($F122,Sheet3!$H$2:$O$200,AE$1,FALSE),VLOOKUP($G122,Sheet3!$H$2:$O$200,AE$1,FALSE)),$I$1),$I$1)</f>
        <v>0</v>
      </c>
      <c r="AF122" s="15">
        <f>IFERROR(IF(ISBLANK(Y122),IFERROR(VLOOKUP($F122,Sheet3!$H$2:$O$200,AF$1,FALSE),VLOOKUP($G122,Sheet3!$H$2:$O$200,AF$1,FALSE)),$I$1),$I$1)</f>
        <v>0</v>
      </c>
      <c r="AG122" s="15">
        <f>IFERROR(IF(ISBLANK(Z122),IFERROR(VLOOKUP($F122,Sheet3!$H$2:$O$200,AG$1,FALSE),VLOOKUP($G122,Sheet3!$H$2:$O$200,AG$1,FALSE)),$I$1),$I$1)</f>
        <v>0</v>
      </c>
      <c r="AH122" s="15">
        <f>IFERROR(IF(ISBLANK(AA122),IFERROR(VLOOKUP($F122,Sheet3!$H$2:$O$200,AH$1,FALSE),VLOOKUP($G122,Sheet3!$H$2:$O$200,AH$1,FALSE)),$I$1),$I$1)</f>
        <v>0</v>
      </c>
      <c r="AI122" s="15">
        <f>IFERROR(IF(ISBLANK(AB122),IFERROR(VLOOKUP($F122,Sheet3!$H$2:$O$200,AI$1,FALSE),VLOOKUP($G122,Sheet3!$H$2:$O$200,AI$1,FALSE)),$I$1),$I$1)</f>
        <v>0</v>
      </c>
      <c r="AJ122" s="15">
        <f>IFERROR(IF(ISBLANK(AC122),IFERROR(VLOOKUP($F122,Sheet3!$H$2:$O$200,AJ$1,FALSE),VLOOKUP($G122,Sheet3!$H$2:$O$200,AJ$1,FALSE)),$I$1),$I$1)</f>
        <v>0</v>
      </c>
      <c r="AK122" s="15">
        <f>IFERROR(IF(ISBLANK(AD122),IFERROR(VLOOKUP($F122,Sheet3!$H$2:$O$200,AK$1,FALSE),VLOOKUP($G122,Sheet3!$H$2:$O$200,AK$1,FALSE)),$I$1),$I$1)</f>
        <v>0</v>
      </c>
      <c r="AL122" s="15">
        <f>IFERROR(IF(ISBLANK(AE122),VLOOKUP($G122,Sheet3!$H$2:$O$200,AL$1,FALSE),$I$1),$I$1)</f>
        <v>0</v>
      </c>
      <c r="AM122" s="15">
        <f>IFERROR(IF(ISBLANK(AF122),VLOOKUP($G122,Sheet3!$H$2:$O$200,AM$1,FALSE),$I$1),$I$1)</f>
        <v>0</v>
      </c>
      <c r="AN122" s="15">
        <f>IFERROR(IF(ISBLANK(AG122),VLOOKUP($G122,Sheet3!$H$2:$O$200,AN$1,FALSE),$I$1),$I$1)</f>
        <v>0</v>
      </c>
      <c r="AO122" s="15">
        <f>IFERROR(IF(ISBLANK(AH122),VLOOKUP($G122,Sheet3!$H$2:$O$200,AO$1,FALSE),$I$1),$I$1)</f>
        <v>0</v>
      </c>
      <c r="AP122" s="15">
        <f>IFERROR(IF(ISBLANK(AI122),VLOOKUP($G122,Sheet3!$H$2:$O$200,AP$1,FALSE),$I$1),$I$1)</f>
        <v>0</v>
      </c>
      <c r="AQ122" s="15">
        <f>IFERROR(IF(ISBLANK(AJ122),VLOOKUP($G122,Sheet3!$H$2:$O$200,AQ$1,FALSE),$I$1),$I$1)</f>
        <v>0</v>
      </c>
      <c r="AR122" s="15">
        <f>IFERROR(IF(ISBLANK(AK122),VLOOKUP($G122,Sheet3!$H$2:$O$200,AR$1,FALSE),$I$1),$I$1)</f>
        <v>0</v>
      </c>
      <c r="AS122" s="15">
        <f t="shared" si="1"/>
        <v>28</v>
      </c>
      <c r="AT122" s="15" t="b">
        <f t="shared" si="2"/>
        <v>0</v>
      </c>
    </row>
    <row r="123" spans="1:46" x14ac:dyDescent="0.2">
      <c r="A123" s="19" t="s">
        <v>271</v>
      </c>
      <c r="B123" s="19" t="s">
        <v>265</v>
      </c>
      <c r="C123" s="19"/>
      <c r="D123" s="19" t="s">
        <v>134</v>
      </c>
      <c r="E123" s="19" t="s">
        <v>239</v>
      </c>
      <c r="F123" s="19"/>
      <c r="G123" s="19"/>
      <c r="H123" s="19" t="s">
        <v>271</v>
      </c>
      <c r="I123" s="15">
        <f t="shared" si="0"/>
        <v>2</v>
      </c>
      <c r="J123" s="15">
        <f>IFERROR(VLOOKUP($C123,Sheet3!$H$2:$O$200,J$1,FALSE),IFERROR(VLOOKUP($D123,Sheet3!$H$2:$O$200,J$1,FALSE),VLOOKUP($E123,Sheet3!$H$2:$O$200,J$1,FALSE)))</f>
        <v>0</v>
      </c>
      <c r="K123" s="15">
        <f>IFERROR(VLOOKUP($C123,Sheet3!$H$2:$O$200,K$1,FALSE),IFERROR(VLOOKUP($D123,Sheet3!$H$2:$O$200,K$1,FALSE),VLOOKUP($E123,Sheet3!$H$2:$O$200,K$1,FALSE)))</f>
        <v>0</v>
      </c>
      <c r="L123" s="15" t="str">
        <f>IFERROR(VLOOKUP($C123,Sheet3!$H$2:$O$200,L$1,FALSE),IFERROR(VLOOKUP($D123,Sheet3!$H$2:$O$200,L$1,FALSE),VLOOKUP($E123,Sheet3!$H$2:$O$200,L$1,FALSE)))</f>
        <v>grapefruit juice</v>
      </c>
      <c r="M123" s="15">
        <f>IFERROR(VLOOKUP($C123,Sheet3!$H$2:$O$200,M$1,FALSE),IFERROR(VLOOKUP($D123,Sheet3!$H$2:$O$200,M$1,FALSE),VLOOKUP($E123,Sheet3!$H$2:$O$200,M$1,FALSE)))</f>
        <v>0</v>
      </c>
      <c r="N123" s="15">
        <f>IFERROR(VLOOKUP($C123,Sheet3!$H$2:$O$200,N$1,FALSE),IFERROR(VLOOKUP($D123,Sheet3!$H$2:$O$200,N$1,FALSE),VLOOKUP($E123,Sheet3!$H$2:$O$200,N$1,FALSE)))</f>
        <v>0</v>
      </c>
      <c r="O123" s="15">
        <f>IFERROR(VLOOKUP($C123,Sheet3!$H$2:$O$200,O$1,FALSE),IFERROR(VLOOKUP($D123,Sheet3!$H$2:$O$200,O$1,FALSE),VLOOKUP($E123,Sheet3!$H$2:$O$200,O$1,FALSE)))</f>
        <v>0</v>
      </c>
      <c r="P123" s="15">
        <f>IFERROR(VLOOKUP($C123,Sheet3!$H$2:$O$200,P$1,FALSE),IFERROR(VLOOKUP($D123,Sheet3!$H$2:$O$200,P$1,FALSE),VLOOKUP($E123,Sheet3!$H$2:$O$200,P$1,FALSE)))</f>
        <v>0</v>
      </c>
      <c r="Q123" s="15">
        <f>IFERROR(IF(ISBLANK(J123),IFERROR(VLOOKUP($D123,Sheet3!$H$2:$O$200,Q$1,FALSE),IFERROR(VLOOKUP($E123,Sheet3!$H$2:$O$200,Q$1,FALSE),VLOOKUP($F123,Sheet3!$H$2:$O$200,Q$1,FALSE))),$I$1),$I$1)</f>
        <v>0</v>
      </c>
      <c r="R123" s="15">
        <f>IFERROR(IF(ISBLANK(K123),IFERROR(VLOOKUP($D123,Sheet3!$H$2:$O$200,R$1,FALSE),IFERROR(VLOOKUP($E123,Sheet3!$H$2:$O$200,R$1,FALSE),VLOOKUP($F123,Sheet3!$H$2:$O$200,R$1,FALSE))),$I$1),$I$1)</f>
        <v>0</v>
      </c>
      <c r="S123" s="15">
        <f>IFERROR(IF(ISBLANK(L123),IFERROR(VLOOKUP($D123,Sheet3!$H$2:$O$200,S$1,FALSE),IFERROR(VLOOKUP($E123,Sheet3!$H$2:$O$200,S$1,FALSE),VLOOKUP($F123,Sheet3!$H$2:$O$200,S$1,FALSE))),$I$1),$I$1)</f>
        <v>0</v>
      </c>
      <c r="T123" s="15">
        <f>IFERROR(IF(ISBLANK(M123),IFERROR(VLOOKUP($D123,Sheet3!$H$2:$O$200,T$1,FALSE),IFERROR(VLOOKUP($E123,Sheet3!$H$2:$O$200,T$1,FALSE),VLOOKUP($F123,Sheet3!$H$2:$O$200,T$1,FALSE))),$I$1),$I$1)</f>
        <v>0</v>
      </c>
      <c r="U123" s="15">
        <f>IFERROR(IF(ISBLANK(N123),IFERROR(VLOOKUP($D123,Sheet3!$H$2:$O$200,U$1,FALSE),IFERROR(VLOOKUP($E123,Sheet3!$H$2:$O$200,U$1,FALSE),VLOOKUP($F123,Sheet3!$H$2:$O$200,U$1,FALSE))),$I$1),$I$1)</f>
        <v>0</v>
      </c>
      <c r="V123" s="15">
        <f>IFERROR(IF(ISBLANK(O123),IFERROR(VLOOKUP($D123,Sheet3!$H$2:$O$200,V$1,FALSE),IFERROR(VLOOKUP($E123,Sheet3!$H$2:$O$200,V$1,FALSE),VLOOKUP($F123,Sheet3!$H$2:$O$200,V$1,FALSE))),$I$1),$I$1)</f>
        <v>0</v>
      </c>
      <c r="W123" s="15">
        <f>IFERROR(IF(ISBLANK(P123),IFERROR(VLOOKUP($D123,Sheet3!$H$2:$O$200,W$1,FALSE),IFERROR(VLOOKUP($E123,Sheet3!$H$2:$O$200,W$1,FALSE),VLOOKUP($F123,Sheet3!$H$2:$O$200,W$1,FALSE))),$I$1),$I$1)</f>
        <v>0</v>
      </c>
      <c r="X123" s="15">
        <f>IFERROR(IF(ISBLANK(Q123),IFERROR(VLOOKUP($E123,Sheet3!$H$2:$O$200,X$1,FALSE),IFERROR(VLOOKUP($F123,Sheet3!$H$2:$O$200,X$1,FALSE),VLOOKUP($G123,Sheet3!$H$2:$O$200,X$1,FALSE))),$I$1),$I$1)</f>
        <v>0</v>
      </c>
      <c r="Y123" s="15">
        <f>IFERROR(IF(ISBLANK(R123),IFERROR(VLOOKUP($E123,Sheet3!$H$2:$O$200,Y$1,FALSE),IFERROR(VLOOKUP($F123,Sheet3!$H$2:$O$200,Y$1,FALSE),VLOOKUP($G123,Sheet3!$H$2:$O$200,Y$1,FALSE))),$I$1),$I$1)</f>
        <v>0</v>
      </c>
      <c r="Z123" s="15">
        <f>IFERROR(IF(ISBLANK(S123),IFERROR(VLOOKUP($E123,Sheet3!$H$2:$O$200,Z$1,FALSE),IFERROR(VLOOKUP($F123,Sheet3!$H$2:$O$200,Z$1,FALSE),VLOOKUP($G123,Sheet3!$H$2:$O$200,Z$1,FALSE))),$I$1),$I$1)</f>
        <v>0</v>
      </c>
      <c r="AA123" s="15">
        <f>IFERROR(IF(ISBLANK(T123),IFERROR(VLOOKUP($E123,Sheet3!$H$2:$O$200,AA$1,FALSE),IFERROR(VLOOKUP($F123,Sheet3!$H$2:$O$200,AA$1,FALSE),VLOOKUP($G123,Sheet3!$H$2:$O$200,AA$1,FALSE))),$I$1),$I$1)</f>
        <v>0</v>
      </c>
      <c r="AB123" s="15">
        <f>IFERROR(IF(ISBLANK(U123),IFERROR(VLOOKUP($E123,Sheet3!$H$2:$O$200,AB$1,FALSE),IFERROR(VLOOKUP($F123,Sheet3!$H$2:$O$200,AB$1,FALSE),VLOOKUP($G123,Sheet3!$H$2:$O$200,AB$1,FALSE))),$I$1),$I$1)</f>
        <v>0</v>
      </c>
      <c r="AC123" s="15">
        <f>IFERROR(IF(ISBLANK(V123),IFERROR(VLOOKUP($E123,Sheet3!$H$2:$O$200,AC$1,FALSE),IFERROR(VLOOKUP($F123,Sheet3!$H$2:$O$200,AC$1,FALSE),VLOOKUP($G123,Sheet3!$H$2:$O$200,AC$1,FALSE))),$I$1),$I$1)</f>
        <v>0</v>
      </c>
      <c r="AD123" s="15">
        <f>IFERROR(IF(ISBLANK(W123),IFERROR(VLOOKUP($E123,Sheet3!$H$2:$O$200,AD$1,FALSE),IFERROR(VLOOKUP($F123,Sheet3!$H$2:$O$200,AD$1,FALSE),VLOOKUP($G123,Sheet3!$H$2:$O$200,AD$1,FALSE))),$I$1),$I$1)</f>
        <v>0</v>
      </c>
      <c r="AE123" s="15">
        <f>IFERROR(IF(ISBLANK(X123),IFERROR(VLOOKUP($F123,Sheet3!$H$2:$O$200,AE$1,FALSE),VLOOKUP($G123,Sheet3!$H$2:$O$200,AE$1,FALSE)),$I$1),$I$1)</f>
        <v>0</v>
      </c>
      <c r="AF123" s="15">
        <f>IFERROR(IF(ISBLANK(Y123),IFERROR(VLOOKUP($F123,Sheet3!$H$2:$O$200,AF$1,FALSE),VLOOKUP($G123,Sheet3!$H$2:$O$200,AF$1,FALSE)),$I$1),$I$1)</f>
        <v>0</v>
      </c>
      <c r="AG123" s="15">
        <f>IFERROR(IF(ISBLANK(Z123),IFERROR(VLOOKUP($F123,Sheet3!$H$2:$O$200,AG$1,FALSE),VLOOKUP($G123,Sheet3!$H$2:$O$200,AG$1,FALSE)),$I$1),$I$1)</f>
        <v>0</v>
      </c>
      <c r="AH123" s="15">
        <f>IFERROR(IF(ISBLANK(AA123),IFERROR(VLOOKUP($F123,Sheet3!$H$2:$O$200,AH$1,FALSE),VLOOKUP($G123,Sheet3!$H$2:$O$200,AH$1,FALSE)),$I$1),$I$1)</f>
        <v>0</v>
      </c>
      <c r="AI123" s="15">
        <f>IFERROR(IF(ISBLANK(AB123),IFERROR(VLOOKUP($F123,Sheet3!$H$2:$O$200,AI$1,FALSE),VLOOKUP($G123,Sheet3!$H$2:$O$200,AI$1,FALSE)),$I$1),$I$1)</f>
        <v>0</v>
      </c>
      <c r="AJ123" s="15">
        <f>IFERROR(IF(ISBLANK(AC123),IFERROR(VLOOKUP($F123,Sheet3!$H$2:$O$200,AJ$1,FALSE),VLOOKUP($G123,Sheet3!$H$2:$O$200,AJ$1,FALSE)),$I$1),$I$1)</f>
        <v>0</v>
      </c>
      <c r="AK123" s="15">
        <f>IFERROR(IF(ISBLANK(AD123),IFERROR(VLOOKUP($F123,Sheet3!$H$2:$O$200,AK$1,FALSE),VLOOKUP($G123,Sheet3!$H$2:$O$200,AK$1,FALSE)),$I$1),$I$1)</f>
        <v>0</v>
      </c>
      <c r="AL123" s="15">
        <f>IFERROR(IF(ISBLANK(AE123),VLOOKUP($G123,Sheet3!$H$2:$O$200,AL$1,FALSE),$I$1),$I$1)</f>
        <v>0</v>
      </c>
      <c r="AM123" s="15">
        <f>IFERROR(IF(ISBLANK(AF123),VLOOKUP($G123,Sheet3!$H$2:$O$200,AM$1,FALSE),$I$1),$I$1)</f>
        <v>0</v>
      </c>
      <c r="AN123" s="15">
        <f>IFERROR(IF(ISBLANK(AG123),VLOOKUP($G123,Sheet3!$H$2:$O$200,AN$1,FALSE),$I$1),$I$1)</f>
        <v>0</v>
      </c>
      <c r="AO123" s="15">
        <f>IFERROR(IF(ISBLANK(AH123),VLOOKUP($G123,Sheet3!$H$2:$O$200,AO$1,FALSE),$I$1),$I$1)</f>
        <v>0</v>
      </c>
      <c r="AP123" s="15">
        <f>IFERROR(IF(ISBLANK(AI123),VLOOKUP($G123,Sheet3!$H$2:$O$200,AP$1,FALSE),$I$1),$I$1)</f>
        <v>0</v>
      </c>
      <c r="AQ123" s="15">
        <f>IFERROR(IF(ISBLANK(AJ123),VLOOKUP($G123,Sheet3!$H$2:$O$200,AQ$1,FALSE),$I$1),$I$1)</f>
        <v>0</v>
      </c>
      <c r="AR123" s="15">
        <f>IFERROR(IF(ISBLANK(AK123),VLOOKUP($G123,Sheet3!$H$2:$O$200,AR$1,FALSE),$I$1),$I$1)</f>
        <v>0</v>
      </c>
      <c r="AS123" s="15">
        <f t="shared" si="1"/>
        <v>28</v>
      </c>
      <c r="AT123" s="15" t="b">
        <f t="shared" si="2"/>
        <v>0</v>
      </c>
    </row>
    <row r="124" spans="1:46" x14ac:dyDescent="0.2">
      <c r="A124" s="19" t="s">
        <v>273</v>
      </c>
      <c r="B124" s="19" t="s">
        <v>265</v>
      </c>
      <c r="C124" s="19"/>
      <c r="D124" s="19" t="s">
        <v>45</v>
      </c>
      <c r="E124" s="19" t="s">
        <v>78</v>
      </c>
      <c r="F124" s="19"/>
      <c r="G124" s="19"/>
      <c r="H124" s="19" t="s">
        <v>273</v>
      </c>
      <c r="I124" s="15">
        <f t="shared" si="0"/>
        <v>2</v>
      </c>
      <c r="J124" s="15">
        <f>IFERROR(VLOOKUP($C124,Sheet3!$H$2:$O$200,J$1,FALSE),IFERROR(VLOOKUP($D124,Sheet3!$H$2:$O$200,J$1,FALSE),VLOOKUP($E124,Sheet3!$H$2:$O$200,J$1,FALSE)))</f>
        <v>0</v>
      </c>
      <c r="K124" s="15">
        <f>IFERROR(VLOOKUP($C124,Sheet3!$H$2:$O$200,K$1,FALSE),IFERROR(VLOOKUP($D124,Sheet3!$H$2:$O$200,K$1,FALSE),VLOOKUP($E124,Sheet3!$H$2:$O$200,K$1,FALSE)))</f>
        <v>0</v>
      </c>
      <c r="L124" s="15" t="str">
        <f>IFERROR(VLOOKUP($C124,Sheet3!$H$2:$O$200,L$1,FALSE),IFERROR(VLOOKUP($D124,Sheet3!$H$2:$O$200,L$1,FALSE),VLOOKUP($E124,Sheet3!$H$2:$O$200,L$1,FALSE)))</f>
        <v>cranberry juice</v>
      </c>
      <c r="M124" s="15">
        <f>IFERROR(VLOOKUP($C124,Sheet3!$H$2:$O$200,M$1,FALSE),IFERROR(VLOOKUP($D124,Sheet3!$H$2:$O$200,M$1,FALSE),VLOOKUP($E124,Sheet3!$H$2:$O$200,M$1,FALSE)))</f>
        <v>0</v>
      </c>
      <c r="N124" s="15">
        <f>IFERROR(VLOOKUP($C124,Sheet3!$H$2:$O$200,N$1,FALSE),IFERROR(VLOOKUP($D124,Sheet3!$H$2:$O$200,N$1,FALSE),VLOOKUP($E124,Sheet3!$H$2:$O$200,N$1,FALSE)))</f>
        <v>0</v>
      </c>
      <c r="O124" s="15">
        <f>IFERROR(VLOOKUP($C124,Sheet3!$H$2:$O$200,O$1,FALSE),IFERROR(VLOOKUP($D124,Sheet3!$H$2:$O$200,O$1,FALSE),VLOOKUP($E124,Sheet3!$H$2:$O$200,O$1,FALSE)))</f>
        <v>0</v>
      </c>
      <c r="P124" s="15">
        <f>IFERROR(VLOOKUP($C124,Sheet3!$H$2:$O$200,P$1,FALSE),IFERROR(VLOOKUP($D124,Sheet3!$H$2:$O$200,P$1,FALSE),VLOOKUP($E124,Sheet3!$H$2:$O$200,P$1,FALSE)))</f>
        <v>0</v>
      </c>
      <c r="Q124" s="15">
        <f>IFERROR(IF(ISBLANK(J124),IFERROR(VLOOKUP($D124,Sheet3!$H$2:$O$200,Q$1,FALSE),IFERROR(VLOOKUP($E124,Sheet3!$H$2:$O$200,Q$1,FALSE),VLOOKUP($F124,Sheet3!$H$2:$O$200,Q$1,FALSE))),$I$1),$I$1)</f>
        <v>0</v>
      </c>
      <c r="R124" s="15">
        <f>IFERROR(IF(ISBLANK(K124),IFERROR(VLOOKUP($D124,Sheet3!$H$2:$O$200,R$1,FALSE),IFERROR(VLOOKUP($E124,Sheet3!$H$2:$O$200,R$1,FALSE),VLOOKUP($F124,Sheet3!$H$2:$O$200,R$1,FALSE))),$I$1),$I$1)</f>
        <v>0</v>
      </c>
      <c r="S124" s="15">
        <f>IFERROR(IF(ISBLANK(L124),IFERROR(VLOOKUP($D124,Sheet3!$H$2:$O$200,S$1,FALSE),IFERROR(VLOOKUP($E124,Sheet3!$H$2:$O$200,S$1,FALSE),VLOOKUP($F124,Sheet3!$H$2:$O$200,S$1,FALSE))),$I$1),$I$1)</f>
        <v>0</v>
      </c>
      <c r="T124" s="15">
        <f>IFERROR(IF(ISBLANK(M124),IFERROR(VLOOKUP($D124,Sheet3!$H$2:$O$200,T$1,FALSE),IFERROR(VLOOKUP($E124,Sheet3!$H$2:$O$200,T$1,FALSE),VLOOKUP($F124,Sheet3!$H$2:$O$200,T$1,FALSE))),$I$1),$I$1)</f>
        <v>0</v>
      </c>
      <c r="U124" s="15">
        <f>IFERROR(IF(ISBLANK(N124),IFERROR(VLOOKUP($D124,Sheet3!$H$2:$O$200,U$1,FALSE),IFERROR(VLOOKUP($E124,Sheet3!$H$2:$O$200,U$1,FALSE),VLOOKUP($F124,Sheet3!$H$2:$O$200,U$1,FALSE))),$I$1),$I$1)</f>
        <v>0</v>
      </c>
      <c r="V124" s="15">
        <f>IFERROR(IF(ISBLANK(O124),IFERROR(VLOOKUP($D124,Sheet3!$H$2:$O$200,V$1,FALSE),IFERROR(VLOOKUP($E124,Sheet3!$H$2:$O$200,V$1,FALSE),VLOOKUP($F124,Sheet3!$H$2:$O$200,V$1,FALSE))),$I$1),$I$1)</f>
        <v>0</v>
      </c>
      <c r="W124" s="15">
        <f>IFERROR(IF(ISBLANK(P124),IFERROR(VLOOKUP($D124,Sheet3!$H$2:$O$200,W$1,FALSE),IFERROR(VLOOKUP($E124,Sheet3!$H$2:$O$200,W$1,FALSE),VLOOKUP($F124,Sheet3!$H$2:$O$200,W$1,FALSE))),$I$1),$I$1)</f>
        <v>0</v>
      </c>
      <c r="X124" s="15">
        <f>IFERROR(IF(ISBLANK(Q124),IFERROR(VLOOKUP($E124,Sheet3!$H$2:$O$200,X$1,FALSE),IFERROR(VLOOKUP($F124,Sheet3!$H$2:$O$200,X$1,FALSE),VLOOKUP($G124,Sheet3!$H$2:$O$200,X$1,FALSE))),$I$1),$I$1)</f>
        <v>0</v>
      </c>
      <c r="Y124" s="15">
        <f>IFERROR(IF(ISBLANK(R124),IFERROR(VLOOKUP($E124,Sheet3!$H$2:$O$200,Y$1,FALSE),IFERROR(VLOOKUP($F124,Sheet3!$H$2:$O$200,Y$1,FALSE),VLOOKUP($G124,Sheet3!$H$2:$O$200,Y$1,FALSE))),$I$1),$I$1)</f>
        <v>0</v>
      </c>
      <c r="Z124" s="15">
        <f>IFERROR(IF(ISBLANK(S124),IFERROR(VLOOKUP($E124,Sheet3!$H$2:$O$200,Z$1,FALSE),IFERROR(VLOOKUP($F124,Sheet3!$H$2:$O$200,Z$1,FALSE),VLOOKUP($G124,Sheet3!$H$2:$O$200,Z$1,FALSE))),$I$1),$I$1)</f>
        <v>0</v>
      </c>
      <c r="AA124" s="15">
        <f>IFERROR(IF(ISBLANK(T124),IFERROR(VLOOKUP($E124,Sheet3!$H$2:$O$200,AA$1,FALSE),IFERROR(VLOOKUP($F124,Sheet3!$H$2:$O$200,AA$1,FALSE),VLOOKUP($G124,Sheet3!$H$2:$O$200,AA$1,FALSE))),$I$1),$I$1)</f>
        <v>0</v>
      </c>
      <c r="AB124" s="15">
        <f>IFERROR(IF(ISBLANK(U124),IFERROR(VLOOKUP($E124,Sheet3!$H$2:$O$200,AB$1,FALSE),IFERROR(VLOOKUP($F124,Sheet3!$H$2:$O$200,AB$1,FALSE),VLOOKUP($G124,Sheet3!$H$2:$O$200,AB$1,FALSE))),$I$1),$I$1)</f>
        <v>0</v>
      </c>
      <c r="AC124" s="15">
        <f>IFERROR(IF(ISBLANK(V124),IFERROR(VLOOKUP($E124,Sheet3!$H$2:$O$200,AC$1,FALSE),IFERROR(VLOOKUP($F124,Sheet3!$H$2:$O$200,AC$1,FALSE),VLOOKUP($G124,Sheet3!$H$2:$O$200,AC$1,FALSE))),$I$1),$I$1)</f>
        <v>0</v>
      </c>
      <c r="AD124" s="15">
        <f>IFERROR(IF(ISBLANK(W124),IFERROR(VLOOKUP($E124,Sheet3!$H$2:$O$200,AD$1,FALSE),IFERROR(VLOOKUP($F124,Sheet3!$H$2:$O$200,AD$1,FALSE),VLOOKUP($G124,Sheet3!$H$2:$O$200,AD$1,FALSE))),$I$1),$I$1)</f>
        <v>0</v>
      </c>
      <c r="AE124" s="15">
        <f>IFERROR(IF(ISBLANK(X124),IFERROR(VLOOKUP($F124,Sheet3!$H$2:$O$200,AE$1,FALSE),VLOOKUP($G124,Sheet3!$H$2:$O$200,AE$1,FALSE)),$I$1),$I$1)</f>
        <v>0</v>
      </c>
      <c r="AF124" s="15">
        <f>IFERROR(IF(ISBLANK(Y124),IFERROR(VLOOKUP($F124,Sheet3!$H$2:$O$200,AF$1,FALSE),VLOOKUP($G124,Sheet3!$H$2:$O$200,AF$1,FALSE)),$I$1),$I$1)</f>
        <v>0</v>
      </c>
      <c r="AG124" s="15">
        <f>IFERROR(IF(ISBLANK(Z124),IFERROR(VLOOKUP($F124,Sheet3!$H$2:$O$200,AG$1,FALSE),VLOOKUP($G124,Sheet3!$H$2:$O$200,AG$1,FALSE)),$I$1),$I$1)</f>
        <v>0</v>
      </c>
      <c r="AH124" s="15">
        <f>IFERROR(IF(ISBLANK(AA124),IFERROR(VLOOKUP($F124,Sheet3!$H$2:$O$200,AH$1,FALSE),VLOOKUP($G124,Sheet3!$H$2:$O$200,AH$1,FALSE)),$I$1),$I$1)</f>
        <v>0</v>
      </c>
      <c r="AI124" s="15">
        <f>IFERROR(IF(ISBLANK(AB124),IFERROR(VLOOKUP($F124,Sheet3!$H$2:$O$200,AI$1,FALSE),VLOOKUP($G124,Sheet3!$H$2:$O$200,AI$1,FALSE)),$I$1),$I$1)</f>
        <v>0</v>
      </c>
      <c r="AJ124" s="15">
        <f>IFERROR(IF(ISBLANK(AC124),IFERROR(VLOOKUP($F124,Sheet3!$H$2:$O$200,AJ$1,FALSE),VLOOKUP($G124,Sheet3!$H$2:$O$200,AJ$1,FALSE)),$I$1),$I$1)</f>
        <v>0</v>
      </c>
      <c r="AK124" s="15">
        <f>IFERROR(IF(ISBLANK(AD124),IFERROR(VLOOKUP($F124,Sheet3!$H$2:$O$200,AK$1,FALSE),VLOOKUP($G124,Sheet3!$H$2:$O$200,AK$1,FALSE)),$I$1),$I$1)</f>
        <v>0</v>
      </c>
      <c r="AL124" s="15">
        <f>IFERROR(IF(ISBLANK(AE124),VLOOKUP($G124,Sheet3!$H$2:$O$200,AL$1,FALSE),$I$1),$I$1)</f>
        <v>0</v>
      </c>
      <c r="AM124" s="15">
        <f>IFERROR(IF(ISBLANK(AF124),VLOOKUP($G124,Sheet3!$H$2:$O$200,AM$1,FALSE),$I$1),$I$1)</f>
        <v>0</v>
      </c>
      <c r="AN124" s="15">
        <f>IFERROR(IF(ISBLANK(AG124),VLOOKUP($G124,Sheet3!$H$2:$O$200,AN$1,FALSE),$I$1),$I$1)</f>
        <v>0</v>
      </c>
      <c r="AO124" s="15">
        <f>IFERROR(IF(ISBLANK(AH124),VLOOKUP($G124,Sheet3!$H$2:$O$200,AO$1,FALSE),$I$1),$I$1)</f>
        <v>0</v>
      </c>
      <c r="AP124" s="15">
        <f>IFERROR(IF(ISBLANK(AI124),VLOOKUP($G124,Sheet3!$H$2:$O$200,AP$1,FALSE),$I$1),$I$1)</f>
        <v>0</v>
      </c>
      <c r="AQ124" s="15">
        <f>IFERROR(IF(ISBLANK(AJ124),VLOOKUP($G124,Sheet3!$H$2:$O$200,AQ$1,FALSE),$I$1),$I$1)</f>
        <v>0</v>
      </c>
      <c r="AR124" s="15">
        <f>IFERROR(IF(ISBLANK(AK124),VLOOKUP($G124,Sheet3!$H$2:$O$200,AR$1,FALSE),$I$1),$I$1)</f>
        <v>0</v>
      </c>
      <c r="AS124" s="15">
        <f t="shared" si="1"/>
        <v>28</v>
      </c>
      <c r="AT124" s="15" t="b">
        <f t="shared" si="2"/>
        <v>0</v>
      </c>
    </row>
    <row r="125" spans="1:46" x14ac:dyDescent="0.2">
      <c r="A125" s="19" t="s">
        <v>275</v>
      </c>
      <c r="B125" s="19" t="s">
        <v>265</v>
      </c>
      <c r="C125" s="19"/>
      <c r="D125" s="19" t="s">
        <v>90</v>
      </c>
      <c r="E125" s="19" t="s">
        <v>86</v>
      </c>
      <c r="F125" s="19"/>
      <c r="G125" s="19"/>
      <c r="H125" s="19" t="s">
        <v>275</v>
      </c>
      <c r="I125" s="15">
        <f t="shared" si="0"/>
        <v>2</v>
      </c>
      <c r="J125" s="15">
        <f>IFERROR(VLOOKUP($C125,Sheet3!$H$2:$O$200,J$1,FALSE),IFERROR(VLOOKUP($D125,Sheet3!$H$2:$O$200,J$1,FALSE),VLOOKUP($E125,Sheet3!$H$2:$O$200,J$1,FALSE)))</f>
        <v>0</v>
      </c>
      <c r="K125" s="15">
        <f>IFERROR(VLOOKUP($C125,Sheet3!$H$2:$O$200,K$1,FALSE),IFERROR(VLOOKUP($D125,Sheet3!$H$2:$O$200,K$1,FALSE),VLOOKUP($E125,Sheet3!$H$2:$O$200,K$1,FALSE)))</f>
        <v>0</v>
      </c>
      <c r="L125" s="15" t="str">
        <f>IFERROR(VLOOKUP($C125,Sheet3!$H$2:$O$200,L$1,FALSE),IFERROR(VLOOKUP($D125,Sheet3!$H$2:$O$200,L$1,FALSE),VLOOKUP($E125,Sheet3!$H$2:$O$200,L$1,FALSE)))</f>
        <v>lime juice</v>
      </c>
      <c r="M125" s="15">
        <f>IFERROR(VLOOKUP($C125,Sheet3!$H$2:$O$200,M$1,FALSE),IFERROR(VLOOKUP($D125,Sheet3!$H$2:$O$200,M$1,FALSE),VLOOKUP($E125,Sheet3!$H$2:$O$200,M$1,FALSE)))</f>
        <v>0</v>
      </c>
      <c r="N125" s="15">
        <f>IFERROR(VLOOKUP($C125,Sheet3!$H$2:$O$200,N$1,FALSE),IFERROR(VLOOKUP($D125,Sheet3!$H$2:$O$200,N$1,FALSE),VLOOKUP($E125,Sheet3!$H$2:$O$200,N$1,FALSE)))</f>
        <v>0</v>
      </c>
      <c r="O125" s="15">
        <f>IFERROR(VLOOKUP($C125,Sheet3!$H$2:$O$200,O$1,FALSE),IFERROR(VLOOKUP($D125,Sheet3!$H$2:$O$200,O$1,FALSE),VLOOKUP($E125,Sheet3!$H$2:$O$200,O$1,FALSE)))</f>
        <v>0</v>
      </c>
      <c r="P125" s="15">
        <f>IFERROR(VLOOKUP($C125,Sheet3!$H$2:$O$200,P$1,FALSE),IFERROR(VLOOKUP($D125,Sheet3!$H$2:$O$200,P$1,FALSE),VLOOKUP($E125,Sheet3!$H$2:$O$200,P$1,FALSE)))</f>
        <v>0</v>
      </c>
      <c r="Q125" s="15">
        <f>IFERROR(IF(ISBLANK(J125),IFERROR(VLOOKUP($D125,Sheet3!$H$2:$O$200,Q$1,FALSE),IFERROR(VLOOKUP($E125,Sheet3!$H$2:$O$200,Q$1,FALSE),VLOOKUP($F125,Sheet3!$H$2:$O$200,Q$1,FALSE))),$I$1),$I$1)</f>
        <v>0</v>
      </c>
      <c r="R125" s="15">
        <f>IFERROR(IF(ISBLANK(K125),IFERROR(VLOOKUP($D125,Sheet3!$H$2:$O$200,R$1,FALSE),IFERROR(VLOOKUP($E125,Sheet3!$H$2:$O$200,R$1,FALSE),VLOOKUP($F125,Sheet3!$H$2:$O$200,R$1,FALSE))),$I$1),$I$1)</f>
        <v>0</v>
      </c>
      <c r="S125" s="15">
        <f>IFERROR(IF(ISBLANK(L125),IFERROR(VLOOKUP($D125,Sheet3!$H$2:$O$200,S$1,FALSE),IFERROR(VLOOKUP($E125,Sheet3!$H$2:$O$200,S$1,FALSE),VLOOKUP($F125,Sheet3!$H$2:$O$200,S$1,FALSE))),$I$1),$I$1)</f>
        <v>0</v>
      </c>
      <c r="T125" s="15">
        <f>IFERROR(IF(ISBLANK(M125),IFERROR(VLOOKUP($D125,Sheet3!$H$2:$O$200,T$1,FALSE),IFERROR(VLOOKUP($E125,Sheet3!$H$2:$O$200,T$1,FALSE),VLOOKUP($F125,Sheet3!$H$2:$O$200,T$1,FALSE))),$I$1),$I$1)</f>
        <v>0</v>
      </c>
      <c r="U125" s="15">
        <f>IFERROR(IF(ISBLANK(N125),IFERROR(VLOOKUP($D125,Sheet3!$H$2:$O$200,U$1,FALSE),IFERROR(VLOOKUP($E125,Sheet3!$H$2:$O$200,U$1,FALSE),VLOOKUP($F125,Sheet3!$H$2:$O$200,U$1,FALSE))),$I$1),$I$1)</f>
        <v>0</v>
      </c>
      <c r="V125" s="15">
        <f>IFERROR(IF(ISBLANK(O125),IFERROR(VLOOKUP($D125,Sheet3!$H$2:$O$200,V$1,FALSE),IFERROR(VLOOKUP($E125,Sheet3!$H$2:$O$200,V$1,FALSE),VLOOKUP($F125,Sheet3!$H$2:$O$200,V$1,FALSE))),$I$1),$I$1)</f>
        <v>0</v>
      </c>
      <c r="W125" s="15">
        <f>IFERROR(IF(ISBLANK(P125),IFERROR(VLOOKUP($D125,Sheet3!$H$2:$O$200,W$1,FALSE),IFERROR(VLOOKUP($E125,Sheet3!$H$2:$O$200,W$1,FALSE),VLOOKUP($F125,Sheet3!$H$2:$O$200,W$1,FALSE))),$I$1),$I$1)</f>
        <v>0</v>
      </c>
      <c r="X125" s="15">
        <f>IFERROR(IF(ISBLANK(Q125),IFERROR(VLOOKUP($E125,Sheet3!$H$2:$O$200,X$1,FALSE),IFERROR(VLOOKUP($F125,Sheet3!$H$2:$O$200,X$1,FALSE),VLOOKUP($G125,Sheet3!$H$2:$O$200,X$1,FALSE))),$I$1),$I$1)</f>
        <v>0</v>
      </c>
      <c r="Y125" s="15">
        <f>IFERROR(IF(ISBLANK(R125),IFERROR(VLOOKUP($E125,Sheet3!$H$2:$O$200,Y$1,FALSE),IFERROR(VLOOKUP($F125,Sheet3!$H$2:$O$200,Y$1,FALSE),VLOOKUP($G125,Sheet3!$H$2:$O$200,Y$1,FALSE))),$I$1),$I$1)</f>
        <v>0</v>
      </c>
      <c r="Z125" s="15">
        <f>IFERROR(IF(ISBLANK(S125),IFERROR(VLOOKUP($E125,Sheet3!$H$2:$O$200,Z$1,FALSE),IFERROR(VLOOKUP($F125,Sheet3!$H$2:$O$200,Z$1,FALSE),VLOOKUP($G125,Sheet3!$H$2:$O$200,Z$1,FALSE))),$I$1),$I$1)</f>
        <v>0</v>
      </c>
      <c r="AA125" s="15">
        <f>IFERROR(IF(ISBLANK(T125),IFERROR(VLOOKUP($E125,Sheet3!$H$2:$O$200,AA$1,FALSE),IFERROR(VLOOKUP($F125,Sheet3!$H$2:$O$200,AA$1,FALSE),VLOOKUP($G125,Sheet3!$H$2:$O$200,AA$1,FALSE))),$I$1),$I$1)</f>
        <v>0</v>
      </c>
      <c r="AB125" s="15">
        <f>IFERROR(IF(ISBLANK(U125),IFERROR(VLOOKUP($E125,Sheet3!$H$2:$O$200,AB$1,FALSE),IFERROR(VLOOKUP($F125,Sheet3!$H$2:$O$200,AB$1,FALSE),VLOOKUP($G125,Sheet3!$H$2:$O$200,AB$1,FALSE))),$I$1),$I$1)</f>
        <v>0</v>
      </c>
      <c r="AC125" s="15">
        <f>IFERROR(IF(ISBLANK(V125),IFERROR(VLOOKUP($E125,Sheet3!$H$2:$O$200,AC$1,FALSE),IFERROR(VLOOKUP($F125,Sheet3!$H$2:$O$200,AC$1,FALSE),VLOOKUP($G125,Sheet3!$H$2:$O$200,AC$1,FALSE))),$I$1),$I$1)</f>
        <v>0</v>
      </c>
      <c r="AD125" s="15">
        <f>IFERROR(IF(ISBLANK(W125),IFERROR(VLOOKUP($E125,Sheet3!$H$2:$O$200,AD$1,FALSE),IFERROR(VLOOKUP($F125,Sheet3!$H$2:$O$200,AD$1,FALSE),VLOOKUP($G125,Sheet3!$H$2:$O$200,AD$1,FALSE))),$I$1),$I$1)</f>
        <v>0</v>
      </c>
      <c r="AE125" s="15">
        <f>IFERROR(IF(ISBLANK(X125),IFERROR(VLOOKUP($F125,Sheet3!$H$2:$O$200,AE$1,FALSE),VLOOKUP($G125,Sheet3!$H$2:$O$200,AE$1,FALSE)),$I$1),$I$1)</f>
        <v>0</v>
      </c>
      <c r="AF125" s="15">
        <f>IFERROR(IF(ISBLANK(Y125),IFERROR(VLOOKUP($F125,Sheet3!$H$2:$O$200,AF$1,FALSE),VLOOKUP($G125,Sheet3!$H$2:$O$200,AF$1,FALSE)),$I$1),$I$1)</f>
        <v>0</v>
      </c>
      <c r="AG125" s="15">
        <f>IFERROR(IF(ISBLANK(Z125),IFERROR(VLOOKUP($F125,Sheet3!$H$2:$O$200,AG$1,FALSE),VLOOKUP($G125,Sheet3!$H$2:$O$200,AG$1,FALSE)),$I$1),$I$1)</f>
        <v>0</v>
      </c>
      <c r="AH125" s="15">
        <f>IFERROR(IF(ISBLANK(AA125),IFERROR(VLOOKUP($F125,Sheet3!$H$2:$O$200,AH$1,FALSE),VLOOKUP($G125,Sheet3!$H$2:$O$200,AH$1,FALSE)),$I$1),$I$1)</f>
        <v>0</v>
      </c>
      <c r="AI125" s="15">
        <f>IFERROR(IF(ISBLANK(AB125),IFERROR(VLOOKUP($F125,Sheet3!$H$2:$O$200,AI$1,FALSE),VLOOKUP($G125,Sheet3!$H$2:$O$200,AI$1,FALSE)),$I$1),$I$1)</f>
        <v>0</v>
      </c>
      <c r="AJ125" s="15">
        <f>IFERROR(IF(ISBLANK(AC125),IFERROR(VLOOKUP($F125,Sheet3!$H$2:$O$200,AJ$1,FALSE),VLOOKUP($G125,Sheet3!$H$2:$O$200,AJ$1,FALSE)),$I$1),$I$1)</f>
        <v>0</v>
      </c>
      <c r="AK125" s="15">
        <f>IFERROR(IF(ISBLANK(AD125),IFERROR(VLOOKUP($F125,Sheet3!$H$2:$O$200,AK$1,FALSE),VLOOKUP($G125,Sheet3!$H$2:$O$200,AK$1,FALSE)),$I$1),$I$1)</f>
        <v>0</v>
      </c>
      <c r="AL125" s="15">
        <f>IFERROR(IF(ISBLANK(AE125),VLOOKUP($G125,Sheet3!$H$2:$O$200,AL$1,FALSE),$I$1),$I$1)</f>
        <v>0</v>
      </c>
      <c r="AM125" s="15">
        <f>IFERROR(IF(ISBLANK(AF125),VLOOKUP($G125,Sheet3!$H$2:$O$200,AM$1,FALSE),$I$1),$I$1)</f>
        <v>0</v>
      </c>
      <c r="AN125" s="15">
        <f>IFERROR(IF(ISBLANK(AG125),VLOOKUP($G125,Sheet3!$H$2:$O$200,AN$1,FALSE),$I$1),$I$1)</f>
        <v>0</v>
      </c>
      <c r="AO125" s="15">
        <f>IFERROR(IF(ISBLANK(AH125),VLOOKUP($G125,Sheet3!$H$2:$O$200,AO$1,FALSE),$I$1),$I$1)</f>
        <v>0</v>
      </c>
      <c r="AP125" s="15">
        <f>IFERROR(IF(ISBLANK(AI125),VLOOKUP($G125,Sheet3!$H$2:$O$200,AP$1,FALSE),$I$1),$I$1)</f>
        <v>0</v>
      </c>
      <c r="AQ125" s="15">
        <f>IFERROR(IF(ISBLANK(AJ125),VLOOKUP($G125,Sheet3!$H$2:$O$200,AQ$1,FALSE),$I$1),$I$1)</f>
        <v>0</v>
      </c>
      <c r="AR125" s="15">
        <f>IFERROR(IF(ISBLANK(AK125),VLOOKUP($G125,Sheet3!$H$2:$O$200,AR$1,FALSE),$I$1),$I$1)</f>
        <v>0</v>
      </c>
      <c r="AS125" s="15">
        <f t="shared" si="1"/>
        <v>28</v>
      </c>
      <c r="AT125" s="15" t="b">
        <f t="shared" si="2"/>
        <v>0</v>
      </c>
    </row>
    <row r="126" spans="1:46" x14ac:dyDescent="0.2">
      <c r="A126" s="19" t="s">
        <v>276</v>
      </c>
      <c r="B126" s="19" t="s">
        <v>265</v>
      </c>
      <c r="C126" s="19"/>
      <c r="D126" s="18" t="s">
        <v>90</v>
      </c>
      <c r="E126" s="19" t="s">
        <v>55</v>
      </c>
      <c r="F126" s="18" t="s">
        <v>78</v>
      </c>
      <c r="G126" s="19"/>
      <c r="H126" s="19" t="s">
        <v>276</v>
      </c>
      <c r="I126" s="15">
        <f t="shared" si="0"/>
        <v>3</v>
      </c>
      <c r="J126" s="15">
        <f>IFERROR(VLOOKUP($C126,Sheet3!$H$2:$O$200,J$1,FALSE),IFERROR(VLOOKUP($D126,Sheet3!$H$2:$O$200,J$1,FALSE),VLOOKUP($E126,Sheet3!$H$2:$O$200,J$1,FALSE)))</f>
        <v>0</v>
      </c>
      <c r="K126" s="15">
        <f>IFERROR(VLOOKUP($C126,Sheet3!$H$2:$O$200,K$1,FALSE),IFERROR(VLOOKUP($D126,Sheet3!$H$2:$O$200,K$1,FALSE),VLOOKUP($E126,Sheet3!$H$2:$O$200,K$1,FALSE)))</f>
        <v>0</v>
      </c>
      <c r="L126" s="15" t="str">
        <f>IFERROR(VLOOKUP($C126,Sheet3!$H$2:$O$200,L$1,FALSE),IFERROR(VLOOKUP($D126,Sheet3!$H$2:$O$200,L$1,FALSE),VLOOKUP($E126,Sheet3!$H$2:$O$200,L$1,FALSE)))</f>
        <v>lime juice</v>
      </c>
      <c r="M126" s="15">
        <f>IFERROR(VLOOKUP($C126,Sheet3!$H$2:$O$200,M$1,FALSE),IFERROR(VLOOKUP($D126,Sheet3!$H$2:$O$200,M$1,FALSE),VLOOKUP($E126,Sheet3!$H$2:$O$200,M$1,FALSE)))</f>
        <v>0</v>
      </c>
      <c r="N126" s="15">
        <f>IFERROR(VLOOKUP($C126,Sheet3!$H$2:$O$200,N$1,FALSE),IFERROR(VLOOKUP($D126,Sheet3!$H$2:$O$200,N$1,FALSE),VLOOKUP($E126,Sheet3!$H$2:$O$200,N$1,FALSE)))</f>
        <v>0</v>
      </c>
      <c r="O126" s="15">
        <f>IFERROR(VLOOKUP($C126,Sheet3!$H$2:$O$200,O$1,FALSE),IFERROR(VLOOKUP($D126,Sheet3!$H$2:$O$200,O$1,FALSE),VLOOKUP($E126,Sheet3!$H$2:$O$200,O$1,FALSE)))</f>
        <v>0</v>
      </c>
      <c r="P126" s="15">
        <f>IFERROR(VLOOKUP($C126,Sheet3!$H$2:$O$200,P$1,FALSE),IFERROR(VLOOKUP($D126,Sheet3!$H$2:$O$200,P$1,FALSE),VLOOKUP($E126,Sheet3!$H$2:$O$200,P$1,FALSE)))</f>
        <v>0</v>
      </c>
      <c r="Q126" s="15">
        <f>IFERROR(IF(ISBLANK(J126),IFERROR(VLOOKUP($D126,Sheet3!$H$2:$O$200,Q$1,FALSE),IFERROR(VLOOKUP($E126,Sheet3!$H$2:$O$200,Q$1,FALSE),VLOOKUP($F126,Sheet3!$H$2:$O$200,Q$1,FALSE))),$I$1),$I$1)</f>
        <v>0</v>
      </c>
      <c r="R126" s="15">
        <f>IFERROR(IF(ISBLANK(K126),IFERROR(VLOOKUP($D126,Sheet3!$H$2:$O$200,R$1,FALSE),IFERROR(VLOOKUP($E126,Sheet3!$H$2:$O$200,R$1,FALSE),VLOOKUP($F126,Sheet3!$H$2:$O$200,R$1,FALSE))),$I$1),$I$1)</f>
        <v>0</v>
      </c>
      <c r="S126" s="15">
        <f>IFERROR(IF(ISBLANK(L126),IFERROR(VLOOKUP($D126,Sheet3!$H$2:$O$200,S$1,FALSE),IFERROR(VLOOKUP($E126,Sheet3!$H$2:$O$200,S$1,FALSE),VLOOKUP($F126,Sheet3!$H$2:$O$200,S$1,FALSE))),$I$1),$I$1)</f>
        <v>0</v>
      </c>
      <c r="T126" s="15">
        <f>IFERROR(IF(ISBLANK(M126),IFERROR(VLOOKUP($D126,Sheet3!$H$2:$O$200,T$1,FALSE),IFERROR(VLOOKUP($E126,Sheet3!$H$2:$O$200,T$1,FALSE),VLOOKUP($F126,Sheet3!$H$2:$O$200,T$1,FALSE))),$I$1),$I$1)</f>
        <v>0</v>
      </c>
      <c r="U126" s="15">
        <f>IFERROR(IF(ISBLANK(N126),IFERROR(VLOOKUP($D126,Sheet3!$H$2:$O$200,U$1,FALSE),IFERROR(VLOOKUP($E126,Sheet3!$H$2:$O$200,U$1,FALSE),VLOOKUP($F126,Sheet3!$H$2:$O$200,U$1,FALSE))),$I$1),$I$1)</f>
        <v>0</v>
      </c>
      <c r="V126" s="15">
        <f>IFERROR(IF(ISBLANK(O126),IFERROR(VLOOKUP($D126,Sheet3!$H$2:$O$200,V$1,FALSE),IFERROR(VLOOKUP($E126,Sheet3!$H$2:$O$200,V$1,FALSE),VLOOKUP($F126,Sheet3!$H$2:$O$200,V$1,FALSE))),$I$1),$I$1)</f>
        <v>0</v>
      </c>
      <c r="W126" s="15">
        <f>IFERROR(IF(ISBLANK(P126),IFERROR(VLOOKUP($D126,Sheet3!$H$2:$O$200,W$1,FALSE),IFERROR(VLOOKUP($E126,Sheet3!$H$2:$O$200,W$1,FALSE),VLOOKUP($F126,Sheet3!$H$2:$O$200,W$1,FALSE))),$I$1),$I$1)</f>
        <v>0</v>
      </c>
      <c r="X126" s="15">
        <f>IFERROR(IF(ISBLANK(Q126),IFERROR(VLOOKUP($E126,Sheet3!$H$2:$O$200,X$1,FALSE),IFERROR(VLOOKUP($F126,Sheet3!$H$2:$O$200,X$1,FALSE),VLOOKUP($G126,Sheet3!$H$2:$O$200,X$1,FALSE))),$I$1),$I$1)</f>
        <v>0</v>
      </c>
      <c r="Y126" s="15">
        <f>IFERROR(IF(ISBLANK(R126),IFERROR(VLOOKUP($E126,Sheet3!$H$2:$O$200,Y$1,FALSE),IFERROR(VLOOKUP($F126,Sheet3!$H$2:$O$200,Y$1,FALSE),VLOOKUP($G126,Sheet3!$H$2:$O$200,Y$1,FALSE))),$I$1),$I$1)</f>
        <v>0</v>
      </c>
      <c r="Z126" s="15">
        <f>IFERROR(IF(ISBLANK(S126),IFERROR(VLOOKUP($E126,Sheet3!$H$2:$O$200,Z$1,FALSE),IFERROR(VLOOKUP($F126,Sheet3!$H$2:$O$200,Z$1,FALSE),VLOOKUP($G126,Sheet3!$H$2:$O$200,Z$1,FALSE))),$I$1),$I$1)</f>
        <v>0</v>
      </c>
      <c r="AA126" s="15">
        <f>IFERROR(IF(ISBLANK(T126),IFERROR(VLOOKUP($E126,Sheet3!$H$2:$O$200,AA$1,FALSE),IFERROR(VLOOKUP($F126,Sheet3!$H$2:$O$200,AA$1,FALSE),VLOOKUP($G126,Sheet3!$H$2:$O$200,AA$1,FALSE))),$I$1),$I$1)</f>
        <v>0</v>
      </c>
      <c r="AB126" s="15">
        <f>IFERROR(IF(ISBLANK(U126),IFERROR(VLOOKUP($E126,Sheet3!$H$2:$O$200,AB$1,FALSE),IFERROR(VLOOKUP($F126,Sheet3!$H$2:$O$200,AB$1,FALSE),VLOOKUP($G126,Sheet3!$H$2:$O$200,AB$1,FALSE))),$I$1),$I$1)</f>
        <v>0</v>
      </c>
      <c r="AC126" s="15">
        <f>IFERROR(IF(ISBLANK(V126),IFERROR(VLOOKUP($E126,Sheet3!$H$2:$O$200,AC$1,FALSE),IFERROR(VLOOKUP($F126,Sheet3!$H$2:$O$200,AC$1,FALSE),VLOOKUP($G126,Sheet3!$H$2:$O$200,AC$1,FALSE))),$I$1),$I$1)</f>
        <v>0</v>
      </c>
      <c r="AD126" s="15">
        <f>IFERROR(IF(ISBLANK(W126),IFERROR(VLOOKUP($E126,Sheet3!$H$2:$O$200,AD$1,FALSE),IFERROR(VLOOKUP($F126,Sheet3!$H$2:$O$200,AD$1,FALSE),VLOOKUP($G126,Sheet3!$H$2:$O$200,AD$1,FALSE))),$I$1),$I$1)</f>
        <v>0</v>
      </c>
      <c r="AE126" s="15">
        <f>IFERROR(IF(ISBLANK(X126),IFERROR(VLOOKUP($F126,Sheet3!$H$2:$O$200,AE$1,FALSE),VLOOKUP($G126,Sheet3!$H$2:$O$200,AE$1,FALSE)),$I$1),$I$1)</f>
        <v>0</v>
      </c>
      <c r="AF126" s="15">
        <f>IFERROR(IF(ISBLANK(Y126),IFERROR(VLOOKUP($F126,Sheet3!$H$2:$O$200,AF$1,FALSE),VLOOKUP($G126,Sheet3!$H$2:$O$200,AF$1,FALSE)),$I$1),$I$1)</f>
        <v>0</v>
      </c>
      <c r="AG126" s="15">
        <f>IFERROR(IF(ISBLANK(Z126),IFERROR(VLOOKUP($F126,Sheet3!$H$2:$O$200,AG$1,FALSE),VLOOKUP($G126,Sheet3!$H$2:$O$200,AG$1,FALSE)),$I$1),$I$1)</f>
        <v>0</v>
      </c>
      <c r="AH126" s="15">
        <f>IFERROR(IF(ISBLANK(AA126),IFERROR(VLOOKUP($F126,Sheet3!$H$2:$O$200,AH$1,FALSE),VLOOKUP($G126,Sheet3!$H$2:$O$200,AH$1,FALSE)),$I$1),$I$1)</f>
        <v>0</v>
      </c>
      <c r="AI126" s="15">
        <f>IFERROR(IF(ISBLANK(AB126),IFERROR(VLOOKUP($F126,Sheet3!$H$2:$O$200,AI$1,FALSE),VLOOKUP($G126,Sheet3!$H$2:$O$200,AI$1,FALSE)),$I$1),$I$1)</f>
        <v>0</v>
      </c>
      <c r="AJ126" s="15">
        <f>IFERROR(IF(ISBLANK(AC126),IFERROR(VLOOKUP($F126,Sheet3!$H$2:$O$200,AJ$1,FALSE),VLOOKUP($G126,Sheet3!$H$2:$O$200,AJ$1,FALSE)),$I$1),$I$1)</f>
        <v>0</v>
      </c>
      <c r="AK126" s="15">
        <f>IFERROR(IF(ISBLANK(AD126),IFERROR(VLOOKUP($F126,Sheet3!$H$2:$O$200,AK$1,FALSE),VLOOKUP($G126,Sheet3!$H$2:$O$200,AK$1,FALSE)),$I$1),$I$1)</f>
        <v>0</v>
      </c>
      <c r="AL126" s="15">
        <f>IFERROR(IF(ISBLANK(AE126),VLOOKUP($G126,Sheet3!$H$2:$O$200,AL$1,FALSE),$I$1),$I$1)</f>
        <v>0</v>
      </c>
      <c r="AM126" s="15">
        <f>IFERROR(IF(ISBLANK(AF126),VLOOKUP($G126,Sheet3!$H$2:$O$200,AM$1,FALSE),$I$1),$I$1)</f>
        <v>0</v>
      </c>
      <c r="AN126" s="15">
        <f>IFERROR(IF(ISBLANK(AG126),VLOOKUP($G126,Sheet3!$H$2:$O$200,AN$1,FALSE),$I$1),$I$1)</f>
        <v>0</v>
      </c>
      <c r="AO126" s="15">
        <f>IFERROR(IF(ISBLANK(AH126),VLOOKUP($G126,Sheet3!$H$2:$O$200,AO$1,FALSE),$I$1),$I$1)</f>
        <v>0</v>
      </c>
      <c r="AP126" s="15">
        <f>IFERROR(IF(ISBLANK(AI126),VLOOKUP($G126,Sheet3!$H$2:$O$200,AP$1,FALSE),$I$1),$I$1)</f>
        <v>0</v>
      </c>
      <c r="AQ126" s="15">
        <f>IFERROR(IF(ISBLANK(AJ126),VLOOKUP($G126,Sheet3!$H$2:$O$200,AQ$1,FALSE),$I$1),$I$1)</f>
        <v>0</v>
      </c>
      <c r="AR126" s="15">
        <f>IFERROR(IF(ISBLANK(AK126),VLOOKUP($G126,Sheet3!$H$2:$O$200,AR$1,FALSE),$I$1),$I$1)</f>
        <v>0</v>
      </c>
      <c r="AS126" s="15">
        <f t="shared" si="1"/>
        <v>28</v>
      </c>
      <c r="AT126" s="15" t="b">
        <f t="shared" si="2"/>
        <v>0</v>
      </c>
    </row>
    <row r="127" spans="1:46" x14ac:dyDescent="0.2">
      <c r="A127" s="19" t="s">
        <v>277</v>
      </c>
      <c r="B127" s="19" t="s">
        <v>265</v>
      </c>
      <c r="C127" s="19"/>
      <c r="D127" s="18" t="s">
        <v>90</v>
      </c>
      <c r="E127" s="19" t="s">
        <v>55</v>
      </c>
      <c r="F127" s="18" t="s">
        <v>78</v>
      </c>
      <c r="G127" s="18" t="s">
        <v>66</v>
      </c>
      <c r="H127" s="19" t="s">
        <v>277</v>
      </c>
      <c r="I127" s="15">
        <f t="shared" si="0"/>
        <v>4</v>
      </c>
      <c r="J127" s="15">
        <f>IFERROR(VLOOKUP($C127,Sheet3!$H$2:$O$200,J$1,FALSE),IFERROR(VLOOKUP($D127,Sheet3!$H$2:$O$200,J$1,FALSE),VLOOKUP($E127,Sheet3!$H$2:$O$200,J$1,FALSE)))</f>
        <v>0</v>
      </c>
      <c r="K127" s="15">
        <f>IFERROR(VLOOKUP($C127,Sheet3!$H$2:$O$200,K$1,FALSE),IFERROR(VLOOKUP($D127,Sheet3!$H$2:$O$200,K$1,FALSE),VLOOKUP($E127,Sheet3!$H$2:$O$200,K$1,FALSE)))</f>
        <v>0</v>
      </c>
      <c r="L127" s="15" t="str">
        <f>IFERROR(VLOOKUP($C127,Sheet3!$H$2:$O$200,L$1,FALSE),IFERROR(VLOOKUP($D127,Sheet3!$H$2:$O$200,L$1,FALSE),VLOOKUP($E127,Sheet3!$H$2:$O$200,L$1,FALSE)))</f>
        <v>lime juice</v>
      </c>
      <c r="M127" s="15">
        <f>IFERROR(VLOOKUP($C127,Sheet3!$H$2:$O$200,M$1,FALSE),IFERROR(VLOOKUP($D127,Sheet3!$H$2:$O$200,M$1,FALSE),VLOOKUP($E127,Sheet3!$H$2:$O$200,M$1,FALSE)))</f>
        <v>0</v>
      </c>
      <c r="N127" s="15">
        <f>IFERROR(VLOOKUP($C127,Sheet3!$H$2:$O$200,N$1,FALSE),IFERROR(VLOOKUP($D127,Sheet3!$H$2:$O$200,N$1,FALSE),VLOOKUP($E127,Sheet3!$H$2:$O$200,N$1,FALSE)))</f>
        <v>0</v>
      </c>
      <c r="O127" s="15">
        <f>IFERROR(VLOOKUP($C127,Sheet3!$H$2:$O$200,O$1,FALSE),IFERROR(VLOOKUP($D127,Sheet3!$H$2:$O$200,O$1,FALSE),VLOOKUP($E127,Sheet3!$H$2:$O$200,O$1,FALSE)))</f>
        <v>0</v>
      </c>
      <c r="P127" s="15">
        <f>IFERROR(VLOOKUP($C127,Sheet3!$H$2:$O$200,P$1,FALSE),IFERROR(VLOOKUP($D127,Sheet3!$H$2:$O$200,P$1,FALSE),VLOOKUP($E127,Sheet3!$H$2:$O$200,P$1,FALSE)))</f>
        <v>0</v>
      </c>
      <c r="Q127" s="15">
        <f>IFERROR(IF(ISBLANK(J127),IFERROR(VLOOKUP($D127,Sheet3!$H$2:$O$200,Q$1,FALSE),IFERROR(VLOOKUP($E127,Sheet3!$H$2:$O$200,Q$1,FALSE),VLOOKUP($F127,Sheet3!$H$2:$O$200,Q$1,FALSE))),$I$1),$I$1)</f>
        <v>0</v>
      </c>
      <c r="R127" s="15">
        <f>IFERROR(IF(ISBLANK(K127),IFERROR(VLOOKUP($D127,Sheet3!$H$2:$O$200,R$1,FALSE),IFERROR(VLOOKUP($E127,Sheet3!$H$2:$O$200,R$1,FALSE),VLOOKUP($F127,Sheet3!$H$2:$O$200,R$1,FALSE))),$I$1),$I$1)</f>
        <v>0</v>
      </c>
      <c r="S127" s="15">
        <f>IFERROR(IF(ISBLANK(L127),IFERROR(VLOOKUP($D127,Sheet3!$H$2:$O$200,S$1,FALSE),IFERROR(VLOOKUP($E127,Sheet3!$H$2:$O$200,S$1,FALSE),VLOOKUP($F127,Sheet3!$H$2:$O$200,S$1,FALSE))),$I$1),$I$1)</f>
        <v>0</v>
      </c>
      <c r="T127" s="15">
        <f>IFERROR(IF(ISBLANK(M127),IFERROR(VLOOKUP($D127,Sheet3!$H$2:$O$200,T$1,FALSE),IFERROR(VLOOKUP($E127,Sheet3!$H$2:$O$200,T$1,FALSE),VLOOKUP($F127,Sheet3!$H$2:$O$200,T$1,FALSE))),$I$1),$I$1)</f>
        <v>0</v>
      </c>
      <c r="U127" s="15">
        <f>IFERROR(IF(ISBLANK(N127),IFERROR(VLOOKUP($D127,Sheet3!$H$2:$O$200,U$1,FALSE),IFERROR(VLOOKUP($E127,Sheet3!$H$2:$O$200,U$1,FALSE),VLOOKUP($F127,Sheet3!$H$2:$O$200,U$1,FALSE))),$I$1),$I$1)</f>
        <v>0</v>
      </c>
      <c r="V127" s="15">
        <f>IFERROR(IF(ISBLANK(O127),IFERROR(VLOOKUP($D127,Sheet3!$H$2:$O$200,V$1,FALSE),IFERROR(VLOOKUP($E127,Sheet3!$H$2:$O$200,V$1,FALSE),VLOOKUP($F127,Sheet3!$H$2:$O$200,V$1,FALSE))),$I$1),$I$1)</f>
        <v>0</v>
      </c>
      <c r="W127" s="15">
        <f>IFERROR(IF(ISBLANK(P127),IFERROR(VLOOKUP($D127,Sheet3!$H$2:$O$200,W$1,FALSE),IFERROR(VLOOKUP($E127,Sheet3!$H$2:$O$200,W$1,FALSE),VLOOKUP($F127,Sheet3!$H$2:$O$200,W$1,FALSE))),$I$1),$I$1)</f>
        <v>0</v>
      </c>
      <c r="X127" s="15">
        <f>IFERROR(IF(ISBLANK(Q127),IFERROR(VLOOKUP($E127,Sheet3!$H$2:$O$200,X$1,FALSE),IFERROR(VLOOKUP($F127,Sheet3!$H$2:$O$200,X$1,FALSE),VLOOKUP($G127,Sheet3!$H$2:$O$200,X$1,FALSE))),$I$1),$I$1)</f>
        <v>0</v>
      </c>
      <c r="Y127" s="15">
        <f>IFERROR(IF(ISBLANK(R127),IFERROR(VLOOKUP($E127,Sheet3!$H$2:$O$200,Y$1,FALSE),IFERROR(VLOOKUP($F127,Sheet3!$H$2:$O$200,Y$1,FALSE),VLOOKUP($G127,Sheet3!$H$2:$O$200,Y$1,FALSE))),$I$1),$I$1)</f>
        <v>0</v>
      </c>
      <c r="Z127" s="15">
        <f>IFERROR(IF(ISBLANK(S127),IFERROR(VLOOKUP($E127,Sheet3!$H$2:$O$200,Z$1,FALSE),IFERROR(VLOOKUP($F127,Sheet3!$H$2:$O$200,Z$1,FALSE),VLOOKUP($G127,Sheet3!$H$2:$O$200,Z$1,FALSE))),$I$1),$I$1)</f>
        <v>0</v>
      </c>
      <c r="AA127" s="15">
        <f>IFERROR(IF(ISBLANK(T127),IFERROR(VLOOKUP($E127,Sheet3!$H$2:$O$200,AA$1,FALSE),IFERROR(VLOOKUP($F127,Sheet3!$H$2:$O$200,AA$1,FALSE),VLOOKUP($G127,Sheet3!$H$2:$O$200,AA$1,FALSE))),$I$1),$I$1)</f>
        <v>0</v>
      </c>
      <c r="AB127" s="15">
        <f>IFERROR(IF(ISBLANK(U127),IFERROR(VLOOKUP($E127,Sheet3!$H$2:$O$200,AB$1,FALSE),IFERROR(VLOOKUP($F127,Sheet3!$H$2:$O$200,AB$1,FALSE),VLOOKUP($G127,Sheet3!$H$2:$O$200,AB$1,FALSE))),$I$1),$I$1)</f>
        <v>0</v>
      </c>
      <c r="AC127" s="15">
        <f>IFERROR(IF(ISBLANK(V127),IFERROR(VLOOKUP($E127,Sheet3!$H$2:$O$200,AC$1,FALSE),IFERROR(VLOOKUP($F127,Sheet3!$H$2:$O$200,AC$1,FALSE),VLOOKUP($G127,Sheet3!$H$2:$O$200,AC$1,FALSE))),$I$1),$I$1)</f>
        <v>0</v>
      </c>
      <c r="AD127" s="15">
        <f>IFERROR(IF(ISBLANK(W127),IFERROR(VLOOKUP($E127,Sheet3!$H$2:$O$200,AD$1,FALSE),IFERROR(VLOOKUP($F127,Sheet3!$H$2:$O$200,AD$1,FALSE),VLOOKUP($G127,Sheet3!$H$2:$O$200,AD$1,FALSE))),$I$1),$I$1)</f>
        <v>0</v>
      </c>
      <c r="AE127" s="15">
        <f>IFERROR(IF(ISBLANK(X127),IFERROR(VLOOKUP($F127,Sheet3!$H$2:$O$200,AE$1,FALSE),VLOOKUP($G127,Sheet3!$H$2:$O$200,AE$1,FALSE)),$I$1),$I$1)</f>
        <v>0</v>
      </c>
      <c r="AF127" s="15">
        <f>IFERROR(IF(ISBLANK(Y127),IFERROR(VLOOKUP($F127,Sheet3!$H$2:$O$200,AF$1,FALSE),VLOOKUP($G127,Sheet3!$H$2:$O$200,AF$1,FALSE)),$I$1),$I$1)</f>
        <v>0</v>
      </c>
      <c r="AG127" s="15">
        <f>IFERROR(IF(ISBLANK(Z127),IFERROR(VLOOKUP($F127,Sheet3!$H$2:$O$200,AG$1,FALSE),VLOOKUP($G127,Sheet3!$H$2:$O$200,AG$1,FALSE)),$I$1),$I$1)</f>
        <v>0</v>
      </c>
      <c r="AH127" s="15">
        <f>IFERROR(IF(ISBLANK(AA127),IFERROR(VLOOKUP($F127,Sheet3!$H$2:$O$200,AH$1,FALSE),VLOOKUP($G127,Sheet3!$H$2:$O$200,AH$1,FALSE)),$I$1),$I$1)</f>
        <v>0</v>
      </c>
      <c r="AI127" s="15">
        <f>IFERROR(IF(ISBLANK(AB127),IFERROR(VLOOKUP($F127,Sheet3!$H$2:$O$200,AI$1,FALSE),VLOOKUP($G127,Sheet3!$H$2:$O$200,AI$1,FALSE)),$I$1),$I$1)</f>
        <v>0</v>
      </c>
      <c r="AJ127" s="15">
        <f>IFERROR(IF(ISBLANK(AC127),IFERROR(VLOOKUP($F127,Sheet3!$H$2:$O$200,AJ$1,FALSE),VLOOKUP($G127,Sheet3!$H$2:$O$200,AJ$1,FALSE)),$I$1),$I$1)</f>
        <v>0</v>
      </c>
      <c r="AK127" s="15">
        <f>IFERROR(IF(ISBLANK(AD127),IFERROR(VLOOKUP($F127,Sheet3!$H$2:$O$200,AK$1,FALSE),VLOOKUP($G127,Sheet3!$H$2:$O$200,AK$1,FALSE)),$I$1),$I$1)</f>
        <v>0</v>
      </c>
      <c r="AL127" s="15">
        <f>IFERROR(IF(ISBLANK(AE127),VLOOKUP($G127,Sheet3!$H$2:$O$200,AL$1,FALSE),$I$1),$I$1)</f>
        <v>0</v>
      </c>
      <c r="AM127" s="15">
        <f>IFERROR(IF(ISBLANK(AF127),VLOOKUP($G127,Sheet3!$H$2:$O$200,AM$1,FALSE),$I$1),$I$1)</f>
        <v>0</v>
      </c>
      <c r="AN127" s="15">
        <f>IFERROR(IF(ISBLANK(AG127),VLOOKUP($G127,Sheet3!$H$2:$O$200,AN$1,FALSE),$I$1),$I$1)</f>
        <v>0</v>
      </c>
      <c r="AO127" s="15">
        <f>IFERROR(IF(ISBLANK(AH127),VLOOKUP($G127,Sheet3!$H$2:$O$200,AO$1,FALSE),$I$1),$I$1)</f>
        <v>0</v>
      </c>
      <c r="AP127" s="15">
        <f>IFERROR(IF(ISBLANK(AI127),VLOOKUP($G127,Sheet3!$H$2:$O$200,AP$1,FALSE),$I$1),$I$1)</f>
        <v>0</v>
      </c>
      <c r="AQ127" s="15">
        <f>IFERROR(IF(ISBLANK(AJ127),VLOOKUP($G127,Sheet3!$H$2:$O$200,AQ$1,FALSE),$I$1),$I$1)</f>
        <v>0</v>
      </c>
      <c r="AR127" s="15">
        <f>IFERROR(IF(ISBLANK(AK127),VLOOKUP($G127,Sheet3!$H$2:$O$200,AR$1,FALSE),$I$1),$I$1)</f>
        <v>0</v>
      </c>
      <c r="AS127" s="15">
        <f t="shared" si="1"/>
        <v>28</v>
      </c>
      <c r="AT127" s="15" t="b">
        <f t="shared" si="2"/>
        <v>0</v>
      </c>
    </row>
    <row r="128" spans="1:46" x14ac:dyDescent="0.2">
      <c r="A128" s="19" t="s">
        <v>278</v>
      </c>
      <c r="B128" s="19" t="s">
        <v>265</v>
      </c>
      <c r="C128" s="19"/>
      <c r="D128" s="19" t="s">
        <v>90</v>
      </c>
      <c r="E128" s="19" t="s">
        <v>86</v>
      </c>
      <c r="F128" s="19" t="s">
        <v>45</v>
      </c>
      <c r="G128" s="19"/>
      <c r="H128" s="19" t="s">
        <v>278</v>
      </c>
      <c r="I128" s="15">
        <f t="shared" si="0"/>
        <v>3</v>
      </c>
      <c r="J128" s="15">
        <f>IFERROR(VLOOKUP($C128,Sheet3!$H$2:$O$200,J$1,FALSE),IFERROR(VLOOKUP($D128,Sheet3!$H$2:$O$200,J$1,FALSE),VLOOKUP($E128,Sheet3!$H$2:$O$200,J$1,FALSE)))</f>
        <v>0</v>
      </c>
      <c r="K128" s="15">
        <f>IFERROR(VLOOKUP($C128,Sheet3!$H$2:$O$200,K$1,FALSE),IFERROR(VLOOKUP($D128,Sheet3!$H$2:$O$200,K$1,FALSE),VLOOKUP($E128,Sheet3!$H$2:$O$200,K$1,FALSE)))</f>
        <v>0</v>
      </c>
      <c r="L128" s="15" t="str">
        <f>IFERROR(VLOOKUP($C128,Sheet3!$H$2:$O$200,L$1,FALSE),IFERROR(VLOOKUP($D128,Sheet3!$H$2:$O$200,L$1,FALSE),VLOOKUP($E128,Sheet3!$H$2:$O$200,L$1,FALSE)))</f>
        <v>lime juice</v>
      </c>
      <c r="M128" s="15">
        <f>IFERROR(VLOOKUP($C128,Sheet3!$H$2:$O$200,M$1,FALSE),IFERROR(VLOOKUP($D128,Sheet3!$H$2:$O$200,M$1,FALSE),VLOOKUP($E128,Sheet3!$H$2:$O$200,M$1,FALSE)))</f>
        <v>0</v>
      </c>
      <c r="N128" s="15">
        <f>IFERROR(VLOOKUP($C128,Sheet3!$H$2:$O$200,N$1,FALSE),IFERROR(VLOOKUP($D128,Sheet3!$H$2:$O$200,N$1,FALSE),VLOOKUP($E128,Sheet3!$H$2:$O$200,N$1,FALSE)))</f>
        <v>0</v>
      </c>
      <c r="O128" s="15">
        <f>IFERROR(VLOOKUP($C128,Sheet3!$H$2:$O$200,O$1,FALSE),IFERROR(VLOOKUP($D128,Sheet3!$H$2:$O$200,O$1,FALSE),VLOOKUP($E128,Sheet3!$H$2:$O$200,O$1,FALSE)))</f>
        <v>0</v>
      </c>
      <c r="P128" s="15">
        <f>IFERROR(VLOOKUP($C128,Sheet3!$H$2:$O$200,P$1,FALSE),IFERROR(VLOOKUP($D128,Sheet3!$H$2:$O$200,P$1,FALSE),VLOOKUP($E128,Sheet3!$H$2:$O$200,P$1,FALSE)))</f>
        <v>0</v>
      </c>
      <c r="Q128" s="15">
        <f>IFERROR(IF(ISBLANK(J128),IFERROR(VLOOKUP($D128,Sheet3!$H$2:$O$200,Q$1,FALSE),IFERROR(VLOOKUP($E128,Sheet3!$H$2:$O$200,Q$1,FALSE),VLOOKUP($F128,Sheet3!$H$2:$O$200,Q$1,FALSE))),$I$1),$I$1)</f>
        <v>0</v>
      </c>
      <c r="R128" s="15">
        <f>IFERROR(IF(ISBLANK(K128),IFERROR(VLOOKUP($D128,Sheet3!$H$2:$O$200,R$1,FALSE),IFERROR(VLOOKUP($E128,Sheet3!$H$2:$O$200,R$1,FALSE),VLOOKUP($F128,Sheet3!$H$2:$O$200,R$1,FALSE))),$I$1),$I$1)</f>
        <v>0</v>
      </c>
      <c r="S128" s="15">
        <f>IFERROR(IF(ISBLANK(L128),IFERROR(VLOOKUP($D128,Sheet3!$H$2:$O$200,S$1,FALSE),IFERROR(VLOOKUP($E128,Sheet3!$H$2:$O$200,S$1,FALSE),VLOOKUP($F128,Sheet3!$H$2:$O$200,S$1,FALSE))),$I$1),$I$1)</f>
        <v>0</v>
      </c>
      <c r="T128" s="15">
        <f>IFERROR(IF(ISBLANK(M128),IFERROR(VLOOKUP($D128,Sheet3!$H$2:$O$200,T$1,FALSE),IFERROR(VLOOKUP($E128,Sheet3!$H$2:$O$200,T$1,FALSE),VLOOKUP($F128,Sheet3!$H$2:$O$200,T$1,FALSE))),$I$1),$I$1)</f>
        <v>0</v>
      </c>
      <c r="U128" s="15">
        <f>IFERROR(IF(ISBLANK(N128),IFERROR(VLOOKUP($D128,Sheet3!$H$2:$O$200,U$1,FALSE),IFERROR(VLOOKUP($E128,Sheet3!$H$2:$O$200,U$1,FALSE),VLOOKUP($F128,Sheet3!$H$2:$O$200,U$1,FALSE))),$I$1),$I$1)</f>
        <v>0</v>
      </c>
      <c r="V128" s="15">
        <f>IFERROR(IF(ISBLANK(O128),IFERROR(VLOOKUP($D128,Sheet3!$H$2:$O$200,V$1,FALSE),IFERROR(VLOOKUP($E128,Sheet3!$H$2:$O$200,V$1,FALSE),VLOOKUP($F128,Sheet3!$H$2:$O$200,V$1,FALSE))),$I$1),$I$1)</f>
        <v>0</v>
      </c>
      <c r="W128" s="15">
        <f>IFERROR(IF(ISBLANK(P128),IFERROR(VLOOKUP($D128,Sheet3!$H$2:$O$200,W$1,FALSE),IFERROR(VLOOKUP($E128,Sheet3!$H$2:$O$200,W$1,FALSE),VLOOKUP($F128,Sheet3!$H$2:$O$200,W$1,FALSE))),$I$1),$I$1)</f>
        <v>0</v>
      </c>
      <c r="X128" s="15">
        <f>IFERROR(IF(ISBLANK(Q128),IFERROR(VLOOKUP($E128,Sheet3!$H$2:$O$200,X$1,FALSE),IFERROR(VLOOKUP($F128,Sheet3!$H$2:$O$200,X$1,FALSE),VLOOKUP($G128,Sheet3!$H$2:$O$200,X$1,FALSE))),$I$1),$I$1)</f>
        <v>0</v>
      </c>
      <c r="Y128" s="15">
        <f>IFERROR(IF(ISBLANK(R128),IFERROR(VLOOKUP($E128,Sheet3!$H$2:$O$200,Y$1,FALSE),IFERROR(VLOOKUP($F128,Sheet3!$H$2:$O$200,Y$1,FALSE),VLOOKUP($G128,Sheet3!$H$2:$O$200,Y$1,FALSE))),$I$1),$I$1)</f>
        <v>0</v>
      </c>
      <c r="Z128" s="15">
        <f>IFERROR(IF(ISBLANK(S128),IFERROR(VLOOKUP($E128,Sheet3!$H$2:$O$200,Z$1,FALSE),IFERROR(VLOOKUP($F128,Sheet3!$H$2:$O$200,Z$1,FALSE),VLOOKUP($G128,Sheet3!$H$2:$O$200,Z$1,FALSE))),$I$1),$I$1)</f>
        <v>0</v>
      </c>
      <c r="AA128" s="15">
        <f>IFERROR(IF(ISBLANK(T128),IFERROR(VLOOKUP($E128,Sheet3!$H$2:$O$200,AA$1,FALSE),IFERROR(VLOOKUP($F128,Sheet3!$H$2:$O$200,AA$1,FALSE),VLOOKUP($G128,Sheet3!$H$2:$O$200,AA$1,FALSE))),$I$1),$I$1)</f>
        <v>0</v>
      </c>
      <c r="AB128" s="15">
        <f>IFERROR(IF(ISBLANK(U128),IFERROR(VLOOKUP($E128,Sheet3!$H$2:$O$200,AB$1,FALSE),IFERROR(VLOOKUP($F128,Sheet3!$H$2:$O$200,AB$1,FALSE),VLOOKUP($G128,Sheet3!$H$2:$O$200,AB$1,FALSE))),$I$1),$I$1)</f>
        <v>0</v>
      </c>
      <c r="AC128" s="15">
        <f>IFERROR(IF(ISBLANK(V128),IFERROR(VLOOKUP($E128,Sheet3!$H$2:$O$200,AC$1,FALSE),IFERROR(VLOOKUP($F128,Sheet3!$H$2:$O$200,AC$1,FALSE),VLOOKUP($G128,Sheet3!$H$2:$O$200,AC$1,FALSE))),$I$1),$I$1)</f>
        <v>0</v>
      </c>
      <c r="AD128" s="15">
        <f>IFERROR(IF(ISBLANK(W128),IFERROR(VLOOKUP($E128,Sheet3!$H$2:$O$200,AD$1,FALSE),IFERROR(VLOOKUP($F128,Sheet3!$H$2:$O$200,AD$1,FALSE),VLOOKUP($G128,Sheet3!$H$2:$O$200,AD$1,FALSE))),$I$1),$I$1)</f>
        <v>0</v>
      </c>
      <c r="AE128" s="15">
        <f>IFERROR(IF(ISBLANK(X128),IFERROR(VLOOKUP($F128,Sheet3!$H$2:$O$200,AE$1,FALSE),VLOOKUP($G128,Sheet3!$H$2:$O$200,AE$1,FALSE)),$I$1),$I$1)</f>
        <v>0</v>
      </c>
      <c r="AF128" s="15">
        <f>IFERROR(IF(ISBLANK(Y128),IFERROR(VLOOKUP($F128,Sheet3!$H$2:$O$200,AF$1,FALSE),VLOOKUP($G128,Sheet3!$H$2:$O$200,AF$1,FALSE)),$I$1),$I$1)</f>
        <v>0</v>
      </c>
      <c r="AG128" s="15">
        <f>IFERROR(IF(ISBLANK(Z128),IFERROR(VLOOKUP($F128,Sheet3!$H$2:$O$200,AG$1,FALSE),VLOOKUP($G128,Sheet3!$H$2:$O$200,AG$1,FALSE)),$I$1),$I$1)</f>
        <v>0</v>
      </c>
      <c r="AH128" s="15">
        <f>IFERROR(IF(ISBLANK(AA128),IFERROR(VLOOKUP($F128,Sheet3!$H$2:$O$200,AH$1,FALSE),VLOOKUP($G128,Sheet3!$H$2:$O$200,AH$1,FALSE)),$I$1),$I$1)</f>
        <v>0</v>
      </c>
      <c r="AI128" s="15">
        <f>IFERROR(IF(ISBLANK(AB128),IFERROR(VLOOKUP($F128,Sheet3!$H$2:$O$200,AI$1,FALSE),VLOOKUP($G128,Sheet3!$H$2:$O$200,AI$1,FALSE)),$I$1),$I$1)</f>
        <v>0</v>
      </c>
      <c r="AJ128" s="15">
        <f>IFERROR(IF(ISBLANK(AC128),IFERROR(VLOOKUP($F128,Sheet3!$H$2:$O$200,AJ$1,FALSE),VLOOKUP($G128,Sheet3!$H$2:$O$200,AJ$1,FALSE)),$I$1),$I$1)</f>
        <v>0</v>
      </c>
      <c r="AK128" s="15">
        <f>IFERROR(IF(ISBLANK(AD128),IFERROR(VLOOKUP($F128,Sheet3!$H$2:$O$200,AK$1,FALSE),VLOOKUP($G128,Sheet3!$H$2:$O$200,AK$1,FALSE)),$I$1),$I$1)</f>
        <v>0</v>
      </c>
      <c r="AL128" s="15">
        <f>IFERROR(IF(ISBLANK(AE128),VLOOKUP($G128,Sheet3!$H$2:$O$200,AL$1,FALSE),$I$1),$I$1)</f>
        <v>0</v>
      </c>
      <c r="AM128" s="15">
        <f>IFERROR(IF(ISBLANK(AF128),VLOOKUP($G128,Sheet3!$H$2:$O$200,AM$1,FALSE),$I$1),$I$1)</f>
        <v>0</v>
      </c>
      <c r="AN128" s="15">
        <f>IFERROR(IF(ISBLANK(AG128),VLOOKUP($G128,Sheet3!$H$2:$O$200,AN$1,FALSE),$I$1),$I$1)</f>
        <v>0</v>
      </c>
      <c r="AO128" s="15">
        <f>IFERROR(IF(ISBLANK(AH128),VLOOKUP($G128,Sheet3!$H$2:$O$200,AO$1,FALSE),$I$1),$I$1)</f>
        <v>0</v>
      </c>
      <c r="AP128" s="15">
        <f>IFERROR(IF(ISBLANK(AI128),VLOOKUP($G128,Sheet3!$H$2:$O$200,AP$1,FALSE),$I$1),$I$1)</f>
        <v>0</v>
      </c>
      <c r="AQ128" s="15">
        <f>IFERROR(IF(ISBLANK(AJ128),VLOOKUP($G128,Sheet3!$H$2:$O$200,AQ$1,FALSE),$I$1),$I$1)</f>
        <v>0</v>
      </c>
      <c r="AR128" s="15">
        <f>IFERROR(IF(ISBLANK(AK128),VLOOKUP($G128,Sheet3!$H$2:$O$200,AR$1,FALSE),$I$1),$I$1)</f>
        <v>0</v>
      </c>
      <c r="AS128" s="15">
        <f t="shared" si="1"/>
        <v>28</v>
      </c>
      <c r="AT128" s="15" t="b">
        <f t="shared" si="2"/>
        <v>0</v>
      </c>
    </row>
    <row r="129" spans="1:46" x14ac:dyDescent="0.2">
      <c r="A129" s="19" t="s">
        <v>279</v>
      </c>
      <c r="B129" s="19" t="s">
        <v>265</v>
      </c>
      <c r="C129" s="19" t="s">
        <v>30</v>
      </c>
      <c r="D129" s="19" t="s">
        <v>90</v>
      </c>
      <c r="E129" s="19" t="s">
        <v>280</v>
      </c>
      <c r="F129" s="19"/>
      <c r="G129" s="19"/>
      <c r="H129" s="19" t="s">
        <v>279</v>
      </c>
      <c r="I129" s="15">
        <f t="shared" si="0"/>
        <v>3</v>
      </c>
      <c r="J129" s="15">
        <f>IFERROR(VLOOKUP($C129,Sheet3!$H$2:$O$200,J$1,FALSE),IFERROR(VLOOKUP($D129,Sheet3!$H$2:$O$200,J$1,FALSE),VLOOKUP($E129,Sheet3!$H$2:$O$200,J$1,FALSE)))</f>
        <v>0</v>
      </c>
      <c r="K129" s="15">
        <f>IFERROR(VLOOKUP($C129,Sheet3!$H$2:$O$200,K$1,FALSE),IFERROR(VLOOKUP($D129,Sheet3!$H$2:$O$200,K$1,FALSE),VLOOKUP($E129,Sheet3!$H$2:$O$200,K$1,FALSE)))</f>
        <v>0</v>
      </c>
      <c r="L129" s="15">
        <f>IFERROR(VLOOKUP($C129,Sheet3!$H$2:$O$200,L$1,FALSE),IFERROR(VLOOKUP($D129,Sheet3!$H$2:$O$200,L$1,FALSE),VLOOKUP($E129,Sheet3!$H$2:$O$200,L$1,FALSE)))</f>
        <v>0</v>
      </c>
      <c r="M129" s="15" t="str">
        <f>IFERROR(VLOOKUP($C129,Sheet3!$H$2:$O$200,M$1,FALSE),IFERROR(VLOOKUP($D129,Sheet3!$H$2:$O$200,M$1,FALSE),VLOOKUP($E129,Sheet3!$H$2:$O$200,M$1,FALSE)))</f>
        <v>amaretto</v>
      </c>
      <c r="N129" s="15">
        <f>IFERROR(VLOOKUP($C129,Sheet3!$H$2:$O$200,N$1,FALSE),IFERROR(VLOOKUP($D129,Sheet3!$H$2:$O$200,N$1,FALSE),VLOOKUP($E129,Sheet3!$H$2:$O$200,N$1,FALSE)))</f>
        <v>0</v>
      </c>
      <c r="O129" s="15">
        <f>IFERROR(VLOOKUP($C129,Sheet3!$H$2:$O$200,O$1,FALSE),IFERROR(VLOOKUP($D129,Sheet3!$H$2:$O$200,O$1,FALSE),VLOOKUP($E129,Sheet3!$H$2:$O$200,O$1,FALSE)))</f>
        <v>0</v>
      </c>
      <c r="P129" s="15">
        <f>IFERROR(VLOOKUP($C129,Sheet3!$H$2:$O$200,P$1,FALSE),IFERROR(VLOOKUP($D129,Sheet3!$H$2:$O$200,P$1,FALSE),VLOOKUP($E129,Sheet3!$H$2:$O$200,P$1,FALSE)))</f>
        <v>0</v>
      </c>
      <c r="Q129" s="15">
        <f>IFERROR(IF(ISBLANK(J129),IFERROR(VLOOKUP($D129,Sheet3!$H$2:$O$200,Q$1,FALSE),IFERROR(VLOOKUP($E129,Sheet3!$H$2:$O$200,Q$1,FALSE),VLOOKUP($F129,Sheet3!$H$2:$O$200,Q$1,FALSE))),$I$1),$I$1)</f>
        <v>0</v>
      </c>
      <c r="R129" s="15">
        <f>IFERROR(IF(ISBLANK(K129),IFERROR(VLOOKUP($D129,Sheet3!$H$2:$O$200,R$1,FALSE),IFERROR(VLOOKUP($E129,Sheet3!$H$2:$O$200,R$1,FALSE),VLOOKUP($F129,Sheet3!$H$2:$O$200,R$1,FALSE))),$I$1),$I$1)</f>
        <v>0</v>
      </c>
      <c r="S129" s="15">
        <f>IFERROR(IF(ISBLANK(L129),IFERROR(VLOOKUP($D129,Sheet3!$H$2:$O$200,S$1,FALSE),IFERROR(VLOOKUP($E129,Sheet3!$H$2:$O$200,S$1,FALSE),VLOOKUP($F129,Sheet3!$H$2:$O$200,S$1,FALSE))),$I$1),$I$1)</f>
        <v>0</v>
      </c>
      <c r="T129" s="15">
        <f>IFERROR(IF(ISBLANK(M129),IFERROR(VLOOKUP($D129,Sheet3!$H$2:$O$200,T$1,FALSE),IFERROR(VLOOKUP($E129,Sheet3!$H$2:$O$200,T$1,FALSE),VLOOKUP($F129,Sheet3!$H$2:$O$200,T$1,FALSE))),$I$1),$I$1)</f>
        <v>0</v>
      </c>
      <c r="U129" s="15">
        <f>IFERROR(IF(ISBLANK(N129),IFERROR(VLOOKUP($D129,Sheet3!$H$2:$O$200,U$1,FALSE),IFERROR(VLOOKUP($E129,Sheet3!$H$2:$O$200,U$1,FALSE),VLOOKUP($F129,Sheet3!$H$2:$O$200,U$1,FALSE))),$I$1),$I$1)</f>
        <v>0</v>
      </c>
      <c r="V129" s="15">
        <f>IFERROR(IF(ISBLANK(O129),IFERROR(VLOOKUP($D129,Sheet3!$H$2:$O$200,V$1,FALSE),IFERROR(VLOOKUP($E129,Sheet3!$H$2:$O$200,V$1,FALSE),VLOOKUP($F129,Sheet3!$H$2:$O$200,V$1,FALSE))),$I$1),$I$1)</f>
        <v>0</v>
      </c>
      <c r="W129" s="15">
        <f>IFERROR(IF(ISBLANK(P129),IFERROR(VLOOKUP($D129,Sheet3!$H$2:$O$200,W$1,FALSE),IFERROR(VLOOKUP($E129,Sheet3!$H$2:$O$200,W$1,FALSE),VLOOKUP($F129,Sheet3!$H$2:$O$200,W$1,FALSE))),$I$1),$I$1)</f>
        <v>0</v>
      </c>
      <c r="X129" s="15">
        <f>IFERROR(IF(ISBLANK(Q129),IFERROR(VLOOKUP($E129,Sheet3!$H$2:$O$200,X$1,FALSE),IFERROR(VLOOKUP($F129,Sheet3!$H$2:$O$200,X$1,FALSE),VLOOKUP($G129,Sheet3!$H$2:$O$200,X$1,FALSE))),$I$1),$I$1)</f>
        <v>0</v>
      </c>
      <c r="Y129" s="15">
        <f>IFERROR(IF(ISBLANK(R129),IFERROR(VLOOKUP($E129,Sheet3!$H$2:$O$200,Y$1,FALSE),IFERROR(VLOOKUP($F129,Sheet3!$H$2:$O$200,Y$1,FALSE),VLOOKUP($G129,Sheet3!$H$2:$O$200,Y$1,FALSE))),$I$1),$I$1)</f>
        <v>0</v>
      </c>
      <c r="Z129" s="15">
        <f>IFERROR(IF(ISBLANK(S129),IFERROR(VLOOKUP($E129,Sheet3!$H$2:$O$200,Z$1,FALSE),IFERROR(VLOOKUP($F129,Sheet3!$H$2:$O$200,Z$1,FALSE),VLOOKUP($G129,Sheet3!$H$2:$O$200,Z$1,FALSE))),$I$1),$I$1)</f>
        <v>0</v>
      </c>
      <c r="AA129" s="15">
        <f>IFERROR(IF(ISBLANK(T129),IFERROR(VLOOKUP($E129,Sheet3!$H$2:$O$200,AA$1,FALSE),IFERROR(VLOOKUP($F129,Sheet3!$H$2:$O$200,AA$1,FALSE),VLOOKUP($G129,Sheet3!$H$2:$O$200,AA$1,FALSE))),$I$1),$I$1)</f>
        <v>0</v>
      </c>
      <c r="AB129" s="15">
        <f>IFERROR(IF(ISBLANK(U129),IFERROR(VLOOKUP($E129,Sheet3!$H$2:$O$200,AB$1,FALSE),IFERROR(VLOOKUP($F129,Sheet3!$H$2:$O$200,AB$1,FALSE),VLOOKUP($G129,Sheet3!$H$2:$O$200,AB$1,FALSE))),$I$1),$I$1)</f>
        <v>0</v>
      </c>
      <c r="AC129" s="15">
        <f>IFERROR(IF(ISBLANK(V129),IFERROR(VLOOKUP($E129,Sheet3!$H$2:$O$200,AC$1,FALSE),IFERROR(VLOOKUP($F129,Sheet3!$H$2:$O$200,AC$1,FALSE),VLOOKUP($G129,Sheet3!$H$2:$O$200,AC$1,FALSE))),$I$1),$I$1)</f>
        <v>0</v>
      </c>
      <c r="AD129" s="15">
        <f>IFERROR(IF(ISBLANK(W129),IFERROR(VLOOKUP($E129,Sheet3!$H$2:$O$200,AD$1,FALSE),IFERROR(VLOOKUP($F129,Sheet3!$H$2:$O$200,AD$1,FALSE),VLOOKUP($G129,Sheet3!$H$2:$O$200,AD$1,FALSE))),$I$1),$I$1)</f>
        <v>0</v>
      </c>
      <c r="AE129" s="15">
        <f>IFERROR(IF(ISBLANK(X129),IFERROR(VLOOKUP($F129,Sheet3!$H$2:$O$200,AE$1,FALSE),VLOOKUP($G129,Sheet3!$H$2:$O$200,AE$1,FALSE)),$I$1),$I$1)</f>
        <v>0</v>
      </c>
      <c r="AF129" s="15">
        <f>IFERROR(IF(ISBLANK(Y129),IFERROR(VLOOKUP($F129,Sheet3!$H$2:$O$200,AF$1,FALSE),VLOOKUP($G129,Sheet3!$H$2:$O$200,AF$1,FALSE)),$I$1),$I$1)</f>
        <v>0</v>
      </c>
      <c r="AG129" s="15">
        <f>IFERROR(IF(ISBLANK(Z129),IFERROR(VLOOKUP($F129,Sheet3!$H$2:$O$200,AG$1,FALSE),VLOOKUP($G129,Sheet3!$H$2:$O$200,AG$1,FALSE)),$I$1),$I$1)</f>
        <v>0</v>
      </c>
      <c r="AH129" s="15">
        <f>IFERROR(IF(ISBLANK(AA129),IFERROR(VLOOKUP($F129,Sheet3!$H$2:$O$200,AH$1,FALSE),VLOOKUP($G129,Sheet3!$H$2:$O$200,AH$1,FALSE)),$I$1),$I$1)</f>
        <v>0</v>
      </c>
      <c r="AI129" s="15">
        <f>IFERROR(IF(ISBLANK(AB129),IFERROR(VLOOKUP($F129,Sheet3!$H$2:$O$200,AI$1,FALSE),VLOOKUP($G129,Sheet3!$H$2:$O$200,AI$1,FALSE)),$I$1),$I$1)</f>
        <v>0</v>
      </c>
      <c r="AJ129" s="15">
        <f>IFERROR(IF(ISBLANK(AC129),IFERROR(VLOOKUP($F129,Sheet3!$H$2:$O$200,AJ$1,FALSE),VLOOKUP($G129,Sheet3!$H$2:$O$200,AJ$1,FALSE)),$I$1),$I$1)</f>
        <v>0</v>
      </c>
      <c r="AK129" s="15">
        <f>IFERROR(IF(ISBLANK(AD129),IFERROR(VLOOKUP($F129,Sheet3!$H$2:$O$200,AK$1,FALSE),VLOOKUP($G129,Sheet3!$H$2:$O$200,AK$1,FALSE)),$I$1),$I$1)</f>
        <v>0</v>
      </c>
      <c r="AL129" s="15">
        <f>IFERROR(IF(ISBLANK(AE129),VLOOKUP($G129,Sheet3!$H$2:$O$200,AL$1,FALSE),$I$1),$I$1)</f>
        <v>0</v>
      </c>
      <c r="AM129" s="15">
        <f>IFERROR(IF(ISBLANK(AF129),VLOOKUP($G129,Sheet3!$H$2:$O$200,AM$1,FALSE),$I$1),$I$1)</f>
        <v>0</v>
      </c>
      <c r="AN129" s="15">
        <f>IFERROR(IF(ISBLANK(AG129),VLOOKUP($G129,Sheet3!$H$2:$O$200,AN$1,FALSE),$I$1),$I$1)</f>
        <v>0</v>
      </c>
      <c r="AO129" s="15">
        <f>IFERROR(IF(ISBLANK(AH129),VLOOKUP($G129,Sheet3!$H$2:$O$200,AO$1,FALSE),$I$1),$I$1)</f>
        <v>0</v>
      </c>
      <c r="AP129" s="15">
        <f>IFERROR(IF(ISBLANK(AI129),VLOOKUP($G129,Sheet3!$H$2:$O$200,AP$1,FALSE),$I$1),$I$1)</f>
        <v>0</v>
      </c>
      <c r="AQ129" s="15">
        <f>IFERROR(IF(ISBLANK(AJ129),VLOOKUP($G129,Sheet3!$H$2:$O$200,AQ$1,FALSE),$I$1),$I$1)</f>
        <v>0</v>
      </c>
      <c r="AR129" s="15">
        <f>IFERROR(IF(ISBLANK(AK129),VLOOKUP($G129,Sheet3!$H$2:$O$200,AR$1,FALSE),$I$1),$I$1)</f>
        <v>0</v>
      </c>
      <c r="AS129" s="15">
        <f t="shared" si="1"/>
        <v>28</v>
      </c>
      <c r="AT129" s="15" t="b">
        <f t="shared" si="2"/>
        <v>0</v>
      </c>
    </row>
    <row r="130" spans="1:46" x14ac:dyDescent="0.2">
      <c r="A130" s="19" t="s">
        <v>281</v>
      </c>
      <c r="B130" s="19" t="s">
        <v>265</v>
      </c>
      <c r="C130" s="19" t="s">
        <v>60</v>
      </c>
      <c r="D130" s="19" t="s">
        <v>90</v>
      </c>
      <c r="E130" s="19" t="s">
        <v>282</v>
      </c>
      <c r="F130" s="19"/>
      <c r="G130" s="19"/>
      <c r="H130" s="19" t="s">
        <v>281</v>
      </c>
      <c r="I130" s="15">
        <f t="shared" si="0"/>
        <v>3</v>
      </c>
      <c r="J130" s="15">
        <f>IFERROR(VLOOKUP($C130,Sheet3!$H$2:$O$200,J$1,FALSE),IFERROR(VLOOKUP($D130,Sheet3!$H$2:$O$200,J$1,FALSE),VLOOKUP($E130,Sheet3!$H$2:$O$200,J$1,FALSE)))</f>
        <v>0</v>
      </c>
      <c r="K130" s="15">
        <f>IFERROR(VLOOKUP($C130,Sheet3!$H$2:$O$200,K$1,FALSE),IFERROR(VLOOKUP($D130,Sheet3!$H$2:$O$200,K$1,FALSE),VLOOKUP($E130,Sheet3!$H$2:$O$200,K$1,FALSE)))</f>
        <v>0</v>
      </c>
      <c r="L130" s="15">
        <f>IFERROR(VLOOKUP($C130,Sheet3!$H$2:$O$200,L$1,FALSE),IFERROR(VLOOKUP($D130,Sheet3!$H$2:$O$200,L$1,FALSE),VLOOKUP($E130,Sheet3!$H$2:$O$200,L$1,FALSE)))</f>
        <v>0</v>
      </c>
      <c r="M130" s="15" t="str">
        <f>IFERROR(VLOOKUP($C130,Sheet3!$H$2:$O$200,M$1,FALSE),IFERROR(VLOOKUP($D130,Sheet3!$H$2:$O$200,M$1,FALSE),VLOOKUP($E130,Sheet3!$H$2:$O$200,M$1,FALSE)))</f>
        <v>apricot brandy</v>
      </c>
      <c r="N130" s="15">
        <f>IFERROR(VLOOKUP($C130,Sheet3!$H$2:$O$200,N$1,FALSE),IFERROR(VLOOKUP($D130,Sheet3!$H$2:$O$200,N$1,FALSE),VLOOKUP($E130,Sheet3!$H$2:$O$200,N$1,FALSE)))</f>
        <v>0</v>
      </c>
      <c r="O130" s="15">
        <f>IFERROR(VLOOKUP($C130,Sheet3!$H$2:$O$200,O$1,FALSE),IFERROR(VLOOKUP($D130,Sheet3!$H$2:$O$200,O$1,FALSE),VLOOKUP($E130,Sheet3!$H$2:$O$200,O$1,FALSE)))</f>
        <v>0</v>
      </c>
      <c r="P130" s="15">
        <f>IFERROR(VLOOKUP($C130,Sheet3!$H$2:$O$200,P$1,FALSE),IFERROR(VLOOKUP($D130,Sheet3!$H$2:$O$200,P$1,FALSE),VLOOKUP($E130,Sheet3!$H$2:$O$200,P$1,FALSE)))</f>
        <v>0</v>
      </c>
      <c r="Q130" s="15">
        <f>IFERROR(IF(ISBLANK(J130),IFERROR(VLOOKUP($D130,Sheet3!$H$2:$O$200,Q$1,FALSE),IFERROR(VLOOKUP($E130,Sheet3!$H$2:$O$200,Q$1,FALSE),VLOOKUP($F130,Sheet3!$H$2:$O$200,Q$1,FALSE))),$I$1),$I$1)</f>
        <v>0</v>
      </c>
      <c r="R130" s="15">
        <f>IFERROR(IF(ISBLANK(K130),IFERROR(VLOOKUP($D130,Sheet3!$H$2:$O$200,R$1,FALSE),IFERROR(VLOOKUP($E130,Sheet3!$H$2:$O$200,R$1,FALSE),VLOOKUP($F130,Sheet3!$H$2:$O$200,R$1,FALSE))),$I$1),$I$1)</f>
        <v>0</v>
      </c>
      <c r="S130" s="15">
        <f>IFERROR(IF(ISBLANK(L130),IFERROR(VLOOKUP($D130,Sheet3!$H$2:$O$200,S$1,FALSE),IFERROR(VLOOKUP($E130,Sheet3!$H$2:$O$200,S$1,FALSE),VLOOKUP($F130,Sheet3!$H$2:$O$200,S$1,FALSE))),$I$1),$I$1)</f>
        <v>0</v>
      </c>
      <c r="T130" s="15">
        <f>IFERROR(IF(ISBLANK(M130),IFERROR(VLOOKUP($D130,Sheet3!$H$2:$O$200,T$1,FALSE),IFERROR(VLOOKUP($E130,Sheet3!$H$2:$O$200,T$1,FALSE),VLOOKUP($F130,Sheet3!$H$2:$O$200,T$1,FALSE))),$I$1),$I$1)</f>
        <v>0</v>
      </c>
      <c r="U130" s="15">
        <f>IFERROR(IF(ISBLANK(N130),IFERROR(VLOOKUP($D130,Sheet3!$H$2:$O$200,U$1,FALSE),IFERROR(VLOOKUP($E130,Sheet3!$H$2:$O$200,U$1,FALSE),VLOOKUP($F130,Sheet3!$H$2:$O$200,U$1,FALSE))),$I$1),$I$1)</f>
        <v>0</v>
      </c>
      <c r="V130" s="15">
        <f>IFERROR(IF(ISBLANK(O130),IFERROR(VLOOKUP($D130,Sheet3!$H$2:$O$200,V$1,FALSE),IFERROR(VLOOKUP($E130,Sheet3!$H$2:$O$200,V$1,FALSE),VLOOKUP($F130,Sheet3!$H$2:$O$200,V$1,FALSE))),$I$1),$I$1)</f>
        <v>0</v>
      </c>
      <c r="W130" s="15">
        <f>IFERROR(IF(ISBLANK(P130),IFERROR(VLOOKUP($D130,Sheet3!$H$2:$O$200,W$1,FALSE),IFERROR(VLOOKUP($E130,Sheet3!$H$2:$O$200,W$1,FALSE),VLOOKUP($F130,Sheet3!$H$2:$O$200,W$1,FALSE))),$I$1),$I$1)</f>
        <v>0</v>
      </c>
      <c r="X130" s="15">
        <f>IFERROR(IF(ISBLANK(Q130),IFERROR(VLOOKUP($E130,Sheet3!$H$2:$O$200,X$1,FALSE),IFERROR(VLOOKUP($F130,Sheet3!$H$2:$O$200,X$1,FALSE),VLOOKUP($G130,Sheet3!$H$2:$O$200,X$1,FALSE))),$I$1),$I$1)</f>
        <v>0</v>
      </c>
      <c r="Y130" s="15">
        <f>IFERROR(IF(ISBLANK(R130),IFERROR(VLOOKUP($E130,Sheet3!$H$2:$O$200,Y$1,FALSE),IFERROR(VLOOKUP($F130,Sheet3!$H$2:$O$200,Y$1,FALSE),VLOOKUP($G130,Sheet3!$H$2:$O$200,Y$1,FALSE))),$I$1),$I$1)</f>
        <v>0</v>
      </c>
      <c r="Z130" s="15">
        <f>IFERROR(IF(ISBLANK(S130),IFERROR(VLOOKUP($E130,Sheet3!$H$2:$O$200,Z$1,FALSE),IFERROR(VLOOKUP($F130,Sheet3!$H$2:$O$200,Z$1,FALSE),VLOOKUP($G130,Sheet3!$H$2:$O$200,Z$1,FALSE))),$I$1),$I$1)</f>
        <v>0</v>
      </c>
      <c r="AA130" s="15">
        <f>IFERROR(IF(ISBLANK(T130),IFERROR(VLOOKUP($E130,Sheet3!$H$2:$O$200,AA$1,FALSE),IFERROR(VLOOKUP($F130,Sheet3!$H$2:$O$200,AA$1,FALSE),VLOOKUP($G130,Sheet3!$H$2:$O$200,AA$1,FALSE))),$I$1),$I$1)</f>
        <v>0</v>
      </c>
      <c r="AB130" s="15">
        <f>IFERROR(IF(ISBLANK(U130),IFERROR(VLOOKUP($E130,Sheet3!$H$2:$O$200,AB$1,FALSE),IFERROR(VLOOKUP($F130,Sheet3!$H$2:$O$200,AB$1,FALSE),VLOOKUP($G130,Sheet3!$H$2:$O$200,AB$1,FALSE))),$I$1),$I$1)</f>
        <v>0</v>
      </c>
      <c r="AC130" s="15">
        <f>IFERROR(IF(ISBLANK(V130),IFERROR(VLOOKUP($E130,Sheet3!$H$2:$O$200,AC$1,FALSE),IFERROR(VLOOKUP($F130,Sheet3!$H$2:$O$200,AC$1,FALSE),VLOOKUP($G130,Sheet3!$H$2:$O$200,AC$1,FALSE))),$I$1),$I$1)</f>
        <v>0</v>
      </c>
      <c r="AD130" s="15">
        <f>IFERROR(IF(ISBLANK(W130),IFERROR(VLOOKUP($E130,Sheet3!$H$2:$O$200,AD$1,FALSE),IFERROR(VLOOKUP($F130,Sheet3!$H$2:$O$200,AD$1,FALSE),VLOOKUP($G130,Sheet3!$H$2:$O$200,AD$1,FALSE))),$I$1),$I$1)</f>
        <v>0</v>
      </c>
      <c r="AE130" s="15">
        <f>IFERROR(IF(ISBLANK(X130),IFERROR(VLOOKUP($F130,Sheet3!$H$2:$O$200,AE$1,FALSE),VLOOKUP($G130,Sheet3!$H$2:$O$200,AE$1,FALSE)),$I$1),$I$1)</f>
        <v>0</v>
      </c>
      <c r="AF130" s="15">
        <f>IFERROR(IF(ISBLANK(Y130),IFERROR(VLOOKUP($F130,Sheet3!$H$2:$O$200,AF$1,FALSE),VLOOKUP($G130,Sheet3!$H$2:$O$200,AF$1,FALSE)),$I$1),$I$1)</f>
        <v>0</v>
      </c>
      <c r="AG130" s="15">
        <f>IFERROR(IF(ISBLANK(Z130),IFERROR(VLOOKUP($F130,Sheet3!$H$2:$O$200,AG$1,FALSE),VLOOKUP($G130,Sheet3!$H$2:$O$200,AG$1,FALSE)),$I$1),$I$1)</f>
        <v>0</v>
      </c>
      <c r="AH130" s="15">
        <f>IFERROR(IF(ISBLANK(AA130),IFERROR(VLOOKUP($F130,Sheet3!$H$2:$O$200,AH$1,FALSE),VLOOKUP($G130,Sheet3!$H$2:$O$200,AH$1,FALSE)),$I$1),$I$1)</f>
        <v>0</v>
      </c>
      <c r="AI130" s="15">
        <f>IFERROR(IF(ISBLANK(AB130),IFERROR(VLOOKUP($F130,Sheet3!$H$2:$O$200,AI$1,FALSE),VLOOKUP($G130,Sheet3!$H$2:$O$200,AI$1,FALSE)),$I$1),$I$1)</f>
        <v>0</v>
      </c>
      <c r="AJ130" s="15">
        <f>IFERROR(IF(ISBLANK(AC130),IFERROR(VLOOKUP($F130,Sheet3!$H$2:$O$200,AJ$1,FALSE),VLOOKUP($G130,Sheet3!$H$2:$O$200,AJ$1,FALSE)),$I$1),$I$1)</f>
        <v>0</v>
      </c>
      <c r="AK130" s="15">
        <f>IFERROR(IF(ISBLANK(AD130),IFERROR(VLOOKUP($F130,Sheet3!$H$2:$O$200,AK$1,FALSE),VLOOKUP($G130,Sheet3!$H$2:$O$200,AK$1,FALSE)),$I$1),$I$1)</f>
        <v>0</v>
      </c>
      <c r="AL130" s="15">
        <f>IFERROR(IF(ISBLANK(AE130),VLOOKUP($G130,Sheet3!$H$2:$O$200,AL$1,FALSE),$I$1),$I$1)</f>
        <v>0</v>
      </c>
      <c r="AM130" s="15">
        <f>IFERROR(IF(ISBLANK(AF130),VLOOKUP($G130,Sheet3!$H$2:$O$200,AM$1,FALSE),$I$1),$I$1)</f>
        <v>0</v>
      </c>
      <c r="AN130" s="15">
        <f>IFERROR(IF(ISBLANK(AG130),VLOOKUP($G130,Sheet3!$H$2:$O$200,AN$1,FALSE),$I$1),$I$1)</f>
        <v>0</v>
      </c>
      <c r="AO130" s="15">
        <f>IFERROR(IF(ISBLANK(AH130),VLOOKUP($G130,Sheet3!$H$2:$O$200,AO$1,FALSE),$I$1),$I$1)</f>
        <v>0</v>
      </c>
      <c r="AP130" s="15">
        <f>IFERROR(IF(ISBLANK(AI130),VLOOKUP($G130,Sheet3!$H$2:$O$200,AP$1,FALSE),$I$1),$I$1)</f>
        <v>0</v>
      </c>
      <c r="AQ130" s="15">
        <f>IFERROR(IF(ISBLANK(AJ130),VLOOKUP($G130,Sheet3!$H$2:$O$200,AQ$1,FALSE),$I$1),$I$1)</f>
        <v>0</v>
      </c>
      <c r="AR130" s="15">
        <f>IFERROR(IF(ISBLANK(AK130),VLOOKUP($G130,Sheet3!$H$2:$O$200,AR$1,FALSE),$I$1),$I$1)</f>
        <v>0</v>
      </c>
      <c r="AS130" s="15">
        <f t="shared" si="1"/>
        <v>28</v>
      </c>
      <c r="AT130" s="15" t="b">
        <f t="shared" si="2"/>
        <v>0</v>
      </c>
    </row>
    <row r="131" spans="1:46" x14ac:dyDescent="0.2">
      <c r="A131" s="19" t="s">
        <v>283</v>
      </c>
      <c r="B131" s="19" t="s">
        <v>265</v>
      </c>
      <c r="C131" s="19" t="s">
        <v>60</v>
      </c>
      <c r="D131" s="19" t="s">
        <v>90</v>
      </c>
      <c r="E131" s="19" t="s">
        <v>66</v>
      </c>
      <c r="F131" s="19"/>
      <c r="G131" s="19"/>
      <c r="H131" s="19" t="s">
        <v>283</v>
      </c>
      <c r="I131" s="15">
        <f t="shared" si="0"/>
        <v>3</v>
      </c>
      <c r="J131" s="15">
        <f>IFERROR(VLOOKUP($C131,Sheet3!$H$2:$O$200,J$1,FALSE),IFERROR(VLOOKUP($D131,Sheet3!$H$2:$O$200,J$1,FALSE),VLOOKUP($E131,Sheet3!$H$2:$O$200,J$1,FALSE)))</f>
        <v>0</v>
      </c>
      <c r="K131" s="15">
        <f>IFERROR(VLOOKUP($C131,Sheet3!$H$2:$O$200,K$1,FALSE),IFERROR(VLOOKUP($D131,Sheet3!$H$2:$O$200,K$1,FALSE),VLOOKUP($E131,Sheet3!$H$2:$O$200,K$1,FALSE)))</f>
        <v>0</v>
      </c>
      <c r="L131" s="15">
        <f>IFERROR(VLOOKUP($C131,Sheet3!$H$2:$O$200,L$1,FALSE),IFERROR(VLOOKUP($D131,Sheet3!$H$2:$O$200,L$1,FALSE),VLOOKUP($E131,Sheet3!$H$2:$O$200,L$1,FALSE)))</f>
        <v>0</v>
      </c>
      <c r="M131" s="15" t="str">
        <f>IFERROR(VLOOKUP($C131,Sheet3!$H$2:$O$200,M$1,FALSE),IFERROR(VLOOKUP($D131,Sheet3!$H$2:$O$200,M$1,FALSE),VLOOKUP($E131,Sheet3!$H$2:$O$200,M$1,FALSE)))</f>
        <v>apricot brandy</v>
      </c>
      <c r="N131" s="15">
        <f>IFERROR(VLOOKUP($C131,Sheet3!$H$2:$O$200,N$1,FALSE),IFERROR(VLOOKUP($D131,Sheet3!$H$2:$O$200,N$1,FALSE),VLOOKUP($E131,Sheet3!$H$2:$O$200,N$1,FALSE)))</f>
        <v>0</v>
      </c>
      <c r="O131" s="15">
        <f>IFERROR(VLOOKUP($C131,Sheet3!$H$2:$O$200,O$1,FALSE),IFERROR(VLOOKUP($D131,Sheet3!$H$2:$O$200,O$1,FALSE),VLOOKUP($E131,Sheet3!$H$2:$O$200,O$1,FALSE)))</f>
        <v>0</v>
      </c>
      <c r="P131" s="15">
        <f>IFERROR(VLOOKUP($C131,Sheet3!$H$2:$O$200,P$1,FALSE),IFERROR(VLOOKUP($D131,Sheet3!$H$2:$O$200,P$1,FALSE),VLOOKUP($E131,Sheet3!$H$2:$O$200,P$1,FALSE)))</f>
        <v>0</v>
      </c>
      <c r="Q131" s="15">
        <f>IFERROR(IF(ISBLANK(J131),IFERROR(VLOOKUP($D131,Sheet3!$H$2:$O$200,Q$1,FALSE),IFERROR(VLOOKUP($E131,Sheet3!$H$2:$O$200,Q$1,FALSE),VLOOKUP($F131,Sheet3!$H$2:$O$200,Q$1,FALSE))),$I$1),$I$1)</f>
        <v>0</v>
      </c>
      <c r="R131" s="15">
        <f>IFERROR(IF(ISBLANK(K131),IFERROR(VLOOKUP($D131,Sheet3!$H$2:$O$200,R$1,FALSE),IFERROR(VLOOKUP($E131,Sheet3!$H$2:$O$200,R$1,FALSE),VLOOKUP($F131,Sheet3!$H$2:$O$200,R$1,FALSE))),$I$1),$I$1)</f>
        <v>0</v>
      </c>
      <c r="S131" s="15">
        <f>IFERROR(IF(ISBLANK(L131),IFERROR(VLOOKUP($D131,Sheet3!$H$2:$O$200,S$1,FALSE),IFERROR(VLOOKUP($E131,Sheet3!$H$2:$O$200,S$1,FALSE),VLOOKUP($F131,Sheet3!$H$2:$O$200,S$1,FALSE))),$I$1),$I$1)</f>
        <v>0</v>
      </c>
      <c r="T131" s="15">
        <f>IFERROR(IF(ISBLANK(M131),IFERROR(VLOOKUP($D131,Sheet3!$H$2:$O$200,T$1,FALSE),IFERROR(VLOOKUP($E131,Sheet3!$H$2:$O$200,T$1,FALSE),VLOOKUP($F131,Sheet3!$H$2:$O$200,T$1,FALSE))),$I$1),$I$1)</f>
        <v>0</v>
      </c>
      <c r="U131" s="15">
        <f>IFERROR(IF(ISBLANK(N131),IFERROR(VLOOKUP($D131,Sheet3!$H$2:$O$200,U$1,FALSE),IFERROR(VLOOKUP($E131,Sheet3!$H$2:$O$200,U$1,FALSE),VLOOKUP($F131,Sheet3!$H$2:$O$200,U$1,FALSE))),$I$1),$I$1)</f>
        <v>0</v>
      </c>
      <c r="V131" s="15">
        <f>IFERROR(IF(ISBLANK(O131),IFERROR(VLOOKUP($D131,Sheet3!$H$2:$O$200,V$1,FALSE),IFERROR(VLOOKUP($E131,Sheet3!$H$2:$O$200,V$1,FALSE),VLOOKUP($F131,Sheet3!$H$2:$O$200,V$1,FALSE))),$I$1),$I$1)</f>
        <v>0</v>
      </c>
      <c r="W131" s="15">
        <f>IFERROR(IF(ISBLANK(P131),IFERROR(VLOOKUP($D131,Sheet3!$H$2:$O$200,W$1,FALSE),IFERROR(VLOOKUP($E131,Sheet3!$H$2:$O$200,W$1,FALSE),VLOOKUP($F131,Sheet3!$H$2:$O$200,W$1,FALSE))),$I$1),$I$1)</f>
        <v>0</v>
      </c>
      <c r="X131" s="15">
        <f>IFERROR(IF(ISBLANK(Q131),IFERROR(VLOOKUP($E131,Sheet3!$H$2:$O$200,X$1,FALSE),IFERROR(VLOOKUP($F131,Sheet3!$H$2:$O$200,X$1,FALSE),VLOOKUP($G131,Sheet3!$H$2:$O$200,X$1,FALSE))),$I$1),$I$1)</f>
        <v>0</v>
      </c>
      <c r="Y131" s="15">
        <f>IFERROR(IF(ISBLANK(R131),IFERROR(VLOOKUP($E131,Sheet3!$H$2:$O$200,Y$1,FALSE),IFERROR(VLOOKUP($F131,Sheet3!$H$2:$O$200,Y$1,FALSE),VLOOKUP($G131,Sheet3!$H$2:$O$200,Y$1,FALSE))),$I$1),$I$1)</f>
        <v>0</v>
      </c>
      <c r="Z131" s="15">
        <f>IFERROR(IF(ISBLANK(S131),IFERROR(VLOOKUP($E131,Sheet3!$H$2:$O$200,Z$1,FALSE),IFERROR(VLOOKUP($F131,Sheet3!$H$2:$O$200,Z$1,FALSE),VLOOKUP($G131,Sheet3!$H$2:$O$200,Z$1,FALSE))),$I$1),$I$1)</f>
        <v>0</v>
      </c>
      <c r="AA131" s="15">
        <f>IFERROR(IF(ISBLANK(T131),IFERROR(VLOOKUP($E131,Sheet3!$H$2:$O$200,AA$1,FALSE),IFERROR(VLOOKUP($F131,Sheet3!$H$2:$O$200,AA$1,FALSE),VLOOKUP($G131,Sheet3!$H$2:$O$200,AA$1,FALSE))),$I$1),$I$1)</f>
        <v>0</v>
      </c>
      <c r="AB131" s="15">
        <f>IFERROR(IF(ISBLANK(U131),IFERROR(VLOOKUP($E131,Sheet3!$H$2:$O$200,AB$1,FALSE),IFERROR(VLOOKUP($F131,Sheet3!$H$2:$O$200,AB$1,FALSE),VLOOKUP($G131,Sheet3!$H$2:$O$200,AB$1,FALSE))),$I$1),$I$1)</f>
        <v>0</v>
      </c>
      <c r="AC131" s="15">
        <f>IFERROR(IF(ISBLANK(V131),IFERROR(VLOOKUP($E131,Sheet3!$H$2:$O$200,AC$1,FALSE),IFERROR(VLOOKUP($F131,Sheet3!$H$2:$O$200,AC$1,FALSE),VLOOKUP($G131,Sheet3!$H$2:$O$200,AC$1,FALSE))),$I$1),$I$1)</f>
        <v>0</v>
      </c>
      <c r="AD131" s="15">
        <f>IFERROR(IF(ISBLANK(W131),IFERROR(VLOOKUP($E131,Sheet3!$H$2:$O$200,AD$1,FALSE),IFERROR(VLOOKUP($F131,Sheet3!$H$2:$O$200,AD$1,FALSE),VLOOKUP($G131,Sheet3!$H$2:$O$200,AD$1,FALSE))),$I$1),$I$1)</f>
        <v>0</v>
      </c>
      <c r="AE131" s="15">
        <f>IFERROR(IF(ISBLANK(X131),IFERROR(VLOOKUP($F131,Sheet3!$H$2:$O$200,AE$1,FALSE),VLOOKUP($G131,Sheet3!$H$2:$O$200,AE$1,FALSE)),$I$1),$I$1)</f>
        <v>0</v>
      </c>
      <c r="AF131" s="15">
        <f>IFERROR(IF(ISBLANK(Y131),IFERROR(VLOOKUP($F131,Sheet3!$H$2:$O$200,AF$1,FALSE),VLOOKUP($G131,Sheet3!$H$2:$O$200,AF$1,FALSE)),$I$1),$I$1)</f>
        <v>0</v>
      </c>
      <c r="AG131" s="15">
        <f>IFERROR(IF(ISBLANK(Z131),IFERROR(VLOOKUP($F131,Sheet3!$H$2:$O$200,AG$1,FALSE),VLOOKUP($G131,Sheet3!$H$2:$O$200,AG$1,FALSE)),$I$1),$I$1)</f>
        <v>0</v>
      </c>
      <c r="AH131" s="15">
        <f>IFERROR(IF(ISBLANK(AA131),IFERROR(VLOOKUP($F131,Sheet3!$H$2:$O$200,AH$1,FALSE),VLOOKUP($G131,Sheet3!$H$2:$O$200,AH$1,FALSE)),$I$1),$I$1)</f>
        <v>0</v>
      </c>
      <c r="AI131" s="15">
        <f>IFERROR(IF(ISBLANK(AB131),IFERROR(VLOOKUP($F131,Sheet3!$H$2:$O$200,AI$1,FALSE),VLOOKUP($G131,Sheet3!$H$2:$O$200,AI$1,FALSE)),$I$1),$I$1)</f>
        <v>0</v>
      </c>
      <c r="AJ131" s="15">
        <f>IFERROR(IF(ISBLANK(AC131),IFERROR(VLOOKUP($F131,Sheet3!$H$2:$O$200,AJ$1,FALSE),VLOOKUP($G131,Sheet3!$H$2:$O$200,AJ$1,FALSE)),$I$1),$I$1)</f>
        <v>0</v>
      </c>
      <c r="AK131" s="15">
        <f>IFERROR(IF(ISBLANK(AD131),IFERROR(VLOOKUP($F131,Sheet3!$H$2:$O$200,AK$1,FALSE),VLOOKUP($G131,Sheet3!$H$2:$O$200,AK$1,FALSE)),$I$1),$I$1)</f>
        <v>0</v>
      </c>
      <c r="AL131" s="15">
        <f>IFERROR(IF(ISBLANK(AE131),VLOOKUP($G131,Sheet3!$H$2:$O$200,AL$1,FALSE),$I$1),$I$1)</f>
        <v>0</v>
      </c>
      <c r="AM131" s="15">
        <f>IFERROR(IF(ISBLANK(AF131),VLOOKUP($G131,Sheet3!$H$2:$O$200,AM$1,FALSE),$I$1),$I$1)</f>
        <v>0</v>
      </c>
      <c r="AN131" s="15">
        <f>IFERROR(IF(ISBLANK(AG131),VLOOKUP($G131,Sheet3!$H$2:$O$200,AN$1,FALSE),$I$1),$I$1)</f>
        <v>0</v>
      </c>
      <c r="AO131" s="15">
        <f>IFERROR(IF(ISBLANK(AH131),VLOOKUP($G131,Sheet3!$H$2:$O$200,AO$1,FALSE),$I$1),$I$1)</f>
        <v>0</v>
      </c>
      <c r="AP131" s="15">
        <f>IFERROR(IF(ISBLANK(AI131),VLOOKUP($G131,Sheet3!$H$2:$O$200,AP$1,FALSE),$I$1),$I$1)</f>
        <v>0</v>
      </c>
      <c r="AQ131" s="15">
        <f>IFERROR(IF(ISBLANK(AJ131),VLOOKUP($G131,Sheet3!$H$2:$O$200,AQ$1,FALSE),$I$1),$I$1)</f>
        <v>0</v>
      </c>
      <c r="AR131" s="15">
        <f>IFERROR(IF(ISBLANK(AK131),VLOOKUP($G131,Sheet3!$H$2:$O$200,AR$1,FALSE),$I$1),$I$1)</f>
        <v>0</v>
      </c>
      <c r="AS131" s="15">
        <f t="shared" si="1"/>
        <v>28</v>
      </c>
      <c r="AT131" s="15" t="b">
        <f t="shared" si="2"/>
        <v>0</v>
      </c>
    </row>
    <row r="132" spans="1:46" x14ac:dyDescent="0.2">
      <c r="A132" s="19" t="s">
        <v>284</v>
      </c>
      <c r="B132" s="19" t="s">
        <v>265</v>
      </c>
      <c r="C132" s="19" t="s">
        <v>31</v>
      </c>
      <c r="D132" s="19" t="s">
        <v>90</v>
      </c>
      <c r="E132" s="19" t="s">
        <v>48</v>
      </c>
      <c r="F132" s="19" t="s">
        <v>55</v>
      </c>
      <c r="G132" s="19"/>
      <c r="H132" s="19" t="s">
        <v>284</v>
      </c>
      <c r="I132" s="15">
        <f t="shared" si="0"/>
        <v>4</v>
      </c>
      <c r="J132" s="15">
        <f>IFERROR(VLOOKUP($C132,Sheet3!$H$2:$O$200,J$1,FALSE),IFERROR(VLOOKUP($D132,Sheet3!$H$2:$O$200,J$1,FALSE),VLOOKUP($E132,Sheet3!$H$2:$O$200,J$1,FALSE)))</f>
        <v>0</v>
      </c>
      <c r="K132" s="15">
        <f>IFERROR(VLOOKUP($C132,Sheet3!$H$2:$O$200,K$1,FALSE),IFERROR(VLOOKUP($D132,Sheet3!$H$2:$O$200,K$1,FALSE),VLOOKUP($E132,Sheet3!$H$2:$O$200,K$1,FALSE)))</f>
        <v>0</v>
      </c>
      <c r="L132" s="15">
        <f>IFERROR(VLOOKUP($C132,Sheet3!$H$2:$O$200,L$1,FALSE),IFERROR(VLOOKUP($D132,Sheet3!$H$2:$O$200,L$1,FALSE),VLOOKUP($E132,Sheet3!$H$2:$O$200,L$1,FALSE)))</f>
        <v>0</v>
      </c>
      <c r="M132" s="15" t="str">
        <f>IFERROR(VLOOKUP($C132,Sheet3!$H$2:$O$200,M$1,FALSE),IFERROR(VLOOKUP($D132,Sheet3!$H$2:$O$200,M$1,FALSE),VLOOKUP($E132,Sheet3!$H$2:$O$200,M$1,FALSE)))</f>
        <v>white crème de cacao</v>
      </c>
      <c r="N132" s="15">
        <f>IFERROR(VLOOKUP($C132,Sheet3!$H$2:$O$200,N$1,FALSE),IFERROR(VLOOKUP($D132,Sheet3!$H$2:$O$200,N$1,FALSE),VLOOKUP($E132,Sheet3!$H$2:$O$200,N$1,FALSE)))</f>
        <v>0</v>
      </c>
      <c r="O132" s="15">
        <f>IFERROR(VLOOKUP($C132,Sheet3!$H$2:$O$200,O$1,FALSE),IFERROR(VLOOKUP($D132,Sheet3!$H$2:$O$200,O$1,FALSE),VLOOKUP($E132,Sheet3!$H$2:$O$200,O$1,FALSE)))</f>
        <v>0</v>
      </c>
      <c r="P132" s="15">
        <f>IFERROR(VLOOKUP($C132,Sheet3!$H$2:$O$200,P$1,FALSE),IFERROR(VLOOKUP($D132,Sheet3!$H$2:$O$200,P$1,FALSE),VLOOKUP($E132,Sheet3!$H$2:$O$200,P$1,FALSE)))</f>
        <v>0</v>
      </c>
      <c r="Q132" s="15">
        <f>IFERROR(IF(ISBLANK(J132),IFERROR(VLOOKUP($D132,Sheet3!$H$2:$O$200,Q$1,FALSE),IFERROR(VLOOKUP($E132,Sheet3!$H$2:$O$200,Q$1,FALSE),VLOOKUP($F132,Sheet3!$H$2:$O$200,Q$1,FALSE))),$I$1),$I$1)</f>
        <v>0</v>
      </c>
      <c r="R132" s="15">
        <f>IFERROR(IF(ISBLANK(K132),IFERROR(VLOOKUP($D132,Sheet3!$H$2:$O$200,R$1,FALSE),IFERROR(VLOOKUP($E132,Sheet3!$H$2:$O$200,R$1,FALSE),VLOOKUP($F132,Sheet3!$H$2:$O$200,R$1,FALSE))),$I$1),$I$1)</f>
        <v>0</v>
      </c>
      <c r="S132" s="15">
        <f>IFERROR(IF(ISBLANK(L132),IFERROR(VLOOKUP($D132,Sheet3!$H$2:$O$200,S$1,FALSE),IFERROR(VLOOKUP($E132,Sheet3!$H$2:$O$200,S$1,FALSE),VLOOKUP($F132,Sheet3!$H$2:$O$200,S$1,FALSE))),$I$1),$I$1)</f>
        <v>0</v>
      </c>
      <c r="T132" s="15">
        <f>IFERROR(IF(ISBLANK(M132),IFERROR(VLOOKUP($D132,Sheet3!$H$2:$O$200,T$1,FALSE),IFERROR(VLOOKUP($E132,Sheet3!$H$2:$O$200,T$1,FALSE),VLOOKUP($F132,Sheet3!$H$2:$O$200,T$1,FALSE))),$I$1),$I$1)</f>
        <v>0</v>
      </c>
      <c r="U132" s="15">
        <f>IFERROR(IF(ISBLANK(N132),IFERROR(VLOOKUP($D132,Sheet3!$H$2:$O$200,U$1,FALSE),IFERROR(VLOOKUP($E132,Sheet3!$H$2:$O$200,U$1,FALSE),VLOOKUP($F132,Sheet3!$H$2:$O$200,U$1,FALSE))),$I$1),$I$1)</f>
        <v>0</v>
      </c>
      <c r="V132" s="15">
        <f>IFERROR(IF(ISBLANK(O132),IFERROR(VLOOKUP($D132,Sheet3!$H$2:$O$200,V$1,FALSE),IFERROR(VLOOKUP($E132,Sheet3!$H$2:$O$200,V$1,FALSE),VLOOKUP($F132,Sheet3!$H$2:$O$200,V$1,FALSE))),$I$1),$I$1)</f>
        <v>0</v>
      </c>
      <c r="W132" s="15">
        <f>IFERROR(IF(ISBLANK(P132),IFERROR(VLOOKUP($D132,Sheet3!$H$2:$O$200,W$1,FALSE),IFERROR(VLOOKUP($E132,Sheet3!$H$2:$O$200,W$1,FALSE),VLOOKUP($F132,Sheet3!$H$2:$O$200,W$1,FALSE))),$I$1),$I$1)</f>
        <v>0</v>
      </c>
      <c r="X132" s="15">
        <f>IFERROR(IF(ISBLANK(Q132),IFERROR(VLOOKUP($E132,Sheet3!$H$2:$O$200,X$1,FALSE),IFERROR(VLOOKUP($F132,Sheet3!$H$2:$O$200,X$1,FALSE),VLOOKUP($G132,Sheet3!$H$2:$O$200,X$1,FALSE))),$I$1),$I$1)</f>
        <v>0</v>
      </c>
      <c r="Y132" s="15">
        <f>IFERROR(IF(ISBLANK(R132),IFERROR(VLOOKUP($E132,Sheet3!$H$2:$O$200,Y$1,FALSE),IFERROR(VLOOKUP($F132,Sheet3!$H$2:$O$200,Y$1,FALSE),VLOOKUP($G132,Sheet3!$H$2:$O$200,Y$1,FALSE))),$I$1),$I$1)</f>
        <v>0</v>
      </c>
      <c r="Z132" s="15">
        <f>IFERROR(IF(ISBLANK(S132),IFERROR(VLOOKUP($E132,Sheet3!$H$2:$O$200,Z$1,FALSE),IFERROR(VLOOKUP($F132,Sheet3!$H$2:$O$200,Z$1,FALSE),VLOOKUP($G132,Sheet3!$H$2:$O$200,Z$1,FALSE))),$I$1),$I$1)</f>
        <v>0</v>
      </c>
      <c r="AA132" s="15">
        <f>IFERROR(IF(ISBLANK(T132),IFERROR(VLOOKUP($E132,Sheet3!$H$2:$O$200,AA$1,FALSE),IFERROR(VLOOKUP($F132,Sheet3!$H$2:$O$200,AA$1,FALSE),VLOOKUP($G132,Sheet3!$H$2:$O$200,AA$1,FALSE))),$I$1),$I$1)</f>
        <v>0</v>
      </c>
      <c r="AB132" s="15">
        <f>IFERROR(IF(ISBLANK(U132),IFERROR(VLOOKUP($E132,Sheet3!$H$2:$O$200,AB$1,FALSE),IFERROR(VLOOKUP($F132,Sheet3!$H$2:$O$200,AB$1,FALSE),VLOOKUP($G132,Sheet3!$H$2:$O$200,AB$1,FALSE))),$I$1),$I$1)</f>
        <v>0</v>
      </c>
      <c r="AC132" s="15">
        <f>IFERROR(IF(ISBLANK(V132),IFERROR(VLOOKUP($E132,Sheet3!$H$2:$O$200,AC$1,FALSE),IFERROR(VLOOKUP($F132,Sheet3!$H$2:$O$200,AC$1,FALSE),VLOOKUP($G132,Sheet3!$H$2:$O$200,AC$1,FALSE))),$I$1),$I$1)</f>
        <v>0</v>
      </c>
      <c r="AD132" s="15">
        <f>IFERROR(IF(ISBLANK(W132),IFERROR(VLOOKUP($E132,Sheet3!$H$2:$O$200,AD$1,FALSE),IFERROR(VLOOKUP($F132,Sheet3!$H$2:$O$200,AD$1,FALSE),VLOOKUP($G132,Sheet3!$H$2:$O$200,AD$1,FALSE))),$I$1),$I$1)</f>
        <v>0</v>
      </c>
      <c r="AE132" s="15">
        <f>IFERROR(IF(ISBLANK(X132),IFERROR(VLOOKUP($F132,Sheet3!$H$2:$O$200,AE$1,FALSE),VLOOKUP($G132,Sheet3!$H$2:$O$200,AE$1,FALSE)),$I$1),$I$1)</f>
        <v>0</v>
      </c>
      <c r="AF132" s="15">
        <f>IFERROR(IF(ISBLANK(Y132),IFERROR(VLOOKUP($F132,Sheet3!$H$2:$O$200,AF$1,FALSE),VLOOKUP($G132,Sheet3!$H$2:$O$200,AF$1,FALSE)),$I$1),$I$1)</f>
        <v>0</v>
      </c>
      <c r="AG132" s="15">
        <f>IFERROR(IF(ISBLANK(Z132),IFERROR(VLOOKUP($F132,Sheet3!$H$2:$O$200,AG$1,FALSE),VLOOKUP($G132,Sheet3!$H$2:$O$200,AG$1,FALSE)),$I$1),$I$1)</f>
        <v>0</v>
      </c>
      <c r="AH132" s="15">
        <f>IFERROR(IF(ISBLANK(AA132),IFERROR(VLOOKUP($F132,Sheet3!$H$2:$O$200,AH$1,FALSE),VLOOKUP($G132,Sheet3!$H$2:$O$200,AH$1,FALSE)),$I$1),$I$1)</f>
        <v>0</v>
      </c>
      <c r="AI132" s="15">
        <f>IFERROR(IF(ISBLANK(AB132),IFERROR(VLOOKUP($F132,Sheet3!$H$2:$O$200,AI$1,FALSE),VLOOKUP($G132,Sheet3!$H$2:$O$200,AI$1,FALSE)),$I$1),$I$1)</f>
        <v>0</v>
      </c>
      <c r="AJ132" s="15">
        <f>IFERROR(IF(ISBLANK(AC132),IFERROR(VLOOKUP($F132,Sheet3!$H$2:$O$200,AJ$1,FALSE),VLOOKUP($G132,Sheet3!$H$2:$O$200,AJ$1,FALSE)),$I$1),$I$1)</f>
        <v>0</v>
      </c>
      <c r="AK132" s="15">
        <f>IFERROR(IF(ISBLANK(AD132),IFERROR(VLOOKUP($F132,Sheet3!$H$2:$O$200,AK$1,FALSE),VLOOKUP($G132,Sheet3!$H$2:$O$200,AK$1,FALSE)),$I$1),$I$1)</f>
        <v>0</v>
      </c>
      <c r="AL132" s="15">
        <f>IFERROR(IF(ISBLANK(AE132),VLOOKUP($G132,Sheet3!$H$2:$O$200,AL$1,FALSE),$I$1),$I$1)</f>
        <v>0</v>
      </c>
      <c r="AM132" s="15">
        <f>IFERROR(IF(ISBLANK(AF132),VLOOKUP($G132,Sheet3!$H$2:$O$200,AM$1,FALSE),$I$1),$I$1)</f>
        <v>0</v>
      </c>
      <c r="AN132" s="15">
        <f>IFERROR(IF(ISBLANK(AG132),VLOOKUP($G132,Sheet3!$H$2:$O$200,AN$1,FALSE),$I$1),$I$1)</f>
        <v>0</v>
      </c>
      <c r="AO132" s="15">
        <f>IFERROR(IF(ISBLANK(AH132),VLOOKUP($G132,Sheet3!$H$2:$O$200,AO$1,FALSE),$I$1),$I$1)</f>
        <v>0</v>
      </c>
      <c r="AP132" s="15">
        <f>IFERROR(IF(ISBLANK(AI132),VLOOKUP($G132,Sheet3!$H$2:$O$200,AP$1,FALSE),$I$1),$I$1)</f>
        <v>0</v>
      </c>
      <c r="AQ132" s="15">
        <f>IFERROR(IF(ISBLANK(AJ132),VLOOKUP($G132,Sheet3!$H$2:$O$200,AQ$1,FALSE),$I$1),$I$1)</f>
        <v>0</v>
      </c>
      <c r="AR132" s="15">
        <f>IFERROR(IF(ISBLANK(AK132),VLOOKUP($G132,Sheet3!$H$2:$O$200,AR$1,FALSE),$I$1),$I$1)</f>
        <v>0</v>
      </c>
      <c r="AS132" s="15">
        <f t="shared" si="1"/>
        <v>28</v>
      </c>
      <c r="AT132" s="15" t="b">
        <f t="shared" si="2"/>
        <v>0</v>
      </c>
    </row>
    <row r="133" spans="1:46" x14ac:dyDescent="0.2">
      <c r="A133" s="19" t="s">
        <v>285</v>
      </c>
      <c r="B133" s="19" t="s">
        <v>265</v>
      </c>
      <c r="C133" s="19" t="s">
        <v>120</v>
      </c>
      <c r="D133" s="19" t="s">
        <v>90</v>
      </c>
      <c r="E133" s="19" t="s">
        <v>86</v>
      </c>
      <c r="F133" s="19"/>
      <c r="G133" s="19"/>
      <c r="H133" s="19" t="s">
        <v>285</v>
      </c>
      <c r="I133" s="15">
        <f t="shared" si="0"/>
        <v>3</v>
      </c>
      <c r="J133" s="15">
        <f>IFERROR(VLOOKUP($C133,Sheet3!$H$2:$O$200,J$1,FALSE),IFERROR(VLOOKUP($D133,Sheet3!$H$2:$O$200,J$1,FALSE),VLOOKUP($E133,Sheet3!$H$2:$O$200,J$1,FALSE)))</f>
        <v>0</v>
      </c>
      <c r="K133" s="15">
        <f>IFERROR(VLOOKUP($C133,Sheet3!$H$2:$O$200,K$1,FALSE),IFERROR(VLOOKUP($D133,Sheet3!$H$2:$O$200,K$1,FALSE),VLOOKUP($E133,Sheet3!$H$2:$O$200,K$1,FALSE)))</f>
        <v>0</v>
      </c>
      <c r="L133" s="15">
        <f>IFERROR(VLOOKUP($C133,Sheet3!$H$2:$O$200,L$1,FALSE),IFERROR(VLOOKUP($D133,Sheet3!$H$2:$O$200,L$1,FALSE),VLOOKUP($E133,Sheet3!$H$2:$O$200,L$1,FALSE)))</f>
        <v>0</v>
      </c>
      <c r="M133" s="15" t="str">
        <f>IFERROR(VLOOKUP($C133,Sheet3!$H$2:$O$200,M$1,FALSE),IFERROR(VLOOKUP($D133,Sheet3!$H$2:$O$200,M$1,FALSE),VLOOKUP($E133,Sheet3!$H$2:$O$200,M$1,FALSE)))</f>
        <v>maraschino liqueur</v>
      </c>
      <c r="N133" s="15">
        <f>IFERROR(VLOOKUP($C133,Sheet3!$H$2:$O$200,N$1,FALSE),IFERROR(VLOOKUP($D133,Sheet3!$H$2:$O$200,N$1,FALSE),VLOOKUP($E133,Sheet3!$H$2:$O$200,N$1,FALSE)))</f>
        <v>0</v>
      </c>
      <c r="O133" s="15">
        <f>IFERROR(VLOOKUP($C133,Sheet3!$H$2:$O$200,O$1,FALSE),IFERROR(VLOOKUP($D133,Sheet3!$H$2:$O$200,O$1,FALSE),VLOOKUP($E133,Sheet3!$H$2:$O$200,O$1,FALSE)))</f>
        <v>0</v>
      </c>
      <c r="P133" s="15">
        <f>IFERROR(VLOOKUP($C133,Sheet3!$H$2:$O$200,P$1,FALSE),IFERROR(VLOOKUP($D133,Sheet3!$H$2:$O$200,P$1,FALSE),VLOOKUP($E133,Sheet3!$H$2:$O$200,P$1,FALSE)))</f>
        <v>0</v>
      </c>
      <c r="Q133" s="15">
        <f>IFERROR(IF(ISBLANK(J133),IFERROR(VLOOKUP($D133,Sheet3!$H$2:$O$200,Q$1,FALSE),IFERROR(VLOOKUP($E133,Sheet3!$H$2:$O$200,Q$1,FALSE),VLOOKUP($F133,Sheet3!$H$2:$O$200,Q$1,FALSE))),$I$1),$I$1)</f>
        <v>0</v>
      </c>
      <c r="R133" s="15">
        <f>IFERROR(IF(ISBLANK(K133),IFERROR(VLOOKUP($D133,Sheet3!$H$2:$O$200,R$1,FALSE),IFERROR(VLOOKUP($E133,Sheet3!$H$2:$O$200,R$1,FALSE),VLOOKUP($F133,Sheet3!$H$2:$O$200,R$1,FALSE))),$I$1),$I$1)</f>
        <v>0</v>
      </c>
      <c r="S133" s="15">
        <f>IFERROR(IF(ISBLANK(L133),IFERROR(VLOOKUP($D133,Sheet3!$H$2:$O$200,S$1,FALSE),IFERROR(VLOOKUP($E133,Sheet3!$H$2:$O$200,S$1,FALSE),VLOOKUP($F133,Sheet3!$H$2:$O$200,S$1,FALSE))),$I$1),$I$1)</f>
        <v>0</v>
      </c>
      <c r="T133" s="15">
        <f>IFERROR(IF(ISBLANK(M133),IFERROR(VLOOKUP($D133,Sheet3!$H$2:$O$200,T$1,FALSE),IFERROR(VLOOKUP($E133,Sheet3!$H$2:$O$200,T$1,FALSE),VLOOKUP($F133,Sheet3!$H$2:$O$200,T$1,FALSE))),$I$1),$I$1)</f>
        <v>0</v>
      </c>
      <c r="U133" s="15">
        <f>IFERROR(IF(ISBLANK(N133),IFERROR(VLOOKUP($D133,Sheet3!$H$2:$O$200,U$1,FALSE),IFERROR(VLOOKUP($E133,Sheet3!$H$2:$O$200,U$1,FALSE),VLOOKUP($F133,Sheet3!$H$2:$O$200,U$1,FALSE))),$I$1),$I$1)</f>
        <v>0</v>
      </c>
      <c r="V133" s="15">
        <f>IFERROR(IF(ISBLANK(O133),IFERROR(VLOOKUP($D133,Sheet3!$H$2:$O$200,V$1,FALSE),IFERROR(VLOOKUP($E133,Sheet3!$H$2:$O$200,V$1,FALSE),VLOOKUP($F133,Sheet3!$H$2:$O$200,V$1,FALSE))),$I$1),$I$1)</f>
        <v>0</v>
      </c>
      <c r="W133" s="15">
        <f>IFERROR(IF(ISBLANK(P133),IFERROR(VLOOKUP($D133,Sheet3!$H$2:$O$200,W$1,FALSE),IFERROR(VLOOKUP($E133,Sheet3!$H$2:$O$200,W$1,FALSE),VLOOKUP($F133,Sheet3!$H$2:$O$200,W$1,FALSE))),$I$1),$I$1)</f>
        <v>0</v>
      </c>
      <c r="X133" s="15">
        <f>IFERROR(IF(ISBLANK(Q133),IFERROR(VLOOKUP($E133,Sheet3!$H$2:$O$200,X$1,FALSE),IFERROR(VLOOKUP($F133,Sheet3!$H$2:$O$200,X$1,FALSE),VLOOKUP($G133,Sheet3!$H$2:$O$200,X$1,FALSE))),$I$1),$I$1)</f>
        <v>0</v>
      </c>
      <c r="Y133" s="15">
        <f>IFERROR(IF(ISBLANK(R133),IFERROR(VLOOKUP($E133,Sheet3!$H$2:$O$200,Y$1,FALSE),IFERROR(VLOOKUP($F133,Sheet3!$H$2:$O$200,Y$1,FALSE),VLOOKUP($G133,Sheet3!$H$2:$O$200,Y$1,FALSE))),$I$1),$I$1)</f>
        <v>0</v>
      </c>
      <c r="Z133" s="15">
        <f>IFERROR(IF(ISBLANK(S133),IFERROR(VLOOKUP($E133,Sheet3!$H$2:$O$200,Z$1,FALSE),IFERROR(VLOOKUP($F133,Sheet3!$H$2:$O$200,Z$1,FALSE),VLOOKUP($G133,Sheet3!$H$2:$O$200,Z$1,FALSE))),$I$1),$I$1)</f>
        <v>0</v>
      </c>
      <c r="AA133" s="15">
        <f>IFERROR(IF(ISBLANK(T133),IFERROR(VLOOKUP($E133,Sheet3!$H$2:$O$200,AA$1,FALSE),IFERROR(VLOOKUP($F133,Sheet3!$H$2:$O$200,AA$1,FALSE),VLOOKUP($G133,Sheet3!$H$2:$O$200,AA$1,FALSE))),$I$1),$I$1)</f>
        <v>0</v>
      </c>
      <c r="AB133" s="15">
        <f>IFERROR(IF(ISBLANK(U133),IFERROR(VLOOKUP($E133,Sheet3!$H$2:$O$200,AB$1,FALSE),IFERROR(VLOOKUP($F133,Sheet3!$H$2:$O$200,AB$1,FALSE),VLOOKUP($G133,Sheet3!$H$2:$O$200,AB$1,FALSE))),$I$1),$I$1)</f>
        <v>0</v>
      </c>
      <c r="AC133" s="15">
        <f>IFERROR(IF(ISBLANK(V133),IFERROR(VLOOKUP($E133,Sheet3!$H$2:$O$200,AC$1,FALSE),IFERROR(VLOOKUP($F133,Sheet3!$H$2:$O$200,AC$1,FALSE),VLOOKUP($G133,Sheet3!$H$2:$O$200,AC$1,FALSE))),$I$1),$I$1)</f>
        <v>0</v>
      </c>
      <c r="AD133" s="15">
        <f>IFERROR(IF(ISBLANK(W133),IFERROR(VLOOKUP($E133,Sheet3!$H$2:$O$200,AD$1,FALSE),IFERROR(VLOOKUP($F133,Sheet3!$H$2:$O$200,AD$1,FALSE),VLOOKUP($G133,Sheet3!$H$2:$O$200,AD$1,FALSE))),$I$1),$I$1)</f>
        <v>0</v>
      </c>
      <c r="AE133" s="15">
        <f>IFERROR(IF(ISBLANK(X133),IFERROR(VLOOKUP($F133,Sheet3!$H$2:$O$200,AE$1,FALSE),VLOOKUP($G133,Sheet3!$H$2:$O$200,AE$1,FALSE)),$I$1),$I$1)</f>
        <v>0</v>
      </c>
      <c r="AF133" s="15">
        <f>IFERROR(IF(ISBLANK(Y133),IFERROR(VLOOKUP($F133,Sheet3!$H$2:$O$200,AF$1,FALSE),VLOOKUP($G133,Sheet3!$H$2:$O$200,AF$1,FALSE)),$I$1),$I$1)</f>
        <v>0</v>
      </c>
      <c r="AG133" s="15">
        <f>IFERROR(IF(ISBLANK(Z133),IFERROR(VLOOKUP($F133,Sheet3!$H$2:$O$200,AG$1,FALSE),VLOOKUP($G133,Sheet3!$H$2:$O$200,AG$1,FALSE)),$I$1),$I$1)</f>
        <v>0</v>
      </c>
      <c r="AH133" s="15">
        <f>IFERROR(IF(ISBLANK(AA133),IFERROR(VLOOKUP($F133,Sheet3!$H$2:$O$200,AH$1,FALSE),VLOOKUP($G133,Sheet3!$H$2:$O$200,AH$1,FALSE)),$I$1),$I$1)</f>
        <v>0</v>
      </c>
      <c r="AI133" s="15">
        <f>IFERROR(IF(ISBLANK(AB133),IFERROR(VLOOKUP($F133,Sheet3!$H$2:$O$200,AI$1,FALSE),VLOOKUP($G133,Sheet3!$H$2:$O$200,AI$1,FALSE)),$I$1),$I$1)</f>
        <v>0</v>
      </c>
      <c r="AJ133" s="15">
        <f>IFERROR(IF(ISBLANK(AC133),IFERROR(VLOOKUP($F133,Sheet3!$H$2:$O$200,AJ$1,FALSE),VLOOKUP($G133,Sheet3!$H$2:$O$200,AJ$1,FALSE)),$I$1),$I$1)</f>
        <v>0</v>
      </c>
      <c r="AK133" s="15">
        <f>IFERROR(IF(ISBLANK(AD133),IFERROR(VLOOKUP($F133,Sheet3!$H$2:$O$200,AK$1,FALSE),VLOOKUP($G133,Sheet3!$H$2:$O$200,AK$1,FALSE)),$I$1),$I$1)</f>
        <v>0</v>
      </c>
      <c r="AL133" s="15">
        <f>IFERROR(IF(ISBLANK(AE133),VLOOKUP($G133,Sheet3!$H$2:$O$200,AL$1,FALSE),$I$1),$I$1)</f>
        <v>0</v>
      </c>
      <c r="AM133" s="15">
        <f>IFERROR(IF(ISBLANK(AF133),VLOOKUP($G133,Sheet3!$H$2:$O$200,AM$1,FALSE),$I$1),$I$1)</f>
        <v>0</v>
      </c>
      <c r="AN133" s="15">
        <f>IFERROR(IF(ISBLANK(AG133),VLOOKUP($G133,Sheet3!$H$2:$O$200,AN$1,FALSE),$I$1),$I$1)</f>
        <v>0</v>
      </c>
      <c r="AO133" s="15">
        <f>IFERROR(IF(ISBLANK(AH133),VLOOKUP($G133,Sheet3!$H$2:$O$200,AO$1,FALSE),$I$1),$I$1)</f>
        <v>0</v>
      </c>
      <c r="AP133" s="15">
        <f>IFERROR(IF(ISBLANK(AI133),VLOOKUP($G133,Sheet3!$H$2:$O$200,AP$1,FALSE),$I$1),$I$1)</f>
        <v>0</v>
      </c>
      <c r="AQ133" s="15">
        <f>IFERROR(IF(ISBLANK(AJ133),VLOOKUP($G133,Sheet3!$H$2:$O$200,AQ$1,FALSE),$I$1),$I$1)</f>
        <v>0</v>
      </c>
      <c r="AR133" s="15">
        <f>IFERROR(IF(ISBLANK(AK133),VLOOKUP($G133,Sheet3!$H$2:$O$200,AR$1,FALSE),$I$1),$I$1)</f>
        <v>0</v>
      </c>
      <c r="AS133" s="15">
        <f t="shared" si="1"/>
        <v>28</v>
      </c>
      <c r="AT133" s="15" t="b">
        <f t="shared" si="2"/>
        <v>0</v>
      </c>
    </row>
    <row r="134" spans="1:46" x14ac:dyDescent="0.2">
      <c r="A134" s="19" t="s">
        <v>286</v>
      </c>
      <c r="B134" s="19" t="s">
        <v>265</v>
      </c>
      <c r="C134" s="19" t="s">
        <v>100</v>
      </c>
      <c r="D134" s="19" t="s">
        <v>90</v>
      </c>
      <c r="E134" s="19"/>
      <c r="F134" s="19"/>
      <c r="G134" s="19"/>
      <c r="H134" s="19" t="s">
        <v>286</v>
      </c>
      <c r="I134" s="15">
        <f t="shared" si="0"/>
        <v>2</v>
      </c>
      <c r="J134" s="15">
        <f>IFERROR(VLOOKUP($C134,Sheet3!$H$2:$O$200,J$1,FALSE),IFERROR(VLOOKUP($D134,Sheet3!$H$2:$O$200,J$1,FALSE),VLOOKUP($E134,Sheet3!$H$2:$O$200,J$1,FALSE)))</f>
        <v>0</v>
      </c>
      <c r="K134" s="15">
        <f>IFERROR(VLOOKUP($C134,Sheet3!$H$2:$O$200,K$1,FALSE),IFERROR(VLOOKUP($D134,Sheet3!$H$2:$O$200,K$1,FALSE),VLOOKUP($E134,Sheet3!$H$2:$O$200,K$1,FALSE)))</f>
        <v>0</v>
      </c>
      <c r="L134" s="15">
        <f>IFERROR(VLOOKUP($C134,Sheet3!$H$2:$O$200,L$1,FALSE),IFERROR(VLOOKUP($D134,Sheet3!$H$2:$O$200,L$1,FALSE),VLOOKUP($E134,Sheet3!$H$2:$O$200,L$1,FALSE)))</f>
        <v>0</v>
      </c>
      <c r="M134" s="15" t="str">
        <f>IFERROR(VLOOKUP($C134,Sheet3!$H$2:$O$200,M$1,FALSE),IFERROR(VLOOKUP($D134,Sheet3!$H$2:$O$200,M$1,FALSE),VLOOKUP($E134,Sheet3!$H$2:$O$200,M$1,FALSE)))</f>
        <v>triple sec</v>
      </c>
      <c r="N134" s="15">
        <f>IFERROR(VLOOKUP($C134,Sheet3!$H$2:$O$200,N$1,FALSE),IFERROR(VLOOKUP($D134,Sheet3!$H$2:$O$200,N$1,FALSE),VLOOKUP($E134,Sheet3!$H$2:$O$200,N$1,FALSE)))</f>
        <v>0</v>
      </c>
      <c r="O134" s="15">
        <f>IFERROR(VLOOKUP($C134,Sheet3!$H$2:$O$200,O$1,FALSE),IFERROR(VLOOKUP($D134,Sheet3!$H$2:$O$200,O$1,FALSE),VLOOKUP($E134,Sheet3!$H$2:$O$200,O$1,FALSE)))</f>
        <v>0</v>
      </c>
      <c r="P134" s="15">
        <f>IFERROR(VLOOKUP($C134,Sheet3!$H$2:$O$200,P$1,FALSE),IFERROR(VLOOKUP($D134,Sheet3!$H$2:$O$200,P$1,FALSE),VLOOKUP($E134,Sheet3!$H$2:$O$200,P$1,FALSE)))</f>
        <v>0</v>
      </c>
      <c r="Q134" s="15">
        <f>IFERROR(IF(ISBLANK(J134),IFERROR(VLOOKUP($D134,Sheet3!$H$2:$O$200,Q$1,FALSE),IFERROR(VLOOKUP($E134,Sheet3!$H$2:$O$200,Q$1,FALSE),VLOOKUP($F134,Sheet3!$H$2:$O$200,Q$1,FALSE))),$I$1),$I$1)</f>
        <v>0</v>
      </c>
      <c r="R134" s="15">
        <f>IFERROR(IF(ISBLANK(K134),IFERROR(VLOOKUP($D134,Sheet3!$H$2:$O$200,R$1,FALSE),IFERROR(VLOOKUP($E134,Sheet3!$H$2:$O$200,R$1,FALSE),VLOOKUP($F134,Sheet3!$H$2:$O$200,R$1,FALSE))),$I$1),$I$1)</f>
        <v>0</v>
      </c>
      <c r="S134" s="15">
        <f>IFERROR(IF(ISBLANK(L134),IFERROR(VLOOKUP($D134,Sheet3!$H$2:$O$200,S$1,FALSE),IFERROR(VLOOKUP($E134,Sheet3!$H$2:$O$200,S$1,FALSE),VLOOKUP($F134,Sheet3!$H$2:$O$200,S$1,FALSE))),$I$1),$I$1)</f>
        <v>0</v>
      </c>
      <c r="T134" s="15">
        <f>IFERROR(IF(ISBLANK(M134),IFERROR(VLOOKUP($D134,Sheet3!$H$2:$O$200,T$1,FALSE),IFERROR(VLOOKUP($E134,Sheet3!$H$2:$O$200,T$1,FALSE),VLOOKUP($F134,Sheet3!$H$2:$O$200,T$1,FALSE))),$I$1),$I$1)</f>
        <v>0</v>
      </c>
      <c r="U134" s="15">
        <f>IFERROR(IF(ISBLANK(N134),IFERROR(VLOOKUP($D134,Sheet3!$H$2:$O$200,U$1,FALSE),IFERROR(VLOOKUP($E134,Sheet3!$H$2:$O$200,U$1,FALSE),VLOOKUP($F134,Sheet3!$H$2:$O$200,U$1,FALSE))),$I$1),$I$1)</f>
        <v>0</v>
      </c>
      <c r="V134" s="15">
        <f>IFERROR(IF(ISBLANK(O134),IFERROR(VLOOKUP($D134,Sheet3!$H$2:$O$200,V$1,FALSE),IFERROR(VLOOKUP($E134,Sheet3!$H$2:$O$200,V$1,FALSE),VLOOKUP($F134,Sheet3!$H$2:$O$200,V$1,FALSE))),$I$1),$I$1)</f>
        <v>0</v>
      </c>
      <c r="W134" s="15">
        <f>IFERROR(IF(ISBLANK(P134),IFERROR(VLOOKUP($D134,Sheet3!$H$2:$O$200,W$1,FALSE),IFERROR(VLOOKUP($E134,Sheet3!$H$2:$O$200,W$1,FALSE),VLOOKUP($F134,Sheet3!$H$2:$O$200,W$1,FALSE))),$I$1),$I$1)</f>
        <v>0</v>
      </c>
      <c r="X134" s="15">
        <f>IFERROR(IF(ISBLANK(Q134),IFERROR(VLOOKUP($E134,Sheet3!$H$2:$O$200,X$1,FALSE),IFERROR(VLOOKUP($F134,Sheet3!$H$2:$O$200,X$1,FALSE),VLOOKUP($G134,Sheet3!$H$2:$O$200,X$1,FALSE))),$I$1),$I$1)</f>
        <v>0</v>
      </c>
      <c r="Y134" s="15">
        <f>IFERROR(IF(ISBLANK(R134),IFERROR(VLOOKUP($E134,Sheet3!$H$2:$O$200,Y$1,FALSE),IFERROR(VLOOKUP($F134,Sheet3!$H$2:$O$200,Y$1,FALSE),VLOOKUP($G134,Sheet3!$H$2:$O$200,Y$1,FALSE))),$I$1),$I$1)</f>
        <v>0</v>
      </c>
      <c r="Z134" s="15">
        <f>IFERROR(IF(ISBLANK(S134),IFERROR(VLOOKUP($E134,Sheet3!$H$2:$O$200,Z$1,FALSE),IFERROR(VLOOKUP($F134,Sheet3!$H$2:$O$200,Z$1,FALSE),VLOOKUP($G134,Sheet3!$H$2:$O$200,Z$1,FALSE))),$I$1),$I$1)</f>
        <v>0</v>
      </c>
      <c r="AA134" s="15">
        <f>IFERROR(IF(ISBLANK(T134),IFERROR(VLOOKUP($E134,Sheet3!$H$2:$O$200,AA$1,FALSE),IFERROR(VLOOKUP($F134,Sheet3!$H$2:$O$200,AA$1,FALSE),VLOOKUP($G134,Sheet3!$H$2:$O$200,AA$1,FALSE))),$I$1),$I$1)</f>
        <v>0</v>
      </c>
      <c r="AB134" s="15">
        <f>IFERROR(IF(ISBLANK(U134),IFERROR(VLOOKUP($E134,Sheet3!$H$2:$O$200,AB$1,FALSE),IFERROR(VLOOKUP($F134,Sheet3!$H$2:$O$200,AB$1,FALSE),VLOOKUP($G134,Sheet3!$H$2:$O$200,AB$1,FALSE))),$I$1),$I$1)</f>
        <v>0</v>
      </c>
      <c r="AC134" s="15">
        <f>IFERROR(IF(ISBLANK(V134),IFERROR(VLOOKUP($E134,Sheet3!$H$2:$O$200,AC$1,FALSE),IFERROR(VLOOKUP($F134,Sheet3!$H$2:$O$200,AC$1,FALSE),VLOOKUP($G134,Sheet3!$H$2:$O$200,AC$1,FALSE))),$I$1),$I$1)</f>
        <v>0</v>
      </c>
      <c r="AD134" s="15">
        <f>IFERROR(IF(ISBLANK(W134),IFERROR(VLOOKUP($E134,Sheet3!$H$2:$O$200,AD$1,FALSE),IFERROR(VLOOKUP($F134,Sheet3!$H$2:$O$200,AD$1,FALSE),VLOOKUP($G134,Sheet3!$H$2:$O$200,AD$1,FALSE))),$I$1),$I$1)</f>
        <v>0</v>
      </c>
      <c r="AE134" s="15">
        <f>IFERROR(IF(ISBLANK(X134),IFERROR(VLOOKUP($F134,Sheet3!$H$2:$O$200,AE$1,FALSE),VLOOKUP($G134,Sheet3!$H$2:$O$200,AE$1,FALSE)),$I$1),$I$1)</f>
        <v>0</v>
      </c>
      <c r="AF134" s="15">
        <f>IFERROR(IF(ISBLANK(Y134),IFERROR(VLOOKUP($F134,Sheet3!$H$2:$O$200,AF$1,FALSE),VLOOKUP($G134,Sheet3!$H$2:$O$200,AF$1,FALSE)),$I$1),$I$1)</f>
        <v>0</v>
      </c>
      <c r="AG134" s="15">
        <f>IFERROR(IF(ISBLANK(Z134),IFERROR(VLOOKUP($F134,Sheet3!$H$2:$O$200,AG$1,FALSE),VLOOKUP($G134,Sheet3!$H$2:$O$200,AG$1,FALSE)),$I$1),$I$1)</f>
        <v>0</v>
      </c>
      <c r="AH134" s="15">
        <f>IFERROR(IF(ISBLANK(AA134),IFERROR(VLOOKUP($F134,Sheet3!$H$2:$O$200,AH$1,FALSE),VLOOKUP($G134,Sheet3!$H$2:$O$200,AH$1,FALSE)),$I$1),$I$1)</f>
        <v>0</v>
      </c>
      <c r="AI134" s="15">
        <f>IFERROR(IF(ISBLANK(AB134),IFERROR(VLOOKUP($F134,Sheet3!$H$2:$O$200,AI$1,FALSE),VLOOKUP($G134,Sheet3!$H$2:$O$200,AI$1,FALSE)),$I$1),$I$1)</f>
        <v>0</v>
      </c>
      <c r="AJ134" s="15">
        <f>IFERROR(IF(ISBLANK(AC134),IFERROR(VLOOKUP($F134,Sheet3!$H$2:$O$200,AJ$1,FALSE),VLOOKUP($G134,Sheet3!$H$2:$O$200,AJ$1,FALSE)),$I$1),$I$1)</f>
        <v>0</v>
      </c>
      <c r="AK134" s="15">
        <f>IFERROR(IF(ISBLANK(AD134),IFERROR(VLOOKUP($F134,Sheet3!$H$2:$O$200,AK$1,FALSE),VLOOKUP($G134,Sheet3!$H$2:$O$200,AK$1,FALSE)),$I$1),$I$1)</f>
        <v>0</v>
      </c>
      <c r="AL134" s="15">
        <f>IFERROR(IF(ISBLANK(AE134),VLOOKUP($G134,Sheet3!$H$2:$O$200,AL$1,FALSE),$I$1),$I$1)</f>
        <v>0</v>
      </c>
      <c r="AM134" s="15">
        <f>IFERROR(IF(ISBLANK(AF134),VLOOKUP($G134,Sheet3!$H$2:$O$200,AM$1,FALSE),$I$1),$I$1)</f>
        <v>0</v>
      </c>
      <c r="AN134" s="15">
        <f>IFERROR(IF(ISBLANK(AG134),VLOOKUP($G134,Sheet3!$H$2:$O$200,AN$1,FALSE),$I$1),$I$1)</f>
        <v>0</v>
      </c>
      <c r="AO134" s="15">
        <f>IFERROR(IF(ISBLANK(AH134),VLOOKUP($G134,Sheet3!$H$2:$O$200,AO$1,FALSE),$I$1),$I$1)</f>
        <v>0</v>
      </c>
      <c r="AP134" s="15">
        <f>IFERROR(IF(ISBLANK(AI134),VLOOKUP($G134,Sheet3!$H$2:$O$200,AP$1,FALSE),$I$1),$I$1)</f>
        <v>0</v>
      </c>
      <c r="AQ134" s="15">
        <f>IFERROR(IF(ISBLANK(AJ134),VLOOKUP($G134,Sheet3!$H$2:$O$200,AQ$1,FALSE),$I$1),$I$1)</f>
        <v>0</v>
      </c>
      <c r="AR134" s="15">
        <f>IFERROR(IF(ISBLANK(AK134),VLOOKUP($G134,Sheet3!$H$2:$O$200,AR$1,FALSE),$I$1),$I$1)</f>
        <v>0</v>
      </c>
      <c r="AS134" s="15">
        <f t="shared" si="1"/>
        <v>28</v>
      </c>
      <c r="AT134" s="15" t="b">
        <f t="shared" si="2"/>
        <v>0</v>
      </c>
    </row>
    <row r="135" spans="1:46" x14ac:dyDescent="0.2">
      <c r="A135" s="19" t="s">
        <v>287</v>
      </c>
      <c r="B135" s="19" t="s">
        <v>265</v>
      </c>
      <c r="C135" s="19" t="s">
        <v>100</v>
      </c>
      <c r="D135" s="19" t="s">
        <v>38</v>
      </c>
      <c r="E135" s="19"/>
      <c r="F135" s="19"/>
      <c r="G135" s="19"/>
      <c r="H135" s="19" t="s">
        <v>287</v>
      </c>
      <c r="I135" s="15">
        <f t="shared" si="0"/>
        <v>2</v>
      </c>
      <c r="J135" s="15">
        <f>IFERROR(VLOOKUP($C135,Sheet3!$H$2:$O$200,J$1,FALSE),IFERROR(VLOOKUP($D135,Sheet3!$H$2:$O$200,J$1,FALSE),VLOOKUP($E135,Sheet3!$H$2:$O$200,J$1,FALSE)))</f>
        <v>0</v>
      </c>
      <c r="K135" s="15">
        <f>IFERROR(VLOOKUP($C135,Sheet3!$H$2:$O$200,K$1,FALSE),IFERROR(VLOOKUP($D135,Sheet3!$H$2:$O$200,K$1,FALSE),VLOOKUP($E135,Sheet3!$H$2:$O$200,K$1,FALSE)))</f>
        <v>0</v>
      </c>
      <c r="L135" s="15">
        <f>IFERROR(VLOOKUP($C135,Sheet3!$H$2:$O$200,L$1,FALSE),IFERROR(VLOOKUP($D135,Sheet3!$H$2:$O$200,L$1,FALSE),VLOOKUP($E135,Sheet3!$H$2:$O$200,L$1,FALSE)))</f>
        <v>0</v>
      </c>
      <c r="M135" s="15" t="str">
        <f>IFERROR(VLOOKUP($C135,Sheet3!$H$2:$O$200,M$1,FALSE),IFERROR(VLOOKUP($D135,Sheet3!$H$2:$O$200,M$1,FALSE),VLOOKUP($E135,Sheet3!$H$2:$O$200,M$1,FALSE)))</f>
        <v>triple sec</v>
      </c>
      <c r="N135" s="15">
        <f>IFERROR(VLOOKUP($C135,Sheet3!$H$2:$O$200,N$1,FALSE),IFERROR(VLOOKUP($D135,Sheet3!$H$2:$O$200,N$1,FALSE),VLOOKUP($E135,Sheet3!$H$2:$O$200,N$1,FALSE)))</f>
        <v>0</v>
      </c>
      <c r="O135" s="15">
        <f>IFERROR(VLOOKUP($C135,Sheet3!$H$2:$O$200,O$1,FALSE),IFERROR(VLOOKUP($D135,Sheet3!$H$2:$O$200,O$1,FALSE),VLOOKUP($E135,Sheet3!$H$2:$O$200,O$1,FALSE)))</f>
        <v>0</v>
      </c>
      <c r="P135" s="15">
        <f>IFERROR(VLOOKUP($C135,Sheet3!$H$2:$O$200,P$1,FALSE),IFERROR(VLOOKUP($D135,Sheet3!$H$2:$O$200,P$1,FALSE),VLOOKUP($E135,Sheet3!$H$2:$O$200,P$1,FALSE)))</f>
        <v>0</v>
      </c>
      <c r="Q135" s="15">
        <f>IFERROR(IF(ISBLANK(J135),IFERROR(VLOOKUP($D135,Sheet3!$H$2:$O$200,Q$1,FALSE),IFERROR(VLOOKUP($E135,Sheet3!$H$2:$O$200,Q$1,FALSE),VLOOKUP($F135,Sheet3!$H$2:$O$200,Q$1,FALSE))),$I$1),$I$1)</f>
        <v>0</v>
      </c>
      <c r="R135" s="15">
        <f>IFERROR(IF(ISBLANK(K135),IFERROR(VLOOKUP($D135,Sheet3!$H$2:$O$200,R$1,FALSE),IFERROR(VLOOKUP($E135,Sheet3!$H$2:$O$200,R$1,FALSE),VLOOKUP($F135,Sheet3!$H$2:$O$200,R$1,FALSE))),$I$1),$I$1)</f>
        <v>0</v>
      </c>
      <c r="S135" s="15">
        <f>IFERROR(IF(ISBLANK(L135),IFERROR(VLOOKUP($D135,Sheet3!$H$2:$O$200,S$1,FALSE),IFERROR(VLOOKUP($E135,Sheet3!$H$2:$O$200,S$1,FALSE),VLOOKUP($F135,Sheet3!$H$2:$O$200,S$1,FALSE))),$I$1),$I$1)</f>
        <v>0</v>
      </c>
      <c r="T135" s="15">
        <f>IFERROR(IF(ISBLANK(M135),IFERROR(VLOOKUP($D135,Sheet3!$H$2:$O$200,T$1,FALSE),IFERROR(VLOOKUP($E135,Sheet3!$H$2:$O$200,T$1,FALSE),VLOOKUP($F135,Sheet3!$H$2:$O$200,T$1,FALSE))),$I$1),$I$1)</f>
        <v>0</v>
      </c>
      <c r="U135" s="15">
        <f>IFERROR(IF(ISBLANK(N135),IFERROR(VLOOKUP($D135,Sheet3!$H$2:$O$200,U$1,FALSE),IFERROR(VLOOKUP($E135,Sheet3!$H$2:$O$200,U$1,FALSE),VLOOKUP($F135,Sheet3!$H$2:$O$200,U$1,FALSE))),$I$1),$I$1)</f>
        <v>0</v>
      </c>
      <c r="V135" s="15">
        <f>IFERROR(IF(ISBLANK(O135),IFERROR(VLOOKUP($D135,Sheet3!$H$2:$O$200,V$1,FALSE),IFERROR(VLOOKUP($E135,Sheet3!$H$2:$O$200,V$1,FALSE),VLOOKUP($F135,Sheet3!$H$2:$O$200,V$1,FALSE))),$I$1),$I$1)</f>
        <v>0</v>
      </c>
      <c r="W135" s="15">
        <f>IFERROR(IF(ISBLANK(P135),IFERROR(VLOOKUP($D135,Sheet3!$H$2:$O$200,W$1,FALSE),IFERROR(VLOOKUP($E135,Sheet3!$H$2:$O$200,W$1,FALSE),VLOOKUP($F135,Sheet3!$H$2:$O$200,W$1,FALSE))),$I$1),$I$1)</f>
        <v>0</v>
      </c>
      <c r="X135" s="15">
        <f>IFERROR(IF(ISBLANK(Q135),IFERROR(VLOOKUP($E135,Sheet3!$H$2:$O$200,X$1,FALSE),IFERROR(VLOOKUP($F135,Sheet3!$H$2:$O$200,X$1,FALSE),VLOOKUP($G135,Sheet3!$H$2:$O$200,X$1,FALSE))),$I$1),$I$1)</f>
        <v>0</v>
      </c>
      <c r="Y135" s="15">
        <f>IFERROR(IF(ISBLANK(R135),IFERROR(VLOOKUP($E135,Sheet3!$H$2:$O$200,Y$1,FALSE),IFERROR(VLOOKUP($F135,Sheet3!$H$2:$O$200,Y$1,FALSE),VLOOKUP($G135,Sheet3!$H$2:$O$200,Y$1,FALSE))),$I$1),$I$1)</f>
        <v>0</v>
      </c>
      <c r="Z135" s="15">
        <f>IFERROR(IF(ISBLANK(S135),IFERROR(VLOOKUP($E135,Sheet3!$H$2:$O$200,Z$1,FALSE),IFERROR(VLOOKUP($F135,Sheet3!$H$2:$O$200,Z$1,FALSE),VLOOKUP($G135,Sheet3!$H$2:$O$200,Z$1,FALSE))),$I$1),$I$1)</f>
        <v>0</v>
      </c>
      <c r="AA135" s="15">
        <f>IFERROR(IF(ISBLANK(T135),IFERROR(VLOOKUP($E135,Sheet3!$H$2:$O$200,AA$1,FALSE),IFERROR(VLOOKUP($F135,Sheet3!$H$2:$O$200,AA$1,FALSE),VLOOKUP($G135,Sheet3!$H$2:$O$200,AA$1,FALSE))),$I$1),$I$1)</f>
        <v>0</v>
      </c>
      <c r="AB135" s="15">
        <f>IFERROR(IF(ISBLANK(U135),IFERROR(VLOOKUP($E135,Sheet3!$H$2:$O$200,AB$1,FALSE),IFERROR(VLOOKUP($F135,Sheet3!$H$2:$O$200,AB$1,FALSE),VLOOKUP($G135,Sheet3!$H$2:$O$200,AB$1,FALSE))),$I$1),$I$1)</f>
        <v>0</v>
      </c>
      <c r="AC135" s="15">
        <f>IFERROR(IF(ISBLANK(V135),IFERROR(VLOOKUP($E135,Sheet3!$H$2:$O$200,AC$1,FALSE),IFERROR(VLOOKUP($F135,Sheet3!$H$2:$O$200,AC$1,FALSE),VLOOKUP($G135,Sheet3!$H$2:$O$200,AC$1,FALSE))),$I$1),$I$1)</f>
        <v>0</v>
      </c>
      <c r="AD135" s="15">
        <f>IFERROR(IF(ISBLANK(W135),IFERROR(VLOOKUP($E135,Sheet3!$H$2:$O$200,AD$1,FALSE),IFERROR(VLOOKUP($F135,Sheet3!$H$2:$O$200,AD$1,FALSE),VLOOKUP($G135,Sheet3!$H$2:$O$200,AD$1,FALSE))),$I$1),$I$1)</f>
        <v>0</v>
      </c>
      <c r="AE135" s="15">
        <f>IFERROR(IF(ISBLANK(X135),IFERROR(VLOOKUP($F135,Sheet3!$H$2:$O$200,AE$1,FALSE),VLOOKUP($G135,Sheet3!$H$2:$O$200,AE$1,FALSE)),$I$1),$I$1)</f>
        <v>0</v>
      </c>
      <c r="AF135" s="15">
        <f>IFERROR(IF(ISBLANK(Y135),IFERROR(VLOOKUP($F135,Sheet3!$H$2:$O$200,AF$1,FALSE),VLOOKUP($G135,Sheet3!$H$2:$O$200,AF$1,FALSE)),$I$1),$I$1)</f>
        <v>0</v>
      </c>
      <c r="AG135" s="15">
        <f>IFERROR(IF(ISBLANK(Z135),IFERROR(VLOOKUP($F135,Sheet3!$H$2:$O$200,AG$1,FALSE),VLOOKUP($G135,Sheet3!$H$2:$O$200,AG$1,FALSE)),$I$1),$I$1)</f>
        <v>0</v>
      </c>
      <c r="AH135" s="15">
        <f>IFERROR(IF(ISBLANK(AA135),IFERROR(VLOOKUP($F135,Sheet3!$H$2:$O$200,AH$1,FALSE),VLOOKUP($G135,Sheet3!$H$2:$O$200,AH$1,FALSE)),$I$1),$I$1)</f>
        <v>0</v>
      </c>
      <c r="AI135" s="15">
        <f>IFERROR(IF(ISBLANK(AB135),IFERROR(VLOOKUP($F135,Sheet3!$H$2:$O$200,AI$1,FALSE),VLOOKUP($G135,Sheet3!$H$2:$O$200,AI$1,FALSE)),$I$1),$I$1)</f>
        <v>0</v>
      </c>
      <c r="AJ135" s="15">
        <f>IFERROR(IF(ISBLANK(AC135),IFERROR(VLOOKUP($F135,Sheet3!$H$2:$O$200,AJ$1,FALSE),VLOOKUP($G135,Sheet3!$H$2:$O$200,AJ$1,FALSE)),$I$1),$I$1)</f>
        <v>0</v>
      </c>
      <c r="AK135" s="15">
        <f>IFERROR(IF(ISBLANK(AD135),IFERROR(VLOOKUP($F135,Sheet3!$H$2:$O$200,AK$1,FALSE),VLOOKUP($G135,Sheet3!$H$2:$O$200,AK$1,FALSE)),$I$1),$I$1)</f>
        <v>0</v>
      </c>
      <c r="AL135" s="15">
        <f>IFERROR(IF(ISBLANK(AE135),VLOOKUP($G135,Sheet3!$H$2:$O$200,AL$1,FALSE),$I$1),$I$1)</f>
        <v>0</v>
      </c>
      <c r="AM135" s="15">
        <f>IFERROR(IF(ISBLANK(AF135),VLOOKUP($G135,Sheet3!$H$2:$O$200,AM$1,FALSE),$I$1),$I$1)</f>
        <v>0</v>
      </c>
      <c r="AN135" s="15">
        <f>IFERROR(IF(ISBLANK(AG135),VLOOKUP($G135,Sheet3!$H$2:$O$200,AN$1,FALSE),$I$1),$I$1)</f>
        <v>0</v>
      </c>
      <c r="AO135" s="15">
        <f>IFERROR(IF(ISBLANK(AH135),VLOOKUP($G135,Sheet3!$H$2:$O$200,AO$1,FALSE),$I$1),$I$1)</f>
        <v>0</v>
      </c>
      <c r="AP135" s="15">
        <f>IFERROR(IF(ISBLANK(AI135),VLOOKUP($G135,Sheet3!$H$2:$O$200,AP$1,FALSE),$I$1),$I$1)</f>
        <v>0</v>
      </c>
      <c r="AQ135" s="15">
        <f>IFERROR(IF(ISBLANK(AJ135),VLOOKUP($G135,Sheet3!$H$2:$O$200,AQ$1,FALSE),$I$1),$I$1)</f>
        <v>0</v>
      </c>
      <c r="AR135" s="15">
        <f>IFERROR(IF(ISBLANK(AK135),VLOOKUP($G135,Sheet3!$H$2:$O$200,AR$1,FALSE),$I$1),$I$1)</f>
        <v>0</v>
      </c>
      <c r="AS135" s="15">
        <f t="shared" si="1"/>
        <v>28</v>
      </c>
      <c r="AT135" s="15" t="b">
        <f t="shared" si="2"/>
        <v>0</v>
      </c>
    </row>
    <row r="136" spans="1:46" x14ac:dyDescent="0.2">
      <c r="A136" s="19" t="s">
        <v>288</v>
      </c>
      <c r="B136" s="19" t="s">
        <v>265</v>
      </c>
      <c r="C136" s="19" t="s">
        <v>100</v>
      </c>
      <c r="D136" s="19" t="s">
        <v>90</v>
      </c>
      <c r="E136" s="19" t="s">
        <v>120</v>
      </c>
      <c r="F136" s="19"/>
      <c r="G136" s="19"/>
      <c r="H136" s="19" t="s">
        <v>288</v>
      </c>
      <c r="I136" s="15">
        <f t="shared" si="0"/>
        <v>3</v>
      </c>
      <c r="J136" s="15">
        <f>IFERROR(VLOOKUP($C136,Sheet3!$H$2:$O$200,J$1,FALSE),IFERROR(VLOOKUP($D136,Sheet3!$H$2:$O$200,J$1,FALSE),VLOOKUP($E136,Sheet3!$H$2:$O$200,J$1,FALSE)))</f>
        <v>0</v>
      </c>
      <c r="K136" s="15">
        <f>IFERROR(VLOOKUP($C136,Sheet3!$H$2:$O$200,K$1,FALSE),IFERROR(VLOOKUP($D136,Sheet3!$H$2:$O$200,K$1,FALSE),VLOOKUP($E136,Sheet3!$H$2:$O$200,K$1,FALSE)))</f>
        <v>0</v>
      </c>
      <c r="L136" s="15">
        <f>IFERROR(VLOOKUP($C136,Sheet3!$H$2:$O$200,L$1,FALSE),IFERROR(VLOOKUP($D136,Sheet3!$H$2:$O$200,L$1,FALSE),VLOOKUP($E136,Sheet3!$H$2:$O$200,L$1,FALSE)))</f>
        <v>0</v>
      </c>
      <c r="M136" s="15" t="str">
        <f>IFERROR(VLOOKUP($C136,Sheet3!$H$2:$O$200,M$1,FALSE),IFERROR(VLOOKUP($D136,Sheet3!$H$2:$O$200,M$1,FALSE),VLOOKUP($E136,Sheet3!$H$2:$O$200,M$1,FALSE)))</f>
        <v>triple sec</v>
      </c>
      <c r="N136" s="15">
        <f>IFERROR(VLOOKUP($C136,Sheet3!$H$2:$O$200,N$1,FALSE),IFERROR(VLOOKUP($D136,Sheet3!$H$2:$O$200,N$1,FALSE),VLOOKUP($E136,Sheet3!$H$2:$O$200,N$1,FALSE)))</f>
        <v>0</v>
      </c>
      <c r="O136" s="15">
        <f>IFERROR(VLOOKUP($C136,Sheet3!$H$2:$O$200,O$1,FALSE),IFERROR(VLOOKUP($D136,Sheet3!$H$2:$O$200,O$1,FALSE),VLOOKUP($E136,Sheet3!$H$2:$O$200,O$1,FALSE)))</f>
        <v>0</v>
      </c>
      <c r="P136" s="15">
        <f>IFERROR(VLOOKUP($C136,Sheet3!$H$2:$O$200,P$1,FALSE),IFERROR(VLOOKUP($D136,Sheet3!$H$2:$O$200,P$1,FALSE),VLOOKUP($E136,Sheet3!$H$2:$O$200,P$1,FALSE)))</f>
        <v>0</v>
      </c>
      <c r="Q136" s="15">
        <f>IFERROR(IF(ISBLANK(J136),IFERROR(VLOOKUP($D136,Sheet3!$H$2:$O$200,Q$1,FALSE),IFERROR(VLOOKUP($E136,Sheet3!$H$2:$O$200,Q$1,FALSE),VLOOKUP($F136,Sheet3!$H$2:$O$200,Q$1,FALSE))),$I$1),$I$1)</f>
        <v>0</v>
      </c>
      <c r="R136" s="15">
        <f>IFERROR(IF(ISBLANK(K136),IFERROR(VLOOKUP($D136,Sheet3!$H$2:$O$200,R$1,FALSE),IFERROR(VLOOKUP($E136,Sheet3!$H$2:$O$200,R$1,FALSE),VLOOKUP($F136,Sheet3!$H$2:$O$200,R$1,FALSE))),$I$1),$I$1)</f>
        <v>0</v>
      </c>
      <c r="S136" s="15">
        <f>IFERROR(IF(ISBLANK(L136),IFERROR(VLOOKUP($D136,Sheet3!$H$2:$O$200,S$1,FALSE),IFERROR(VLOOKUP($E136,Sheet3!$H$2:$O$200,S$1,FALSE),VLOOKUP($F136,Sheet3!$H$2:$O$200,S$1,FALSE))),$I$1),$I$1)</f>
        <v>0</v>
      </c>
      <c r="T136" s="15">
        <f>IFERROR(IF(ISBLANK(M136),IFERROR(VLOOKUP($D136,Sheet3!$H$2:$O$200,T$1,FALSE),IFERROR(VLOOKUP($E136,Sheet3!$H$2:$O$200,T$1,FALSE),VLOOKUP($F136,Sheet3!$H$2:$O$200,T$1,FALSE))),$I$1),$I$1)</f>
        <v>0</v>
      </c>
      <c r="U136" s="15">
        <f>IFERROR(IF(ISBLANK(N136),IFERROR(VLOOKUP($D136,Sheet3!$H$2:$O$200,U$1,FALSE),IFERROR(VLOOKUP($E136,Sheet3!$H$2:$O$200,U$1,FALSE),VLOOKUP($F136,Sheet3!$H$2:$O$200,U$1,FALSE))),$I$1),$I$1)</f>
        <v>0</v>
      </c>
      <c r="V136" s="15">
        <f>IFERROR(IF(ISBLANK(O136),IFERROR(VLOOKUP($D136,Sheet3!$H$2:$O$200,V$1,FALSE),IFERROR(VLOOKUP($E136,Sheet3!$H$2:$O$200,V$1,FALSE),VLOOKUP($F136,Sheet3!$H$2:$O$200,V$1,FALSE))),$I$1),$I$1)</f>
        <v>0</v>
      </c>
      <c r="W136" s="15">
        <f>IFERROR(IF(ISBLANK(P136),IFERROR(VLOOKUP($D136,Sheet3!$H$2:$O$200,W$1,FALSE),IFERROR(VLOOKUP($E136,Sheet3!$H$2:$O$200,W$1,FALSE),VLOOKUP($F136,Sheet3!$H$2:$O$200,W$1,FALSE))),$I$1),$I$1)</f>
        <v>0</v>
      </c>
      <c r="X136" s="15">
        <f>IFERROR(IF(ISBLANK(Q136),IFERROR(VLOOKUP($E136,Sheet3!$H$2:$O$200,X$1,FALSE),IFERROR(VLOOKUP($F136,Sheet3!$H$2:$O$200,X$1,FALSE),VLOOKUP($G136,Sheet3!$H$2:$O$200,X$1,FALSE))),$I$1),$I$1)</f>
        <v>0</v>
      </c>
      <c r="Y136" s="15">
        <f>IFERROR(IF(ISBLANK(R136),IFERROR(VLOOKUP($E136,Sheet3!$H$2:$O$200,Y$1,FALSE),IFERROR(VLOOKUP($F136,Sheet3!$H$2:$O$200,Y$1,FALSE),VLOOKUP($G136,Sheet3!$H$2:$O$200,Y$1,FALSE))),$I$1),$I$1)</f>
        <v>0</v>
      </c>
      <c r="Z136" s="15">
        <f>IFERROR(IF(ISBLANK(S136),IFERROR(VLOOKUP($E136,Sheet3!$H$2:$O$200,Z$1,FALSE),IFERROR(VLOOKUP($F136,Sheet3!$H$2:$O$200,Z$1,FALSE),VLOOKUP($G136,Sheet3!$H$2:$O$200,Z$1,FALSE))),$I$1),$I$1)</f>
        <v>0</v>
      </c>
      <c r="AA136" s="15">
        <f>IFERROR(IF(ISBLANK(T136),IFERROR(VLOOKUP($E136,Sheet3!$H$2:$O$200,AA$1,FALSE),IFERROR(VLOOKUP($F136,Sheet3!$H$2:$O$200,AA$1,FALSE),VLOOKUP($G136,Sheet3!$H$2:$O$200,AA$1,FALSE))),$I$1),$I$1)</f>
        <v>0</v>
      </c>
      <c r="AB136" s="15">
        <f>IFERROR(IF(ISBLANK(U136),IFERROR(VLOOKUP($E136,Sheet3!$H$2:$O$200,AB$1,FALSE),IFERROR(VLOOKUP($F136,Sheet3!$H$2:$O$200,AB$1,FALSE),VLOOKUP($G136,Sheet3!$H$2:$O$200,AB$1,FALSE))),$I$1),$I$1)</f>
        <v>0</v>
      </c>
      <c r="AC136" s="15">
        <f>IFERROR(IF(ISBLANK(V136),IFERROR(VLOOKUP($E136,Sheet3!$H$2:$O$200,AC$1,FALSE),IFERROR(VLOOKUP($F136,Sheet3!$H$2:$O$200,AC$1,FALSE),VLOOKUP($G136,Sheet3!$H$2:$O$200,AC$1,FALSE))),$I$1),$I$1)</f>
        <v>0</v>
      </c>
      <c r="AD136" s="15">
        <f>IFERROR(IF(ISBLANK(W136),IFERROR(VLOOKUP($E136,Sheet3!$H$2:$O$200,AD$1,FALSE),IFERROR(VLOOKUP($F136,Sheet3!$H$2:$O$200,AD$1,FALSE),VLOOKUP($G136,Sheet3!$H$2:$O$200,AD$1,FALSE))),$I$1),$I$1)</f>
        <v>0</v>
      </c>
      <c r="AE136" s="15">
        <f>IFERROR(IF(ISBLANK(X136),IFERROR(VLOOKUP($F136,Sheet3!$H$2:$O$200,AE$1,FALSE),VLOOKUP($G136,Sheet3!$H$2:$O$200,AE$1,FALSE)),$I$1),$I$1)</f>
        <v>0</v>
      </c>
      <c r="AF136" s="15">
        <f>IFERROR(IF(ISBLANK(Y136),IFERROR(VLOOKUP($F136,Sheet3!$H$2:$O$200,AF$1,FALSE),VLOOKUP($G136,Sheet3!$H$2:$O$200,AF$1,FALSE)),$I$1),$I$1)</f>
        <v>0</v>
      </c>
      <c r="AG136" s="15">
        <f>IFERROR(IF(ISBLANK(Z136),IFERROR(VLOOKUP($F136,Sheet3!$H$2:$O$200,AG$1,FALSE),VLOOKUP($G136,Sheet3!$H$2:$O$200,AG$1,FALSE)),$I$1),$I$1)</f>
        <v>0</v>
      </c>
      <c r="AH136" s="15">
        <f>IFERROR(IF(ISBLANK(AA136),IFERROR(VLOOKUP($F136,Sheet3!$H$2:$O$200,AH$1,FALSE),VLOOKUP($G136,Sheet3!$H$2:$O$200,AH$1,FALSE)),$I$1),$I$1)</f>
        <v>0</v>
      </c>
      <c r="AI136" s="15">
        <f>IFERROR(IF(ISBLANK(AB136),IFERROR(VLOOKUP($F136,Sheet3!$H$2:$O$200,AI$1,FALSE),VLOOKUP($G136,Sheet3!$H$2:$O$200,AI$1,FALSE)),$I$1),$I$1)</f>
        <v>0</v>
      </c>
      <c r="AJ136" s="15">
        <f>IFERROR(IF(ISBLANK(AC136),IFERROR(VLOOKUP($F136,Sheet3!$H$2:$O$200,AJ$1,FALSE),VLOOKUP($G136,Sheet3!$H$2:$O$200,AJ$1,FALSE)),$I$1),$I$1)</f>
        <v>0</v>
      </c>
      <c r="AK136" s="15">
        <f>IFERROR(IF(ISBLANK(AD136),IFERROR(VLOOKUP($F136,Sheet3!$H$2:$O$200,AK$1,FALSE),VLOOKUP($G136,Sheet3!$H$2:$O$200,AK$1,FALSE)),$I$1),$I$1)</f>
        <v>0</v>
      </c>
      <c r="AL136" s="15">
        <f>IFERROR(IF(ISBLANK(AE136),VLOOKUP($G136,Sheet3!$H$2:$O$200,AL$1,FALSE),$I$1),$I$1)</f>
        <v>0</v>
      </c>
      <c r="AM136" s="15">
        <f>IFERROR(IF(ISBLANK(AF136),VLOOKUP($G136,Sheet3!$H$2:$O$200,AM$1,FALSE),$I$1),$I$1)</f>
        <v>0</v>
      </c>
      <c r="AN136" s="15">
        <f>IFERROR(IF(ISBLANK(AG136),VLOOKUP($G136,Sheet3!$H$2:$O$200,AN$1,FALSE),$I$1),$I$1)</f>
        <v>0</v>
      </c>
      <c r="AO136" s="15">
        <f>IFERROR(IF(ISBLANK(AH136),VLOOKUP($G136,Sheet3!$H$2:$O$200,AO$1,FALSE),$I$1),$I$1)</f>
        <v>0</v>
      </c>
      <c r="AP136" s="15">
        <f>IFERROR(IF(ISBLANK(AI136),VLOOKUP($G136,Sheet3!$H$2:$O$200,AP$1,FALSE),$I$1),$I$1)</f>
        <v>0</v>
      </c>
      <c r="AQ136" s="15">
        <f>IFERROR(IF(ISBLANK(AJ136),VLOOKUP($G136,Sheet3!$H$2:$O$200,AQ$1,FALSE),$I$1),$I$1)</f>
        <v>0</v>
      </c>
      <c r="AR136" s="15">
        <f>IFERROR(IF(ISBLANK(AK136),VLOOKUP($G136,Sheet3!$H$2:$O$200,AR$1,FALSE),$I$1),$I$1)</f>
        <v>0</v>
      </c>
      <c r="AS136" s="15">
        <f t="shared" si="1"/>
        <v>28</v>
      </c>
      <c r="AT136" s="15" t="b">
        <f t="shared" si="2"/>
        <v>0</v>
      </c>
    </row>
    <row r="137" spans="1:46" x14ac:dyDescent="0.2">
      <c r="A137" s="19" t="s">
        <v>289</v>
      </c>
      <c r="B137" s="19" t="s">
        <v>265</v>
      </c>
      <c r="C137" s="19" t="s">
        <v>282</v>
      </c>
      <c r="D137" s="19" t="s">
        <v>90</v>
      </c>
      <c r="E137" s="19" t="s">
        <v>62</v>
      </c>
      <c r="F137" s="19"/>
      <c r="G137" s="19"/>
      <c r="H137" s="19" t="s">
        <v>289</v>
      </c>
      <c r="I137" s="15">
        <f t="shared" si="0"/>
        <v>3</v>
      </c>
      <c r="J137" s="15" t="str">
        <f>IFERROR(VLOOKUP($C137,Sheet3!$H$2:$O$200,J$1,FALSE),IFERROR(VLOOKUP($D137,Sheet3!$H$2:$O$200,J$1,FALSE),VLOOKUP($E137,Sheet3!$H$2:$O$200,J$1,FALSE)))</f>
        <v>sloe gin</v>
      </c>
      <c r="K137" s="15">
        <f>IFERROR(VLOOKUP($C137,Sheet3!$H$2:$O$200,K$1,FALSE),IFERROR(VLOOKUP($D137,Sheet3!$H$2:$O$200,K$1,FALSE),VLOOKUP($E137,Sheet3!$H$2:$O$200,K$1,FALSE)))</f>
        <v>0</v>
      </c>
      <c r="L137" s="15">
        <f>IFERROR(VLOOKUP($C137,Sheet3!$H$2:$O$200,L$1,FALSE),IFERROR(VLOOKUP($D137,Sheet3!$H$2:$O$200,L$1,FALSE),VLOOKUP($E137,Sheet3!$H$2:$O$200,L$1,FALSE)))</f>
        <v>0</v>
      </c>
      <c r="M137" s="15">
        <f>IFERROR(VLOOKUP($C137,Sheet3!$H$2:$O$200,M$1,FALSE),IFERROR(VLOOKUP($D137,Sheet3!$H$2:$O$200,M$1,FALSE),VLOOKUP($E137,Sheet3!$H$2:$O$200,M$1,FALSE)))</f>
        <v>0</v>
      </c>
      <c r="N137" s="15">
        <f>IFERROR(VLOOKUP($C137,Sheet3!$H$2:$O$200,N$1,FALSE),IFERROR(VLOOKUP($D137,Sheet3!$H$2:$O$200,N$1,FALSE),VLOOKUP($E137,Sheet3!$H$2:$O$200,N$1,FALSE)))</f>
        <v>0</v>
      </c>
      <c r="O137" s="15">
        <f>IFERROR(VLOOKUP($C137,Sheet3!$H$2:$O$200,O$1,FALSE),IFERROR(VLOOKUP($D137,Sheet3!$H$2:$O$200,O$1,FALSE),VLOOKUP($E137,Sheet3!$H$2:$O$200,O$1,FALSE)))</f>
        <v>0</v>
      </c>
      <c r="P137" s="15">
        <f>IFERROR(VLOOKUP($C137,Sheet3!$H$2:$O$200,P$1,FALSE),IFERROR(VLOOKUP($D137,Sheet3!$H$2:$O$200,P$1,FALSE),VLOOKUP($E137,Sheet3!$H$2:$O$200,P$1,FALSE)))</f>
        <v>0</v>
      </c>
      <c r="Q137" s="15">
        <f>IFERROR(IF(ISBLANK(J137),IFERROR(VLOOKUP($D137,Sheet3!$H$2:$O$200,Q$1,FALSE),IFERROR(VLOOKUP($E137,Sheet3!$H$2:$O$200,Q$1,FALSE),VLOOKUP($F137,Sheet3!$H$2:$O$200,Q$1,FALSE))),$I$1),$I$1)</f>
        <v>0</v>
      </c>
      <c r="R137" s="15">
        <f>IFERROR(IF(ISBLANK(K137),IFERROR(VLOOKUP($D137,Sheet3!$H$2:$O$200,R$1,FALSE),IFERROR(VLOOKUP($E137,Sheet3!$H$2:$O$200,R$1,FALSE),VLOOKUP($F137,Sheet3!$H$2:$O$200,R$1,FALSE))),$I$1),$I$1)</f>
        <v>0</v>
      </c>
      <c r="S137" s="15">
        <f>IFERROR(IF(ISBLANK(L137),IFERROR(VLOOKUP($D137,Sheet3!$H$2:$O$200,S$1,FALSE),IFERROR(VLOOKUP($E137,Sheet3!$H$2:$O$200,S$1,FALSE),VLOOKUP($F137,Sheet3!$H$2:$O$200,S$1,FALSE))),$I$1),$I$1)</f>
        <v>0</v>
      </c>
      <c r="T137" s="15">
        <f>IFERROR(IF(ISBLANK(M137),IFERROR(VLOOKUP($D137,Sheet3!$H$2:$O$200,T$1,FALSE),IFERROR(VLOOKUP($E137,Sheet3!$H$2:$O$200,T$1,FALSE),VLOOKUP($F137,Sheet3!$H$2:$O$200,T$1,FALSE))),$I$1),$I$1)</f>
        <v>0</v>
      </c>
      <c r="U137" s="15">
        <f>IFERROR(IF(ISBLANK(N137),IFERROR(VLOOKUP($D137,Sheet3!$H$2:$O$200,U$1,FALSE),IFERROR(VLOOKUP($E137,Sheet3!$H$2:$O$200,U$1,FALSE),VLOOKUP($F137,Sheet3!$H$2:$O$200,U$1,FALSE))),$I$1),$I$1)</f>
        <v>0</v>
      </c>
      <c r="V137" s="15">
        <f>IFERROR(IF(ISBLANK(O137),IFERROR(VLOOKUP($D137,Sheet3!$H$2:$O$200,V$1,FALSE),IFERROR(VLOOKUP($E137,Sheet3!$H$2:$O$200,V$1,FALSE),VLOOKUP($F137,Sheet3!$H$2:$O$200,V$1,FALSE))),$I$1),$I$1)</f>
        <v>0</v>
      </c>
      <c r="W137" s="15">
        <f>IFERROR(IF(ISBLANK(P137),IFERROR(VLOOKUP($D137,Sheet3!$H$2:$O$200,W$1,FALSE),IFERROR(VLOOKUP($E137,Sheet3!$H$2:$O$200,W$1,FALSE),VLOOKUP($F137,Sheet3!$H$2:$O$200,W$1,FALSE))),$I$1),$I$1)</f>
        <v>0</v>
      </c>
      <c r="X137" s="15">
        <f>IFERROR(IF(ISBLANK(Q137),IFERROR(VLOOKUP($E137,Sheet3!$H$2:$O$200,X$1,FALSE),IFERROR(VLOOKUP($F137,Sheet3!$H$2:$O$200,X$1,FALSE),VLOOKUP($G137,Sheet3!$H$2:$O$200,X$1,FALSE))),$I$1),$I$1)</f>
        <v>0</v>
      </c>
      <c r="Y137" s="15">
        <f>IFERROR(IF(ISBLANK(R137),IFERROR(VLOOKUP($E137,Sheet3!$H$2:$O$200,Y$1,FALSE),IFERROR(VLOOKUP($F137,Sheet3!$H$2:$O$200,Y$1,FALSE),VLOOKUP($G137,Sheet3!$H$2:$O$200,Y$1,FALSE))),$I$1),$I$1)</f>
        <v>0</v>
      </c>
      <c r="Z137" s="15">
        <f>IFERROR(IF(ISBLANK(S137),IFERROR(VLOOKUP($E137,Sheet3!$H$2:$O$200,Z$1,FALSE),IFERROR(VLOOKUP($F137,Sheet3!$H$2:$O$200,Z$1,FALSE),VLOOKUP($G137,Sheet3!$H$2:$O$200,Z$1,FALSE))),$I$1),$I$1)</f>
        <v>0</v>
      </c>
      <c r="AA137" s="15">
        <f>IFERROR(IF(ISBLANK(T137),IFERROR(VLOOKUP($E137,Sheet3!$H$2:$O$200,AA$1,FALSE),IFERROR(VLOOKUP($F137,Sheet3!$H$2:$O$200,AA$1,FALSE),VLOOKUP($G137,Sheet3!$H$2:$O$200,AA$1,FALSE))),$I$1),$I$1)</f>
        <v>0</v>
      </c>
      <c r="AB137" s="15">
        <f>IFERROR(IF(ISBLANK(U137),IFERROR(VLOOKUP($E137,Sheet3!$H$2:$O$200,AB$1,FALSE),IFERROR(VLOOKUP($F137,Sheet3!$H$2:$O$200,AB$1,FALSE),VLOOKUP($G137,Sheet3!$H$2:$O$200,AB$1,FALSE))),$I$1),$I$1)</f>
        <v>0</v>
      </c>
      <c r="AC137" s="15">
        <f>IFERROR(IF(ISBLANK(V137),IFERROR(VLOOKUP($E137,Sheet3!$H$2:$O$200,AC$1,FALSE),IFERROR(VLOOKUP($F137,Sheet3!$H$2:$O$200,AC$1,FALSE),VLOOKUP($G137,Sheet3!$H$2:$O$200,AC$1,FALSE))),$I$1),$I$1)</f>
        <v>0</v>
      </c>
      <c r="AD137" s="15">
        <f>IFERROR(IF(ISBLANK(W137),IFERROR(VLOOKUP($E137,Sheet3!$H$2:$O$200,AD$1,FALSE),IFERROR(VLOOKUP($F137,Sheet3!$H$2:$O$200,AD$1,FALSE),VLOOKUP($G137,Sheet3!$H$2:$O$200,AD$1,FALSE))),$I$1),$I$1)</f>
        <v>0</v>
      </c>
      <c r="AE137" s="15">
        <f>IFERROR(IF(ISBLANK(X137),IFERROR(VLOOKUP($F137,Sheet3!$H$2:$O$200,AE$1,FALSE),VLOOKUP($G137,Sheet3!$H$2:$O$200,AE$1,FALSE)),$I$1),$I$1)</f>
        <v>0</v>
      </c>
      <c r="AF137" s="15">
        <f>IFERROR(IF(ISBLANK(Y137),IFERROR(VLOOKUP($F137,Sheet3!$H$2:$O$200,AF$1,FALSE),VLOOKUP($G137,Sheet3!$H$2:$O$200,AF$1,FALSE)),$I$1),$I$1)</f>
        <v>0</v>
      </c>
      <c r="AG137" s="15">
        <f>IFERROR(IF(ISBLANK(Z137),IFERROR(VLOOKUP($F137,Sheet3!$H$2:$O$200,AG$1,FALSE),VLOOKUP($G137,Sheet3!$H$2:$O$200,AG$1,FALSE)),$I$1),$I$1)</f>
        <v>0</v>
      </c>
      <c r="AH137" s="15">
        <f>IFERROR(IF(ISBLANK(AA137),IFERROR(VLOOKUP($F137,Sheet3!$H$2:$O$200,AH$1,FALSE),VLOOKUP($G137,Sheet3!$H$2:$O$200,AH$1,FALSE)),$I$1),$I$1)</f>
        <v>0</v>
      </c>
      <c r="AI137" s="15">
        <f>IFERROR(IF(ISBLANK(AB137),IFERROR(VLOOKUP($F137,Sheet3!$H$2:$O$200,AI$1,FALSE),VLOOKUP($G137,Sheet3!$H$2:$O$200,AI$1,FALSE)),$I$1),$I$1)</f>
        <v>0</v>
      </c>
      <c r="AJ137" s="15">
        <f>IFERROR(IF(ISBLANK(AC137),IFERROR(VLOOKUP($F137,Sheet3!$H$2:$O$200,AJ$1,FALSE),VLOOKUP($G137,Sheet3!$H$2:$O$200,AJ$1,FALSE)),$I$1),$I$1)</f>
        <v>0</v>
      </c>
      <c r="AK137" s="15">
        <f>IFERROR(IF(ISBLANK(AD137),IFERROR(VLOOKUP($F137,Sheet3!$H$2:$O$200,AK$1,FALSE),VLOOKUP($G137,Sheet3!$H$2:$O$200,AK$1,FALSE)),$I$1),$I$1)</f>
        <v>0</v>
      </c>
      <c r="AL137" s="15">
        <f>IFERROR(IF(ISBLANK(AE137),VLOOKUP($G137,Sheet3!$H$2:$O$200,AL$1,FALSE),$I$1),$I$1)</f>
        <v>0</v>
      </c>
      <c r="AM137" s="15">
        <f>IFERROR(IF(ISBLANK(AF137),VLOOKUP($G137,Sheet3!$H$2:$O$200,AM$1,FALSE),$I$1),$I$1)</f>
        <v>0</v>
      </c>
      <c r="AN137" s="15">
        <f>IFERROR(IF(ISBLANK(AG137),VLOOKUP($G137,Sheet3!$H$2:$O$200,AN$1,FALSE),$I$1),$I$1)</f>
        <v>0</v>
      </c>
      <c r="AO137" s="15">
        <f>IFERROR(IF(ISBLANK(AH137),VLOOKUP($G137,Sheet3!$H$2:$O$200,AO$1,FALSE),$I$1),$I$1)</f>
        <v>0</v>
      </c>
      <c r="AP137" s="15">
        <f>IFERROR(IF(ISBLANK(AI137),VLOOKUP($G137,Sheet3!$H$2:$O$200,AP$1,FALSE),$I$1),$I$1)</f>
        <v>0</v>
      </c>
      <c r="AQ137" s="15">
        <f>IFERROR(IF(ISBLANK(AJ137),VLOOKUP($G137,Sheet3!$H$2:$O$200,AQ$1,FALSE),$I$1),$I$1)</f>
        <v>0</v>
      </c>
      <c r="AR137" s="15">
        <f>IFERROR(IF(ISBLANK(AK137),VLOOKUP($G137,Sheet3!$H$2:$O$200,AR$1,FALSE),$I$1),$I$1)</f>
        <v>0</v>
      </c>
      <c r="AS137" s="15">
        <f t="shared" si="1"/>
        <v>28</v>
      </c>
      <c r="AT137" s="15" t="b">
        <f t="shared" si="2"/>
        <v>0</v>
      </c>
    </row>
    <row r="138" spans="1:46" x14ac:dyDescent="0.2">
      <c r="A138" s="19" t="s">
        <v>290</v>
      </c>
      <c r="B138" s="19" t="s">
        <v>265</v>
      </c>
      <c r="C138" s="19" t="s">
        <v>57</v>
      </c>
      <c r="D138" s="19" t="s">
        <v>38</v>
      </c>
      <c r="E138" s="19"/>
      <c r="F138" s="19"/>
      <c r="G138" s="19"/>
      <c r="H138" s="19" t="s">
        <v>290</v>
      </c>
      <c r="I138" s="15">
        <f t="shared" si="0"/>
        <v>2</v>
      </c>
      <c r="J138" s="15">
        <f>IFERROR(VLOOKUP($C138,Sheet3!$H$2:$O$200,J$1,FALSE),IFERROR(VLOOKUP($D138,Sheet3!$H$2:$O$200,J$1,FALSE),VLOOKUP($E138,Sheet3!$H$2:$O$200,J$1,FALSE)))</f>
        <v>0</v>
      </c>
      <c r="K138" s="15">
        <f>IFERROR(VLOOKUP($C138,Sheet3!$H$2:$O$200,K$1,FALSE),IFERROR(VLOOKUP($D138,Sheet3!$H$2:$O$200,K$1,FALSE),VLOOKUP($E138,Sheet3!$H$2:$O$200,K$1,FALSE)))</f>
        <v>0</v>
      </c>
      <c r="L138" s="15">
        <f>IFERROR(VLOOKUP($C138,Sheet3!$H$2:$O$200,L$1,FALSE),IFERROR(VLOOKUP($D138,Sheet3!$H$2:$O$200,L$1,FALSE),VLOOKUP($E138,Sheet3!$H$2:$O$200,L$1,FALSE)))</f>
        <v>0</v>
      </c>
      <c r="M138" s="15" t="str">
        <f>IFERROR(VLOOKUP($C138,Sheet3!$H$2:$O$200,M$1,FALSE),IFERROR(VLOOKUP($D138,Sheet3!$H$2:$O$200,M$1,FALSE),VLOOKUP($E138,Sheet3!$H$2:$O$200,M$1,FALSE)))</f>
        <v>crème de noyau</v>
      </c>
      <c r="N138" s="15">
        <f>IFERROR(VLOOKUP($C138,Sheet3!$H$2:$O$200,N$1,FALSE),IFERROR(VLOOKUP($D138,Sheet3!$H$2:$O$200,N$1,FALSE),VLOOKUP($E138,Sheet3!$H$2:$O$200,N$1,FALSE)))</f>
        <v>0</v>
      </c>
      <c r="O138" s="15">
        <f>IFERROR(VLOOKUP($C138,Sheet3!$H$2:$O$200,O$1,FALSE),IFERROR(VLOOKUP($D138,Sheet3!$H$2:$O$200,O$1,FALSE),VLOOKUP($E138,Sheet3!$H$2:$O$200,O$1,FALSE)))</f>
        <v>0</v>
      </c>
      <c r="P138" s="15">
        <f>IFERROR(VLOOKUP($C138,Sheet3!$H$2:$O$200,P$1,FALSE),IFERROR(VLOOKUP($D138,Sheet3!$H$2:$O$200,P$1,FALSE),VLOOKUP($E138,Sheet3!$H$2:$O$200,P$1,FALSE)))</f>
        <v>0</v>
      </c>
      <c r="Q138" s="15">
        <f>IFERROR(IF(ISBLANK(J138),IFERROR(VLOOKUP($D138,Sheet3!$H$2:$O$200,Q$1,FALSE),IFERROR(VLOOKUP($E138,Sheet3!$H$2:$O$200,Q$1,FALSE),VLOOKUP($F138,Sheet3!$H$2:$O$200,Q$1,FALSE))),$I$1),$I$1)</f>
        <v>0</v>
      </c>
      <c r="R138" s="15">
        <f>IFERROR(IF(ISBLANK(K138),IFERROR(VLOOKUP($D138,Sheet3!$H$2:$O$200,R$1,FALSE),IFERROR(VLOOKUP($E138,Sheet3!$H$2:$O$200,R$1,FALSE),VLOOKUP($F138,Sheet3!$H$2:$O$200,R$1,FALSE))),$I$1),$I$1)</f>
        <v>0</v>
      </c>
      <c r="S138" s="15">
        <f>IFERROR(IF(ISBLANK(L138),IFERROR(VLOOKUP($D138,Sheet3!$H$2:$O$200,S$1,FALSE),IFERROR(VLOOKUP($E138,Sheet3!$H$2:$O$200,S$1,FALSE),VLOOKUP($F138,Sheet3!$H$2:$O$200,S$1,FALSE))),$I$1),$I$1)</f>
        <v>0</v>
      </c>
      <c r="T138" s="15">
        <f>IFERROR(IF(ISBLANK(M138),IFERROR(VLOOKUP($D138,Sheet3!$H$2:$O$200,T$1,FALSE),IFERROR(VLOOKUP($E138,Sheet3!$H$2:$O$200,T$1,FALSE),VLOOKUP($F138,Sheet3!$H$2:$O$200,T$1,FALSE))),$I$1),$I$1)</f>
        <v>0</v>
      </c>
      <c r="U138" s="15">
        <f>IFERROR(IF(ISBLANK(N138),IFERROR(VLOOKUP($D138,Sheet3!$H$2:$O$200,U$1,FALSE),IFERROR(VLOOKUP($E138,Sheet3!$H$2:$O$200,U$1,FALSE),VLOOKUP($F138,Sheet3!$H$2:$O$200,U$1,FALSE))),$I$1),$I$1)</f>
        <v>0</v>
      </c>
      <c r="V138" s="15">
        <f>IFERROR(IF(ISBLANK(O138),IFERROR(VLOOKUP($D138,Sheet3!$H$2:$O$200,V$1,FALSE),IFERROR(VLOOKUP($E138,Sheet3!$H$2:$O$200,V$1,FALSE),VLOOKUP($F138,Sheet3!$H$2:$O$200,V$1,FALSE))),$I$1),$I$1)</f>
        <v>0</v>
      </c>
      <c r="W138" s="15">
        <f>IFERROR(IF(ISBLANK(P138),IFERROR(VLOOKUP($D138,Sheet3!$H$2:$O$200,W$1,FALSE),IFERROR(VLOOKUP($E138,Sheet3!$H$2:$O$200,W$1,FALSE),VLOOKUP($F138,Sheet3!$H$2:$O$200,W$1,FALSE))),$I$1),$I$1)</f>
        <v>0</v>
      </c>
      <c r="X138" s="15">
        <f>IFERROR(IF(ISBLANK(Q138),IFERROR(VLOOKUP($E138,Sheet3!$H$2:$O$200,X$1,FALSE),IFERROR(VLOOKUP($F138,Sheet3!$H$2:$O$200,X$1,FALSE),VLOOKUP($G138,Sheet3!$H$2:$O$200,X$1,FALSE))),$I$1),$I$1)</f>
        <v>0</v>
      </c>
      <c r="Y138" s="15">
        <f>IFERROR(IF(ISBLANK(R138),IFERROR(VLOOKUP($E138,Sheet3!$H$2:$O$200,Y$1,FALSE),IFERROR(VLOOKUP($F138,Sheet3!$H$2:$O$200,Y$1,FALSE),VLOOKUP($G138,Sheet3!$H$2:$O$200,Y$1,FALSE))),$I$1),$I$1)</f>
        <v>0</v>
      </c>
      <c r="Z138" s="15">
        <f>IFERROR(IF(ISBLANK(S138),IFERROR(VLOOKUP($E138,Sheet3!$H$2:$O$200,Z$1,FALSE),IFERROR(VLOOKUP($F138,Sheet3!$H$2:$O$200,Z$1,FALSE),VLOOKUP($G138,Sheet3!$H$2:$O$200,Z$1,FALSE))),$I$1),$I$1)</f>
        <v>0</v>
      </c>
      <c r="AA138" s="15">
        <f>IFERROR(IF(ISBLANK(T138),IFERROR(VLOOKUP($E138,Sheet3!$H$2:$O$200,AA$1,FALSE),IFERROR(VLOOKUP($F138,Sheet3!$H$2:$O$200,AA$1,FALSE),VLOOKUP($G138,Sheet3!$H$2:$O$200,AA$1,FALSE))),$I$1),$I$1)</f>
        <v>0</v>
      </c>
      <c r="AB138" s="15">
        <f>IFERROR(IF(ISBLANK(U138),IFERROR(VLOOKUP($E138,Sheet3!$H$2:$O$200,AB$1,FALSE),IFERROR(VLOOKUP($F138,Sheet3!$H$2:$O$200,AB$1,FALSE),VLOOKUP($G138,Sheet3!$H$2:$O$200,AB$1,FALSE))),$I$1),$I$1)</f>
        <v>0</v>
      </c>
      <c r="AC138" s="15">
        <f>IFERROR(IF(ISBLANK(V138),IFERROR(VLOOKUP($E138,Sheet3!$H$2:$O$200,AC$1,FALSE),IFERROR(VLOOKUP($F138,Sheet3!$H$2:$O$200,AC$1,FALSE),VLOOKUP($G138,Sheet3!$H$2:$O$200,AC$1,FALSE))),$I$1),$I$1)</f>
        <v>0</v>
      </c>
      <c r="AD138" s="15">
        <f>IFERROR(IF(ISBLANK(W138),IFERROR(VLOOKUP($E138,Sheet3!$H$2:$O$200,AD$1,FALSE),IFERROR(VLOOKUP($F138,Sheet3!$H$2:$O$200,AD$1,FALSE),VLOOKUP($G138,Sheet3!$H$2:$O$200,AD$1,FALSE))),$I$1),$I$1)</f>
        <v>0</v>
      </c>
      <c r="AE138" s="15">
        <f>IFERROR(IF(ISBLANK(X138),IFERROR(VLOOKUP($F138,Sheet3!$H$2:$O$200,AE$1,FALSE),VLOOKUP($G138,Sheet3!$H$2:$O$200,AE$1,FALSE)),$I$1),$I$1)</f>
        <v>0</v>
      </c>
      <c r="AF138" s="15">
        <f>IFERROR(IF(ISBLANK(Y138),IFERROR(VLOOKUP($F138,Sheet3!$H$2:$O$200,AF$1,FALSE),VLOOKUP($G138,Sheet3!$H$2:$O$200,AF$1,FALSE)),$I$1),$I$1)</f>
        <v>0</v>
      </c>
      <c r="AG138" s="15">
        <f>IFERROR(IF(ISBLANK(Z138),IFERROR(VLOOKUP($F138,Sheet3!$H$2:$O$200,AG$1,FALSE),VLOOKUP($G138,Sheet3!$H$2:$O$200,AG$1,FALSE)),$I$1),$I$1)</f>
        <v>0</v>
      </c>
      <c r="AH138" s="15">
        <f>IFERROR(IF(ISBLANK(AA138),IFERROR(VLOOKUP($F138,Sheet3!$H$2:$O$200,AH$1,FALSE),VLOOKUP($G138,Sheet3!$H$2:$O$200,AH$1,FALSE)),$I$1),$I$1)</f>
        <v>0</v>
      </c>
      <c r="AI138" s="15">
        <f>IFERROR(IF(ISBLANK(AB138),IFERROR(VLOOKUP($F138,Sheet3!$H$2:$O$200,AI$1,FALSE),VLOOKUP($G138,Sheet3!$H$2:$O$200,AI$1,FALSE)),$I$1),$I$1)</f>
        <v>0</v>
      </c>
      <c r="AJ138" s="15">
        <f>IFERROR(IF(ISBLANK(AC138),IFERROR(VLOOKUP($F138,Sheet3!$H$2:$O$200,AJ$1,FALSE),VLOOKUP($G138,Sheet3!$H$2:$O$200,AJ$1,FALSE)),$I$1),$I$1)</f>
        <v>0</v>
      </c>
      <c r="AK138" s="15">
        <f>IFERROR(IF(ISBLANK(AD138),IFERROR(VLOOKUP($F138,Sheet3!$H$2:$O$200,AK$1,FALSE),VLOOKUP($G138,Sheet3!$H$2:$O$200,AK$1,FALSE)),$I$1),$I$1)</f>
        <v>0</v>
      </c>
      <c r="AL138" s="15">
        <f>IFERROR(IF(ISBLANK(AE138),VLOOKUP($G138,Sheet3!$H$2:$O$200,AL$1,FALSE),$I$1),$I$1)</f>
        <v>0</v>
      </c>
      <c r="AM138" s="15">
        <f>IFERROR(IF(ISBLANK(AF138),VLOOKUP($G138,Sheet3!$H$2:$O$200,AM$1,FALSE),$I$1),$I$1)</f>
        <v>0</v>
      </c>
      <c r="AN138" s="15">
        <f>IFERROR(IF(ISBLANK(AG138),VLOOKUP($G138,Sheet3!$H$2:$O$200,AN$1,FALSE),$I$1),$I$1)</f>
        <v>0</v>
      </c>
      <c r="AO138" s="15">
        <f>IFERROR(IF(ISBLANK(AH138),VLOOKUP($G138,Sheet3!$H$2:$O$200,AO$1,FALSE),$I$1),$I$1)</f>
        <v>0</v>
      </c>
      <c r="AP138" s="15">
        <f>IFERROR(IF(ISBLANK(AI138),VLOOKUP($G138,Sheet3!$H$2:$O$200,AP$1,FALSE),$I$1),$I$1)</f>
        <v>0</v>
      </c>
      <c r="AQ138" s="15">
        <f>IFERROR(IF(ISBLANK(AJ138),VLOOKUP($G138,Sheet3!$H$2:$O$200,AQ$1,FALSE),$I$1),$I$1)</f>
        <v>0</v>
      </c>
      <c r="AR138" s="15">
        <f>IFERROR(IF(ISBLANK(AK138),VLOOKUP($G138,Sheet3!$H$2:$O$200,AR$1,FALSE),$I$1),$I$1)</f>
        <v>0</v>
      </c>
      <c r="AS138" s="15">
        <f t="shared" si="1"/>
        <v>28</v>
      </c>
      <c r="AT138" s="15" t="b">
        <f t="shared" si="2"/>
        <v>0</v>
      </c>
    </row>
    <row r="139" spans="1:46" x14ac:dyDescent="0.2">
      <c r="A139" s="19" t="s">
        <v>291</v>
      </c>
      <c r="B139" s="19" t="s">
        <v>292</v>
      </c>
      <c r="C139" s="19"/>
      <c r="D139" s="19" t="s">
        <v>90</v>
      </c>
      <c r="E139" s="19" t="s">
        <v>55</v>
      </c>
      <c r="F139" s="19"/>
      <c r="G139" s="19"/>
      <c r="H139" s="19" t="s">
        <v>291</v>
      </c>
      <c r="I139" s="15">
        <f t="shared" si="0"/>
        <v>2</v>
      </c>
      <c r="J139" s="15">
        <f>IFERROR(VLOOKUP($C139,Sheet3!$H$2:$O$200,J$1,FALSE),IFERROR(VLOOKUP($D139,Sheet3!$H$2:$O$200,J$1,FALSE),VLOOKUP($E139,Sheet3!$H$2:$O$200,J$1,FALSE)))</f>
        <v>0</v>
      </c>
      <c r="K139" s="15">
        <f>IFERROR(VLOOKUP($C139,Sheet3!$H$2:$O$200,K$1,FALSE),IFERROR(VLOOKUP($D139,Sheet3!$H$2:$O$200,K$1,FALSE),VLOOKUP($E139,Sheet3!$H$2:$O$200,K$1,FALSE)))</f>
        <v>0</v>
      </c>
      <c r="L139" s="15" t="str">
        <f>IFERROR(VLOOKUP($C139,Sheet3!$H$2:$O$200,L$1,FALSE),IFERROR(VLOOKUP($D139,Sheet3!$H$2:$O$200,L$1,FALSE),VLOOKUP($E139,Sheet3!$H$2:$O$200,L$1,FALSE)))</f>
        <v>lime juice</v>
      </c>
      <c r="M139" s="15">
        <f>IFERROR(VLOOKUP($C139,Sheet3!$H$2:$O$200,M$1,FALSE),IFERROR(VLOOKUP($D139,Sheet3!$H$2:$O$200,M$1,FALSE),VLOOKUP($E139,Sheet3!$H$2:$O$200,M$1,FALSE)))</f>
        <v>0</v>
      </c>
      <c r="N139" s="15">
        <f>IFERROR(VLOOKUP($C139,Sheet3!$H$2:$O$200,N$1,FALSE),IFERROR(VLOOKUP($D139,Sheet3!$H$2:$O$200,N$1,FALSE),VLOOKUP($E139,Sheet3!$H$2:$O$200,N$1,FALSE)))</f>
        <v>0</v>
      </c>
      <c r="O139" s="15">
        <f>IFERROR(VLOOKUP($C139,Sheet3!$H$2:$O$200,O$1,FALSE),IFERROR(VLOOKUP($D139,Sheet3!$H$2:$O$200,O$1,FALSE),VLOOKUP($E139,Sheet3!$H$2:$O$200,O$1,FALSE)))</f>
        <v>0</v>
      </c>
      <c r="P139" s="15">
        <f>IFERROR(VLOOKUP($C139,Sheet3!$H$2:$O$200,P$1,FALSE),IFERROR(VLOOKUP($D139,Sheet3!$H$2:$O$200,P$1,FALSE),VLOOKUP($E139,Sheet3!$H$2:$O$200,P$1,FALSE)))</f>
        <v>0</v>
      </c>
      <c r="Q139" s="15">
        <f>IFERROR(IF(ISBLANK(J139),IFERROR(VLOOKUP($D139,Sheet3!$H$2:$O$200,Q$1,FALSE),IFERROR(VLOOKUP($E139,Sheet3!$H$2:$O$200,Q$1,FALSE),VLOOKUP($F139,Sheet3!$H$2:$O$200,Q$1,FALSE))),$I$1),$I$1)</f>
        <v>0</v>
      </c>
      <c r="R139" s="15">
        <f>IFERROR(IF(ISBLANK(K139),IFERROR(VLOOKUP($D139,Sheet3!$H$2:$O$200,R$1,FALSE),IFERROR(VLOOKUP($E139,Sheet3!$H$2:$O$200,R$1,FALSE),VLOOKUP($F139,Sheet3!$H$2:$O$200,R$1,FALSE))),$I$1),$I$1)</f>
        <v>0</v>
      </c>
      <c r="S139" s="15">
        <f>IFERROR(IF(ISBLANK(L139),IFERROR(VLOOKUP($D139,Sheet3!$H$2:$O$200,S$1,FALSE),IFERROR(VLOOKUP($E139,Sheet3!$H$2:$O$200,S$1,FALSE),VLOOKUP($F139,Sheet3!$H$2:$O$200,S$1,FALSE))),$I$1),$I$1)</f>
        <v>0</v>
      </c>
      <c r="T139" s="15">
        <f>IFERROR(IF(ISBLANK(M139),IFERROR(VLOOKUP($D139,Sheet3!$H$2:$O$200,T$1,FALSE),IFERROR(VLOOKUP($E139,Sheet3!$H$2:$O$200,T$1,FALSE),VLOOKUP($F139,Sheet3!$H$2:$O$200,T$1,FALSE))),$I$1),$I$1)</f>
        <v>0</v>
      </c>
      <c r="U139" s="15">
        <f>IFERROR(IF(ISBLANK(N139),IFERROR(VLOOKUP($D139,Sheet3!$H$2:$O$200,U$1,FALSE),IFERROR(VLOOKUP($E139,Sheet3!$H$2:$O$200,U$1,FALSE),VLOOKUP($F139,Sheet3!$H$2:$O$200,U$1,FALSE))),$I$1),$I$1)</f>
        <v>0</v>
      </c>
      <c r="V139" s="15">
        <f>IFERROR(IF(ISBLANK(O139),IFERROR(VLOOKUP($D139,Sheet3!$H$2:$O$200,V$1,FALSE),IFERROR(VLOOKUP($E139,Sheet3!$H$2:$O$200,V$1,FALSE),VLOOKUP($F139,Sheet3!$H$2:$O$200,V$1,FALSE))),$I$1),$I$1)</f>
        <v>0</v>
      </c>
      <c r="W139" s="15">
        <f>IFERROR(IF(ISBLANK(P139),IFERROR(VLOOKUP($D139,Sheet3!$H$2:$O$200,W$1,FALSE),IFERROR(VLOOKUP($E139,Sheet3!$H$2:$O$200,W$1,FALSE),VLOOKUP($F139,Sheet3!$H$2:$O$200,W$1,FALSE))),$I$1),$I$1)</f>
        <v>0</v>
      </c>
      <c r="X139" s="15">
        <f>IFERROR(IF(ISBLANK(Q139),IFERROR(VLOOKUP($E139,Sheet3!$H$2:$O$200,X$1,FALSE),IFERROR(VLOOKUP($F139,Sheet3!$H$2:$O$200,X$1,FALSE),VLOOKUP($G139,Sheet3!$H$2:$O$200,X$1,FALSE))),$I$1),$I$1)</f>
        <v>0</v>
      </c>
      <c r="Y139" s="15">
        <f>IFERROR(IF(ISBLANK(R139),IFERROR(VLOOKUP($E139,Sheet3!$H$2:$O$200,Y$1,FALSE),IFERROR(VLOOKUP($F139,Sheet3!$H$2:$O$200,Y$1,FALSE),VLOOKUP($G139,Sheet3!$H$2:$O$200,Y$1,FALSE))),$I$1),$I$1)</f>
        <v>0</v>
      </c>
      <c r="Z139" s="15">
        <f>IFERROR(IF(ISBLANK(S139),IFERROR(VLOOKUP($E139,Sheet3!$H$2:$O$200,Z$1,FALSE),IFERROR(VLOOKUP($F139,Sheet3!$H$2:$O$200,Z$1,FALSE),VLOOKUP($G139,Sheet3!$H$2:$O$200,Z$1,FALSE))),$I$1),$I$1)</f>
        <v>0</v>
      </c>
      <c r="AA139" s="15">
        <f>IFERROR(IF(ISBLANK(T139),IFERROR(VLOOKUP($E139,Sheet3!$H$2:$O$200,AA$1,FALSE),IFERROR(VLOOKUP($F139,Sheet3!$H$2:$O$200,AA$1,FALSE),VLOOKUP($G139,Sheet3!$H$2:$O$200,AA$1,FALSE))),$I$1),$I$1)</f>
        <v>0</v>
      </c>
      <c r="AB139" s="15">
        <f>IFERROR(IF(ISBLANK(U139),IFERROR(VLOOKUP($E139,Sheet3!$H$2:$O$200,AB$1,FALSE),IFERROR(VLOOKUP($F139,Sheet3!$H$2:$O$200,AB$1,FALSE),VLOOKUP($G139,Sheet3!$H$2:$O$200,AB$1,FALSE))),$I$1),$I$1)</f>
        <v>0</v>
      </c>
      <c r="AC139" s="15">
        <f>IFERROR(IF(ISBLANK(V139),IFERROR(VLOOKUP($E139,Sheet3!$H$2:$O$200,AC$1,FALSE),IFERROR(VLOOKUP($F139,Sheet3!$H$2:$O$200,AC$1,FALSE),VLOOKUP($G139,Sheet3!$H$2:$O$200,AC$1,FALSE))),$I$1),$I$1)</f>
        <v>0</v>
      </c>
      <c r="AD139" s="15">
        <f>IFERROR(IF(ISBLANK(W139),IFERROR(VLOOKUP($E139,Sheet3!$H$2:$O$200,AD$1,FALSE),IFERROR(VLOOKUP($F139,Sheet3!$H$2:$O$200,AD$1,FALSE),VLOOKUP($G139,Sheet3!$H$2:$O$200,AD$1,FALSE))),$I$1),$I$1)</f>
        <v>0</v>
      </c>
      <c r="AE139" s="15">
        <f>IFERROR(IF(ISBLANK(X139),IFERROR(VLOOKUP($F139,Sheet3!$H$2:$O$200,AE$1,FALSE),VLOOKUP($G139,Sheet3!$H$2:$O$200,AE$1,FALSE)),$I$1),$I$1)</f>
        <v>0</v>
      </c>
      <c r="AF139" s="15">
        <f>IFERROR(IF(ISBLANK(Y139),IFERROR(VLOOKUP($F139,Sheet3!$H$2:$O$200,AF$1,FALSE),VLOOKUP($G139,Sheet3!$H$2:$O$200,AF$1,FALSE)),$I$1),$I$1)</f>
        <v>0</v>
      </c>
      <c r="AG139" s="15">
        <f>IFERROR(IF(ISBLANK(Z139),IFERROR(VLOOKUP($F139,Sheet3!$H$2:$O$200,AG$1,FALSE),VLOOKUP($G139,Sheet3!$H$2:$O$200,AG$1,FALSE)),$I$1),$I$1)</f>
        <v>0</v>
      </c>
      <c r="AH139" s="15">
        <f>IFERROR(IF(ISBLANK(AA139),IFERROR(VLOOKUP($F139,Sheet3!$H$2:$O$200,AH$1,FALSE),VLOOKUP($G139,Sheet3!$H$2:$O$200,AH$1,FALSE)),$I$1),$I$1)</f>
        <v>0</v>
      </c>
      <c r="AI139" s="15">
        <f>IFERROR(IF(ISBLANK(AB139),IFERROR(VLOOKUP($F139,Sheet3!$H$2:$O$200,AI$1,FALSE),VLOOKUP($G139,Sheet3!$H$2:$O$200,AI$1,FALSE)),$I$1),$I$1)</f>
        <v>0</v>
      </c>
      <c r="AJ139" s="15">
        <f>IFERROR(IF(ISBLANK(AC139),IFERROR(VLOOKUP($F139,Sheet3!$H$2:$O$200,AJ$1,FALSE),VLOOKUP($G139,Sheet3!$H$2:$O$200,AJ$1,FALSE)),$I$1),$I$1)</f>
        <v>0</v>
      </c>
      <c r="AK139" s="15">
        <f>IFERROR(IF(ISBLANK(AD139),IFERROR(VLOOKUP($F139,Sheet3!$H$2:$O$200,AK$1,FALSE),VLOOKUP($G139,Sheet3!$H$2:$O$200,AK$1,FALSE)),$I$1),$I$1)</f>
        <v>0</v>
      </c>
      <c r="AL139" s="15">
        <f>IFERROR(IF(ISBLANK(AE139),VLOOKUP($G139,Sheet3!$H$2:$O$200,AL$1,FALSE),$I$1),$I$1)</f>
        <v>0</v>
      </c>
      <c r="AM139" s="15">
        <f>IFERROR(IF(ISBLANK(AF139),VLOOKUP($G139,Sheet3!$H$2:$O$200,AM$1,FALSE),$I$1),$I$1)</f>
        <v>0</v>
      </c>
      <c r="AN139" s="15">
        <f>IFERROR(IF(ISBLANK(AG139),VLOOKUP($G139,Sheet3!$H$2:$O$200,AN$1,FALSE),$I$1),$I$1)</f>
        <v>0</v>
      </c>
      <c r="AO139" s="15">
        <f>IFERROR(IF(ISBLANK(AH139),VLOOKUP($G139,Sheet3!$H$2:$O$200,AO$1,FALSE),$I$1),$I$1)</f>
        <v>0</v>
      </c>
      <c r="AP139" s="15">
        <f>IFERROR(IF(ISBLANK(AI139),VLOOKUP($G139,Sheet3!$H$2:$O$200,AP$1,FALSE),$I$1),$I$1)</f>
        <v>0</v>
      </c>
      <c r="AQ139" s="15">
        <f>IFERROR(IF(ISBLANK(AJ139),VLOOKUP($G139,Sheet3!$H$2:$O$200,AQ$1,FALSE),$I$1),$I$1)</f>
        <v>0</v>
      </c>
      <c r="AR139" s="15">
        <f>IFERROR(IF(ISBLANK(AK139),VLOOKUP($G139,Sheet3!$H$2:$O$200,AR$1,FALSE),$I$1),$I$1)</f>
        <v>0</v>
      </c>
      <c r="AS139" s="15">
        <f t="shared" si="1"/>
        <v>28</v>
      </c>
      <c r="AT139" s="15" t="b">
        <f t="shared" si="2"/>
        <v>0</v>
      </c>
    </row>
    <row r="140" spans="1:46" x14ac:dyDescent="0.2">
      <c r="A140" s="19" t="s">
        <v>293</v>
      </c>
      <c r="B140" s="19" t="s">
        <v>294</v>
      </c>
      <c r="C140" s="19"/>
      <c r="D140" s="19" t="s">
        <v>295</v>
      </c>
      <c r="E140" s="19" t="s">
        <v>86</v>
      </c>
      <c r="F140" s="19" t="s">
        <v>296</v>
      </c>
      <c r="G140" s="19"/>
      <c r="H140" s="19" t="s">
        <v>293</v>
      </c>
      <c r="I140" s="15">
        <f t="shared" si="0"/>
        <v>3</v>
      </c>
      <c r="J140" s="15">
        <f>IFERROR(VLOOKUP($C140,Sheet3!$H$2:$O$200,J$1,FALSE),IFERROR(VLOOKUP($D140,Sheet3!$H$2:$O$200,J$1,FALSE),VLOOKUP($E140,Sheet3!$H$2:$O$200,J$1,FALSE)))</f>
        <v>0</v>
      </c>
      <c r="K140" s="15">
        <f>IFERROR(VLOOKUP($C140,Sheet3!$H$2:$O$200,K$1,FALSE),IFERROR(VLOOKUP($D140,Sheet3!$H$2:$O$200,K$1,FALSE),VLOOKUP($E140,Sheet3!$H$2:$O$200,K$1,FALSE)))</f>
        <v>0</v>
      </c>
      <c r="L140" s="15" t="str">
        <f>IFERROR(VLOOKUP($C140,Sheet3!$H$2:$O$200,L$1,FALSE),IFERROR(VLOOKUP($D140,Sheet3!$H$2:$O$200,L$1,FALSE),VLOOKUP($E140,Sheet3!$H$2:$O$200,L$1,FALSE)))</f>
        <v>lime juice</v>
      </c>
      <c r="M140" s="15">
        <f>IFERROR(VLOOKUP($C140,Sheet3!$H$2:$O$200,M$1,FALSE),IFERROR(VLOOKUP($D140,Sheet3!$H$2:$O$200,M$1,FALSE),VLOOKUP($E140,Sheet3!$H$2:$O$200,M$1,FALSE)))</f>
        <v>0</v>
      </c>
      <c r="N140" s="15" t="str">
        <f>IFERROR(VLOOKUP($C140,Sheet3!$H$2:$O$200,N$1,FALSE),IFERROR(VLOOKUP($D140,Sheet3!$H$2:$O$200,N$1,FALSE),VLOOKUP($E140,Sheet3!$H$2:$O$200,N$1,FALSE)))</f>
        <v>lemon juice</v>
      </c>
      <c r="O140" s="15">
        <f>IFERROR(VLOOKUP($C140,Sheet3!$H$2:$O$200,O$1,FALSE),IFERROR(VLOOKUP($D140,Sheet3!$H$2:$O$200,O$1,FALSE),VLOOKUP($E140,Sheet3!$H$2:$O$200,O$1,FALSE)))</f>
        <v>0</v>
      </c>
      <c r="P140" s="15">
        <f>IFERROR(VLOOKUP($C140,Sheet3!$H$2:$O$200,P$1,FALSE),IFERROR(VLOOKUP($D140,Sheet3!$H$2:$O$200,P$1,FALSE),VLOOKUP($E140,Sheet3!$H$2:$O$200,P$1,FALSE)))</f>
        <v>0</v>
      </c>
      <c r="Q140" s="15">
        <f>IFERROR(IF(ISBLANK(J140),IFERROR(VLOOKUP($D140,Sheet3!$H$2:$O$200,Q$1,FALSE),IFERROR(VLOOKUP($E140,Sheet3!$H$2:$O$200,Q$1,FALSE),VLOOKUP($F140,Sheet3!$H$2:$O$200,Q$1,FALSE))),$I$1),$I$1)</f>
        <v>0</v>
      </c>
      <c r="R140" s="15">
        <f>IFERROR(IF(ISBLANK(K140),IFERROR(VLOOKUP($D140,Sheet3!$H$2:$O$200,R$1,FALSE),IFERROR(VLOOKUP($E140,Sheet3!$H$2:$O$200,R$1,FALSE),VLOOKUP($F140,Sheet3!$H$2:$O$200,R$1,FALSE))),$I$1),$I$1)</f>
        <v>0</v>
      </c>
      <c r="S140" s="15">
        <f>IFERROR(IF(ISBLANK(L140),IFERROR(VLOOKUP($D140,Sheet3!$H$2:$O$200,S$1,FALSE),IFERROR(VLOOKUP($E140,Sheet3!$H$2:$O$200,S$1,FALSE),VLOOKUP($F140,Sheet3!$H$2:$O$200,S$1,FALSE))),$I$1),$I$1)</f>
        <v>0</v>
      </c>
      <c r="T140" s="15">
        <f>IFERROR(IF(ISBLANK(M140),IFERROR(VLOOKUP($D140,Sheet3!$H$2:$O$200,T$1,FALSE),IFERROR(VLOOKUP($E140,Sheet3!$H$2:$O$200,T$1,FALSE),VLOOKUP($F140,Sheet3!$H$2:$O$200,T$1,FALSE))),$I$1),$I$1)</f>
        <v>0</v>
      </c>
      <c r="U140" s="15">
        <f>IFERROR(IF(ISBLANK(N140),IFERROR(VLOOKUP($D140,Sheet3!$H$2:$O$200,U$1,FALSE),IFERROR(VLOOKUP($E140,Sheet3!$H$2:$O$200,U$1,FALSE),VLOOKUP($F140,Sheet3!$H$2:$O$200,U$1,FALSE))),$I$1),$I$1)</f>
        <v>0</v>
      </c>
      <c r="V140" s="15">
        <f>IFERROR(IF(ISBLANK(O140),IFERROR(VLOOKUP($D140,Sheet3!$H$2:$O$200,V$1,FALSE),IFERROR(VLOOKUP($E140,Sheet3!$H$2:$O$200,V$1,FALSE),VLOOKUP($F140,Sheet3!$H$2:$O$200,V$1,FALSE))),$I$1),$I$1)</f>
        <v>0</v>
      </c>
      <c r="W140" s="15">
        <f>IFERROR(IF(ISBLANK(P140),IFERROR(VLOOKUP($D140,Sheet3!$H$2:$O$200,W$1,FALSE),IFERROR(VLOOKUP($E140,Sheet3!$H$2:$O$200,W$1,FALSE),VLOOKUP($F140,Sheet3!$H$2:$O$200,W$1,FALSE))),$I$1),$I$1)</f>
        <v>0</v>
      </c>
      <c r="X140" s="15">
        <f>IFERROR(IF(ISBLANK(Q140),IFERROR(VLOOKUP($E140,Sheet3!$H$2:$O$200,X$1,FALSE),IFERROR(VLOOKUP($F140,Sheet3!$H$2:$O$200,X$1,FALSE),VLOOKUP($G140,Sheet3!$H$2:$O$200,X$1,FALSE))),$I$1),$I$1)</f>
        <v>0</v>
      </c>
      <c r="Y140" s="15">
        <f>IFERROR(IF(ISBLANK(R140),IFERROR(VLOOKUP($E140,Sheet3!$H$2:$O$200,Y$1,FALSE),IFERROR(VLOOKUP($F140,Sheet3!$H$2:$O$200,Y$1,FALSE),VLOOKUP($G140,Sheet3!$H$2:$O$200,Y$1,FALSE))),$I$1),$I$1)</f>
        <v>0</v>
      </c>
      <c r="Z140" s="15">
        <f>IFERROR(IF(ISBLANK(S140),IFERROR(VLOOKUP($E140,Sheet3!$H$2:$O$200,Z$1,FALSE),IFERROR(VLOOKUP($F140,Sheet3!$H$2:$O$200,Z$1,FALSE),VLOOKUP($G140,Sheet3!$H$2:$O$200,Z$1,FALSE))),$I$1),$I$1)</f>
        <v>0</v>
      </c>
      <c r="AA140" s="15">
        <f>IFERROR(IF(ISBLANK(T140),IFERROR(VLOOKUP($E140,Sheet3!$H$2:$O$200,AA$1,FALSE),IFERROR(VLOOKUP($F140,Sheet3!$H$2:$O$200,AA$1,FALSE),VLOOKUP($G140,Sheet3!$H$2:$O$200,AA$1,FALSE))),$I$1),$I$1)</f>
        <v>0</v>
      </c>
      <c r="AB140" s="15">
        <f>IFERROR(IF(ISBLANK(U140),IFERROR(VLOOKUP($E140,Sheet3!$H$2:$O$200,AB$1,FALSE),IFERROR(VLOOKUP($F140,Sheet3!$H$2:$O$200,AB$1,FALSE),VLOOKUP($G140,Sheet3!$H$2:$O$200,AB$1,FALSE))),$I$1),$I$1)</f>
        <v>0</v>
      </c>
      <c r="AC140" s="15">
        <f>IFERROR(IF(ISBLANK(V140),IFERROR(VLOOKUP($E140,Sheet3!$H$2:$O$200,AC$1,FALSE),IFERROR(VLOOKUP($F140,Sheet3!$H$2:$O$200,AC$1,FALSE),VLOOKUP($G140,Sheet3!$H$2:$O$200,AC$1,FALSE))),$I$1),$I$1)</f>
        <v>0</v>
      </c>
      <c r="AD140" s="15">
        <f>IFERROR(IF(ISBLANK(W140),IFERROR(VLOOKUP($E140,Sheet3!$H$2:$O$200,AD$1,FALSE),IFERROR(VLOOKUP($F140,Sheet3!$H$2:$O$200,AD$1,FALSE),VLOOKUP($G140,Sheet3!$H$2:$O$200,AD$1,FALSE))),$I$1),$I$1)</f>
        <v>0</v>
      </c>
      <c r="AE140" s="15">
        <f>IFERROR(IF(ISBLANK(X140),IFERROR(VLOOKUP($F140,Sheet3!$H$2:$O$200,AE$1,FALSE),VLOOKUP($G140,Sheet3!$H$2:$O$200,AE$1,FALSE)),$I$1),$I$1)</f>
        <v>0</v>
      </c>
      <c r="AF140" s="15">
        <f>IFERROR(IF(ISBLANK(Y140),IFERROR(VLOOKUP($F140,Sheet3!$H$2:$O$200,AF$1,FALSE),VLOOKUP($G140,Sheet3!$H$2:$O$200,AF$1,FALSE)),$I$1),$I$1)</f>
        <v>0</v>
      </c>
      <c r="AG140" s="15">
        <f>IFERROR(IF(ISBLANK(Z140),IFERROR(VLOOKUP($F140,Sheet3!$H$2:$O$200,AG$1,FALSE),VLOOKUP($G140,Sheet3!$H$2:$O$200,AG$1,FALSE)),$I$1),$I$1)</f>
        <v>0</v>
      </c>
      <c r="AH140" s="15">
        <f>IFERROR(IF(ISBLANK(AA140),IFERROR(VLOOKUP($F140,Sheet3!$H$2:$O$200,AH$1,FALSE),VLOOKUP($G140,Sheet3!$H$2:$O$200,AH$1,FALSE)),$I$1),$I$1)</f>
        <v>0</v>
      </c>
      <c r="AI140" s="15">
        <f>IFERROR(IF(ISBLANK(AB140),IFERROR(VLOOKUP($F140,Sheet3!$H$2:$O$200,AI$1,FALSE),VLOOKUP($G140,Sheet3!$H$2:$O$200,AI$1,FALSE)),$I$1),$I$1)</f>
        <v>0</v>
      </c>
      <c r="AJ140" s="15">
        <f>IFERROR(IF(ISBLANK(AC140),IFERROR(VLOOKUP($F140,Sheet3!$H$2:$O$200,AJ$1,FALSE),VLOOKUP($G140,Sheet3!$H$2:$O$200,AJ$1,FALSE)),$I$1),$I$1)</f>
        <v>0</v>
      </c>
      <c r="AK140" s="15">
        <f>IFERROR(IF(ISBLANK(AD140),IFERROR(VLOOKUP($F140,Sheet3!$H$2:$O$200,AK$1,FALSE),VLOOKUP($G140,Sheet3!$H$2:$O$200,AK$1,FALSE)),$I$1),$I$1)</f>
        <v>0</v>
      </c>
      <c r="AL140" s="15">
        <f>IFERROR(IF(ISBLANK(AE140),VLOOKUP($G140,Sheet3!$H$2:$O$200,AL$1,FALSE),$I$1),$I$1)</f>
        <v>0</v>
      </c>
      <c r="AM140" s="15">
        <f>IFERROR(IF(ISBLANK(AF140),VLOOKUP($G140,Sheet3!$H$2:$O$200,AM$1,FALSE),$I$1),$I$1)</f>
        <v>0</v>
      </c>
      <c r="AN140" s="15">
        <f>IFERROR(IF(ISBLANK(AG140),VLOOKUP($G140,Sheet3!$H$2:$O$200,AN$1,FALSE),$I$1),$I$1)</f>
        <v>0</v>
      </c>
      <c r="AO140" s="15">
        <f>IFERROR(IF(ISBLANK(AH140),VLOOKUP($G140,Sheet3!$H$2:$O$200,AO$1,FALSE),$I$1),$I$1)</f>
        <v>0</v>
      </c>
      <c r="AP140" s="15">
        <f>IFERROR(IF(ISBLANK(AI140),VLOOKUP($G140,Sheet3!$H$2:$O$200,AP$1,FALSE),$I$1),$I$1)</f>
        <v>0</v>
      </c>
      <c r="AQ140" s="15">
        <f>IFERROR(IF(ISBLANK(AJ140),VLOOKUP($G140,Sheet3!$H$2:$O$200,AQ$1,FALSE),$I$1),$I$1)</f>
        <v>0</v>
      </c>
      <c r="AR140" s="15">
        <f>IFERROR(IF(ISBLANK(AK140),VLOOKUP($G140,Sheet3!$H$2:$O$200,AR$1,FALSE),$I$1),$I$1)</f>
        <v>0</v>
      </c>
      <c r="AS140" s="15">
        <f t="shared" si="1"/>
        <v>28</v>
      </c>
      <c r="AT140" s="15" t="b">
        <f t="shared" si="2"/>
        <v>0</v>
      </c>
    </row>
    <row r="141" spans="1:46" x14ac:dyDescent="0.2">
      <c r="A141" s="19" t="s">
        <v>297</v>
      </c>
      <c r="B141" s="19" t="s">
        <v>294</v>
      </c>
      <c r="C141" s="19"/>
      <c r="D141" s="19" t="s">
        <v>90</v>
      </c>
      <c r="E141" s="19" t="s">
        <v>86</v>
      </c>
      <c r="F141" s="19" t="s">
        <v>126</v>
      </c>
      <c r="G141" s="19"/>
      <c r="H141" s="19" t="s">
        <v>297</v>
      </c>
      <c r="I141" s="15">
        <f t="shared" si="0"/>
        <v>3</v>
      </c>
      <c r="J141" s="15">
        <f>IFERROR(VLOOKUP($C141,Sheet3!$H$2:$O$200,J$1,FALSE),IFERROR(VLOOKUP($D141,Sheet3!$H$2:$O$200,J$1,FALSE),VLOOKUP($E141,Sheet3!$H$2:$O$200,J$1,FALSE)))</f>
        <v>0</v>
      </c>
      <c r="K141" s="15">
        <f>IFERROR(VLOOKUP($C141,Sheet3!$H$2:$O$200,K$1,FALSE),IFERROR(VLOOKUP($D141,Sheet3!$H$2:$O$200,K$1,FALSE),VLOOKUP($E141,Sheet3!$H$2:$O$200,K$1,FALSE)))</f>
        <v>0</v>
      </c>
      <c r="L141" s="15" t="str">
        <f>IFERROR(VLOOKUP($C141,Sheet3!$H$2:$O$200,L$1,FALSE),IFERROR(VLOOKUP($D141,Sheet3!$H$2:$O$200,L$1,FALSE),VLOOKUP($E141,Sheet3!$H$2:$O$200,L$1,FALSE)))</f>
        <v>lime juice</v>
      </c>
      <c r="M141" s="15">
        <f>IFERROR(VLOOKUP($C141,Sheet3!$H$2:$O$200,M$1,FALSE),IFERROR(VLOOKUP($D141,Sheet3!$H$2:$O$200,M$1,FALSE),VLOOKUP($E141,Sheet3!$H$2:$O$200,M$1,FALSE)))</f>
        <v>0</v>
      </c>
      <c r="N141" s="15">
        <f>IFERROR(VLOOKUP($C141,Sheet3!$H$2:$O$200,N$1,FALSE),IFERROR(VLOOKUP($D141,Sheet3!$H$2:$O$200,N$1,FALSE),VLOOKUP($E141,Sheet3!$H$2:$O$200,N$1,FALSE)))</f>
        <v>0</v>
      </c>
      <c r="O141" s="15">
        <f>IFERROR(VLOOKUP($C141,Sheet3!$H$2:$O$200,O$1,FALSE),IFERROR(VLOOKUP($D141,Sheet3!$H$2:$O$200,O$1,FALSE),VLOOKUP($E141,Sheet3!$H$2:$O$200,O$1,FALSE)))</f>
        <v>0</v>
      </c>
      <c r="P141" s="15">
        <f>IFERROR(VLOOKUP($C141,Sheet3!$H$2:$O$200,P$1,FALSE),IFERROR(VLOOKUP($D141,Sheet3!$H$2:$O$200,P$1,FALSE),VLOOKUP($E141,Sheet3!$H$2:$O$200,P$1,FALSE)))</f>
        <v>0</v>
      </c>
      <c r="Q141" s="15">
        <f>IFERROR(IF(ISBLANK(J141),IFERROR(VLOOKUP($D141,Sheet3!$H$2:$O$200,Q$1,FALSE),IFERROR(VLOOKUP($E141,Sheet3!$H$2:$O$200,Q$1,FALSE),VLOOKUP($F141,Sheet3!$H$2:$O$200,Q$1,FALSE))),$I$1),$I$1)</f>
        <v>0</v>
      </c>
      <c r="R141" s="15">
        <f>IFERROR(IF(ISBLANK(K141),IFERROR(VLOOKUP($D141,Sheet3!$H$2:$O$200,R$1,FALSE),IFERROR(VLOOKUP($E141,Sheet3!$H$2:$O$200,R$1,FALSE),VLOOKUP($F141,Sheet3!$H$2:$O$200,R$1,FALSE))),$I$1),$I$1)</f>
        <v>0</v>
      </c>
      <c r="S141" s="15">
        <f>IFERROR(IF(ISBLANK(L141),IFERROR(VLOOKUP($D141,Sheet3!$H$2:$O$200,S$1,FALSE),IFERROR(VLOOKUP($E141,Sheet3!$H$2:$O$200,S$1,FALSE),VLOOKUP($F141,Sheet3!$H$2:$O$200,S$1,FALSE))),$I$1),$I$1)</f>
        <v>0</v>
      </c>
      <c r="T141" s="15">
        <f>IFERROR(IF(ISBLANK(M141),IFERROR(VLOOKUP($D141,Sheet3!$H$2:$O$200,T$1,FALSE),IFERROR(VLOOKUP($E141,Sheet3!$H$2:$O$200,T$1,FALSE),VLOOKUP($F141,Sheet3!$H$2:$O$200,T$1,FALSE))),$I$1),$I$1)</f>
        <v>0</v>
      </c>
      <c r="U141" s="15">
        <f>IFERROR(IF(ISBLANK(N141),IFERROR(VLOOKUP($D141,Sheet3!$H$2:$O$200,U$1,FALSE),IFERROR(VLOOKUP($E141,Sheet3!$H$2:$O$200,U$1,FALSE),VLOOKUP($F141,Sheet3!$H$2:$O$200,U$1,FALSE))),$I$1),$I$1)</f>
        <v>0</v>
      </c>
      <c r="V141" s="15">
        <f>IFERROR(IF(ISBLANK(O141),IFERROR(VLOOKUP($D141,Sheet3!$H$2:$O$200,V$1,FALSE),IFERROR(VLOOKUP($E141,Sheet3!$H$2:$O$200,V$1,FALSE),VLOOKUP($F141,Sheet3!$H$2:$O$200,V$1,FALSE))),$I$1),$I$1)</f>
        <v>0</v>
      </c>
      <c r="W141" s="15">
        <f>IFERROR(IF(ISBLANK(P141),IFERROR(VLOOKUP($D141,Sheet3!$H$2:$O$200,W$1,FALSE),IFERROR(VLOOKUP($E141,Sheet3!$H$2:$O$200,W$1,FALSE),VLOOKUP($F141,Sheet3!$H$2:$O$200,W$1,FALSE))),$I$1),$I$1)</f>
        <v>0</v>
      </c>
      <c r="X141" s="15">
        <f>IFERROR(IF(ISBLANK(Q141),IFERROR(VLOOKUP($E141,Sheet3!$H$2:$O$200,X$1,FALSE),IFERROR(VLOOKUP($F141,Sheet3!$H$2:$O$200,X$1,FALSE),VLOOKUP($G141,Sheet3!$H$2:$O$200,X$1,FALSE))),$I$1),$I$1)</f>
        <v>0</v>
      </c>
      <c r="Y141" s="15">
        <f>IFERROR(IF(ISBLANK(R141),IFERROR(VLOOKUP($E141,Sheet3!$H$2:$O$200,Y$1,FALSE),IFERROR(VLOOKUP($F141,Sheet3!$H$2:$O$200,Y$1,FALSE),VLOOKUP($G141,Sheet3!$H$2:$O$200,Y$1,FALSE))),$I$1),$I$1)</f>
        <v>0</v>
      </c>
      <c r="Z141" s="15">
        <f>IFERROR(IF(ISBLANK(S141),IFERROR(VLOOKUP($E141,Sheet3!$H$2:$O$200,Z$1,FALSE),IFERROR(VLOOKUP($F141,Sheet3!$H$2:$O$200,Z$1,FALSE),VLOOKUP($G141,Sheet3!$H$2:$O$200,Z$1,FALSE))),$I$1),$I$1)</f>
        <v>0</v>
      </c>
      <c r="AA141" s="15">
        <f>IFERROR(IF(ISBLANK(T141),IFERROR(VLOOKUP($E141,Sheet3!$H$2:$O$200,AA$1,FALSE),IFERROR(VLOOKUP($F141,Sheet3!$H$2:$O$200,AA$1,FALSE),VLOOKUP($G141,Sheet3!$H$2:$O$200,AA$1,FALSE))),$I$1),$I$1)</f>
        <v>0</v>
      </c>
      <c r="AB141" s="15">
        <f>IFERROR(IF(ISBLANK(U141),IFERROR(VLOOKUP($E141,Sheet3!$H$2:$O$200,AB$1,FALSE),IFERROR(VLOOKUP($F141,Sheet3!$H$2:$O$200,AB$1,FALSE),VLOOKUP($G141,Sheet3!$H$2:$O$200,AB$1,FALSE))),$I$1),$I$1)</f>
        <v>0</v>
      </c>
      <c r="AC141" s="15">
        <f>IFERROR(IF(ISBLANK(V141),IFERROR(VLOOKUP($E141,Sheet3!$H$2:$O$200,AC$1,FALSE),IFERROR(VLOOKUP($F141,Sheet3!$H$2:$O$200,AC$1,FALSE),VLOOKUP($G141,Sheet3!$H$2:$O$200,AC$1,FALSE))),$I$1),$I$1)</f>
        <v>0</v>
      </c>
      <c r="AD141" s="15">
        <f>IFERROR(IF(ISBLANK(W141),IFERROR(VLOOKUP($E141,Sheet3!$H$2:$O$200,AD$1,FALSE),IFERROR(VLOOKUP($F141,Sheet3!$H$2:$O$200,AD$1,FALSE),VLOOKUP($G141,Sheet3!$H$2:$O$200,AD$1,FALSE))),$I$1),$I$1)</f>
        <v>0</v>
      </c>
      <c r="AE141" s="15">
        <f>IFERROR(IF(ISBLANK(X141),IFERROR(VLOOKUP($F141,Sheet3!$H$2:$O$200,AE$1,FALSE),VLOOKUP($G141,Sheet3!$H$2:$O$200,AE$1,FALSE)),$I$1),$I$1)</f>
        <v>0</v>
      </c>
      <c r="AF141" s="15">
        <f>IFERROR(IF(ISBLANK(Y141),IFERROR(VLOOKUP($F141,Sheet3!$H$2:$O$200,AF$1,FALSE),VLOOKUP($G141,Sheet3!$H$2:$O$200,AF$1,FALSE)),$I$1),$I$1)</f>
        <v>0</v>
      </c>
      <c r="AG141" s="15">
        <f>IFERROR(IF(ISBLANK(Z141),IFERROR(VLOOKUP($F141,Sheet3!$H$2:$O$200,AG$1,FALSE),VLOOKUP($G141,Sheet3!$H$2:$O$200,AG$1,FALSE)),$I$1),$I$1)</f>
        <v>0</v>
      </c>
      <c r="AH141" s="15">
        <f>IFERROR(IF(ISBLANK(AA141),IFERROR(VLOOKUP($F141,Sheet3!$H$2:$O$200,AH$1,FALSE),VLOOKUP($G141,Sheet3!$H$2:$O$200,AH$1,FALSE)),$I$1),$I$1)</f>
        <v>0</v>
      </c>
      <c r="AI141" s="15">
        <f>IFERROR(IF(ISBLANK(AB141),IFERROR(VLOOKUP($F141,Sheet3!$H$2:$O$200,AI$1,FALSE),VLOOKUP($G141,Sheet3!$H$2:$O$200,AI$1,FALSE)),$I$1),$I$1)</f>
        <v>0</v>
      </c>
      <c r="AJ141" s="15">
        <f>IFERROR(IF(ISBLANK(AC141),IFERROR(VLOOKUP($F141,Sheet3!$H$2:$O$200,AJ$1,FALSE),VLOOKUP($G141,Sheet3!$H$2:$O$200,AJ$1,FALSE)),$I$1),$I$1)</f>
        <v>0</v>
      </c>
      <c r="AK141" s="15">
        <f>IFERROR(IF(ISBLANK(AD141),IFERROR(VLOOKUP($F141,Sheet3!$H$2:$O$200,AK$1,FALSE),VLOOKUP($G141,Sheet3!$H$2:$O$200,AK$1,FALSE)),$I$1),$I$1)</f>
        <v>0</v>
      </c>
      <c r="AL141" s="15">
        <f>IFERROR(IF(ISBLANK(AE141),VLOOKUP($G141,Sheet3!$H$2:$O$200,AL$1,FALSE),$I$1),$I$1)</f>
        <v>0</v>
      </c>
      <c r="AM141" s="15">
        <f>IFERROR(IF(ISBLANK(AF141),VLOOKUP($G141,Sheet3!$H$2:$O$200,AM$1,FALSE),$I$1),$I$1)</f>
        <v>0</v>
      </c>
      <c r="AN141" s="15">
        <f>IFERROR(IF(ISBLANK(AG141),VLOOKUP($G141,Sheet3!$H$2:$O$200,AN$1,FALSE),$I$1),$I$1)</f>
        <v>0</v>
      </c>
      <c r="AO141" s="15">
        <f>IFERROR(IF(ISBLANK(AH141),VLOOKUP($G141,Sheet3!$H$2:$O$200,AO$1,FALSE),$I$1),$I$1)</f>
        <v>0</v>
      </c>
      <c r="AP141" s="15">
        <f>IFERROR(IF(ISBLANK(AI141),VLOOKUP($G141,Sheet3!$H$2:$O$200,AP$1,FALSE),$I$1),$I$1)</f>
        <v>0</v>
      </c>
      <c r="AQ141" s="15">
        <f>IFERROR(IF(ISBLANK(AJ141),VLOOKUP($G141,Sheet3!$H$2:$O$200,AQ$1,FALSE),$I$1),$I$1)</f>
        <v>0</v>
      </c>
      <c r="AR141" s="15">
        <f>IFERROR(IF(ISBLANK(AK141),VLOOKUP($G141,Sheet3!$H$2:$O$200,AR$1,FALSE),$I$1),$I$1)</f>
        <v>0</v>
      </c>
      <c r="AS141" s="15">
        <f t="shared" si="1"/>
        <v>28</v>
      </c>
      <c r="AT141" s="15" t="b">
        <f t="shared" si="2"/>
        <v>0</v>
      </c>
    </row>
    <row r="142" spans="1:46" x14ac:dyDescent="0.2">
      <c r="A142" s="19" t="s">
        <v>298</v>
      </c>
      <c r="B142" s="19" t="s">
        <v>294</v>
      </c>
      <c r="C142" s="19" t="s">
        <v>100</v>
      </c>
      <c r="D142" s="19" t="s">
        <v>38</v>
      </c>
      <c r="E142" s="19"/>
      <c r="F142" s="19"/>
      <c r="G142" s="19"/>
      <c r="H142" s="19" t="s">
        <v>298</v>
      </c>
      <c r="I142" s="15">
        <f t="shared" si="0"/>
        <v>2</v>
      </c>
      <c r="J142" s="15">
        <f>IFERROR(VLOOKUP($C142,Sheet3!$H$2:$O$200,J$1,FALSE),IFERROR(VLOOKUP($D142,Sheet3!$H$2:$O$200,J$1,FALSE),VLOOKUP($E142,Sheet3!$H$2:$O$200,J$1,FALSE)))</f>
        <v>0</v>
      </c>
      <c r="K142" s="15">
        <f>IFERROR(VLOOKUP($C142,Sheet3!$H$2:$O$200,K$1,FALSE),IFERROR(VLOOKUP($D142,Sheet3!$H$2:$O$200,K$1,FALSE),VLOOKUP($E142,Sheet3!$H$2:$O$200,K$1,FALSE)))</f>
        <v>0</v>
      </c>
      <c r="L142" s="15">
        <f>IFERROR(VLOOKUP($C142,Sheet3!$H$2:$O$200,L$1,FALSE),IFERROR(VLOOKUP($D142,Sheet3!$H$2:$O$200,L$1,FALSE),VLOOKUP($E142,Sheet3!$H$2:$O$200,L$1,FALSE)))</f>
        <v>0</v>
      </c>
      <c r="M142" s="15" t="str">
        <f>IFERROR(VLOOKUP($C142,Sheet3!$H$2:$O$200,M$1,FALSE),IFERROR(VLOOKUP($D142,Sheet3!$H$2:$O$200,M$1,FALSE),VLOOKUP($E142,Sheet3!$H$2:$O$200,M$1,FALSE)))</f>
        <v>triple sec</v>
      </c>
      <c r="N142" s="15">
        <f>IFERROR(VLOOKUP($C142,Sheet3!$H$2:$O$200,N$1,FALSE),IFERROR(VLOOKUP($D142,Sheet3!$H$2:$O$200,N$1,FALSE),VLOOKUP($E142,Sheet3!$H$2:$O$200,N$1,FALSE)))</f>
        <v>0</v>
      </c>
      <c r="O142" s="15">
        <f>IFERROR(VLOOKUP($C142,Sheet3!$H$2:$O$200,O$1,FALSE),IFERROR(VLOOKUP($D142,Sheet3!$H$2:$O$200,O$1,FALSE),VLOOKUP($E142,Sheet3!$H$2:$O$200,O$1,FALSE)))</f>
        <v>0</v>
      </c>
      <c r="P142" s="15">
        <f>IFERROR(VLOOKUP($C142,Sheet3!$H$2:$O$200,P$1,FALSE),IFERROR(VLOOKUP($D142,Sheet3!$H$2:$O$200,P$1,FALSE),VLOOKUP($E142,Sheet3!$H$2:$O$200,P$1,FALSE)))</f>
        <v>0</v>
      </c>
      <c r="Q142" s="15">
        <f>IFERROR(IF(ISBLANK(J142),IFERROR(VLOOKUP($D142,Sheet3!$H$2:$O$200,Q$1,FALSE),IFERROR(VLOOKUP($E142,Sheet3!$H$2:$O$200,Q$1,FALSE),VLOOKUP($F142,Sheet3!$H$2:$O$200,Q$1,FALSE))),$I$1),$I$1)</f>
        <v>0</v>
      </c>
      <c r="R142" s="15">
        <f>IFERROR(IF(ISBLANK(K142),IFERROR(VLOOKUP($D142,Sheet3!$H$2:$O$200,R$1,FALSE),IFERROR(VLOOKUP($E142,Sheet3!$H$2:$O$200,R$1,FALSE),VLOOKUP($F142,Sheet3!$H$2:$O$200,R$1,FALSE))),$I$1),$I$1)</f>
        <v>0</v>
      </c>
      <c r="S142" s="15">
        <f>IFERROR(IF(ISBLANK(L142),IFERROR(VLOOKUP($D142,Sheet3!$H$2:$O$200,S$1,FALSE),IFERROR(VLOOKUP($E142,Sheet3!$H$2:$O$200,S$1,FALSE),VLOOKUP($F142,Sheet3!$H$2:$O$200,S$1,FALSE))),$I$1),$I$1)</f>
        <v>0</v>
      </c>
      <c r="T142" s="15">
        <f>IFERROR(IF(ISBLANK(M142),IFERROR(VLOOKUP($D142,Sheet3!$H$2:$O$200,T$1,FALSE),IFERROR(VLOOKUP($E142,Sheet3!$H$2:$O$200,T$1,FALSE),VLOOKUP($F142,Sheet3!$H$2:$O$200,T$1,FALSE))),$I$1),$I$1)</f>
        <v>0</v>
      </c>
      <c r="U142" s="15">
        <f>IFERROR(IF(ISBLANK(N142),IFERROR(VLOOKUP($D142,Sheet3!$H$2:$O$200,U$1,FALSE),IFERROR(VLOOKUP($E142,Sheet3!$H$2:$O$200,U$1,FALSE),VLOOKUP($F142,Sheet3!$H$2:$O$200,U$1,FALSE))),$I$1),$I$1)</f>
        <v>0</v>
      </c>
      <c r="V142" s="15">
        <f>IFERROR(IF(ISBLANK(O142),IFERROR(VLOOKUP($D142,Sheet3!$H$2:$O$200,V$1,FALSE),IFERROR(VLOOKUP($E142,Sheet3!$H$2:$O$200,V$1,FALSE),VLOOKUP($F142,Sheet3!$H$2:$O$200,V$1,FALSE))),$I$1),$I$1)</f>
        <v>0</v>
      </c>
      <c r="W142" s="15">
        <f>IFERROR(IF(ISBLANK(P142),IFERROR(VLOOKUP($D142,Sheet3!$H$2:$O$200,W$1,FALSE),IFERROR(VLOOKUP($E142,Sheet3!$H$2:$O$200,W$1,FALSE),VLOOKUP($F142,Sheet3!$H$2:$O$200,W$1,FALSE))),$I$1),$I$1)</f>
        <v>0</v>
      </c>
      <c r="X142" s="15">
        <f>IFERROR(IF(ISBLANK(Q142),IFERROR(VLOOKUP($E142,Sheet3!$H$2:$O$200,X$1,FALSE),IFERROR(VLOOKUP($F142,Sheet3!$H$2:$O$200,X$1,FALSE),VLOOKUP($G142,Sheet3!$H$2:$O$200,X$1,FALSE))),$I$1),$I$1)</f>
        <v>0</v>
      </c>
      <c r="Y142" s="15">
        <f>IFERROR(IF(ISBLANK(R142),IFERROR(VLOOKUP($E142,Sheet3!$H$2:$O$200,Y$1,FALSE),IFERROR(VLOOKUP($F142,Sheet3!$H$2:$O$200,Y$1,FALSE),VLOOKUP($G142,Sheet3!$H$2:$O$200,Y$1,FALSE))),$I$1),$I$1)</f>
        <v>0</v>
      </c>
      <c r="Z142" s="15">
        <f>IFERROR(IF(ISBLANK(S142),IFERROR(VLOOKUP($E142,Sheet3!$H$2:$O$200,Z$1,FALSE),IFERROR(VLOOKUP($F142,Sheet3!$H$2:$O$200,Z$1,FALSE),VLOOKUP($G142,Sheet3!$H$2:$O$200,Z$1,FALSE))),$I$1),$I$1)</f>
        <v>0</v>
      </c>
      <c r="AA142" s="15">
        <f>IFERROR(IF(ISBLANK(T142),IFERROR(VLOOKUP($E142,Sheet3!$H$2:$O$200,AA$1,FALSE),IFERROR(VLOOKUP($F142,Sheet3!$H$2:$O$200,AA$1,FALSE),VLOOKUP($G142,Sheet3!$H$2:$O$200,AA$1,FALSE))),$I$1),$I$1)</f>
        <v>0</v>
      </c>
      <c r="AB142" s="15">
        <f>IFERROR(IF(ISBLANK(U142),IFERROR(VLOOKUP($E142,Sheet3!$H$2:$O$200,AB$1,FALSE),IFERROR(VLOOKUP($F142,Sheet3!$H$2:$O$200,AB$1,FALSE),VLOOKUP($G142,Sheet3!$H$2:$O$200,AB$1,FALSE))),$I$1),$I$1)</f>
        <v>0</v>
      </c>
      <c r="AC142" s="15">
        <f>IFERROR(IF(ISBLANK(V142),IFERROR(VLOOKUP($E142,Sheet3!$H$2:$O$200,AC$1,FALSE),IFERROR(VLOOKUP($F142,Sheet3!$H$2:$O$200,AC$1,FALSE),VLOOKUP($G142,Sheet3!$H$2:$O$200,AC$1,FALSE))),$I$1),$I$1)</f>
        <v>0</v>
      </c>
      <c r="AD142" s="15">
        <f>IFERROR(IF(ISBLANK(W142),IFERROR(VLOOKUP($E142,Sheet3!$H$2:$O$200,AD$1,FALSE),IFERROR(VLOOKUP($F142,Sheet3!$H$2:$O$200,AD$1,FALSE),VLOOKUP($G142,Sheet3!$H$2:$O$200,AD$1,FALSE))),$I$1),$I$1)</f>
        <v>0</v>
      </c>
      <c r="AE142" s="15">
        <f>IFERROR(IF(ISBLANK(X142),IFERROR(VLOOKUP($F142,Sheet3!$H$2:$O$200,AE$1,FALSE),VLOOKUP($G142,Sheet3!$H$2:$O$200,AE$1,FALSE)),$I$1),$I$1)</f>
        <v>0</v>
      </c>
      <c r="AF142" s="15">
        <f>IFERROR(IF(ISBLANK(Y142),IFERROR(VLOOKUP($F142,Sheet3!$H$2:$O$200,AF$1,FALSE),VLOOKUP($G142,Sheet3!$H$2:$O$200,AF$1,FALSE)),$I$1),$I$1)</f>
        <v>0</v>
      </c>
      <c r="AG142" s="15">
        <f>IFERROR(IF(ISBLANK(Z142),IFERROR(VLOOKUP($F142,Sheet3!$H$2:$O$200,AG$1,FALSE),VLOOKUP($G142,Sheet3!$H$2:$O$200,AG$1,FALSE)),$I$1),$I$1)</f>
        <v>0</v>
      </c>
      <c r="AH142" s="15">
        <f>IFERROR(IF(ISBLANK(AA142),IFERROR(VLOOKUP($F142,Sheet3!$H$2:$O$200,AH$1,FALSE),VLOOKUP($G142,Sheet3!$H$2:$O$200,AH$1,FALSE)),$I$1),$I$1)</f>
        <v>0</v>
      </c>
      <c r="AI142" s="15">
        <f>IFERROR(IF(ISBLANK(AB142),IFERROR(VLOOKUP($F142,Sheet3!$H$2:$O$200,AI$1,FALSE),VLOOKUP($G142,Sheet3!$H$2:$O$200,AI$1,FALSE)),$I$1),$I$1)</f>
        <v>0</v>
      </c>
      <c r="AJ142" s="15">
        <f>IFERROR(IF(ISBLANK(AC142),IFERROR(VLOOKUP($F142,Sheet3!$H$2:$O$200,AJ$1,FALSE),VLOOKUP($G142,Sheet3!$H$2:$O$200,AJ$1,FALSE)),$I$1),$I$1)</f>
        <v>0</v>
      </c>
      <c r="AK142" s="15">
        <f>IFERROR(IF(ISBLANK(AD142),IFERROR(VLOOKUP($F142,Sheet3!$H$2:$O$200,AK$1,FALSE),VLOOKUP($G142,Sheet3!$H$2:$O$200,AK$1,FALSE)),$I$1),$I$1)</f>
        <v>0</v>
      </c>
      <c r="AL142" s="15">
        <f>IFERROR(IF(ISBLANK(AE142),VLOOKUP($G142,Sheet3!$H$2:$O$200,AL$1,FALSE),$I$1),$I$1)</f>
        <v>0</v>
      </c>
      <c r="AM142" s="15">
        <f>IFERROR(IF(ISBLANK(AF142),VLOOKUP($G142,Sheet3!$H$2:$O$200,AM$1,FALSE),$I$1),$I$1)</f>
        <v>0</v>
      </c>
      <c r="AN142" s="15">
        <f>IFERROR(IF(ISBLANK(AG142),VLOOKUP($G142,Sheet3!$H$2:$O$200,AN$1,FALSE),$I$1),$I$1)</f>
        <v>0</v>
      </c>
      <c r="AO142" s="15">
        <f>IFERROR(IF(ISBLANK(AH142),VLOOKUP($G142,Sheet3!$H$2:$O$200,AO$1,FALSE),$I$1),$I$1)</f>
        <v>0</v>
      </c>
      <c r="AP142" s="15">
        <f>IFERROR(IF(ISBLANK(AI142),VLOOKUP($G142,Sheet3!$H$2:$O$200,AP$1,FALSE),$I$1),$I$1)</f>
        <v>0</v>
      </c>
      <c r="AQ142" s="15">
        <f>IFERROR(IF(ISBLANK(AJ142),VLOOKUP($G142,Sheet3!$H$2:$O$200,AQ$1,FALSE),$I$1),$I$1)</f>
        <v>0</v>
      </c>
      <c r="AR142" s="15">
        <f>IFERROR(IF(ISBLANK(AK142),VLOOKUP($G142,Sheet3!$H$2:$O$200,AR$1,FALSE),$I$1),$I$1)</f>
        <v>0</v>
      </c>
      <c r="AS142" s="15">
        <f t="shared" si="1"/>
        <v>28</v>
      </c>
      <c r="AT142" s="15" t="b">
        <f t="shared" si="2"/>
        <v>0</v>
      </c>
    </row>
    <row r="143" spans="1:46" x14ac:dyDescent="0.2">
      <c r="A143" s="19" t="s">
        <v>299</v>
      </c>
      <c r="B143" s="19" t="s">
        <v>300</v>
      </c>
      <c r="C143" s="19" t="s">
        <v>52</v>
      </c>
      <c r="D143" s="19" t="s">
        <v>78</v>
      </c>
      <c r="E143" s="19"/>
      <c r="F143" s="19"/>
      <c r="G143" s="19"/>
      <c r="H143" s="19" t="s">
        <v>299</v>
      </c>
      <c r="I143" s="15">
        <f t="shared" si="0"/>
        <v>2</v>
      </c>
      <c r="J143" s="15">
        <f>IFERROR(VLOOKUP($C143,Sheet3!$H$2:$O$200,J$1,FALSE),IFERROR(VLOOKUP($D143,Sheet3!$H$2:$O$200,J$1,FALSE),VLOOKUP($E143,Sheet3!$H$2:$O$200,J$1,FALSE)))</f>
        <v>0</v>
      </c>
      <c r="K143" s="15">
        <f>IFERROR(VLOOKUP($C143,Sheet3!$H$2:$O$200,K$1,FALSE),IFERROR(VLOOKUP($D143,Sheet3!$H$2:$O$200,K$1,FALSE),VLOOKUP($E143,Sheet3!$H$2:$O$200,K$1,FALSE)))</f>
        <v>0</v>
      </c>
      <c r="L143" s="15">
        <f>IFERROR(VLOOKUP($C143,Sheet3!$H$2:$O$200,L$1,FALSE),IFERROR(VLOOKUP($D143,Sheet3!$H$2:$O$200,L$1,FALSE),VLOOKUP($E143,Sheet3!$H$2:$O$200,L$1,FALSE)))</f>
        <v>0</v>
      </c>
      <c r="M143" s="15" t="str">
        <f>IFERROR(VLOOKUP($C143,Sheet3!$H$2:$O$200,M$1,FALSE),IFERROR(VLOOKUP($D143,Sheet3!$H$2:$O$200,M$1,FALSE),VLOOKUP($E143,Sheet3!$H$2:$O$200,M$1,FALSE)))</f>
        <v>dry vermouth</v>
      </c>
      <c r="N143" s="15">
        <f>IFERROR(VLOOKUP($C143,Sheet3!$H$2:$O$200,N$1,FALSE),IFERROR(VLOOKUP($D143,Sheet3!$H$2:$O$200,N$1,FALSE),VLOOKUP($E143,Sheet3!$H$2:$O$200,N$1,FALSE)))</f>
        <v>0</v>
      </c>
      <c r="O143" s="15">
        <f>IFERROR(VLOOKUP($C143,Sheet3!$H$2:$O$200,O$1,FALSE),IFERROR(VLOOKUP($D143,Sheet3!$H$2:$O$200,O$1,FALSE),VLOOKUP($E143,Sheet3!$H$2:$O$200,O$1,FALSE)))</f>
        <v>0</v>
      </c>
      <c r="P143" s="15">
        <f>IFERROR(VLOOKUP($C143,Sheet3!$H$2:$O$200,P$1,FALSE),IFERROR(VLOOKUP($D143,Sheet3!$H$2:$O$200,P$1,FALSE),VLOOKUP($E143,Sheet3!$H$2:$O$200,P$1,FALSE)))</f>
        <v>0</v>
      </c>
      <c r="Q143" s="15">
        <f>IFERROR(IF(ISBLANK(J143),IFERROR(VLOOKUP($D143,Sheet3!$H$2:$O$200,Q$1,FALSE),IFERROR(VLOOKUP($E143,Sheet3!$H$2:$O$200,Q$1,FALSE),VLOOKUP($F143,Sheet3!$H$2:$O$200,Q$1,FALSE))),$I$1),$I$1)</f>
        <v>0</v>
      </c>
      <c r="R143" s="15">
        <f>IFERROR(IF(ISBLANK(K143),IFERROR(VLOOKUP($D143,Sheet3!$H$2:$O$200,R$1,FALSE),IFERROR(VLOOKUP($E143,Sheet3!$H$2:$O$200,R$1,FALSE),VLOOKUP($F143,Sheet3!$H$2:$O$200,R$1,FALSE))),$I$1),$I$1)</f>
        <v>0</v>
      </c>
      <c r="S143" s="15">
        <f>IFERROR(IF(ISBLANK(L143),IFERROR(VLOOKUP($D143,Sheet3!$H$2:$O$200,S$1,FALSE),IFERROR(VLOOKUP($E143,Sheet3!$H$2:$O$200,S$1,FALSE),VLOOKUP($F143,Sheet3!$H$2:$O$200,S$1,FALSE))),$I$1),$I$1)</f>
        <v>0</v>
      </c>
      <c r="T143" s="15">
        <f>IFERROR(IF(ISBLANK(M143),IFERROR(VLOOKUP($D143,Sheet3!$H$2:$O$200,T$1,FALSE),IFERROR(VLOOKUP($E143,Sheet3!$H$2:$O$200,T$1,FALSE),VLOOKUP($F143,Sheet3!$H$2:$O$200,T$1,FALSE))),$I$1),$I$1)</f>
        <v>0</v>
      </c>
      <c r="U143" s="15">
        <f>IFERROR(IF(ISBLANK(N143),IFERROR(VLOOKUP($D143,Sheet3!$H$2:$O$200,U$1,FALSE),IFERROR(VLOOKUP($E143,Sheet3!$H$2:$O$200,U$1,FALSE),VLOOKUP($F143,Sheet3!$H$2:$O$200,U$1,FALSE))),$I$1),$I$1)</f>
        <v>0</v>
      </c>
      <c r="V143" s="15">
        <f>IFERROR(IF(ISBLANK(O143),IFERROR(VLOOKUP($D143,Sheet3!$H$2:$O$200,V$1,FALSE),IFERROR(VLOOKUP($E143,Sheet3!$H$2:$O$200,V$1,FALSE),VLOOKUP($F143,Sheet3!$H$2:$O$200,V$1,FALSE))),$I$1),$I$1)</f>
        <v>0</v>
      </c>
      <c r="W143" s="15">
        <f>IFERROR(IF(ISBLANK(P143),IFERROR(VLOOKUP($D143,Sheet3!$H$2:$O$200,W$1,FALSE),IFERROR(VLOOKUP($E143,Sheet3!$H$2:$O$200,W$1,FALSE),VLOOKUP($F143,Sheet3!$H$2:$O$200,W$1,FALSE))),$I$1),$I$1)</f>
        <v>0</v>
      </c>
      <c r="X143" s="15">
        <f>IFERROR(IF(ISBLANK(Q143),IFERROR(VLOOKUP($E143,Sheet3!$H$2:$O$200,X$1,FALSE),IFERROR(VLOOKUP($F143,Sheet3!$H$2:$O$200,X$1,FALSE),VLOOKUP($G143,Sheet3!$H$2:$O$200,X$1,FALSE))),$I$1),$I$1)</f>
        <v>0</v>
      </c>
      <c r="Y143" s="15">
        <f>IFERROR(IF(ISBLANK(R143),IFERROR(VLOOKUP($E143,Sheet3!$H$2:$O$200,Y$1,FALSE),IFERROR(VLOOKUP($F143,Sheet3!$H$2:$O$200,Y$1,FALSE),VLOOKUP($G143,Sheet3!$H$2:$O$200,Y$1,FALSE))),$I$1),$I$1)</f>
        <v>0</v>
      </c>
      <c r="Z143" s="15">
        <f>IFERROR(IF(ISBLANK(S143),IFERROR(VLOOKUP($E143,Sheet3!$H$2:$O$200,Z$1,FALSE),IFERROR(VLOOKUP($F143,Sheet3!$H$2:$O$200,Z$1,FALSE),VLOOKUP($G143,Sheet3!$H$2:$O$200,Z$1,FALSE))),$I$1),$I$1)</f>
        <v>0</v>
      </c>
      <c r="AA143" s="15">
        <f>IFERROR(IF(ISBLANK(T143),IFERROR(VLOOKUP($E143,Sheet3!$H$2:$O$200,AA$1,FALSE),IFERROR(VLOOKUP($F143,Sheet3!$H$2:$O$200,AA$1,FALSE),VLOOKUP($G143,Sheet3!$H$2:$O$200,AA$1,FALSE))),$I$1),$I$1)</f>
        <v>0</v>
      </c>
      <c r="AB143" s="15">
        <f>IFERROR(IF(ISBLANK(U143),IFERROR(VLOOKUP($E143,Sheet3!$H$2:$O$200,AB$1,FALSE),IFERROR(VLOOKUP($F143,Sheet3!$H$2:$O$200,AB$1,FALSE),VLOOKUP($G143,Sheet3!$H$2:$O$200,AB$1,FALSE))),$I$1),$I$1)</f>
        <v>0</v>
      </c>
      <c r="AC143" s="15">
        <f>IFERROR(IF(ISBLANK(V143),IFERROR(VLOOKUP($E143,Sheet3!$H$2:$O$200,AC$1,FALSE),IFERROR(VLOOKUP($F143,Sheet3!$H$2:$O$200,AC$1,FALSE),VLOOKUP($G143,Sheet3!$H$2:$O$200,AC$1,FALSE))),$I$1),$I$1)</f>
        <v>0</v>
      </c>
      <c r="AD143" s="15">
        <f>IFERROR(IF(ISBLANK(W143),IFERROR(VLOOKUP($E143,Sheet3!$H$2:$O$200,AD$1,FALSE),IFERROR(VLOOKUP($F143,Sheet3!$H$2:$O$200,AD$1,FALSE),VLOOKUP($G143,Sheet3!$H$2:$O$200,AD$1,FALSE))),$I$1),$I$1)</f>
        <v>0</v>
      </c>
      <c r="AE143" s="15">
        <f>IFERROR(IF(ISBLANK(X143),IFERROR(VLOOKUP($F143,Sheet3!$H$2:$O$200,AE$1,FALSE),VLOOKUP($G143,Sheet3!$H$2:$O$200,AE$1,FALSE)),$I$1),$I$1)</f>
        <v>0</v>
      </c>
      <c r="AF143" s="15">
        <f>IFERROR(IF(ISBLANK(Y143),IFERROR(VLOOKUP($F143,Sheet3!$H$2:$O$200,AF$1,FALSE),VLOOKUP($G143,Sheet3!$H$2:$O$200,AF$1,FALSE)),$I$1),$I$1)</f>
        <v>0</v>
      </c>
      <c r="AG143" s="15">
        <f>IFERROR(IF(ISBLANK(Z143),IFERROR(VLOOKUP($F143,Sheet3!$H$2:$O$200,AG$1,FALSE),VLOOKUP($G143,Sheet3!$H$2:$O$200,AG$1,FALSE)),$I$1),$I$1)</f>
        <v>0</v>
      </c>
      <c r="AH143" s="15">
        <f>IFERROR(IF(ISBLANK(AA143),IFERROR(VLOOKUP($F143,Sheet3!$H$2:$O$200,AH$1,FALSE),VLOOKUP($G143,Sheet3!$H$2:$O$200,AH$1,FALSE)),$I$1),$I$1)</f>
        <v>0</v>
      </c>
      <c r="AI143" s="15">
        <f>IFERROR(IF(ISBLANK(AB143),IFERROR(VLOOKUP($F143,Sheet3!$H$2:$O$200,AI$1,FALSE),VLOOKUP($G143,Sheet3!$H$2:$O$200,AI$1,FALSE)),$I$1),$I$1)</f>
        <v>0</v>
      </c>
      <c r="AJ143" s="15">
        <f>IFERROR(IF(ISBLANK(AC143),IFERROR(VLOOKUP($F143,Sheet3!$H$2:$O$200,AJ$1,FALSE),VLOOKUP($G143,Sheet3!$H$2:$O$200,AJ$1,FALSE)),$I$1),$I$1)</f>
        <v>0</v>
      </c>
      <c r="AK143" s="15">
        <f>IFERROR(IF(ISBLANK(AD143),IFERROR(VLOOKUP($F143,Sheet3!$H$2:$O$200,AK$1,FALSE),VLOOKUP($G143,Sheet3!$H$2:$O$200,AK$1,FALSE)),$I$1),$I$1)</f>
        <v>0</v>
      </c>
      <c r="AL143" s="15">
        <f>IFERROR(IF(ISBLANK(AE143),VLOOKUP($G143,Sheet3!$H$2:$O$200,AL$1,FALSE),$I$1),$I$1)</f>
        <v>0</v>
      </c>
      <c r="AM143" s="15">
        <f>IFERROR(IF(ISBLANK(AF143),VLOOKUP($G143,Sheet3!$H$2:$O$200,AM$1,FALSE),$I$1),$I$1)</f>
        <v>0</v>
      </c>
      <c r="AN143" s="15">
        <f>IFERROR(IF(ISBLANK(AG143),VLOOKUP($G143,Sheet3!$H$2:$O$200,AN$1,FALSE),$I$1),$I$1)</f>
        <v>0</v>
      </c>
      <c r="AO143" s="15">
        <f>IFERROR(IF(ISBLANK(AH143),VLOOKUP($G143,Sheet3!$H$2:$O$200,AO$1,FALSE),$I$1),$I$1)</f>
        <v>0</v>
      </c>
      <c r="AP143" s="15">
        <f>IFERROR(IF(ISBLANK(AI143),VLOOKUP($G143,Sheet3!$H$2:$O$200,AP$1,FALSE),$I$1),$I$1)</f>
        <v>0</v>
      </c>
      <c r="AQ143" s="15">
        <f>IFERROR(IF(ISBLANK(AJ143),VLOOKUP($G143,Sheet3!$H$2:$O$200,AQ$1,FALSE),$I$1),$I$1)</f>
        <v>0</v>
      </c>
      <c r="AR143" s="15">
        <f>IFERROR(IF(ISBLANK(AK143),VLOOKUP($G143,Sheet3!$H$2:$O$200,AR$1,FALSE),$I$1),$I$1)</f>
        <v>0</v>
      </c>
      <c r="AS143" s="15">
        <f t="shared" si="1"/>
        <v>28</v>
      </c>
      <c r="AT143" s="15" t="b">
        <f t="shared" si="2"/>
        <v>0</v>
      </c>
    </row>
    <row r="144" spans="1:46" x14ac:dyDescent="0.2">
      <c r="A144" s="19" t="s">
        <v>301</v>
      </c>
      <c r="B144" s="19" t="s">
        <v>300</v>
      </c>
      <c r="C144" s="19" t="s">
        <v>302</v>
      </c>
      <c r="D144" s="19"/>
      <c r="E144" s="19"/>
      <c r="F144" s="19"/>
      <c r="G144" s="19"/>
      <c r="H144" s="19" t="s">
        <v>301</v>
      </c>
      <c r="I144" s="15">
        <f t="shared" si="0"/>
        <v>1</v>
      </c>
      <c r="J144" s="15">
        <f>IFERROR(VLOOKUP($C144,Sheet3!$H$2:$O$200,J$1,FALSE),IFERROR(VLOOKUP($D144,Sheet3!$H$2:$O$200,J$1,FALSE),VLOOKUP($E144,Sheet3!$H$2:$O$200,J$1,FALSE)))</f>
        <v>0</v>
      </c>
      <c r="K144" s="15" t="str">
        <f>IFERROR(VLOOKUP($C144,Sheet3!$H$2:$O$200,K$1,FALSE),IFERROR(VLOOKUP($D144,Sheet3!$H$2:$O$200,K$1,FALSE),VLOOKUP($E144,Sheet3!$H$2:$O$200,K$1,FALSE)))</f>
        <v>ginger ale</v>
      </c>
      <c r="L144" s="15">
        <f>IFERROR(VLOOKUP($C144,Sheet3!$H$2:$O$200,L$1,FALSE),IFERROR(VLOOKUP($D144,Sheet3!$H$2:$O$200,L$1,FALSE),VLOOKUP($E144,Sheet3!$H$2:$O$200,L$1,FALSE)))</f>
        <v>0</v>
      </c>
      <c r="M144" s="15">
        <f>IFERROR(VLOOKUP($C144,Sheet3!$H$2:$O$200,M$1,FALSE),IFERROR(VLOOKUP($D144,Sheet3!$H$2:$O$200,M$1,FALSE),VLOOKUP($E144,Sheet3!$H$2:$O$200,M$1,FALSE)))</f>
        <v>0</v>
      </c>
      <c r="N144" s="15">
        <f>IFERROR(VLOOKUP($C144,Sheet3!$H$2:$O$200,N$1,FALSE),IFERROR(VLOOKUP($D144,Sheet3!$H$2:$O$200,N$1,FALSE),VLOOKUP($E144,Sheet3!$H$2:$O$200,N$1,FALSE)))</f>
        <v>0</v>
      </c>
      <c r="O144" s="15">
        <f>IFERROR(VLOOKUP($C144,Sheet3!$H$2:$O$200,O$1,FALSE),IFERROR(VLOOKUP($D144,Sheet3!$H$2:$O$200,O$1,FALSE),VLOOKUP($E144,Sheet3!$H$2:$O$200,O$1,FALSE)))</f>
        <v>0</v>
      </c>
      <c r="P144" s="15" t="str">
        <f>IFERROR(VLOOKUP($C144,Sheet3!$H$2:$O$200,P$1,FALSE),IFERROR(VLOOKUP($D144,Sheet3!$H$2:$O$200,P$1,FALSE),VLOOKUP($E144,Sheet3!$H$2:$O$200,P$1,FALSE)))</f>
        <v>club soda</v>
      </c>
      <c r="Q144" s="15">
        <f>IFERROR(IF(ISBLANK(J144),IFERROR(VLOOKUP($D144,Sheet3!$H$2:$O$200,Q$1,FALSE),IFERROR(VLOOKUP($E144,Sheet3!$H$2:$O$200,Q$1,FALSE),VLOOKUP($F144,Sheet3!$H$2:$O$200,Q$1,FALSE))),$I$1),$I$1)</f>
        <v>0</v>
      </c>
      <c r="R144" s="15">
        <f>IFERROR(IF(ISBLANK(K144),IFERROR(VLOOKUP($D144,Sheet3!$H$2:$O$200,R$1,FALSE),IFERROR(VLOOKUP($E144,Sheet3!$H$2:$O$200,R$1,FALSE),VLOOKUP($F144,Sheet3!$H$2:$O$200,R$1,FALSE))),$I$1),$I$1)</f>
        <v>0</v>
      </c>
      <c r="S144" s="15">
        <f>IFERROR(IF(ISBLANK(L144),IFERROR(VLOOKUP($D144,Sheet3!$H$2:$O$200,S$1,FALSE),IFERROR(VLOOKUP($E144,Sheet3!$H$2:$O$200,S$1,FALSE),VLOOKUP($F144,Sheet3!$H$2:$O$200,S$1,FALSE))),$I$1),$I$1)</f>
        <v>0</v>
      </c>
      <c r="T144" s="15">
        <f>IFERROR(IF(ISBLANK(M144),IFERROR(VLOOKUP($D144,Sheet3!$H$2:$O$200,T$1,FALSE),IFERROR(VLOOKUP($E144,Sheet3!$H$2:$O$200,T$1,FALSE),VLOOKUP($F144,Sheet3!$H$2:$O$200,T$1,FALSE))),$I$1),$I$1)</f>
        <v>0</v>
      </c>
      <c r="U144" s="15">
        <f>IFERROR(IF(ISBLANK(N144),IFERROR(VLOOKUP($D144,Sheet3!$H$2:$O$200,U$1,FALSE),IFERROR(VLOOKUP($E144,Sheet3!$H$2:$O$200,U$1,FALSE),VLOOKUP($F144,Sheet3!$H$2:$O$200,U$1,FALSE))),$I$1),$I$1)</f>
        <v>0</v>
      </c>
      <c r="V144" s="15">
        <f>IFERROR(IF(ISBLANK(O144),IFERROR(VLOOKUP($D144,Sheet3!$H$2:$O$200,V$1,FALSE),IFERROR(VLOOKUP($E144,Sheet3!$H$2:$O$200,V$1,FALSE),VLOOKUP($F144,Sheet3!$H$2:$O$200,V$1,FALSE))),$I$1),$I$1)</f>
        <v>0</v>
      </c>
      <c r="W144" s="15">
        <f>IFERROR(IF(ISBLANK(P144),IFERROR(VLOOKUP($D144,Sheet3!$H$2:$O$200,W$1,FALSE),IFERROR(VLOOKUP($E144,Sheet3!$H$2:$O$200,W$1,FALSE),VLOOKUP($F144,Sheet3!$H$2:$O$200,W$1,FALSE))),$I$1),$I$1)</f>
        <v>0</v>
      </c>
      <c r="X144" s="15">
        <f>IFERROR(IF(ISBLANK(Q144),IFERROR(VLOOKUP($E144,Sheet3!$H$2:$O$200,X$1,FALSE),IFERROR(VLOOKUP($F144,Sheet3!$H$2:$O$200,X$1,FALSE),VLOOKUP($G144,Sheet3!$H$2:$O$200,X$1,FALSE))),$I$1),$I$1)</f>
        <v>0</v>
      </c>
      <c r="Y144" s="15">
        <f>IFERROR(IF(ISBLANK(R144),IFERROR(VLOOKUP($E144,Sheet3!$H$2:$O$200,Y$1,FALSE),IFERROR(VLOOKUP($F144,Sheet3!$H$2:$O$200,Y$1,FALSE),VLOOKUP($G144,Sheet3!$H$2:$O$200,Y$1,FALSE))),$I$1),$I$1)</f>
        <v>0</v>
      </c>
      <c r="Z144" s="15">
        <f>IFERROR(IF(ISBLANK(S144),IFERROR(VLOOKUP($E144,Sheet3!$H$2:$O$200,Z$1,FALSE),IFERROR(VLOOKUP($F144,Sheet3!$H$2:$O$200,Z$1,FALSE),VLOOKUP($G144,Sheet3!$H$2:$O$200,Z$1,FALSE))),$I$1),$I$1)</f>
        <v>0</v>
      </c>
      <c r="AA144" s="15">
        <f>IFERROR(IF(ISBLANK(T144),IFERROR(VLOOKUP($E144,Sheet3!$H$2:$O$200,AA$1,FALSE),IFERROR(VLOOKUP($F144,Sheet3!$H$2:$O$200,AA$1,FALSE),VLOOKUP($G144,Sheet3!$H$2:$O$200,AA$1,FALSE))),$I$1),$I$1)</f>
        <v>0</v>
      </c>
      <c r="AB144" s="15">
        <f>IFERROR(IF(ISBLANK(U144),IFERROR(VLOOKUP($E144,Sheet3!$H$2:$O$200,AB$1,FALSE),IFERROR(VLOOKUP($F144,Sheet3!$H$2:$O$200,AB$1,FALSE),VLOOKUP($G144,Sheet3!$H$2:$O$200,AB$1,FALSE))),$I$1),$I$1)</f>
        <v>0</v>
      </c>
      <c r="AC144" s="15">
        <f>IFERROR(IF(ISBLANK(V144),IFERROR(VLOOKUP($E144,Sheet3!$H$2:$O$200,AC$1,FALSE),IFERROR(VLOOKUP($F144,Sheet3!$H$2:$O$200,AC$1,FALSE),VLOOKUP($G144,Sheet3!$H$2:$O$200,AC$1,FALSE))),$I$1),$I$1)</f>
        <v>0</v>
      </c>
      <c r="AD144" s="15">
        <f>IFERROR(IF(ISBLANK(W144),IFERROR(VLOOKUP($E144,Sheet3!$H$2:$O$200,AD$1,FALSE),IFERROR(VLOOKUP($F144,Sheet3!$H$2:$O$200,AD$1,FALSE),VLOOKUP($G144,Sheet3!$H$2:$O$200,AD$1,FALSE))),$I$1),$I$1)</f>
        <v>0</v>
      </c>
      <c r="AE144" s="15">
        <f>IFERROR(IF(ISBLANK(X144),IFERROR(VLOOKUP($F144,Sheet3!$H$2:$O$200,AE$1,FALSE),VLOOKUP($G144,Sheet3!$H$2:$O$200,AE$1,FALSE)),$I$1),$I$1)</f>
        <v>0</v>
      </c>
      <c r="AF144" s="15">
        <f>IFERROR(IF(ISBLANK(Y144),IFERROR(VLOOKUP($F144,Sheet3!$H$2:$O$200,AF$1,FALSE),VLOOKUP($G144,Sheet3!$H$2:$O$200,AF$1,FALSE)),$I$1),$I$1)</f>
        <v>0</v>
      </c>
      <c r="AG144" s="15">
        <f>IFERROR(IF(ISBLANK(Z144),IFERROR(VLOOKUP($F144,Sheet3!$H$2:$O$200,AG$1,FALSE),VLOOKUP($G144,Sheet3!$H$2:$O$200,AG$1,FALSE)),$I$1),$I$1)</f>
        <v>0</v>
      </c>
      <c r="AH144" s="15">
        <f>IFERROR(IF(ISBLANK(AA144),IFERROR(VLOOKUP($F144,Sheet3!$H$2:$O$200,AH$1,FALSE),VLOOKUP($G144,Sheet3!$H$2:$O$200,AH$1,FALSE)),$I$1),$I$1)</f>
        <v>0</v>
      </c>
      <c r="AI144" s="15">
        <f>IFERROR(IF(ISBLANK(AB144),IFERROR(VLOOKUP($F144,Sheet3!$H$2:$O$200,AI$1,FALSE),VLOOKUP($G144,Sheet3!$H$2:$O$200,AI$1,FALSE)),$I$1),$I$1)</f>
        <v>0</v>
      </c>
      <c r="AJ144" s="15">
        <f>IFERROR(IF(ISBLANK(AC144),IFERROR(VLOOKUP($F144,Sheet3!$H$2:$O$200,AJ$1,FALSE),VLOOKUP($G144,Sheet3!$H$2:$O$200,AJ$1,FALSE)),$I$1),$I$1)</f>
        <v>0</v>
      </c>
      <c r="AK144" s="15">
        <f>IFERROR(IF(ISBLANK(AD144),IFERROR(VLOOKUP($F144,Sheet3!$H$2:$O$200,AK$1,FALSE),VLOOKUP($G144,Sheet3!$H$2:$O$200,AK$1,FALSE)),$I$1),$I$1)</f>
        <v>0</v>
      </c>
      <c r="AL144" s="15">
        <f>IFERROR(IF(ISBLANK(AE144),VLOOKUP($G144,Sheet3!$H$2:$O$200,AL$1,FALSE),$I$1),$I$1)</f>
        <v>0</v>
      </c>
      <c r="AM144" s="15">
        <f>IFERROR(IF(ISBLANK(AF144),VLOOKUP($G144,Sheet3!$H$2:$O$200,AM$1,FALSE),$I$1),$I$1)</f>
        <v>0</v>
      </c>
      <c r="AN144" s="15">
        <f>IFERROR(IF(ISBLANK(AG144),VLOOKUP($G144,Sheet3!$H$2:$O$200,AN$1,FALSE),$I$1),$I$1)</f>
        <v>0</v>
      </c>
      <c r="AO144" s="15">
        <f>IFERROR(IF(ISBLANK(AH144),VLOOKUP($G144,Sheet3!$H$2:$O$200,AO$1,FALSE),$I$1),$I$1)</f>
        <v>0</v>
      </c>
      <c r="AP144" s="15">
        <f>IFERROR(IF(ISBLANK(AI144),VLOOKUP($G144,Sheet3!$H$2:$O$200,AP$1,FALSE),$I$1),$I$1)</f>
        <v>0</v>
      </c>
      <c r="AQ144" s="15">
        <f>IFERROR(IF(ISBLANK(AJ144),VLOOKUP($G144,Sheet3!$H$2:$O$200,AQ$1,FALSE),$I$1),$I$1)</f>
        <v>0</v>
      </c>
      <c r="AR144" s="15">
        <f>IFERROR(IF(ISBLANK(AK144),VLOOKUP($G144,Sheet3!$H$2:$O$200,AR$1,FALSE),$I$1),$I$1)</f>
        <v>0</v>
      </c>
      <c r="AS144" s="15">
        <f t="shared" si="1"/>
        <v>28</v>
      </c>
      <c r="AT144" s="15" t="b">
        <f t="shared" si="2"/>
        <v>0</v>
      </c>
    </row>
    <row r="145" spans="1:46" x14ac:dyDescent="0.2">
      <c r="A145" s="19" t="s">
        <v>303</v>
      </c>
      <c r="B145" s="19" t="s">
        <v>300</v>
      </c>
      <c r="C145" s="19" t="s">
        <v>156</v>
      </c>
      <c r="D145" s="19"/>
      <c r="E145" s="19"/>
      <c r="F145" s="19"/>
      <c r="G145" s="19"/>
      <c r="H145" s="19" t="s">
        <v>303</v>
      </c>
      <c r="I145" s="15">
        <f t="shared" si="0"/>
        <v>1</v>
      </c>
      <c r="J145" s="15">
        <f>IFERROR(VLOOKUP($C145,Sheet3!$H$2:$O$200,J$1,FALSE),IFERROR(VLOOKUP($D145,Sheet3!$H$2:$O$200,J$1,FALSE),VLOOKUP($E145,Sheet3!$H$2:$O$200,J$1,FALSE)))</f>
        <v>0</v>
      </c>
      <c r="K145" s="15" t="str">
        <f>IFERROR(VLOOKUP($C145,Sheet3!$H$2:$O$200,K$1,FALSE),IFERROR(VLOOKUP($D145,Sheet3!$H$2:$O$200,K$1,FALSE),VLOOKUP($E145,Sheet3!$H$2:$O$200,K$1,FALSE)))</f>
        <v>ginger ale</v>
      </c>
      <c r="L145" s="15">
        <f>IFERROR(VLOOKUP($C145,Sheet3!$H$2:$O$200,L$1,FALSE),IFERROR(VLOOKUP($D145,Sheet3!$H$2:$O$200,L$1,FALSE),VLOOKUP($E145,Sheet3!$H$2:$O$200,L$1,FALSE)))</f>
        <v>0</v>
      </c>
      <c r="M145" s="15">
        <f>IFERROR(VLOOKUP($C145,Sheet3!$H$2:$O$200,M$1,FALSE),IFERROR(VLOOKUP($D145,Sheet3!$H$2:$O$200,M$1,FALSE),VLOOKUP($E145,Sheet3!$H$2:$O$200,M$1,FALSE)))</f>
        <v>0</v>
      </c>
      <c r="N145" s="15">
        <f>IFERROR(VLOOKUP($C145,Sheet3!$H$2:$O$200,N$1,FALSE),IFERROR(VLOOKUP($D145,Sheet3!$H$2:$O$200,N$1,FALSE),VLOOKUP($E145,Sheet3!$H$2:$O$200,N$1,FALSE)))</f>
        <v>0</v>
      </c>
      <c r="O145" s="15">
        <f>IFERROR(VLOOKUP($C145,Sheet3!$H$2:$O$200,O$1,FALSE),IFERROR(VLOOKUP($D145,Sheet3!$H$2:$O$200,O$1,FALSE),VLOOKUP($E145,Sheet3!$H$2:$O$200,O$1,FALSE)))</f>
        <v>0</v>
      </c>
      <c r="P145" s="15">
        <f>IFERROR(VLOOKUP($C145,Sheet3!$H$2:$O$200,P$1,FALSE),IFERROR(VLOOKUP($D145,Sheet3!$H$2:$O$200,P$1,FALSE),VLOOKUP($E145,Sheet3!$H$2:$O$200,P$1,FALSE)))</f>
        <v>0</v>
      </c>
      <c r="Q145" s="15">
        <f>IFERROR(IF(ISBLANK(J145),IFERROR(VLOOKUP($D145,Sheet3!$H$2:$O$200,Q$1,FALSE),IFERROR(VLOOKUP($E145,Sheet3!$H$2:$O$200,Q$1,FALSE),VLOOKUP($F145,Sheet3!$H$2:$O$200,Q$1,FALSE))),$I$1),$I$1)</f>
        <v>0</v>
      </c>
      <c r="R145" s="15">
        <f>IFERROR(IF(ISBLANK(K145),IFERROR(VLOOKUP($D145,Sheet3!$H$2:$O$200,R$1,FALSE),IFERROR(VLOOKUP($E145,Sheet3!$H$2:$O$200,R$1,FALSE),VLOOKUP($F145,Sheet3!$H$2:$O$200,R$1,FALSE))),$I$1),$I$1)</f>
        <v>0</v>
      </c>
      <c r="S145" s="15">
        <f>IFERROR(IF(ISBLANK(L145),IFERROR(VLOOKUP($D145,Sheet3!$H$2:$O$200,S$1,FALSE),IFERROR(VLOOKUP($E145,Sheet3!$H$2:$O$200,S$1,FALSE),VLOOKUP($F145,Sheet3!$H$2:$O$200,S$1,FALSE))),$I$1),$I$1)</f>
        <v>0</v>
      </c>
      <c r="T145" s="15">
        <f>IFERROR(IF(ISBLANK(M145),IFERROR(VLOOKUP($D145,Sheet3!$H$2:$O$200,T$1,FALSE),IFERROR(VLOOKUP($E145,Sheet3!$H$2:$O$200,T$1,FALSE),VLOOKUP($F145,Sheet3!$H$2:$O$200,T$1,FALSE))),$I$1),$I$1)</f>
        <v>0</v>
      </c>
      <c r="U145" s="15">
        <f>IFERROR(IF(ISBLANK(N145),IFERROR(VLOOKUP($D145,Sheet3!$H$2:$O$200,U$1,FALSE),IFERROR(VLOOKUP($E145,Sheet3!$H$2:$O$200,U$1,FALSE),VLOOKUP($F145,Sheet3!$H$2:$O$200,U$1,FALSE))),$I$1),$I$1)</f>
        <v>0</v>
      </c>
      <c r="V145" s="15">
        <f>IFERROR(IF(ISBLANK(O145),IFERROR(VLOOKUP($D145,Sheet3!$H$2:$O$200,V$1,FALSE),IFERROR(VLOOKUP($E145,Sheet3!$H$2:$O$200,V$1,FALSE),VLOOKUP($F145,Sheet3!$H$2:$O$200,V$1,FALSE))),$I$1),$I$1)</f>
        <v>0</v>
      </c>
      <c r="W145" s="15">
        <f>IFERROR(IF(ISBLANK(P145),IFERROR(VLOOKUP($D145,Sheet3!$H$2:$O$200,W$1,FALSE),IFERROR(VLOOKUP($E145,Sheet3!$H$2:$O$200,W$1,FALSE),VLOOKUP($F145,Sheet3!$H$2:$O$200,W$1,FALSE))),$I$1),$I$1)</f>
        <v>0</v>
      </c>
      <c r="X145" s="15">
        <f>IFERROR(IF(ISBLANK(Q145),IFERROR(VLOOKUP($E145,Sheet3!$H$2:$O$200,X$1,FALSE),IFERROR(VLOOKUP($F145,Sheet3!$H$2:$O$200,X$1,FALSE),VLOOKUP($G145,Sheet3!$H$2:$O$200,X$1,FALSE))),$I$1),$I$1)</f>
        <v>0</v>
      </c>
      <c r="Y145" s="15">
        <f>IFERROR(IF(ISBLANK(R145),IFERROR(VLOOKUP($E145,Sheet3!$H$2:$O$200,Y$1,FALSE),IFERROR(VLOOKUP($F145,Sheet3!$H$2:$O$200,Y$1,FALSE),VLOOKUP($G145,Sheet3!$H$2:$O$200,Y$1,FALSE))),$I$1),$I$1)</f>
        <v>0</v>
      </c>
      <c r="Z145" s="15">
        <f>IFERROR(IF(ISBLANK(S145),IFERROR(VLOOKUP($E145,Sheet3!$H$2:$O$200,Z$1,FALSE),IFERROR(VLOOKUP($F145,Sheet3!$H$2:$O$200,Z$1,FALSE),VLOOKUP($G145,Sheet3!$H$2:$O$200,Z$1,FALSE))),$I$1),$I$1)</f>
        <v>0</v>
      </c>
      <c r="AA145" s="15">
        <f>IFERROR(IF(ISBLANK(T145),IFERROR(VLOOKUP($E145,Sheet3!$H$2:$O$200,AA$1,FALSE),IFERROR(VLOOKUP($F145,Sheet3!$H$2:$O$200,AA$1,FALSE),VLOOKUP($G145,Sheet3!$H$2:$O$200,AA$1,FALSE))),$I$1),$I$1)</f>
        <v>0</v>
      </c>
      <c r="AB145" s="15">
        <f>IFERROR(IF(ISBLANK(U145),IFERROR(VLOOKUP($E145,Sheet3!$H$2:$O$200,AB$1,FALSE),IFERROR(VLOOKUP($F145,Sheet3!$H$2:$O$200,AB$1,FALSE),VLOOKUP($G145,Sheet3!$H$2:$O$200,AB$1,FALSE))),$I$1),$I$1)</f>
        <v>0</v>
      </c>
      <c r="AC145" s="15">
        <f>IFERROR(IF(ISBLANK(V145),IFERROR(VLOOKUP($E145,Sheet3!$H$2:$O$200,AC$1,FALSE),IFERROR(VLOOKUP($F145,Sheet3!$H$2:$O$200,AC$1,FALSE),VLOOKUP($G145,Sheet3!$H$2:$O$200,AC$1,FALSE))),$I$1),$I$1)</f>
        <v>0</v>
      </c>
      <c r="AD145" s="15">
        <f>IFERROR(IF(ISBLANK(W145),IFERROR(VLOOKUP($E145,Sheet3!$H$2:$O$200,AD$1,FALSE),IFERROR(VLOOKUP($F145,Sheet3!$H$2:$O$200,AD$1,FALSE),VLOOKUP($G145,Sheet3!$H$2:$O$200,AD$1,FALSE))),$I$1),$I$1)</f>
        <v>0</v>
      </c>
      <c r="AE145" s="15">
        <f>IFERROR(IF(ISBLANK(X145),IFERROR(VLOOKUP($F145,Sheet3!$H$2:$O$200,AE$1,FALSE),VLOOKUP($G145,Sheet3!$H$2:$O$200,AE$1,FALSE)),$I$1),$I$1)</f>
        <v>0</v>
      </c>
      <c r="AF145" s="15">
        <f>IFERROR(IF(ISBLANK(Y145),IFERROR(VLOOKUP($F145,Sheet3!$H$2:$O$200,AF$1,FALSE),VLOOKUP($G145,Sheet3!$H$2:$O$200,AF$1,FALSE)),$I$1),$I$1)</f>
        <v>0</v>
      </c>
      <c r="AG145" s="15">
        <f>IFERROR(IF(ISBLANK(Z145),IFERROR(VLOOKUP($F145,Sheet3!$H$2:$O$200,AG$1,FALSE),VLOOKUP($G145,Sheet3!$H$2:$O$200,AG$1,FALSE)),$I$1),$I$1)</f>
        <v>0</v>
      </c>
      <c r="AH145" s="15">
        <f>IFERROR(IF(ISBLANK(AA145),IFERROR(VLOOKUP($F145,Sheet3!$H$2:$O$200,AH$1,FALSE),VLOOKUP($G145,Sheet3!$H$2:$O$200,AH$1,FALSE)),$I$1),$I$1)</f>
        <v>0</v>
      </c>
      <c r="AI145" s="15">
        <f>IFERROR(IF(ISBLANK(AB145),IFERROR(VLOOKUP($F145,Sheet3!$H$2:$O$200,AI$1,FALSE),VLOOKUP($G145,Sheet3!$H$2:$O$200,AI$1,FALSE)),$I$1),$I$1)</f>
        <v>0</v>
      </c>
      <c r="AJ145" s="15">
        <f>IFERROR(IF(ISBLANK(AC145),IFERROR(VLOOKUP($F145,Sheet3!$H$2:$O$200,AJ$1,FALSE),VLOOKUP($G145,Sheet3!$H$2:$O$200,AJ$1,FALSE)),$I$1),$I$1)</f>
        <v>0</v>
      </c>
      <c r="AK145" s="15">
        <f>IFERROR(IF(ISBLANK(AD145),IFERROR(VLOOKUP($F145,Sheet3!$H$2:$O$200,AK$1,FALSE),VLOOKUP($G145,Sheet3!$H$2:$O$200,AK$1,FALSE)),$I$1),$I$1)</f>
        <v>0</v>
      </c>
      <c r="AL145" s="15">
        <f>IFERROR(IF(ISBLANK(AE145),VLOOKUP($G145,Sheet3!$H$2:$O$200,AL$1,FALSE),$I$1),$I$1)</f>
        <v>0</v>
      </c>
      <c r="AM145" s="15">
        <f>IFERROR(IF(ISBLANK(AF145),VLOOKUP($G145,Sheet3!$H$2:$O$200,AM$1,FALSE),$I$1),$I$1)</f>
        <v>0</v>
      </c>
      <c r="AN145" s="15">
        <f>IFERROR(IF(ISBLANK(AG145),VLOOKUP($G145,Sheet3!$H$2:$O$200,AN$1,FALSE),$I$1),$I$1)</f>
        <v>0</v>
      </c>
      <c r="AO145" s="15">
        <f>IFERROR(IF(ISBLANK(AH145),VLOOKUP($G145,Sheet3!$H$2:$O$200,AO$1,FALSE),$I$1),$I$1)</f>
        <v>0</v>
      </c>
      <c r="AP145" s="15">
        <f>IFERROR(IF(ISBLANK(AI145),VLOOKUP($G145,Sheet3!$H$2:$O$200,AP$1,FALSE),$I$1),$I$1)</f>
        <v>0</v>
      </c>
      <c r="AQ145" s="15">
        <f>IFERROR(IF(ISBLANK(AJ145),VLOOKUP($G145,Sheet3!$H$2:$O$200,AQ$1,FALSE),$I$1),$I$1)</f>
        <v>0</v>
      </c>
      <c r="AR145" s="15">
        <f>IFERROR(IF(ISBLANK(AK145),VLOOKUP($G145,Sheet3!$H$2:$O$200,AR$1,FALSE),$I$1),$I$1)</f>
        <v>0</v>
      </c>
      <c r="AS145" s="15">
        <f t="shared" si="1"/>
        <v>28</v>
      </c>
      <c r="AT145" s="15" t="b">
        <f t="shared" si="2"/>
        <v>0</v>
      </c>
    </row>
    <row r="146" spans="1:46" x14ac:dyDescent="0.2">
      <c r="A146" s="19" t="s">
        <v>304</v>
      </c>
      <c r="B146" s="19" t="s">
        <v>300</v>
      </c>
      <c r="C146" s="19"/>
      <c r="D146" s="19" t="s">
        <v>38</v>
      </c>
      <c r="E146" s="19" t="s">
        <v>55</v>
      </c>
      <c r="F146" s="19" t="s">
        <v>126</v>
      </c>
      <c r="G146" s="19"/>
      <c r="H146" s="19" t="s">
        <v>304</v>
      </c>
      <c r="I146" s="15">
        <f t="shared" si="0"/>
        <v>3</v>
      </c>
      <c r="J146" s="15">
        <f>IFERROR(VLOOKUP($C146,Sheet3!$H$2:$O$200,J$1,FALSE),IFERROR(VLOOKUP($D146,Sheet3!$H$2:$O$200,J$1,FALSE),VLOOKUP($E146,Sheet3!$H$2:$O$200,J$1,FALSE)))</f>
        <v>0</v>
      </c>
      <c r="K146" s="15">
        <f>IFERROR(VLOOKUP($C146,Sheet3!$H$2:$O$200,K$1,FALSE),IFERROR(VLOOKUP($D146,Sheet3!$H$2:$O$200,K$1,FALSE),VLOOKUP($E146,Sheet3!$H$2:$O$200,K$1,FALSE)))</f>
        <v>0</v>
      </c>
      <c r="L146" s="15" t="str">
        <f>IFERROR(VLOOKUP($C146,Sheet3!$H$2:$O$200,L$1,FALSE),IFERROR(VLOOKUP($D146,Sheet3!$H$2:$O$200,L$1,FALSE),VLOOKUP($E146,Sheet3!$H$2:$O$200,L$1,FALSE)))</f>
        <v>lemon juice</v>
      </c>
      <c r="M146" s="15">
        <f>IFERROR(VLOOKUP($C146,Sheet3!$H$2:$O$200,M$1,FALSE),IFERROR(VLOOKUP($D146,Sheet3!$H$2:$O$200,M$1,FALSE),VLOOKUP($E146,Sheet3!$H$2:$O$200,M$1,FALSE)))</f>
        <v>0</v>
      </c>
      <c r="N146" s="15">
        <f>IFERROR(VLOOKUP($C146,Sheet3!$H$2:$O$200,N$1,FALSE),IFERROR(VLOOKUP($D146,Sheet3!$H$2:$O$200,N$1,FALSE),VLOOKUP($E146,Sheet3!$H$2:$O$200,N$1,FALSE)))</f>
        <v>0</v>
      </c>
      <c r="O146" s="15">
        <f>IFERROR(VLOOKUP($C146,Sheet3!$H$2:$O$200,O$1,FALSE),IFERROR(VLOOKUP($D146,Sheet3!$H$2:$O$200,O$1,FALSE),VLOOKUP($E146,Sheet3!$H$2:$O$200,O$1,FALSE)))</f>
        <v>0</v>
      </c>
      <c r="P146" s="15">
        <f>IFERROR(VLOOKUP($C146,Sheet3!$H$2:$O$200,P$1,FALSE),IFERROR(VLOOKUP($D146,Sheet3!$H$2:$O$200,P$1,FALSE),VLOOKUP($E146,Sheet3!$H$2:$O$200,P$1,FALSE)))</f>
        <v>0</v>
      </c>
      <c r="Q146" s="15">
        <f>IFERROR(IF(ISBLANK(J146),IFERROR(VLOOKUP($D146,Sheet3!$H$2:$O$200,Q$1,FALSE),IFERROR(VLOOKUP($E146,Sheet3!$H$2:$O$200,Q$1,FALSE),VLOOKUP($F146,Sheet3!$H$2:$O$200,Q$1,FALSE))),$I$1),$I$1)</f>
        <v>0</v>
      </c>
      <c r="R146" s="15">
        <f>IFERROR(IF(ISBLANK(K146),IFERROR(VLOOKUP($D146,Sheet3!$H$2:$O$200,R$1,FALSE),IFERROR(VLOOKUP($E146,Sheet3!$H$2:$O$200,R$1,FALSE),VLOOKUP($F146,Sheet3!$H$2:$O$200,R$1,FALSE))),$I$1),$I$1)</f>
        <v>0</v>
      </c>
      <c r="S146" s="15">
        <f>IFERROR(IF(ISBLANK(L146),IFERROR(VLOOKUP($D146,Sheet3!$H$2:$O$200,S$1,FALSE),IFERROR(VLOOKUP($E146,Sheet3!$H$2:$O$200,S$1,FALSE),VLOOKUP($F146,Sheet3!$H$2:$O$200,S$1,FALSE))),$I$1),$I$1)</f>
        <v>0</v>
      </c>
      <c r="T146" s="15">
        <f>IFERROR(IF(ISBLANK(M146),IFERROR(VLOOKUP($D146,Sheet3!$H$2:$O$200,T$1,FALSE),IFERROR(VLOOKUP($E146,Sheet3!$H$2:$O$200,T$1,FALSE),VLOOKUP($F146,Sheet3!$H$2:$O$200,T$1,FALSE))),$I$1),$I$1)</f>
        <v>0</v>
      </c>
      <c r="U146" s="15">
        <f>IFERROR(IF(ISBLANK(N146),IFERROR(VLOOKUP($D146,Sheet3!$H$2:$O$200,U$1,FALSE),IFERROR(VLOOKUP($E146,Sheet3!$H$2:$O$200,U$1,FALSE),VLOOKUP($F146,Sheet3!$H$2:$O$200,U$1,FALSE))),$I$1),$I$1)</f>
        <v>0</v>
      </c>
      <c r="V146" s="15">
        <f>IFERROR(IF(ISBLANK(O146),IFERROR(VLOOKUP($D146,Sheet3!$H$2:$O$200,V$1,FALSE),IFERROR(VLOOKUP($E146,Sheet3!$H$2:$O$200,V$1,FALSE),VLOOKUP($F146,Sheet3!$H$2:$O$200,V$1,FALSE))),$I$1),$I$1)</f>
        <v>0</v>
      </c>
      <c r="W146" s="15">
        <f>IFERROR(IF(ISBLANK(P146),IFERROR(VLOOKUP($D146,Sheet3!$H$2:$O$200,W$1,FALSE),IFERROR(VLOOKUP($E146,Sheet3!$H$2:$O$200,W$1,FALSE),VLOOKUP($F146,Sheet3!$H$2:$O$200,W$1,FALSE))),$I$1),$I$1)</f>
        <v>0</v>
      </c>
      <c r="X146" s="15">
        <f>IFERROR(IF(ISBLANK(Q146),IFERROR(VLOOKUP($E146,Sheet3!$H$2:$O$200,X$1,FALSE),IFERROR(VLOOKUP($F146,Sheet3!$H$2:$O$200,X$1,FALSE),VLOOKUP($G146,Sheet3!$H$2:$O$200,X$1,FALSE))),$I$1),$I$1)</f>
        <v>0</v>
      </c>
      <c r="Y146" s="15">
        <f>IFERROR(IF(ISBLANK(R146),IFERROR(VLOOKUP($E146,Sheet3!$H$2:$O$200,Y$1,FALSE),IFERROR(VLOOKUP($F146,Sheet3!$H$2:$O$200,Y$1,FALSE),VLOOKUP($G146,Sheet3!$H$2:$O$200,Y$1,FALSE))),$I$1),$I$1)</f>
        <v>0</v>
      </c>
      <c r="Z146" s="15">
        <f>IFERROR(IF(ISBLANK(S146),IFERROR(VLOOKUP($E146,Sheet3!$H$2:$O$200,Z$1,FALSE),IFERROR(VLOOKUP($F146,Sheet3!$H$2:$O$200,Z$1,FALSE),VLOOKUP($G146,Sheet3!$H$2:$O$200,Z$1,FALSE))),$I$1),$I$1)</f>
        <v>0</v>
      </c>
      <c r="AA146" s="15">
        <f>IFERROR(IF(ISBLANK(T146),IFERROR(VLOOKUP($E146,Sheet3!$H$2:$O$200,AA$1,FALSE),IFERROR(VLOOKUP($F146,Sheet3!$H$2:$O$200,AA$1,FALSE),VLOOKUP($G146,Sheet3!$H$2:$O$200,AA$1,FALSE))),$I$1),$I$1)</f>
        <v>0</v>
      </c>
      <c r="AB146" s="15">
        <f>IFERROR(IF(ISBLANK(U146),IFERROR(VLOOKUP($E146,Sheet3!$H$2:$O$200,AB$1,FALSE),IFERROR(VLOOKUP($F146,Sheet3!$H$2:$O$200,AB$1,FALSE),VLOOKUP($G146,Sheet3!$H$2:$O$200,AB$1,FALSE))),$I$1),$I$1)</f>
        <v>0</v>
      </c>
      <c r="AC146" s="15">
        <f>IFERROR(IF(ISBLANK(V146),IFERROR(VLOOKUP($E146,Sheet3!$H$2:$O$200,AC$1,FALSE),IFERROR(VLOOKUP($F146,Sheet3!$H$2:$O$200,AC$1,FALSE),VLOOKUP($G146,Sheet3!$H$2:$O$200,AC$1,FALSE))),$I$1),$I$1)</f>
        <v>0</v>
      </c>
      <c r="AD146" s="15">
        <f>IFERROR(IF(ISBLANK(W146),IFERROR(VLOOKUP($E146,Sheet3!$H$2:$O$200,AD$1,FALSE),IFERROR(VLOOKUP($F146,Sheet3!$H$2:$O$200,AD$1,FALSE),VLOOKUP($G146,Sheet3!$H$2:$O$200,AD$1,FALSE))),$I$1),$I$1)</f>
        <v>0</v>
      </c>
      <c r="AE146" s="15">
        <f>IFERROR(IF(ISBLANK(X146),IFERROR(VLOOKUP($F146,Sheet3!$H$2:$O$200,AE$1,FALSE),VLOOKUP($G146,Sheet3!$H$2:$O$200,AE$1,FALSE)),$I$1),$I$1)</f>
        <v>0</v>
      </c>
      <c r="AF146" s="15">
        <f>IFERROR(IF(ISBLANK(Y146),IFERROR(VLOOKUP($F146,Sheet3!$H$2:$O$200,AF$1,FALSE),VLOOKUP($G146,Sheet3!$H$2:$O$200,AF$1,FALSE)),$I$1),$I$1)</f>
        <v>0</v>
      </c>
      <c r="AG146" s="15">
        <f>IFERROR(IF(ISBLANK(Z146),IFERROR(VLOOKUP($F146,Sheet3!$H$2:$O$200,AG$1,FALSE),VLOOKUP($G146,Sheet3!$H$2:$O$200,AG$1,FALSE)),$I$1),$I$1)</f>
        <v>0</v>
      </c>
      <c r="AH146" s="15">
        <f>IFERROR(IF(ISBLANK(AA146),IFERROR(VLOOKUP($F146,Sheet3!$H$2:$O$200,AH$1,FALSE),VLOOKUP($G146,Sheet3!$H$2:$O$200,AH$1,FALSE)),$I$1),$I$1)</f>
        <v>0</v>
      </c>
      <c r="AI146" s="15">
        <f>IFERROR(IF(ISBLANK(AB146),IFERROR(VLOOKUP($F146,Sheet3!$H$2:$O$200,AI$1,FALSE),VLOOKUP($G146,Sheet3!$H$2:$O$200,AI$1,FALSE)),$I$1),$I$1)</f>
        <v>0</v>
      </c>
      <c r="AJ146" s="15">
        <f>IFERROR(IF(ISBLANK(AC146),IFERROR(VLOOKUP($F146,Sheet3!$H$2:$O$200,AJ$1,FALSE),VLOOKUP($G146,Sheet3!$H$2:$O$200,AJ$1,FALSE)),$I$1),$I$1)</f>
        <v>0</v>
      </c>
      <c r="AK146" s="15">
        <f>IFERROR(IF(ISBLANK(AD146),IFERROR(VLOOKUP($F146,Sheet3!$H$2:$O$200,AK$1,FALSE),VLOOKUP($G146,Sheet3!$H$2:$O$200,AK$1,FALSE)),$I$1),$I$1)</f>
        <v>0</v>
      </c>
      <c r="AL146" s="15">
        <f>IFERROR(IF(ISBLANK(AE146),VLOOKUP($G146,Sheet3!$H$2:$O$200,AL$1,FALSE),$I$1),$I$1)</f>
        <v>0</v>
      </c>
      <c r="AM146" s="15">
        <f>IFERROR(IF(ISBLANK(AF146),VLOOKUP($G146,Sheet3!$H$2:$O$200,AM$1,FALSE),$I$1),$I$1)</f>
        <v>0</v>
      </c>
      <c r="AN146" s="15">
        <f>IFERROR(IF(ISBLANK(AG146),VLOOKUP($G146,Sheet3!$H$2:$O$200,AN$1,FALSE),$I$1),$I$1)</f>
        <v>0</v>
      </c>
      <c r="AO146" s="15">
        <f>IFERROR(IF(ISBLANK(AH146),VLOOKUP($G146,Sheet3!$H$2:$O$200,AO$1,FALSE),$I$1),$I$1)</f>
        <v>0</v>
      </c>
      <c r="AP146" s="15">
        <f>IFERROR(IF(ISBLANK(AI146),VLOOKUP($G146,Sheet3!$H$2:$O$200,AP$1,FALSE),$I$1),$I$1)</f>
        <v>0</v>
      </c>
      <c r="AQ146" s="15">
        <f>IFERROR(IF(ISBLANK(AJ146),VLOOKUP($G146,Sheet3!$H$2:$O$200,AQ$1,FALSE),$I$1),$I$1)</f>
        <v>0</v>
      </c>
      <c r="AR146" s="15">
        <f>IFERROR(IF(ISBLANK(AK146),VLOOKUP($G146,Sheet3!$H$2:$O$200,AR$1,FALSE),$I$1),$I$1)</f>
        <v>0</v>
      </c>
      <c r="AS146" s="15">
        <f t="shared" si="1"/>
        <v>28</v>
      </c>
      <c r="AT146" s="15" t="b">
        <f t="shared" si="2"/>
        <v>0</v>
      </c>
    </row>
    <row r="147" spans="1:46" x14ac:dyDescent="0.2">
      <c r="A147" s="19" t="s">
        <v>305</v>
      </c>
      <c r="B147" s="19" t="s">
        <v>300</v>
      </c>
      <c r="C147" s="19" t="s">
        <v>30</v>
      </c>
      <c r="D147" s="19" t="s">
        <v>38</v>
      </c>
      <c r="E147" s="19" t="s">
        <v>52</v>
      </c>
      <c r="F147" s="19"/>
      <c r="G147" s="19"/>
      <c r="H147" s="19" t="s">
        <v>305</v>
      </c>
      <c r="I147" s="15">
        <f t="shared" si="0"/>
        <v>3</v>
      </c>
      <c r="J147" s="15">
        <f>IFERROR(VLOOKUP($C147,Sheet3!$H$2:$O$200,J$1,FALSE),IFERROR(VLOOKUP($D147,Sheet3!$H$2:$O$200,J$1,FALSE),VLOOKUP($E147,Sheet3!$H$2:$O$200,J$1,FALSE)))</f>
        <v>0</v>
      </c>
      <c r="K147" s="15">
        <f>IFERROR(VLOOKUP($C147,Sheet3!$H$2:$O$200,K$1,FALSE),IFERROR(VLOOKUP($D147,Sheet3!$H$2:$O$200,K$1,FALSE),VLOOKUP($E147,Sheet3!$H$2:$O$200,K$1,FALSE)))</f>
        <v>0</v>
      </c>
      <c r="L147" s="15">
        <f>IFERROR(VLOOKUP($C147,Sheet3!$H$2:$O$200,L$1,FALSE),IFERROR(VLOOKUP($D147,Sheet3!$H$2:$O$200,L$1,FALSE),VLOOKUP($E147,Sheet3!$H$2:$O$200,L$1,FALSE)))</f>
        <v>0</v>
      </c>
      <c r="M147" s="15" t="str">
        <f>IFERROR(VLOOKUP($C147,Sheet3!$H$2:$O$200,M$1,FALSE),IFERROR(VLOOKUP($D147,Sheet3!$H$2:$O$200,M$1,FALSE),VLOOKUP($E147,Sheet3!$H$2:$O$200,M$1,FALSE)))</f>
        <v>amaretto</v>
      </c>
      <c r="N147" s="15">
        <f>IFERROR(VLOOKUP($C147,Sheet3!$H$2:$O$200,N$1,FALSE),IFERROR(VLOOKUP($D147,Sheet3!$H$2:$O$200,N$1,FALSE),VLOOKUP($E147,Sheet3!$H$2:$O$200,N$1,FALSE)))</f>
        <v>0</v>
      </c>
      <c r="O147" s="15">
        <f>IFERROR(VLOOKUP($C147,Sheet3!$H$2:$O$200,O$1,FALSE),IFERROR(VLOOKUP($D147,Sheet3!$H$2:$O$200,O$1,FALSE),VLOOKUP($E147,Sheet3!$H$2:$O$200,O$1,FALSE)))</f>
        <v>0</v>
      </c>
      <c r="P147" s="15">
        <f>IFERROR(VLOOKUP($C147,Sheet3!$H$2:$O$200,P$1,FALSE),IFERROR(VLOOKUP($D147,Sheet3!$H$2:$O$200,P$1,FALSE),VLOOKUP($E147,Sheet3!$H$2:$O$200,P$1,FALSE)))</f>
        <v>0</v>
      </c>
      <c r="Q147" s="15">
        <f>IFERROR(IF(ISBLANK(J147),IFERROR(VLOOKUP($D147,Sheet3!$H$2:$O$200,Q$1,FALSE),IFERROR(VLOOKUP($E147,Sheet3!$H$2:$O$200,Q$1,FALSE),VLOOKUP($F147,Sheet3!$H$2:$O$200,Q$1,FALSE))),$I$1),$I$1)</f>
        <v>0</v>
      </c>
      <c r="R147" s="15">
        <f>IFERROR(IF(ISBLANK(K147),IFERROR(VLOOKUP($D147,Sheet3!$H$2:$O$200,R$1,FALSE),IFERROR(VLOOKUP($E147,Sheet3!$H$2:$O$200,R$1,FALSE),VLOOKUP($F147,Sheet3!$H$2:$O$200,R$1,FALSE))),$I$1),$I$1)</f>
        <v>0</v>
      </c>
      <c r="S147" s="15">
        <f>IFERROR(IF(ISBLANK(L147),IFERROR(VLOOKUP($D147,Sheet3!$H$2:$O$200,S$1,FALSE),IFERROR(VLOOKUP($E147,Sheet3!$H$2:$O$200,S$1,FALSE),VLOOKUP($F147,Sheet3!$H$2:$O$200,S$1,FALSE))),$I$1),$I$1)</f>
        <v>0</v>
      </c>
      <c r="T147" s="15">
        <f>IFERROR(IF(ISBLANK(M147),IFERROR(VLOOKUP($D147,Sheet3!$H$2:$O$200,T$1,FALSE),IFERROR(VLOOKUP($E147,Sheet3!$H$2:$O$200,T$1,FALSE),VLOOKUP($F147,Sheet3!$H$2:$O$200,T$1,FALSE))),$I$1),$I$1)</f>
        <v>0</v>
      </c>
      <c r="U147" s="15">
        <f>IFERROR(IF(ISBLANK(N147),IFERROR(VLOOKUP($D147,Sheet3!$H$2:$O$200,U$1,FALSE),IFERROR(VLOOKUP($E147,Sheet3!$H$2:$O$200,U$1,FALSE),VLOOKUP($F147,Sheet3!$H$2:$O$200,U$1,FALSE))),$I$1),$I$1)</f>
        <v>0</v>
      </c>
      <c r="V147" s="15">
        <f>IFERROR(IF(ISBLANK(O147),IFERROR(VLOOKUP($D147,Sheet3!$H$2:$O$200,V$1,FALSE),IFERROR(VLOOKUP($E147,Sheet3!$H$2:$O$200,V$1,FALSE),VLOOKUP($F147,Sheet3!$H$2:$O$200,V$1,FALSE))),$I$1),$I$1)</f>
        <v>0</v>
      </c>
      <c r="W147" s="15">
        <f>IFERROR(IF(ISBLANK(P147),IFERROR(VLOOKUP($D147,Sheet3!$H$2:$O$200,W$1,FALSE),IFERROR(VLOOKUP($E147,Sheet3!$H$2:$O$200,W$1,FALSE),VLOOKUP($F147,Sheet3!$H$2:$O$200,W$1,FALSE))),$I$1),$I$1)</f>
        <v>0</v>
      </c>
      <c r="X147" s="15">
        <f>IFERROR(IF(ISBLANK(Q147),IFERROR(VLOOKUP($E147,Sheet3!$H$2:$O$200,X$1,FALSE),IFERROR(VLOOKUP($F147,Sheet3!$H$2:$O$200,X$1,FALSE),VLOOKUP($G147,Sheet3!$H$2:$O$200,X$1,FALSE))),$I$1),$I$1)</f>
        <v>0</v>
      </c>
      <c r="Y147" s="15">
        <f>IFERROR(IF(ISBLANK(R147),IFERROR(VLOOKUP($E147,Sheet3!$H$2:$O$200,Y$1,FALSE),IFERROR(VLOOKUP($F147,Sheet3!$H$2:$O$200,Y$1,FALSE),VLOOKUP($G147,Sheet3!$H$2:$O$200,Y$1,FALSE))),$I$1),$I$1)</f>
        <v>0</v>
      </c>
      <c r="Z147" s="15">
        <f>IFERROR(IF(ISBLANK(S147),IFERROR(VLOOKUP($E147,Sheet3!$H$2:$O$200,Z$1,FALSE),IFERROR(VLOOKUP($F147,Sheet3!$H$2:$O$200,Z$1,FALSE),VLOOKUP($G147,Sheet3!$H$2:$O$200,Z$1,FALSE))),$I$1),$I$1)</f>
        <v>0</v>
      </c>
      <c r="AA147" s="15">
        <f>IFERROR(IF(ISBLANK(T147),IFERROR(VLOOKUP($E147,Sheet3!$H$2:$O$200,AA$1,FALSE),IFERROR(VLOOKUP($F147,Sheet3!$H$2:$O$200,AA$1,FALSE),VLOOKUP($G147,Sheet3!$H$2:$O$200,AA$1,FALSE))),$I$1),$I$1)</f>
        <v>0</v>
      </c>
      <c r="AB147" s="15">
        <f>IFERROR(IF(ISBLANK(U147),IFERROR(VLOOKUP($E147,Sheet3!$H$2:$O$200,AB$1,FALSE),IFERROR(VLOOKUP($F147,Sheet3!$H$2:$O$200,AB$1,FALSE),VLOOKUP($G147,Sheet3!$H$2:$O$200,AB$1,FALSE))),$I$1),$I$1)</f>
        <v>0</v>
      </c>
      <c r="AC147" s="15">
        <f>IFERROR(IF(ISBLANK(V147),IFERROR(VLOOKUP($E147,Sheet3!$H$2:$O$200,AC$1,FALSE),IFERROR(VLOOKUP($F147,Sheet3!$H$2:$O$200,AC$1,FALSE),VLOOKUP($G147,Sheet3!$H$2:$O$200,AC$1,FALSE))),$I$1),$I$1)</f>
        <v>0</v>
      </c>
      <c r="AD147" s="15">
        <f>IFERROR(IF(ISBLANK(W147),IFERROR(VLOOKUP($E147,Sheet3!$H$2:$O$200,AD$1,FALSE),IFERROR(VLOOKUP($F147,Sheet3!$H$2:$O$200,AD$1,FALSE),VLOOKUP($G147,Sheet3!$H$2:$O$200,AD$1,FALSE))),$I$1),$I$1)</f>
        <v>0</v>
      </c>
      <c r="AE147" s="15">
        <f>IFERROR(IF(ISBLANK(X147),IFERROR(VLOOKUP($F147,Sheet3!$H$2:$O$200,AE$1,FALSE),VLOOKUP($G147,Sheet3!$H$2:$O$200,AE$1,FALSE)),$I$1),$I$1)</f>
        <v>0</v>
      </c>
      <c r="AF147" s="15">
        <f>IFERROR(IF(ISBLANK(Y147),IFERROR(VLOOKUP($F147,Sheet3!$H$2:$O$200,AF$1,FALSE),VLOOKUP($G147,Sheet3!$H$2:$O$200,AF$1,FALSE)),$I$1),$I$1)</f>
        <v>0</v>
      </c>
      <c r="AG147" s="15">
        <f>IFERROR(IF(ISBLANK(Z147),IFERROR(VLOOKUP($F147,Sheet3!$H$2:$O$200,AG$1,FALSE),VLOOKUP($G147,Sheet3!$H$2:$O$200,AG$1,FALSE)),$I$1),$I$1)</f>
        <v>0</v>
      </c>
      <c r="AH147" s="15">
        <f>IFERROR(IF(ISBLANK(AA147),IFERROR(VLOOKUP($F147,Sheet3!$H$2:$O$200,AH$1,FALSE),VLOOKUP($G147,Sheet3!$H$2:$O$200,AH$1,FALSE)),$I$1),$I$1)</f>
        <v>0</v>
      </c>
      <c r="AI147" s="15">
        <f>IFERROR(IF(ISBLANK(AB147),IFERROR(VLOOKUP($F147,Sheet3!$H$2:$O$200,AI$1,FALSE),VLOOKUP($G147,Sheet3!$H$2:$O$200,AI$1,FALSE)),$I$1),$I$1)</f>
        <v>0</v>
      </c>
      <c r="AJ147" s="15">
        <f>IFERROR(IF(ISBLANK(AC147),IFERROR(VLOOKUP($F147,Sheet3!$H$2:$O$200,AJ$1,FALSE),VLOOKUP($G147,Sheet3!$H$2:$O$200,AJ$1,FALSE)),$I$1),$I$1)</f>
        <v>0</v>
      </c>
      <c r="AK147" s="15">
        <f>IFERROR(IF(ISBLANK(AD147),IFERROR(VLOOKUP($F147,Sheet3!$H$2:$O$200,AK$1,FALSE),VLOOKUP($G147,Sheet3!$H$2:$O$200,AK$1,FALSE)),$I$1),$I$1)</f>
        <v>0</v>
      </c>
      <c r="AL147" s="15">
        <f>IFERROR(IF(ISBLANK(AE147),VLOOKUP($G147,Sheet3!$H$2:$O$200,AL$1,FALSE),$I$1),$I$1)</f>
        <v>0</v>
      </c>
      <c r="AM147" s="15">
        <f>IFERROR(IF(ISBLANK(AF147),VLOOKUP($G147,Sheet3!$H$2:$O$200,AM$1,FALSE),$I$1),$I$1)</f>
        <v>0</v>
      </c>
      <c r="AN147" s="15">
        <f>IFERROR(IF(ISBLANK(AG147),VLOOKUP($G147,Sheet3!$H$2:$O$200,AN$1,FALSE),$I$1),$I$1)</f>
        <v>0</v>
      </c>
      <c r="AO147" s="15">
        <f>IFERROR(IF(ISBLANK(AH147),VLOOKUP($G147,Sheet3!$H$2:$O$200,AO$1,FALSE),$I$1),$I$1)</f>
        <v>0</v>
      </c>
      <c r="AP147" s="15">
        <f>IFERROR(IF(ISBLANK(AI147),VLOOKUP($G147,Sheet3!$H$2:$O$200,AP$1,FALSE),$I$1),$I$1)</f>
        <v>0</v>
      </c>
      <c r="AQ147" s="15">
        <f>IFERROR(IF(ISBLANK(AJ147),VLOOKUP($G147,Sheet3!$H$2:$O$200,AQ$1,FALSE),$I$1),$I$1)</f>
        <v>0</v>
      </c>
      <c r="AR147" s="15">
        <f>IFERROR(IF(ISBLANK(AK147),VLOOKUP($G147,Sheet3!$H$2:$O$200,AR$1,FALSE),$I$1),$I$1)</f>
        <v>0</v>
      </c>
      <c r="AS147" s="15">
        <f t="shared" si="1"/>
        <v>28</v>
      </c>
      <c r="AT147" s="15" t="b">
        <f t="shared" si="2"/>
        <v>0</v>
      </c>
    </row>
    <row r="148" spans="1:46" x14ac:dyDescent="0.2">
      <c r="A148" s="19" t="s">
        <v>306</v>
      </c>
      <c r="B148" s="19" t="s">
        <v>300</v>
      </c>
      <c r="C148" s="19" t="s">
        <v>31</v>
      </c>
      <c r="D148" s="19" t="s">
        <v>38</v>
      </c>
      <c r="E148" s="19" t="s">
        <v>52</v>
      </c>
      <c r="F148" s="19"/>
      <c r="G148" s="19"/>
      <c r="H148" s="19" t="s">
        <v>306</v>
      </c>
      <c r="I148" s="15">
        <f t="shared" si="0"/>
        <v>3</v>
      </c>
      <c r="J148" s="15">
        <f>IFERROR(VLOOKUP($C148,Sheet3!$H$2:$O$200,J$1,FALSE),IFERROR(VLOOKUP($D148,Sheet3!$H$2:$O$200,J$1,FALSE),VLOOKUP($E148,Sheet3!$H$2:$O$200,J$1,FALSE)))</f>
        <v>0</v>
      </c>
      <c r="K148" s="15">
        <f>IFERROR(VLOOKUP($C148,Sheet3!$H$2:$O$200,K$1,FALSE),IFERROR(VLOOKUP($D148,Sheet3!$H$2:$O$200,K$1,FALSE),VLOOKUP($E148,Sheet3!$H$2:$O$200,K$1,FALSE)))</f>
        <v>0</v>
      </c>
      <c r="L148" s="15">
        <f>IFERROR(VLOOKUP($C148,Sheet3!$H$2:$O$200,L$1,FALSE),IFERROR(VLOOKUP($D148,Sheet3!$H$2:$O$200,L$1,FALSE),VLOOKUP($E148,Sheet3!$H$2:$O$200,L$1,FALSE)))</f>
        <v>0</v>
      </c>
      <c r="M148" s="15" t="str">
        <f>IFERROR(VLOOKUP($C148,Sheet3!$H$2:$O$200,M$1,FALSE),IFERROR(VLOOKUP($D148,Sheet3!$H$2:$O$200,M$1,FALSE),VLOOKUP($E148,Sheet3!$H$2:$O$200,M$1,FALSE)))</f>
        <v>white crème de cacao</v>
      </c>
      <c r="N148" s="15">
        <f>IFERROR(VLOOKUP($C148,Sheet3!$H$2:$O$200,N$1,FALSE),IFERROR(VLOOKUP($D148,Sheet3!$H$2:$O$200,N$1,FALSE),VLOOKUP($E148,Sheet3!$H$2:$O$200,N$1,FALSE)))</f>
        <v>0</v>
      </c>
      <c r="O148" s="15">
        <f>IFERROR(VLOOKUP($C148,Sheet3!$H$2:$O$200,O$1,FALSE),IFERROR(VLOOKUP($D148,Sheet3!$H$2:$O$200,O$1,FALSE),VLOOKUP($E148,Sheet3!$H$2:$O$200,O$1,FALSE)))</f>
        <v>0</v>
      </c>
      <c r="P148" s="15">
        <f>IFERROR(VLOOKUP($C148,Sheet3!$H$2:$O$200,P$1,FALSE),IFERROR(VLOOKUP($D148,Sheet3!$H$2:$O$200,P$1,FALSE),VLOOKUP($E148,Sheet3!$H$2:$O$200,P$1,FALSE)))</f>
        <v>0</v>
      </c>
      <c r="Q148" s="15">
        <f>IFERROR(IF(ISBLANK(J148),IFERROR(VLOOKUP($D148,Sheet3!$H$2:$O$200,Q$1,FALSE),IFERROR(VLOOKUP($E148,Sheet3!$H$2:$O$200,Q$1,FALSE),VLOOKUP($F148,Sheet3!$H$2:$O$200,Q$1,FALSE))),$I$1),$I$1)</f>
        <v>0</v>
      </c>
      <c r="R148" s="15">
        <f>IFERROR(IF(ISBLANK(K148),IFERROR(VLOOKUP($D148,Sheet3!$H$2:$O$200,R$1,FALSE),IFERROR(VLOOKUP($E148,Sheet3!$H$2:$O$200,R$1,FALSE),VLOOKUP($F148,Sheet3!$H$2:$O$200,R$1,FALSE))),$I$1),$I$1)</f>
        <v>0</v>
      </c>
      <c r="S148" s="15">
        <f>IFERROR(IF(ISBLANK(L148),IFERROR(VLOOKUP($D148,Sheet3!$H$2:$O$200,S$1,FALSE),IFERROR(VLOOKUP($E148,Sheet3!$H$2:$O$200,S$1,FALSE),VLOOKUP($F148,Sheet3!$H$2:$O$200,S$1,FALSE))),$I$1),$I$1)</f>
        <v>0</v>
      </c>
      <c r="T148" s="15">
        <f>IFERROR(IF(ISBLANK(M148),IFERROR(VLOOKUP($D148,Sheet3!$H$2:$O$200,T$1,FALSE),IFERROR(VLOOKUP($E148,Sheet3!$H$2:$O$200,T$1,FALSE),VLOOKUP($F148,Sheet3!$H$2:$O$200,T$1,FALSE))),$I$1),$I$1)</f>
        <v>0</v>
      </c>
      <c r="U148" s="15">
        <f>IFERROR(IF(ISBLANK(N148),IFERROR(VLOOKUP($D148,Sheet3!$H$2:$O$200,U$1,FALSE),IFERROR(VLOOKUP($E148,Sheet3!$H$2:$O$200,U$1,FALSE),VLOOKUP($F148,Sheet3!$H$2:$O$200,U$1,FALSE))),$I$1),$I$1)</f>
        <v>0</v>
      </c>
      <c r="V148" s="15">
        <f>IFERROR(IF(ISBLANK(O148),IFERROR(VLOOKUP($D148,Sheet3!$H$2:$O$200,V$1,FALSE),IFERROR(VLOOKUP($E148,Sheet3!$H$2:$O$200,V$1,FALSE),VLOOKUP($F148,Sheet3!$H$2:$O$200,V$1,FALSE))),$I$1),$I$1)</f>
        <v>0</v>
      </c>
      <c r="W148" s="15">
        <f>IFERROR(IF(ISBLANK(P148),IFERROR(VLOOKUP($D148,Sheet3!$H$2:$O$200,W$1,FALSE),IFERROR(VLOOKUP($E148,Sheet3!$H$2:$O$200,W$1,FALSE),VLOOKUP($F148,Sheet3!$H$2:$O$200,W$1,FALSE))),$I$1),$I$1)</f>
        <v>0</v>
      </c>
      <c r="X148" s="15">
        <f>IFERROR(IF(ISBLANK(Q148),IFERROR(VLOOKUP($E148,Sheet3!$H$2:$O$200,X$1,FALSE),IFERROR(VLOOKUP($F148,Sheet3!$H$2:$O$200,X$1,FALSE),VLOOKUP($G148,Sheet3!$H$2:$O$200,X$1,FALSE))),$I$1),$I$1)</f>
        <v>0</v>
      </c>
      <c r="Y148" s="15">
        <f>IFERROR(IF(ISBLANK(R148),IFERROR(VLOOKUP($E148,Sheet3!$H$2:$O$200,Y$1,FALSE),IFERROR(VLOOKUP($F148,Sheet3!$H$2:$O$200,Y$1,FALSE),VLOOKUP($G148,Sheet3!$H$2:$O$200,Y$1,FALSE))),$I$1),$I$1)</f>
        <v>0</v>
      </c>
      <c r="Z148" s="15">
        <f>IFERROR(IF(ISBLANK(S148),IFERROR(VLOOKUP($E148,Sheet3!$H$2:$O$200,Z$1,FALSE),IFERROR(VLOOKUP($F148,Sheet3!$H$2:$O$200,Z$1,FALSE),VLOOKUP($G148,Sheet3!$H$2:$O$200,Z$1,FALSE))),$I$1),$I$1)</f>
        <v>0</v>
      </c>
      <c r="AA148" s="15">
        <f>IFERROR(IF(ISBLANK(T148),IFERROR(VLOOKUP($E148,Sheet3!$H$2:$O$200,AA$1,FALSE),IFERROR(VLOOKUP($F148,Sheet3!$H$2:$O$200,AA$1,FALSE),VLOOKUP($G148,Sheet3!$H$2:$O$200,AA$1,FALSE))),$I$1),$I$1)</f>
        <v>0</v>
      </c>
      <c r="AB148" s="15">
        <f>IFERROR(IF(ISBLANK(U148),IFERROR(VLOOKUP($E148,Sheet3!$H$2:$O$200,AB$1,FALSE),IFERROR(VLOOKUP($F148,Sheet3!$H$2:$O$200,AB$1,FALSE),VLOOKUP($G148,Sheet3!$H$2:$O$200,AB$1,FALSE))),$I$1),$I$1)</f>
        <v>0</v>
      </c>
      <c r="AC148" s="15">
        <f>IFERROR(IF(ISBLANK(V148),IFERROR(VLOOKUP($E148,Sheet3!$H$2:$O$200,AC$1,FALSE),IFERROR(VLOOKUP($F148,Sheet3!$H$2:$O$200,AC$1,FALSE),VLOOKUP($G148,Sheet3!$H$2:$O$200,AC$1,FALSE))),$I$1),$I$1)</f>
        <v>0</v>
      </c>
      <c r="AD148" s="15">
        <f>IFERROR(IF(ISBLANK(W148),IFERROR(VLOOKUP($E148,Sheet3!$H$2:$O$200,AD$1,FALSE),IFERROR(VLOOKUP($F148,Sheet3!$H$2:$O$200,AD$1,FALSE),VLOOKUP($G148,Sheet3!$H$2:$O$200,AD$1,FALSE))),$I$1),$I$1)</f>
        <v>0</v>
      </c>
      <c r="AE148" s="15">
        <f>IFERROR(IF(ISBLANK(X148),IFERROR(VLOOKUP($F148,Sheet3!$H$2:$O$200,AE$1,FALSE),VLOOKUP($G148,Sheet3!$H$2:$O$200,AE$1,FALSE)),$I$1),$I$1)</f>
        <v>0</v>
      </c>
      <c r="AF148" s="15">
        <f>IFERROR(IF(ISBLANK(Y148),IFERROR(VLOOKUP($F148,Sheet3!$H$2:$O$200,AF$1,FALSE),VLOOKUP($G148,Sheet3!$H$2:$O$200,AF$1,FALSE)),$I$1),$I$1)</f>
        <v>0</v>
      </c>
      <c r="AG148" s="15">
        <f>IFERROR(IF(ISBLANK(Z148),IFERROR(VLOOKUP($F148,Sheet3!$H$2:$O$200,AG$1,FALSE),VLOOKUP($G148,Sheet3!$H$2:$O$200,AG$1,FALSE)),$I$1),$I$1)</f>
        <v>0</v>
      </c>
      <c r="AH148" s="15">
        <f>IFERROR(IF(ISBLANK(AA148),IFERROR(VLOOKUP($F148,Sheet3!$H$2:$O$200,AH$1,FALSE),VLOOKUP($G148,Sheet3!$H$2:$O$200,AH$1,FALSE)),$I$1),$I$1)</f>
        <v>0</v>
      </c>
      <c r="AI148" s="15">
        <f>IFERROR(IF(ISBLANK(AB148),IFERROR(VLOOKUP($F148,Sheet3!$H$2:$O$200,AI$1,FALSE),VLOOKUP($G148,Sheet3!$H$2:$O$200,AI$1,FALSE)),$I$1),$I$1)</f>
        <v>0</v>
      </c>
      <c r="AJ148" s="15">
        <f>IFERROR(IF(ISBLANK(AC148),IFERROR(VLOOKUP($F148,Sheet3!$H$2:$O$200,AJ$1,FALSE),VLOOKUP($G148,Sheet3!$H$2:$O$200,AJ$1,FALSE)),$I$1),$I$1)</f>
        <v>0</v>
      </c>
      <c r="AK148" s="15">
        <f>IFERROR(IF(ISBLANK(AD148),IFERROR(VLOOKUP($F148,Sheet3!$H$2:$O$200,AK$1,FALSE),VLOOKUP($G148,Sheet3!$H$2:$O$200,AK$1,FALSE)),$I$1),$I$1)</f>
        <v>0</v>
      </c>
      <c r="AL148" s="15">
        <f>IFERROR(IF(ISBLANK(AE148),VLOOKUP($G148,Sheet3!$H$2:$O$200,AL$1,FALSE),$I$1),$I$1)</f>
        <v>0</v>
      </c>
      <c r="AM148" s="15">
        <f>IFERROR(IF(ISBLANK(AF148),VLOOKUP($G148,Sheet3!$H$2:$O$200,AM$1,FALSE),$I$1),$I$1)</f>
        <v>0</v>
      </c>
      <c r="AN148" s="15">
        <f>IFERROR(IF(ISBLANK(AG148),VLOOKUP($G148,Sheet3!$H$2:$O$200,AN$1,FALSE),$I$1),$I$1)</f>
        <v>0</v>
      </c>
      <c r="AO148" s="15">
        <f>IFERROR(IF(ISBLANK(AH148),VLOOKUP($G148,Sheet3!$H$2:$O$200,AO$1,FALSE),$I$1),$I$1)</f>
        <v>0</v>
      </c>
      <c r="AP148" s="15">
        <f>IFERROR(IF(ISBLANK(AI148),VLOOKUP($G148,Sheet3!$H$2:$O$200,AP$1,FALSE),$I$1),$I$1)</f>
        <v>0</v>
      </c>
      <c r="AQ148" s="15">
        <f>IFERROR(IF(ISBLANK(AJ148),VLOOKUP($G148,Sheet3!$H$2:$O$200,AQ$1,FALSE),$I$1),$I$1)</f>
        <v>0</v>
      </c>
      <c r="AR148" s="15">
        <f>IFERROR(IF(ISBLANK(AK148),VLOOKUP($G148,Sheet3!$H$2:$O$200,AR$1,FALSE),$I$1),$I$1)</f>
        <v>0</v>
      </c>
      <c r="AS148" s="15">
        <f t="shared" si="1"/>
        <v>28</v>
      </c>
      <c r="AT148" s="15" t="b">
        <f t="shared" si="2"/>
        <v>0</v>
      </c>
    </row>
    <row r="149" spans="1:46" x14ac:dyDescent="0.2">
      <c r="A149" s="19" t="s">
        <v>307</v>
      </c>
      <c r="B149" s="19" t="s">
        <v>300</v>
      </c>
      <c r="C149" s="19" t="s">
        <v>308</v>
      </c>
      <c r="D149" s="19" t="s">
        <v>38</v>
      </c>
      <c r="E149" s="19" t="s">
        <v>52</v>
      </c>
      <c r="F149" s="19"/>
      <c r="G149" s="19"/>
      <c r="H149" s="19" t="s">
        <v>307</v>
      </c>
      <c r="I149" s="15">
        <f t="shared" si="0"/>
        <v>3</v>
      </c>
      <c r="J149" s="15">
        <f>IFERROR(VLOOKUP($C149,Sheet3!$H$2:$O$200,J$1,FALSE),IFERROR(VLOOKUP($D149,Sheet3!$H$2:$O$200,J$1,FALSE),VLOOKUP($E149,Sheet3!$H$2:$O$200,J$1,FALSE)))</f>
        <v>0</v>
      </c>
      <c r="K149" s="15">
        <f>IFERROR(VLOOKUP($C149,Sheet3!$H$2:$O$200,K$1,FALSE),IFERROR(VLOOKUP($D149,Sheet3!$H$2:$O$200,K$1,FALSE),VLOOKUP($E149,Sheet3!$H$2:$O$200,K$1,FALSE)))</f>
        <v>0</v>
      </c>
      <c r="L149" s="15">
        <f>IFERROR(VLOOKUP($C149,Sheet3!$H$2:$O$200,L$1,FALSE),IFERROR(VLOOKUP($D149,Sheet3!$H$2:$O$200,L$1,FALSE),VLOOKUP($E149,Sheet3!$H$2:$O$200,L$1,FALSE)))</f>
        <v>0</v>
      </c>
      <c r="M149" s="15" t="str">
        <f>IFERROR(VLOOKUP($C149,Sheet3!$H$2:$O$200,M$1,FALSE),IFERROR(VLOOKUP($D149,Sheet3!$H$2:$O$200,M$1,FALSE),VLOOKUP($E149,Sheet3!$H$2:$O$200,M$1,FALSE)))</f>
        <v>white crème de menthe</v>
      </c>
      <c r="N149" s="15">
        <f>IFERROR(VLOOKUP($C149,Sheet3!$H$2:$O$200,N$1,FALSE),IFERROR(VLOOKUP($D149,Sheet3!$H$2:$O$200,N$1,FALSE),VLOOKUP($E149,Sheet3!$H$2:$O$200,N$1,FALSE)))</f>
        <v>0</v>
      </c>
      <c r="O149" s="15">
        <f>IFERROR(VLOOKUP($C149,Sheet3!$H$2:$O$200,O$1,FALSE),IFERROR(VLOOKUP($D149,Sheet3!$H$2:$O$200,O$1,FALSE),VLOOKUP($E149,Sheet3!$H$2:$O$200,O$1,FALSE)))</f>
        <v>0</v>
      </c>
      <c r="P149" s="15">
        <f>IFERROR(VLOOKUP($C149,Sheet3!$H$2:$O$200,P$1,FALSE),IFERROR(VLOOKUP($D149,Sheet3!$H$2:$O$200,P$1,FALSE),VLOOKUP($E149,Sheet3!$H$2:$O$200,P$1,FALSE)))</f>
        <v>0</v>
      </c>
      <c r="Q149" s="15">
        <f>IFERROR(IF(ISBLANK(J149),IFERROR(VLOOKUP($D149,Sheet3!$H$2:$O$200,Q$1,FALSE),IFERROR(VLOOKUP($E149,Sheet3!$H$2:$O$200,Q$1,FALSE),VLOOKUP($F149,Sheet3!$H$2:$O$200,Q$1,FALSE))),$I$1),$I$1)</f>
        <v>0</v>
      </c>
      <c r="R149" s="15">
        <f>IFERROR(IF(ISBLANK(K149),IFERROR(VLOOKUP($D149,Sheet3!$H$2:$O$200,R$1,FALSE),IFERROR(VLOOKUP($E149,Sheet3!$H$2:$O$200,R$1,FALSE),VLOOKUP($F149,Sheet3!$H$2:$O$200,R$1,FALSE))),$I$1),$I$1)</f>
        <v>0</v>
      </c>
      <c r="S149" s="15">
        <f>IFERROR(IF(ISBLANK(L149),IFERROR(VLOOKUP($D149,Sheet3!$H$2:$O$200,S$1,FALSE),IFERROR(VLOOKUP($E149,Sheet3!$H$2:$O$200,S$1,FALSE),VLOOKUP($F149,Sheet3!$H$2:$O$200,S$1,FALSE))),$I$1),$I$1)</f>
        <v>0</v>
      </c>
      <c r="T149" s="15">
        <f>IFERROR(IF(ISBLANK(M149),IFERROR(VLOOKUP($D149,Sheet3!$H$2:$O$200,T$1,FALSE),IFERROR(VLOOKUP($E149,Sheet3!$H$2:$O$200,T$1,FALSE),VLOOKUP($F149,Sheet3!$H$2:$O$200,T$1,FALSE))),$I$1),$I$1)</f>
        <v>0</v>
      </c>
      <c r="U149" s="15">
        <f>IFERROR(IF(ISBLANK(N149),IFERROR(VLOOKUP($D149,Sheet3!$H$2:$O$200,U$1,FALSE),IFERROR(VLOOKUP($E149,Sheet3!$H$2:$O$200,U$1,FALSE),VLOOKUP($F149,Sheet3!$H$2:$O$200,U$1,FALSE))),$I$1),$I$1)</f>
        <v>0</v>
      </c>
      <c r="V149" s="15">
        <f>IFERROR(IF(ISBLANK(O149),IFERROR(VLOOKUP($D149,Sheet3!$H$2:$O$200,V$1,FALSE),IFERROR(VLOOKUP($E149,Sheet3!$H$2:$O$200,V$1,FALSE),VLOOKUP($F149,Sheet3!$H$2:$O$200,V$1,FALSE))),$I$1),$I$1)</f>
        <v>0</v>
      </c>
      <c r="W149" s="15">
        <f>IFERROR(IF(ISBLANK(P149),IFERROR(VLOOKUP($D149,Sheet3!$H$2:$O$200,W$1,FALSE),IFERROR(VLOOKUP($E149,Sheet3!$H$2:$O$200,W$1,FALSE),VLOOKUP($F149,Sheet3!$H$2:$O$200,W$1,FALSE))),$I$1),$I$1)</f>
        <v>0</v>
      </c>
      <c r="X149" s="15">
        <f>IFERROR(IF(ISBLANK(Q149),IFERROR(VLOOKUP($E149,Sheet3!$H$2:$O$200,X$1,FALSE),IFERROR(VLOOKUP($F149,Sheet3!$H$2:$O$200,X$1,FALSE),VLOOKUP($G149,Sheet3!$H$2:$O$200,X$1,FALSE))),$I$1),$I$1)</f>
        <v>0</v>
      </c>
      <c r="Y149" s="15">
        <f>IFERROR(IF(ISBLANK(R149),IFERROR(VLOOKUP($E149,Sheet3!$H$2:$O$200,Y$1,FALSE),IFERROR(VLOOKUP($F149,Sheet3!$H$2:$O$200,Y$1,FALSE),VLOOKUP($G149,Sheet3!$H$2:$O$200,Y$1,FALSE))),$I$1),$I$1)</f>
        <v>0</v>
      </c>
      <c r="Z149" s="15">
        <f>IFERROR(IF(ISBLANK(S149),IFERROR(VLOOKUP($E149,Sheet3!$H$2:$O$200,Z$1,FALSE),IFERROR(VLOOKUP($F149,Sheet3!$H$2:$O$200,Z$1,FALSE),VLOOKUP($G149,Sheet3!$H$2:$O$200,Z$1,FALSE))),$I$1),$I$1)</f>
        <v>0</v>
      </c>
      <c r="AA149" s="15">
        <f>IFERROR(IF(ISBLANK(T149),IFERROR(VLOOKUP($E149,Sheet3!$H$2:$O$200,AA$1,FALSE),IFERROR(VLOOKUP($F149,Sheet3!$H$2:$O$200,AA$1,FALSE),VLOOKUP($G149,Sheet3!$H$2:$O$200,AA$1,FALSE))),$I$1),$I$1)</f>
        <v>0</v>
      </c>
      <c r="AB149" s="15">
        <f>IFERROR(IF(ISBLANK(U149),IFERROR(VLOOKUP($E149,Sheet3!$H$2:$O$200,AB$1,FALSE),IFERROR(VLOOKUP($F149,Sheet3!$H$2:$O$200,AB$1,FALSE),VLOOKUP($G149,Sheet3!$H$2:$O$200,AB$1,FALSE))),$I$1),$I$1)</f>
        <v>0</v>
      </c>
      <c r="AC149" s="15">
        <f>IFERROR(IF(ISBLANK(V149),IFERROR(VLOOKUP($E149,Sheet3!$H$2:$O$200,AC$1,FALSE),IFERROR(VLOOKUP($F149,Sheet3!$H$2:$O$200,AC$1,FALSE),VLOOKUP($G149,Sheet3!$H$2:$O$200,AC$1,FALSE))),$I$1),$I$1)</f>
        <v>0</v>
      </c>
      <c r="AD149" s="15">
        <f>IFERROR(IF(ISBLANK(W149),IFERROR(VLOOKUP($E149,Sheet3!$H$2:$O$200,AD$1,FALSE),IFERROR(VLOOKUP($F149,Sheet3!$H$2:$O$200,AD$1,FALSE),VLOOKUP($G149,Sheet3!$H$2:$O$200,AD$1,FALSE))),$I$1),$I$1)</f>
        <v>0</v>
      </c>
      <c r="AE149" s="15">
        <f>IFERROR(IF(ISBLANK(X149),IFERROR(VLOOKUP($F149,Sheet3!$H$2:$O$200,AE$1,FALSE),VLOOKUP($G149,Sheet3!$H$2:$O$200,AE$1,FALSE)),$I$1),$I$1)</f>
        <v>0</v>
      </c>
      <c r="AF149" s="15">
        <f>IFERROR(IF(ISBLANK(Y149),IFERROR(VLOOKUP($F149,Sheet3!$H$2:$O$200,AF$1,FALSE),VLOOKUP($G149,Sheet3!$H$2:$O$200,AF$1,FALSE)),$I$1),$I$1)</f>
        <v>0</v>
      </c>
      <c r="AG149" s="15">
        <f>IFERROR(IF(ISBLANK(Z149),IFERROR(VLOOKUP($F149,Sheet3!$H$2:$O$200,AG$1,FALSE),VLOOKUP($G149,Sheet3!$H$2:$O$200,AG$1,FALSE)),$I$1),$I$1)</f>
        <v>0</v>
      </c>
      <c r="AH149" s="15">
        <f>IFERROR(IF(ISBLANK(AA149),IFERROR(VLOOKUP($F149,Sheet3!$H$2:$O$200,AH$1,FALSE),VLOOKUP($G149,Sheet3!$H$2:$O$200,AH$1,FALSE)),$I$1),$I$1)</f>
        <v>0</v>
      </c>
      <c r="AI149" s="15">
        <f>IFERROR(IF(ISBLANK(AB149),IFERROR(VLOOKUP($F149,Sheet3!$H$2:$O$200,AI$1,FALSE),VLOOKUP($G149,Sheet3!$H$2:$O$200,AI$1,FALSE)),$I$1),$I$1)</f>
        <v>0</v>
      </c>
      <c r="AJ149" s="15">
        <f>IFERROR(IF(ISBLANK(AC149),IFERROR(VLOOKUP($F149,Sheet3!$H$2:$O$200,AJ$1,FALSE),VLOOKUP($G149,Sheet3!$H$2:$O$200,AJ$1,FALSE)),$I$1),$I$1)</f>
        <v>0</v>
      </c>
      <c r="AK149" s="15">
        <f>IFERROR(IF(ISBLANK(AD149),IFERROR(VLOOKUP($F149,Sheet3!$H$2:$O$200,AK$1,FALSE),VLOOKUP($G149,Sheet3!$H$2:$O$200,AK$1,FALSE)),$I$1),$I$1)</f>
        <v>0</v>
      </c>
      <c r="AL149" s="15">
        <f>IFERROR(IF(ISBLANK(AE149),VLOOKUP($G149,Sheet3!$H$2:$O$200,AL$1,FALSE),$I$1),$I$1)</f>
        <v>0</v>
      </c>
      <c r="AM149" s="15">
        <f>IFERROR(IF(ISBLANK(AF149),VLOOKUP($G149,Sheet3!$H$2:$O$200,AM$1,FALSE),$I$1),$I$1)</f>
        <v>0</v>
      </c>
      <c r="AN149" s="15">
        <f>IFERROR(IF(ISBLANK(AG149),VLOOKUP($G149,Sheet3!$H$2:$O$200,AN$1,FALSE),$I$1),$I$1)</f>
        <v>0</v>
      </c>
      <c r="AO149" s="15">
        <f>IFERROR(IF(ISBLANK(AH149),VLOOKUP($G149,Sheet3!$H$2:$O$200,AO$1,FALSE),$I$1),$I$1)</f>
        <v>0</v>
      </c>
      <c r="AP149" s="15">
        <f>IFERROR(IF(ISBLANK(AI149),VLOOKUP($G149,Sheet3!$H$2:$O$200,AP$1,FALSE),$I$1),$I$1)</f>
        <v>0</v>
      </c>
      <c r="AQ149" s="15">
        <f>IFERROR(IF(ISBLANK(AJ149),VLOOKUP($G149,Sheet3!$H$2:$O$200,AQ$1,FALSE),$I$1),$I$1)</f>
        <v>0</v>
      </c>
      <c r="AR149" s="15">
        <f>IFERROR(IF(ISBLANK(AK149),VLOOKUP($G149,Sheet3!$H$2:$O$200,AR$1,FALSE),$I$1),$I$1)</f>
        <v>0</v>
      </c>
      <c r="AS149" s="15">
        <f t="shared" si="1"/>
        <v>28</v>
      </c>
      <c r="AT149" s="15" t="b">
        <f t="shared" si="2"/>
        <v>0</v>
      </c>
    </row>
    <row r="150" spans="1:46" x14ac:dyDescent="0.2">
      <c r="A150" s="19" t="s">
        <v>309</v>
      </c>
      <c r="B150" s="19" t="s">
        <v>300</v>
      </c>
      <c r="C150" s="19" t="s">
        <v>215</v>
      </c>
      <c r="D150" s="19" t="s">
        <v>38</v>
      </c>
      <c r="E150" s="19" t="s">
        <v>55</v>
      </c>
      <c r="F150" s="19"/>
      <c r="G150" s="19"/>
      <c r="H150" s="19" t="s">
        <v>309</v>
      </c>
      <c r="I150" s="15">
        <f t="shared" si="0"/>
        <v>3</v>
      </c>
      <c r="J150" s="15">
        <f>IFERROR(VLOOKUP($C150,Sheet3!$H$2:$O$200,J$1,FALSE),IFERROR(VLOOKUP($D150,Sheet3!$H$2:$O$200,J$1,FALSE),VLOOKUP($E150,Sheet3!$H$2:$O$200,J$1,FALSE)))</f>
        <v>0</v>
      </c>
      <c r="K150" s="15">
        <f>IFERROR(VLOOKUP($C150,Sheet3!$H$2:$O$200,K$1,FALSE),IFERROR(VLOOKUP($D150,Sheet3!$H$2:$O$200,K$1,FALSE),VLOOKUP($E150,Sheet3!$H$2:$O$200,K$1,FALSE)))</f>
        <v>0</v>
      </c>
      <c r="L150" s="15">
        <f>IFERROR(VLOOKUP($C150,Sheet3!$H$2:$O$200,L$1,FALSE),IFERROR(VLOOKUP($D150,Sheet3!$H$2:$O$200,L$1,FALSE),VLOOKUP($E150,Sheet3!$H$2:$O$200,L$1,FALSE)))</f>
        <v>0</v>
      </c>
      <c r="M150" s="15" t="str">
        <f>IFERROR(VLOOKUP($C150,Sheet3!$H$2:$O$200,M$1,FALSE),IFERROR(VLOOKUP($D150,Sheet3!$H$2:$O$200,M$1,FALSE),VLOOKUP($E150,Sheet3!$H$2:$O$200,M$1,FALSE)))</f>
        <v>kummel</v>
      </c>
      <c r="N150" s="15">
        <f>IFERROR(VLOOKUP($C150,Sheet3!$H$2:$O$200,N$1,FALSE),IFERROR(VLOOKUP($D150,Sheet3!$H$2:$O$200,N$1,FALSE),VLOOKUP($E150,Sheet3!$H$2:$O$200,N$1,FALSE)))</f>
        <v>0</v>
      </c>
      <c r="O150" s="15">
        <f>IFERROR(VLOOKUP($C150,Sheet3!$H$2:$O$200,O$1,FALSE),IFERROR(VLOOKUP($D150,Sheet3!$H$2:$O$200,O$1,FALSE),VLOOKUP($E150,Sheet3!$H$2:$O$200,O$1,FALSE)))</f>
        <v>0</v>
      </c>
      <c r="P150" s="15">
        <f>IFERROR(VLOOKUP($C150,Sheet3!$H$2:$O$200,P$1,FALSE),IFERROR(VLOOKUP($D150,Sheet3!$H$2:$O$200,P$1,FALSE),VLOOKUP($E150,Sheet3!$H$2:$O$200,P$1,FALSE)))</f>
        <v>0</v>
      </c>
      <c r="Q150" s="15">
        <f>IFERROR(IF(ISBLANK(J150),IFERROR(VLOOKUP($D150,Sheet3!$H$2:$O$200,Q$1,FALSE),IFERROR(VLOOKUP($E150,Sheet3!$H$2:$O$200,Q$1,FALSE),VLOOKUP($F150,Sheet3!$H$2:$O$200,Q$1,FALSE))),$I$1),$I$1)</f>
        <v>0</v>
      </c>
      <c r="R150" s="15">
        <f>IFERROR(IF(ISBLANK(K150),IFERROR(VLOOKUP($D150,Sheet3!$H$2:$O$200,R$1,FALSE),IFERROR(VLOOKUP($E150,Sheet3!$H$2:$O$200,R$1,FALSE),VLOOKUP($F150,Sheet3!$H$2:$O$200,R$1,FALSE))),$I$1),$I$1)</f>
        <v>0</v>
      </c>
      <c r="S150" s="15">
        <f>IFERROR(IF(ISBLANK(L150),IFERROR(VLOOKUP($D150,Sheet3!$H$2:$O$200,S$1,FALSE),IFERROR(VLOOKUP($E150,Sheet3!$H$2:$O$200,S$1,FALSE),VLOOKUP($F150,Sheet3!$H$2:$O$200,S$1,FALSE))),$I$1),$I$1)</f>
        <v>0</v>
      </c>
      <c r="T150" s="15">
        <f>IFERROR(IF(ISBLANK(M150),IFERROR(VLOOKUP($D150,Sheet3!$H$2:$O$200,T$1,FALSE),IFERROR(VLOOKUP($E150,Sheet3!$H$2:$O$200,T$1,FALSE),VLOOKUP($F150,Sheet3!$H$2:$O$200,T$1,FALSE))),$I$1),$I$1)</f>
        <v>0</v>
      </c>
      <c r="U150" s="15">
        <f>IFERROR(IF(ISBLANK(N150),IFERROR(VLOOKUP($D150,Sheet3!$H$2:$O$200,U$1,FALSE),IFERROR(VLOOKUP($E150,Sheet3!$H$2:$O$200,U$1,FALSE),VLOOKUP($F150,Sheet3!$H$2:$O$200,U$1,FALSE))),$I$1),$I$1)</f>
        <v>0</v>
      </c>
      <c r="V150" s="15">
        <f>IFERROR(IF(ISBLANK(O150),IFERROR(VLOOKUP($D150,Sheet3!$H$2:$O$200,V$1,FALSE),IFERROR(VLOOKUP($E150,Sheet3!$H$2:$O$200,V$1,FALSE),VLOOKUP($F150,Sheet3!$H$2:$O$200,V$1,FALSE))),$I$1),$I$1)</f>
        <v>0</v>
      </c>
      <c r="W150" s="15">
        <f>IFERROR(IF(ISBLANK(P150),IFERROR(VLOOKUP($D150,Sheet3!$H$2:$O$200,W$1,FALSE),IFERROR(VLOOKUP($E150,Sheet3!$H$2:$O$200,W$1,FALSE),VLOOKUP($F150,Sheet3!$H$2:$O$200,W$1,FALSE))),$I$1),$I$1)</f>
        <v>0</v>
      </c>
      <c r="X150" s="15">
        <f>IFERROR(IF(ISBLANK(Q150),IFERROR(VLOOKUP($E150,Sheet3!$H$2:$O$200,X$1,FALSE),IFERROR(VLOOKUP($F150,Sheet3!$H$2:$O$200,X$1,FALSE),VLOOKUP($G150,Sheet3!$H$2:$O$200,X$1,FALSE))),$I$1),$I$1)</f>
        <v>0</v>
      </c>
      <c r="Y150" s="15">
        <f>IFERROR(IF(ISBLANK(R150),IFERROR(VLOOKUP($E150,Sheet3!$H$2:$O$200,Y$1,FALSE),IFERROR(VLOOKUP($F150,Sheet3!$H$2:$O$200,Y$1,FALSE),VLOOKUP($G150,Sheet3!$H$2:$O$200,Y$1,FALSE))),$I$1),$I$1)</f>
        <v>0</v>
      </c>
      <c r="Z150" s="15">
        <f>IFERROR(IF(ISBLANK(S150),IFERROR(VLOOKUP($E150,Sheet3!$H$2:$O$200,Z$1,FALSE),IFERROR(VLOOKUP($F150,Sheet3!$H$2:$O$200,Z$1,FALSE),VLOOKUP($G150,Sheet3!$H$2:$O$200,Z$1,FALSE))),$I$1),$I$1)</f>
        <v>0</v>
      </c>
      <c r="AA150" s="15">
        <f>IFERROR(IF(ISBLANK(T150),IFERROR(VLOOKUP($E150,Sheet3!$H$2:$O$200,AA$1,FALSE),IFERROR(VLOOKUP($F150,Sheet3!$H$2:$O$200,AA$1,FALSE),VLOOKUP($G150,Sheet3!$H$2:$O$200,AA$1,FALSE))),$I$1),$I$1)</f>
        <v>0</v>
      </c>
      <c r="AB150" s="15">
        <f>IFERROR(IF(ISBLANK(U150),IFERROR(VLOOKUP($E150,Sheet3!$H$2:$O$200,AB$1,FALSE),IFERROR(VLOOKUP($F150,Sheet3!$H$2:$O$200,AB$1,FALSE),VLOOKUP($G150,Sheet3!$H$2:$O$200,AB$1,FALSE))),$I$1),$I$1)</f>
        <v>0</v>
      </c>
      <c r="AC150" s="15">
        <f>IFERROR(IF(ISBLANK(V150),IFERROR(VLOOKUP($E150,Sheet3!$H$2:$O$200,AC$1,FALSE),IFERROR(VLOOKUP($F150,Sheet3!$H$2:$O$200,AC$1,FALSE),VLOOKUP($G150,Sheet3!$H$2:$O$200,AC$1,FALSE))),$I$1),$I$1)</f>
        <v>0</v>
      </c>
      <c r="AD150" s="15">
        <f>IFERROR(IF(ISBLANK(W150),IFERROR(VLOOKUP($E150,Sheet3!$H$2:$O$200,AD$1,FALSE),IFERROR(VLOOKUP($F150,Sheet3!$H$2:$O$200,AD$1,FALSE),VLOOKUP($G150,Sheet3!$H$2:$O$200,AD$1,FALSE))),$I$1),$I$1)</f>
        <v>0</v>
      </c>
      <c r="AE150" s="15">
        <f>IFERROR(IF(ISBLANK(X150),IFERROR(VLOOKUP($F150,Sheet3!$H$2:$O$200,AE$1,FALSE),VLOOKUP($G150,Sheet3!$H$2:$O$200,AE$1,FALSE)),$I$1),$I$1)</f>
        <v>0</v>
      </c>
      <c r="AF150" s="15">
        <f>IFERROR(IF(ISBLANK(Y150),IFERROR(VLOOKUP($F150,Sheet3!$H$2:$O$200,AF$1,FALSE),VLOOKUP($G150,Sheet3!$H$2:$O$200,AF$1,FALSE)),$I$1),$I$1)</f>
        <v>0</v>
      </c>
      <c r="AG150" s="15">
        <f>IFERROR(IF(ISBLANK(Z150),IFERROR(VLOOKUP($F150,Sheet3!$H$2:$O$200,AG$1,FALSE),VLOOKUP($G150,Sheet3!$H$2:$O$200,AG$1,FALSE)),$I$1),$I$1)</f>
        <v>0</v>
      </c>
      <c r="AH150" s="15">
        <f>IFERROR(IF(ISBLANK(AA150),IFERROR(VLOOKUP($F150,Sheet3!$H$2:$O$200,AH$1,FALSE),VLOOKUP($G150,Sheet3!$H$2:$O$200,AH$1,FALSE)),$I$1),$I$1)</f>
        <v>0</v>
      </c>
      <c r="AI150" s="15">
        <f>IFERROR(IF(ISBLANK(AB150),IFERROR(VLOOKUP($F150,Sheet3!$H$2:$O$200,AI$1,FALSE),VLOOKUP($G150,Sheet3!$H$2:$O$200,AI$1,FALSE)),$I$1),$I$1)</f>
        <v>0</v>
      </c>
      <c r="AJ150" s="15">
        <f>IFERROR(IF(ISBLANK(AC150),IFERROR(VLOOKUP($F150,Sheet3!$H$2:$O$200,AJ$1,FALSE),VLOOKUP($G150,Sheet3!$H$2:$O$200,AJ$1,FALSE)),$I$1),$I$1)</f>
        <v>0</v>
      </c>
      <c r="AK150" s="15">
        <f>IFERROR(IF(ISBLANK(AD150),IFERROR(VLOOKUP($F150,Sheet3!$H$2:$O$200,AK$1,FALSE),VLOOKUP($G150,Sheet3!$H$2:$O$200,AK$1,FALSE)),$I$1),$I$1)</f>
        <v>0</v>
      </c>
      <c r="AL150" s="15">
        <f>IFERROR(IF(ISBLANK(AE150),VLOOKUP($G150,Sheet3!$H$2:$O$200,AL$1,FALSE),$I$1),$I$1)</f>
        <v>0</v>
      </c>
      <c r="AM150" s="15">
        <f>IFERROR(IF(ISBLANK(AF150),VLOOKUP($G150,Sheet3!$H$2:$O$200,AM$1,FALSE),$I$1),$I$1)</f>
        <v>0</v>
      </c>
      <c r="AN150" s="15">
        <f>IFERROR(IF(ISBLANK(AG150),VLOOKUP($G150,Sheet3!$H$2:$O$200,AN$1,FALSE),$I$1),$I$1)</f>
        <v>0</v>
      </c>
      <c r="AO150" s="15">
        <f>IFERROR(IF(ISBLANK(AH150),VLOOKUP($G150,Sheet3!$H$2:$O$200,AO$1,FALSE),$I$1),$I$1)</f>
        <v>0</v>
      </c>
      <c r="AP150" s="15">
        <f>IFERROR(IF(ISBLANK(AI150),VLOOKUP($G150,Sheet3!$H$2:$O$200,AP$1,FALSE),$I$1),$I$1)</f>
        <v>0</v>
      </c>
      <c r="AQ150" s="15">
        <f>IFERROR(IF(ISBLANK(AJ150),VLOOKUP($G150,Sheet3!$H$2:$O$200,AQ$1,FALSE),$I$1),$I$1)</f>
        <v>0</v>
      </c>
      <c r="AR150" s="15">
        <f>IFERROR(IF(ISBLANK(AK150),VLOOKUP($G150,Sheet3!$H$2:$O$200,AR$1,FALSE),$I$1),$I$1)</f>
        <v>0</v>
      </c>
      <c r="AS150" s="15">
        <f t="shared" si="1"/>
        <v>28</v>
      </c>
      <c r="AT150" s="15" t="b">
        <f t="shared" si="2"/>
        <v>0</v>
      </c>
    </row>
    <row r="151" spans="1:46" x14ac:dyDescent="0.2">
      <c r="A151" s="19" t="s">
        <v>310</v>
      </c>
      <c r="B151" s="19" t="s">
        <v>300</v>
      </c>
      <c r="C151" s="19" t="s">
        <v>100</v>
      </c>
      <c r="D151" s="19" t="s">
        <v>38</v>
      </c>
      <c r="E151" s="19" t="s">
        <v>48</v>
      </c>
      <c r="F151" s="19"/>
      <c r="G151" s="19"/>
      <c r="H151" s="19" t="s">
        <v>310</v>
      </c>
      <c r="I151" s="15">
        <f t="shared" si="0"/>
        <v>3</v>
      </c>
      <c r="J151" s="15">
        <f>IFERROR(VLOOKUP($C151,Sheet3!$H$2:$O$200,J$1,FALSE),IFERROR(VLOOKUP($D151,Sheet3!$H$2:$O$200,J$1,FALSE),VLOOKUP($E151,Sheet3!$H$2:$O$200,J$1,FALSE)))</f>
        <v>0</v>
      </c>
      <c r="K151" s="15">
        <f>IFERROR(VLOOKUP($C151,Sheet3!$H$2:$O$200,K$1,FALSE),IFERROR(VLOOKUP($D151,Sheet3!$H$2:$O$200,K$1,FALSE),VLOOKUP($E151,Sheet3!$H$2:$O$200,K$1,FALSE)))</f>
        <v>0</v>
      </c>
      <c r="L151" s="15">
        <f>IFERROR(VLOOKUP($C151,Sheet3!$H$2:$O$200,L$1,FALSE),IFERROR(VLOOKUP($D151,Sheet3!$H$2:$O$200,L$1,FALSE),VLOOKUP($E151,Sheet3!$H$2:$O$200,L$1,FALSE)))</f>
        <v>0</v>
      </c>
      <c r="M151" s="15" t="str">
        <f>IFERROR(VLOOKUP($C151,Sheet3!$H$2:$O$200,M$1,FALSE),IFERROR(VLOOKUP($D151,Sheet3!$H$2:$O$200,M$1,FALSE),VLOOKUP($E151,Sheet3!$H$2:$O$200,M$1,FALSE)))</f>
        <v>triple sec</v>
      </c>
      <c r="N151" s="15">
        <f>IFERROR(VLOOKUP($C151,Sheet3!$H$2:$O$200,N$1,FALSE),IFERROR(VLOOKUP($D151,Sheet3!$H$2:$O$200,N$1,FALSE),VLOOKUP($E151,Sheet3!$H$2:$O$200,N$1,FALSE)))</f>
        <v>0</v>
      </c>
      <c r="O151" s="15">
        <f>IFERROR(VLOOKUP($C151,Sheet3!$H$2:$O$200,O$1,FALSE),IFERROR(VLOOKUP($D151,Sheet3!$H$2:$O$200,O$1,FALSE),VLOOKUP($E151,Sheet3!$H$2:$O$200,O$1,FALSE)))</f>
        <v>0</v>
      </c>
      <c r="P151" s="15">
        <f>IFERROR(VLOOKUP($C151,Sheet3!$H$2:$O$200,P$1,FALSE),IFERROR(VLOOKUP($D151,Sheet3!$H$2:$O$200,P$1,FALSE),VLOOKUP($E151,Sheet3!$H$2:$O$200,P$1,FALSE)))</f>
        <v>0</v>
      </c>
      <c r="Q151" s="15">
        <f>IFERROR(IF(ISBLANK(J151),IFERROR(VLOOKUP($D151,Sheet3!$H$2:$O$200,Q$1,FALSE),IFERROR(VLOOKUP($E151,Sheet3!$H$2:$O$200,Q$1,FALSE),VLOOKUP($F151,Sheet3!$H$2:$O$200,Q$1,FALSE))),$I$1),$I$1)</f>
        <v>0</v>
      </c>
      <c r="R151" s="15">
        <f>IFERROR(IF(ISBLANK(K151),IFERROR(VLOOKUP($D151,Sheet3!$H$2:$O$200,R$1,FALSE),IFERROR(VLOOKUP($E151,Sheet3!$H$2:$O$200,R$1,FALSE),VLOOKUP($F151,Sheet3!$H$2:$O$200,R$1,FALSE))),$I$1),$I$1)</f>
        <v>0</v>
      </c>
      <c r="S151" s="15">
        <f>IFERROR(IF(ISBLANK(L151),IFERROR(VLOOKUP($D151,Sheet3!$H$2:$O$200,S$1,FALSE),IFERROR(VLOOKUP($E151,Sheet3!$H$2:$O$200,S$1,FALSE),VLOOKUP($F151,Sheet3!$H$2:$O$200,S$1,FALSE))),$I$1),$I$1)</f>
        <v>0</v>
      </c>
      <c r="T151" s="15">
        <f>IFERROR(IF(ISBLANK(M151),IFERROR(VLOOKUP($D151,Sheet3!$H$2:$O$200,T$1,FALSE),IFERROR(VLOOKUP($E151,Sheet3!$H$2:$O$200,T$1,FALSE),VLOOKUP($F151,Sheet3!$H$2:$O$200,T$1,FALSE))),$I$1),$I$1)</f>
        <v>0</v>
      </c>
      <c r="U151" s="15">
        <f>IFERROR(IF(ISBLANK(N151),IFERROR(VLOOKUP($D151,Sheet3!$H$2:$O$200,U$1,FALSE),IFERROR(VLOOKUP($E151,Sheet3!$H$2:$O$200,U$1,FALSE),VLOOKUP($F151,Sheet3!$H$2:$O$200,U$1,FALSE))),$I$1),$I$1)</f>
        <v>0</v>
      </c>
      <c r="V151" s="15">
        <f>IFERROR(IF(ISBLANK(O151),IFERROR(VLOOKUP($D151,Sheet3!$H$2:$O$200,V$1,FALSE),IFERROR(VLOOKUP($E151,Sheet3!$H$2:$O$200,V$1,FALSE),VLOOKUP($F151,Sheet3!$H$2:$O$200,V$1,FALSE))),$I$1),$I$1)</f>
        <v>0</v>
      </c>
      <c r="W151" s="15">
        <f>IFERROR(IF(ISBLANK(P151),IFERROR(VLOOKUP($D151,Sheet3!$H$2:$O$200,W$1,FALSE),IFERROR(VLOOKUP($E151,Sheet3!$H$2:$O$200,W$1,FALSE),VLOOKUP($F151,Sheet3!$H$2:$O$200,W$1,FALSE))),$I$1),$I$1)</f>
        <v>0</v>
      </c>
      <c r="X151" s="15">
        <f>IFERROR(IF(ISBLANK(Q151),IFERROR(VLOOKUP($E151,Sheet3!$H$2:$O$200,X$1,FALSE),IFERROR(VLOOKUP($F151,Sheet3!$H$2:$O$200,X$1,FALSE),VLOOKUP($G151,Sheet3!$H$2:$O$200,X$1,FALSE))),$I$1),$I$1)</f>
        <v>0</v>
      </c>
      <c r="Y151" s="15">
        <f>IFERROR(IF(ISBLANK(R151),IFERROR(VLOOKUP($E151,Sheet3!$H$2:$O$200,Y$1,FALSE),IFERROR(VLOOKUP($F151,Sheet3!$H$2:$O$200,Y$1,FALSE),VLOOKUP($G151,Sheet3!$H$2:$O$200,Y$1,FALSE))),$I$1),$I$1)</f>
        <v>0</v>
      </c>
      <c r="Z151" s="15">
        <f>IFERROR(IF(ISBLANK(S151),IFERROR(VLOOKUP($E151,Sheet3!$H$2:$O$200,Z$1,FALSE),IFERROR(VLOOKUP($F151,Sheet3!$H$2:$O$200,Z$1,FALSE),VLOOKUP($G151,Sheet3!$H$2:$O$200,Z$1,FALSE))),$I$1),$I$1)</f>
        <v>0</v>
      </c>
      <c r="AA151" s="15">
        <f>IFERROR(IF(ISBLANK(T151),IFERROR(VLOOKUP($E151,Sheet3!$H$2:$O$200,AA$1,FALSE),IFERROR(VLOOKUP($F151,Sheet3!$H$2:$O$200,AA$1,FALSE),VLOOKUP($G151,Sheet3!$H$2:$O$200,AA$1,FALSE))),$I$1),$I$1)</f>
        <v>0</v>
      </c>
      <c r="AB151" s="15">
        <f>IFERROR(IF(ISBLANK(U151),IFERROR(VLOOKUP($E151,Sheet3!$H$2:$O$200,AB$1,FALSE),IFERROR(VLOOKUP($F151,Sheet3!$H$2:$O$200,AB$1,FALSE),VLOOKUP($G151,Sheet3!$H$2:$O$200,AB$1,FALSE))),$I$1),$I$1)</f>
        <v>0</v>
      </c>
      <c r="AC151" s="15">
        <f>IFERROR(IF(ISBLANK(V151),IFERROR(VLOOKUP($E151,Sheet3!$H$2:$O$200,AC$1,FALSE),IFERROR(VLOOKUP($F151,Sheet3!$H$2:$O$200,AC$1,FALSE),VLOOKUP($G151,Sheet3!$H$2:$O$200,AC$1,FALSE))),$I$1),$I$1)</f>
        <v>0</v>
      </c>
      <c r="AD151" s="15">
        <f>IFERROR(IF(ISBLANK(W151),IFERROR(VLOOKUP($E151,Sheet3!$H$2:$O$200,AD$1,FALSE),IFERROR(VLOOKUP($F151,Sheet3!$H$2:$O$200,AD$1,FALSE),VLOOKUP($G151,Sheet3!$H$2:$O$200,AD$1,FALSE))),$I$1),$I$1)</f>
        <v>0</v>
      </c>
      <c r="AE151" s="15">
        <f>IFERROR(IF(ISBLANK(X151),IFERROR(VLOOKUP($F151,Sheet3!$H$2:$O$200,AE$1,FALSE),VLOOKUP($G151,Sheet3!$H$2:$O$200,AE$1,FALSE)),$I$1),$I$1)</f>
        <v>0</v>
      </c>
      <c r="AF151" s="15">
        <f>IFERROR(IF(ISBLANK(Y151),IFERROR(VLOOKUP($F151,Sheet3!$H$2:$O$200,AF$1,FALSE),VLOOKUP($G151,Sheet3!$H$2:$O$200,AF$1,FALSE)),$I$1),$I$1)</f>
        <v>0</v>
      </c>
      <c r="AG151" s="15">
        <f>IFERROR(IF(ISBLANK(Z151),IFERROR(VLOOKUP($F151,Sheet3!$H$2:$O$200,AG$1,FALSE),VLOOKUP($G151,Sheet3!$H$2:$O$200,AG$1,FALSE)),$I$1),$I$1)</f>
        <v>0</v>
      </c>
      <c r="AH151" s="15">
        <f>IFERROR(IF(ISBLANK(AA151),IFERROR(VLOOKUP($F151,Sheet3!$H$2:$O$200,AH$1,FALSE),VLOOKUP($G151,Sheet3!$H$2:$O$200,AH$1,FALSE)),$I$1),$I$1)</f>
        <v>0</v>
      </c>
      <c r="AI151" s="15">
        <f>IFERROR(IF(ISBLANK(AB151),IFERROR(VLOOKUP($F151,Sheet3!$H$2:$O$200,AI$1,FALSE),VLOOKUP($G151,Sheet3!$H$2:$O$200,AI$1,FALSE)),$I$1),$I$1)</f>
        <v>0</v>
      </c>
      <c r="AJ151" s="15">
        <f>IFERROR(IF(ISBLANK(AC151),IFERROR(VLOOKUP($F151,Sheet3!$H$2:$O$200,AJ$1,FALSE),VLOOKUP($G151,Sheet3!$H$2:$O$200,AJ$1,FALSE)),$I$1),$I$1)</f>
        <v>0</v>
      </c>
      <c r="AK151" s="15">
        <f>IFERROR(IF(ISBLANK(AD151),IFERROR(VLOOKUP($F151,Sheet3!$H$2:$O$200,AK$1,FALSE),VLOOKUP($G151,Sheet3!$H$2:$O$200,AK$1,FALSE)),$I$1),$I$1)</f>
        <v>0</v>
      </c>
      <c r="AL151" s="15">
        <f>IFERROR(IF(ISBLANK(AE151),VLOOKUP($G151,Sheet3!$H$2:$O$200,AL$1,FALSE),$I$1),$I$1)</f>
        <v>0</v>
      </c>
      <c r="AM151" s="15">
        <f>IFERROR(IF(ISBLANK(AF151),VLOOKUP($G151,Sheet3!$H$2:$O$200,AM$1,FALSE),$I$1),$I$1)</f>
        <v>0</v>
      </c>
      <c r="AN151" s="15">
        <f>IFERROR(IF(ISBLANK(AG151),VLOOKUP($G151,Sheet3!$H$2:$O$200,AN$1,FALSE),$I$1),$I$1)</f>
        <v>0</v>
      </c>
      <c r="AO151" s="15">
        <f>IFERROR(IF(ISBLANK(AH151),VLOOKUP($G151,Sheet3!$H$2:$O$200,AO$1,FALSE),$I$1),$I$1)</f>
        <v>0</v>
      </c>
      <c r="AP151" s="15">
        <f>IFERROR(IF(ISBLANK(AI151),VLOOKUP($G151,Sheet3!$H$2:$O$200,AP$1,FALSE),$I$1),$I$1)</f>
        <v>0</v>
      </c>
      <c r="AQ151" s="15">
        <f>IFERROR(IF(ISBLANK(AJ151),VLOOKUP($G151,Sheet3!$H$2:$O$200,AQ$1,FALSE),$I$1),$I$1)</f>
        <v>0</v>
      </c>
      <c r="AR151" s="15">
        <f>IFERROR(IF(ISBLANK(AK151),VLOOKUP($G151,Sheet3!$H$2:$O$200,AR$1,FALSE),$I$1),$I$1)</f>
        <v>0</v>
      </c>
      <c r="AS151" s="15">
        <f t="shared" si="1"/>
        <v>28</v>
      </c>
      <c r="AT151" s="15" t="b">
        <f t="shared" si="2"/>
        <v>0</v>
      </c>
    </row>
    <row r="152" spans="1:46" x14ac:dyDescent="0.2">
      <c r="A152" s="19" t="s">
        <v>311</v>
      </c>
      <c r="B152" s="19" t="s">
        <v>300</v>
      </c>
      <c r="C152" s="19" t="s">
        <v>57</v>
      </c>
      <c r="D152" s="19" t="s">
        <v>38</v>
      </c>
      <c r="E152" s="19"/>
      <c r="F152" s="19"/>
      <c r="G152" s="19"/>
      <c r="H152" s="19" t="s">
        <v>311</v>
      </c>
      <c r="I152" s="15">
        <f t="shared" si="0"/>
        <v>2</v>
      </c>
      <c r="J152" s="15">
        <f>IFERROR(VLOOKUP($C152,Sheet3!$H$2:$O$200,J$1,FALSE),IFERROR(VLOOKUP($D152,Sheet3!$H$2:$O$200,J$1,FALSE),VLOOKUP($E152,Sheet3!$H$2:$O$200,J$1,FALSE)))</f>
        <v>0</v>
      </c>
      <c r="K152" s="15">
        <f>IFERROR(VLOOKUP($C152,Sheet3!$H$2:$O$200,K$1,FALSE),IFERROR(VLOOKUP($D152,Sheet3!$H$2:$O$200,K$1,FALSE),VLOOKUP($E152,Sheet3!$H$2:$O$200,K$1,FALSE)))</f>
        <v>0</v>
      </c>
      <c r="L152" s="15">
        <f>IFERROR(VLOOKUP($C152,Sheet3!$H$2:$O$200,L$1,FALSE),IFERROR(VLOOKUP($D152,Sheet3!$H$2:$O$200,L$1,FALSE),VLOOKUP($E152,Sheet3!$H$2:$O$200,L$1,FALSE)))</f>
        <v>0</v>
      </c>
      <c r="M152" s="15" t="str">
        <f>IFERROR(VLOOKUP($C152,Sheet3!$H$2:$O$200,M$1,FALSE),IFERROR(VLOOKUP($D152,Sheet3!$H$2:$O$200,M$1,FALSE),VLOOKUP($E152,Sheet3!$H$2:$O$200,M$1,FALSE)))</f>
        <v>crème de noyau</v>
      </c>
      <c r="N152" s="15">
        <f>IFERROR(VLOOKUP($C152,Sheet3!$H$2:$O$200,N$1,FALSE),IFERROR(VLOOKUP($D152,Sheet3!$H$2:$O$200,N$1,FALSE),VLOOKUP($E152,Sheet3!$H$2:$O$200,N$1,FALSE)))</f>
        <v>0</v>
      </c>
      <c r="O152" s="15">
        <f>IFERROR(VLOOKUP($C152,Sheet3!$H$2:$O$200,O$1,FALSE),IFERROR(VLOOKUP($D152,Sheet3!$H$2:$O$200,O$1,FALSE),VLOOKUP($E152,Sheet3!$H$2:$O$200,O$1,FALSE)))</f>
        <v>0</v>
      </c>
      <c r="P152" s="15">
        <f>IFERROR(VLOOKUP($C152,Sheet3!$H$2:$O$200,P$1,FALSE),IFERROR(VLOOKUP($D152,Sheet3!$H$2:$O$200,P$1,FALSE),VLOOKUP($E152,Sheet3!$H$2:$O$200,P$1,FALSE)))</f>
        <v>0</v>
      </c>
      <c r="Q152" s="15">
        <f>IFERROR(IF(ISBLANK(J152),IFERROR(VLOOKUP($D152,Sheet3!$H$2:$O$200,Q$1,FALSE),IFERROR(VLOOKUP($E152,Sheet3!$H$2:$O$200,Q$1,FALSE),VLOOKUP($F152,Sheet3!$H$2:$O$200,Q$1,FALSE))),$I$1),$I$1)</f>
        <v>0</v>
      </c>
      <c r="R152" s="15">
        <f>IFERROR(IF(ISBLANK(K152),IFERROR(VLOOKUP($D152,Sheet3!$H$2:$O$200,R$1,FALSE),IFERROR(VLOOKUP($E152,Sheet3!$H$2:$O$200,R$1,FALSE),VLOOKUP($F152,Sheet3!$H$2:$O$200,R$1,FALSE))),$I$1),$I$1)</f>
        <v>0</v>
      </c>
      <c r="S152" s="15">
        <f>IFERROR(IF(ISBLANK(L152),IFERROR(VLOOKUP($D152,Sheet3!$H$2:$O$200,S$1,FALSE),IFERROR(VLOOKUP($E152,Sheet3!$H$2:$O$200,S$1,FALSE),VLOOKUP($F152,Sheet3!$H$2:$O$200,S$1,FALSE))),$I$1),$I$1)</f>
        <v>0</v>
      </c>
      <c r="T152" s="15">
        <f>IFERROR(IF(ISBLANK(M152),IFERROR(VLOOKUP($D152,Sheet3!$H$2:$O$200,T$1,FALSE),IFERROR(VLOOKUP($E152,Sheet3!$H$2:$O$200,T$1,FALSE),VLOOKUP($F152,Sheet3!$H$2:$O$200,T$1,FALSE))),$I$1),$I$1)</f>
        <v>0</v>
      </c>
      <c r="U152" s="15">
        <f>IFERROR(IF(ISBLANK(N152),IFERROR(VLOOKUP($D152,Sheet3!$H$2:$O$200,U$1,FALSE),IFERROR(VLOOKUP($E152,Sheet3!$H$2:$O$200,U$1,FALSE),VLOOKUP($F152,Sheet3!$H$2:$O$200,U$1,FALSE))),$I$1),$I$1)</f>
        <v>0</v>
      </c>
      <c r="V152" s="15">
        <f>IFERROR(IF(ISBLANK(O152),IFERROR(VLOOKUP($D152,Sheet3!$H$2:$O$200,V$1,FALSE),IFERROR(VLOOKUP($E152,Sheet3!$H$2:$O$200,V$1,FALSE),VLOOKUP($F152,Sheet3!$H$2:$O$200,V$1,FALSE))),$I$1),$I$1)</f>
        <v>0</v>
      </c>
      <c r="W152" s="15">
        <f>IFERROR(IF(ISBLANK(P152),IFERROR(VLOOKUP($D152,Sheet3!$H$2:$O$200,W$1,FALSE),IFERROR(VLOOKUP($E152,Sheet3!$H$2:$O$200,W$1,FALSE),VLOOKUP($F152,Sheet3!$H$2:$O$200,W$1,FALSE))),$I$1),$I$1)</f>
        <v>0</v>
      </c>
      <c r="X152" s="15">
        <f>IFERROR(IF(ISBLANK(Q152),IFERROR(VLOOKUP($E152,Sheet3!$H$2:$O$200,X$1,FALSE),IFERROR(VLOOKUP($F152,Sheet3!$H$2:$O$200,X$1,FALSE),VLOOKUP($G152,Sheet3!$H$2:$O$200,X$1,FALSE))),$I$1),$I$1)</f>
        <v>0</v>
      </c>
      <c r="Y152" s="15">
        <f>IFERROR(IF(ISBLANK(R152),IFERROR(VLOOKUP($E152,Sheet3!$H$2:$O$200,Y$1,FALSE),IFERROR(VLOOKUP($F152,Sheet3!$H$2:$O$200,Y$1,FALSE),VLOOKUP($G152,Sheet3!$H$2:$O$200,Y$1,FALSE))),$I$1),$I$1)</f>
        <v>0</v>
      </c>
      <c r="Z152" s="15">
        <f>IFERROR(IF(ISBLANK(S152),IFERROR(VLOOKUP($E152,Sheet3!$H$2:$O$200,Z$1,FALSE),IFERROR(VLOOKUP($F152,Sheet3!$H$2:$O$200,Z$1,FALSE),VLOOKUP($G152,Sheet3!$H$2:$O$200,Z$1,FALSE))),$I$1),$I$1)</f>
        <v>0</v>
      </c>
      <c r="AA152" s="15">
        <f>IFERROR(IF(ISBLANK(T152),IFERROR(VLOOKUP($E152,Sheet3!$H$2:$O$200,AA$1,FALSE),IFERROR(VLOOKUP($F152,Sheet3!$H$2:$O$200,AA$1,FALSE),VLOOKUP($G152,Sheet3!$H$2:$O$200,AA$1,FALSE))),$I$1),$I$1)</f>
        <v>0</v>
      </c>
      <c r="AB152" s="15">
        <f>IFERROR(IF(ISBLANK(U152),IFERROR(VLOOKUP($E152,Sheet3!$H$2:$O$200,AB$1,FALSE),IFERROR(VLOOKUP($F152,Sheet3!$H$2:$O$200,AB$1,FALSE),VLOOKUP($G152,Sheet3!$H$2:$O$200,AB$1,FALSE))),$I$1),$I$1)</f>
        <v>0</v>
      </c>
      <c r="AC152" s="15">
        <f>IFERROR(IF(ISBLANK(V152),IFERROR(VLOOKUP($E152,Sheet3!$H$2:$O$200,AC$1,FALSE),IFERROR(VLOOKUP($F152,Sheet3!$H$2:$O$200,AC$1,FALSE),VLOOKUP($G152,Sheet3!$H$2:$O$200,AC$1,FALSE))),$I$1),$I$1)</f>
        <v>0</v>
      </c>
      <c r="AD152" s="15">
        <f>IFERROR(IF(ISBLANK(W152),IFERROR(VLOOKUP($E152,Sheet3!$H$2:$O$200,AD$1,FALSE),IFERROR(VLOOKUP($F152,Sheet3!$H$2:$O$200,AD$1,FALSE),VLOOKUP($G152,Sheet3!$H$2:$O$200,AD$1,FALSE))),$I$1),$I$1)</f>
        <v>0</v>
      </c>
      <c r="AE152" s="15">
        <f>IFERROR(IF(ISBLANK(X152),IFERROR(VLOOKUP($F152,Sheet3!$H$2:$O$200,AE$1,FALSE),VLOOKUP($G152,Sheet3!$H$2:$O$200,AE$1,FALSE)),$I$1),$I$1)</f>
        <v>0</v>
      </c>
      <c r="AF152" s="15">
        <f>IFERROR(IF(ISBLANK(Y152),IFERROR(VLOOKUP($F152,Sheet3!$H$2:$O$200,AF$1,FALSE),VLOOKUP($G152,Sheet3!$H$2:$O$200,AF$1,FALSE)),$I$1),$I$1)</f>
        <v>0</v>
      </c>
      <c r="AG152" s="15">
        <f>IFERROR(IF(ISBLANK(Z152),IFERROR(VLOOKUP($F152,Sheet3!$H$2:$O$200,AG$1,FALSE),VLOOKUP($G152,Sheet3!$H$2:$O$200,AG$1,FALSE)),$I$1),$I$1)</f>
        <v>0</v>
      </c>
      <c r="AH152" s="15">
        <f>IFERROR(IF(ISBLANK(AA152),IFERROR(VLOOKUP($F152,Sheet3!$H$2:$O$200,AH$1,FALSE),VLOOKUP($G152,Sheet3!$H$2:$O$200,AH$1,FALSE)),$I$1),$I$1)</f>
        <v>0</v>
      </c>
      <c r="AI152" s="15">
        <f>IFERROR(IF(ISBLANK(AB152),IFERROR(VLOOKUP($F152,Sheet3!$H$2:$O$200,AI$1,FALSE),VLOOKUP($G152,Sheet3!$H$2:$O$200,AI$1,FALSE)),$I$1),$I$1)</f>
        <v>0</v>
      </c>
      <c r="AJ152" s="15">
        <f>IFERROR(IF(ISBLANK(AC152),IFERROR(VLOOKUP($F152,Sheet3!$H$2:$O$200,AJ$1,FALSE),VLOOKUP($G152,Sheet3!$H$2:$O$200,AJ$1,FALSE)),$I$1),$I$1)</f>
        <v>0</v>
      </c>
      <c r="AK152" s="15">
        <f>IFERROR(IF(ISBLANK(AD152),IFERROR(VLOOKUP($F152,Sheet3!$H$2:$O$200,AK$1,FALSE),VLOOKUP($G152,Sheet3!$H$2:$O$200,AK$1,FALSE)),$I$1),$I$1)</f>
        <v>0</v>
      </c>
      <c r="AL152" s="15">
        <f>IFERROR(IF(ISBLANK(AE152),VLOOKUP($G152,Sheet3!$H$2:$O$200,AL$1,FALSE),$I$1),$I$1)</f>
        <v>0</v>
      </c>
      <c r="AM152" s="15">
        <f>IFERROR(IF(ISBLANK(AF152),VLOOKUP($G152,Sheet3!$H$2:$O$200,AM$1,FALSE),$I$1),$I$1)</f>
        <v>0</v>
      </c>
      <c r="AN152" s="15">
        <f>IFERROR(IF(ISBLANK(AG152),VLOOKUP($G152,Sheet3!$H$2:$O$200,AN$1,FALSE),$I$1),$I$1)</f>
        <v>0</v>
      </c>
      <c r="AO152" s="15">
        <f>IFERROR(IF(ISBLANK(AH152),VLOOKUP($G152,Sheet3!$H$2:$O$200,AO$1,FALSE),$I$1),$I$1)</f>
        <v>0</v>
      </c>
      <c r="AP152" s="15">
        <f>IFERROR(IF(ISBLANK(AI152),VLOOKUP($G152,Sheet3!$H$2:$O$200,AP$1,FALSE),$I$1),$I$1)</f>
        <v>0</v>
      </c>
      <c r="AQ152" s="15">
        <f>IFERROR(IF(ISBLANK(AJ152),VLOOKUP($G152,Sheet3!$H$2:$O$200,AQ$1,FALSE),$I$1),$I$1)</f>
        <v>0</v>
      </c>
      <c r="AR152" s="15">
        <f>IFERROR(IF(ISBLANK(AK152),VLOOKUP($G152,Sheet3!$H$2:$O$200,AR$1,FALSE),$I$1),$I$1)</f>
        <v>0</v>
      </c>
      <c r="AS152" s="15">
        <f t="shared" si="1"/>
        <v>28</v>
      </c>
      <c r="AT152" s="15" t="b">
        <f t="shared" si="2"/>
        <v>0</v>
      </c>
    </row>
    <row r="153" spans="1:46" x14ac:dyDescent="0.2">
      <c r="A153" s="20" t="s">
        <v>312</v>
      </c>
      <c r="B153" s="20" t="s">
        <v>313</v>
      </c>
      <c r="C153" s="20"/>
      <c r="D153" s="20"/>
      <c r="E153" s="20" t="s">
        <v>314</v>
      </c>
      <c r="F153" s="20" t="s">
        <v>240</v>
      </c>
      <c r="G153" s="20" t="s">
        <v>315</v>
      </c>
      <c r="H153" s="20" t="s">
        <v>312</v>
      </c>
      <c r="I153" s="15">
        <f t="shared" si="0"/>
        <v>3</v>
      </c>
      <c r="J153" s="15">
        <f>IFERROR(VLOOKUP($C153,Sheet3!$H$2:$O$200,J$1,FALSE),IFERROR(VLOOKUP($D153,Sheet3!$H$2:$O$200,J$1,FALSE),VLOOKUP($E153,Sheet3!$H$2:$O$200,J$1,FALSE)))</f>
        <v>0</v>
      </c>
      <c r="K153" s="15" t="str">
        <f>IFERROR(VLOOKUP($C153,Sheet3!$H$2:$O$200,K$1,FALSE),IFERROR(VLOOKUP($D153,Sheet3!$H$2:$O$200,K$1,FALSE),VLOOKUP($E153,Sheet3!$H$2:$O$200,K$1,FALSE)))</f>
        <v>Angostura</v>
      </c>
      <c r="L153" s="15">
        <f>IFERROR(VLOOKUP($C153,Sheet3!$H$2:$O$200,L$1,FALSE),IFERROR(VLOOKUP($D153,Sheet3!$H$2:$O$200,L$1,FALSE),VLOOKUP($E153,Sheet3!$H$2:$O$200,L$1,FALSE)))</f>
        <v>0</v>
      </c>
      <c r="M153" s="15">
        <f>IFERROR(VLOOKUP($C153,Sheet3!$H$2:$O$200,M$1,FALSE),IFERROR(VLOOKUP($D153,Sheet3!$H$2:$O$200,M$1,FALSE),VLOOKUP($E153,Sheet3!$H$2:$O$200,M$1,FALSE)))</f>
        <v>0</v>
      </c>
      <c r="N153" s="15">
        <f>IFERROR(VLOOKUP($C153,Sheet3!$H$2:$O$200,N$1,FALSE),IFERROR(VLOOKUP($D153,Sheet3!$H$2:$O$200,N$1,FALSE),VLOOKUP($E153,Sheet3!$H$2:$O$200,N$1,FALSE)))</f>
        <v>0</v>
      </c>
      <c r="O153" s="15">
        <f>IFERROR(VLOOKUP($C153,Sheet3!$H$2:$O$200,O$1,FALSE),IFERROR(VLOOKUP($D153,Sheet3!$H$2:$O$200,O$1,FALSE),VLOOKUP($E153,Sheet3!$H$2:$O$200,O$1,FALSE)))</f>
        <v>0</v>
      </c>
      <c r="P153" s="15">
        <f>IFERROR(VLOOKUP($C153,Sheet3!$H$2:$O$200,P$1,FALSE),IFERROR(VLOOKUP($D153,Sheet3!$H$2:$O$200,P$1,FALSE),VLOOKUP($E153,Sheet3!$H$2:$O$200,P$1,FALSE)))</f>
        <v>0</v>
      </c>
      <c r="Q153" s="15">
        <f>IFERROR(IF(ISBLANK(J153),IFERROR(VLOOKUP($D153,Sheet3!$H$2:$O$200,Q$1,FALSE),IFERROR(VLOOKUP($E153,Sheet3!$H$2:$O$200,Q$1,FALSE),VLOOKUP($F153,Sheet3!$H$2:$O$200,Q$1,FALSE))),$I$1),$I$1)</f>
        <v>0</v>
      </c>
      <c r="R153" s="15">
        <f>IFERROR(IF(ISBLANK(K153),IFERROR(VLOOKUP($D153,Sheet3!$H$2:$O$200,R$1,FALSE),IFERROR(VLOOKUP($E153,Sheet3!$H$2:$O$200,R$1,FALSE),VLOOKUP($F153,Sheet3!$H$2:$O$200,R$1,FALSE))),$I$1),$I$1)</f>
        <v>0</v>
      </c>
      <c r="S153" s="15">
        <f>IFERROR(IF(ISBLANK(L153),IFERROR(VLOOKUP($D153,Sheet3!$H$2:$O$200,S$1,FALSE),IFERROR(VLOOKUP($E153,Sheet3!$H$2:$O$200,S$1,FALSE),VLOOKUP($F153,Sheet3!$H$2:$O$200,S$1,FALSE))),$I$1),$I$1)</f>
        <v>0</v>
      </c>
      <c r="T153" s="15">
        <f>IFERROR(IF(ISBLANK(M153),IFERROR(VLOOKUP($D153,Sheet3!$H$2:$O$200,T$1,FALSE),IFERROR(VLOOKUP($E153,Sheet3!$H$2:$O$200,T$1,FALSE),VLOOKUP($F153,Sheet3!$H$2:$O$200,T$1,FALSE))),$I$1),$I$1)</f>
        <v>0</v>
      </c>
      <c r="U153" s="15">
        <f>IFERROR(IF(ISBLANK(N153),IFERROR(VLOOKUP($D153,Sheet3!$H$2:$O$200,U$1,FALSE),IFERROR(VLOOKUP($E153,Sheet3!$H$2:$O$200,U$1,FALSE),VLOOKUP($F153,Sheet3!$H$2:$O$200,U$1,FALSE))),$I$1),$I$1)</f>
        <v>0</v>
      </c>
      <c r="V153" s="15">
        <f>IFERROR(IF(ISBLANK(O153),IFERROR(VLOOKUP($D153,Sheet3!$H$2:$O$200,V$1,FALSE),IFERROR(VLOOKUP($E153,Sheet3!$H$2:$O$200,V$1,FALSE),VLOOKUP($F153,Sheet3!$H$2:$O$200,V$1,FALSE))),$I$1),$I$1)</f>
        <v>0</v>
      </c>
      <c r="W153" s="15">
        <f>IFERROR(IF(ISBLANK(P153),IFERROR(VLOOKUP($D153,Sheet3!$H$2:$O$200,W$1,FALSE),IFERROR(VLOOKUP($E153,Sheet3!$H$2:$O$200,W$1,FALSE),VLOOKUP($F153,Sheet3!$H$2:$O$200,W$1,FALSE))),$I$1),$I$1)</f>
        <v>0</v>
      </c>
      <c r="X153" s="15">
        <f>IFERROR(IF(ISBLANK(Q153),IFERROR(VLOOKUP($E153,Sheet3!$H$2:$O$200,X$1,FALSE),IFERROR(VLOOKUP($F153,Sheet3!$H$2:$O$200,X$1,FALSE),VLOOKUP($G153,Sheet3!$H$2:$O$200,X$1,FALSE))),$I$1),$I$1)</f>
        <v>0</v>
      </c>
      <c r="Y153" s="15">
        <f>IFERROR(IF(ISBLANK(R153),IFERROR(VLOOKUP($E153,Sheet3!$H$2:$O$200,Y$1,FALSE),IFERROR(VLOOKUP($F153,Sheet3!$H$2:$O$200,Y$1,FALSE),VLOOKUP($G153,Sheet3!$H$2:$O$200,Y$1,FALSE))),$I$1),$I$1)</f>
        <v>0</v>
      </c>
      <c r="Z153" s="15">
        <f>IFERROR(IF(ISBLANK(S153),IFERROR(VLOOKUP($E153,Sheet3!$H$2:$O$200,Z$1,FALSE),IFERROR(VLOOKUP($F153,Sheet3!$H$2:$O$200,Z$1,FALSE),VLOOKUP($G153,Sheet3!$H$2:$O$200,Z$1,FALSE))),$I$1),$I$1)</f>
        <v>0</v>
      </c>
      <c r="AA153" s="15">
        <f>IFERROR(IF(ISBLANK(T153),IFERROR(VLOOKUP($E153,Sheet3!$H$2:$O$200,AA$1,FALSE),IFERROR(VLOOKUP($F153,Sheet3!$H$2:$O$200,AA$1,FALSE),VLOOKUP($G153,Sheet3!$H$2:$O$200,AA$1,FALSE))),$I$1),$I$1)</f>
        <v>0</v>
      </c>
      <c r="AB153" s="15">
        <f>IFERROR(IF(ISBLANK(U153),IFERROR(VLOOKUP($E153,Sheet3!$H$2:$O$200,AB$1,FALSE),IFERROR(VLOOKUP($F153,Sheet3!$H$2:$O$200,AB$1,FALSE),VLOOKUP($G153,Sheet3!$H$2:$O$200,AB$1,FALSE))),$I$1),$I$1)</f>
        <v>0</v>
      </c>
      <c r="AC153" s="15">
        <f>IFERROR(IF(ISBLANK(V153),IFERROR(VLOOKUP($E153,Sheet3!$H$2:$O$200,AC$1,FALSE),IFERROR(VLOOKUP($F153,Sheet3!$H$2:$O$200,AC$1,FALSE),VLOOKUP($G153,Sheet3!$H$2:$O$200,AC$1,FALSE))),$I$1),$I$1)</f>
        <v>0</v>
      </c>
      <c r="AD153" s="15">
        <f>IFERROR(IF(ISBLANK(W153),IFERROR(VLOOKUP($E153,Sheet3!$H$2:$O$200,AD$1,FALSE),IFERROR(VLOOKUP($F153,Sheet3!$H$2:$O$200,AD$1,FALSE),VLOOKUP($G153,Sheet3!$H$2:$O$200,AD$1,FALSE))),$I$1),$I$1)</f>
        <v>0</v>
      </c>
      <c r="AE153" s="15">
        <f>IFERROR(IF(ISBLANK(X153),IFERROR(VLOOKUP($F153,Sheet3!$H$2:$O$200,AE$1,FALSE),VLOOKUP($G153,Sheet3!$H$2:$O$200,AE$1,FALSE)),$I$1),$I$1)</f>
        <v>0</v>
      </c>
      <c r="AF153" s="15">
        <f>IFERROR(IF(ISBLANK(Y153),IFERROR(VLOOKUP($F153,Sheet3!$H$2:$O$200,AF$1,FALSE),VLOOKUP($G153,Sheet3!$H$2:$O$200,AF$1,FALSE)),$I$1),$I$1)</f>
        <v>0</v>
      </c>
      <c r="AG153" s="15">
        <f>IFERROR(IF(ISBLANK(Z153),IFERROR(VLOOKUP($F153,Sheet3!$H$2:$O$200,AG$1,FALSE),VLOOKUP($G153,Sheet3!$H$2:$O$200,AG$1,FALSE)),$I$1),$I$1)</f>
        <v>0</v>
      </c>
      <c r="AH153" s="15">
        <f>IFERROR(IF(ISBLANK(AA153),IFERROR(VLOOKUP($F153,Sheet3!$H$2:$O$200,AH$1,FALSE),VLOOKUP($G153,Sheet3!$H$2:$O$200,AH$1,FALSE)),$I$1),$I$1)</f>
        <v>0</v>
      </c>
      <c r="AI153" s="15">
        <f>IFERROR(IF(ISBLANK(AB153),IFERROR(VLOOKUP($F153,Sheet3!$H$2:$O$200,AI$1,FALSE),VLOOKUP($G153,Sheet3!$H$2:$O$200,AI$1,FALSE)),$I$1),$I$1)</f>
        <v>0</v>
      </c>
      <c r="AJ153" s="15">
        <f>IFERROR(IF(ISBLANK(AC153),IFERROR(VLOOKUP($F153,Sheet3!$H$2:$O$200,AJ$1,FALSE),VLOOKUP($G153,Sheet3!$H$2:$O$200,AJ$1,FALSE)),$I$1),$I$1)</f>
        <v>0</v>
      </c>
      <c r="AK153" s="15">
        <f>IFERROR(IF(ISBLANK(AD153),IFERROR(VLOOKUP($F153,Sheet3!$H$2:$O$200,AK$1,FALSE),VLOOKUP($G153,Sheet3!$H$2:$O$200,AK$1,FALSE)),$I$1),$I$1)</f>
        <v>0</v>
      </c>
      <c r="AL153" s="15">
        <f>IFERROR(IF(ISBLANK(AE153),VLOOKUP($G153,Sheet3!$H$2:$O$200,AL$1,FALSE),$I$1),$I$1)</f>
        <v>0</v>
      </c>
      <c r="AM153" s="15">
        <f>IFERROR(IF(ISBLANK(AF153),VLOOKUP($G153,Sheet3!$H$2:$O$200,AM$1,FALSE),$I$1),$I$1)</f>
        <v>0</v>
      </c>
      <c r="AN153" s="15">
        <f>IFERROR(IF(ISBLANK(AG153),VLOOKUP($G153,Sheet3!$H$2:$O$200,AN$1,FALSE),$I$1),$I$1)</f>
        <v>0</v>
      </c>
      <c r="AO153" s="15">
        <f>IFERROR(IF(ISBLANK(AH153),VLOOKUP($G153,Sheet3!$H$2:$O$200,AO$1,FALSE),$I$1),$I$1)</f>
        <v>0</v>
      </c>
      <c r="AP153" s="15">
        <f>IFERROR(IF(ISBLANK(AI153),VLOOKUP($G153,Sheet3!$H$2:$O$200,AP$1,FALSE),$I$1),$I$1)</f>
        <v>0</v>
      </c>
      <c r="AQ153" s="15">
        <f>IFERROR(IF(ISBLANK(AJ153),VLOOKUP($G153,Sheet3!$H$2:$O$200,AQ$1,FALSE),$I$1),$I$1)</f>
        <v>0</v>
      </c>
      <c r="AR153" s="15">
        <f>IFERROR(IF(ISBLANK(AK153),VLOOKUP($G153,Sheet3!$H$2:$O$200,AR$1,FALSE),$I$1),$I$1)</f>
        <v>0</v>
      </c>
      <c r="AS153" s="15">
        <f t="shared" si="1"/>
        <v>28</v>
      </c>
      <c r="AT153" s="15" t="b">
        <f t="shared" si="2"/>
        <v>0</v>
      </c>
    </row>
    <row r="154" spans="1:46" x14ac:dyDescent="0.2">
      <c r="A154" s="19" t="s">
        <v>316</v>
      </c>
      <c r="B154" s="19" t="s">
        <v>317</v>
      </c>
      <c r="C154" s="19" t="s">
        <v>30</v>
      </c>
      <c r="D154" s="19"/>
      <c r="E154" s="19"/>
      <c r="F154" s="19"/>
      <c r="G154" s="19"/>
      <c r="H154" s="19" t="s">
        <v>316</v>
      </c>
      <c r="I154" s="15">
        <f t="shared" si="0"/>
        <v>1</v>
      </c>
      <c r="J154" s="15">
        <f>IFERROR(VLOOKUP($C154,Sheet3!$H$2:$O$200,J$1,FALSE),IFERROR(VLOOKUP($D154,Sheet3!$H$2:$O$200,J$1,FALSE),VLOOKUP($E154,Sheet3!$H$2:$O$200,J$1,FALSE)))</f>
        <v>0</v>
      </c>
      <c r="K154" s="15">
        <f>IFERROR(VLOOKUP($C154,Sheet3!$H$2:$O$200,K$1,FALSE),IFERROR(VLOOKUP($D154,Sheet3!$H$2:$O$200,K$1,FALSE),VLOOKUP($E154,Sheet3!$H$2:$O$200,K$1,FALSE)))</f>
        <v>0</v>
      </c>
      <c r="L154" s="15">
        <f>IFERROR(VLOOKUP($C154,Sheet3!$H$2:$O$200,L$1,FALSE),IFERROR(VLOOKUP($D154,Sheet3!$H$2:$O$200,L$1,FALSE),VLOOKUP($E154,Sheet3!$H$2:$O$200,L$1,FALSE)))</f>
        <v>0</v>
      </c>
      <c r="M154" s="15" t="str">
        <f>IFERROR(VLOOKUP($C154,Sheet3!$H$2:$O$200,M$1,FALSE),IFERROR(VLOOKUP($D154,Sheet3!$H$2:$O$200,M$1,FALSE),VLOOKUP($E154,Sheet3!$H$2:$O$200,M$1,FALSE)))</f>
        <v>amaretto</v>
      </c>
      <c r="N154" s="15">
        <f>IFERROR(VLOOKUP($C154,Sheet3!$H$2:$O$200,N$1,FALSE),IFERROR(VLOOKUP($D154,Sheet3!$H$2:$O$200,N$1,FALSE),VLOOKUP($E154,Sheet3!$H$2:$O$200,N$1,FALSE)))</f>
        <v>0</v>
      </c>
      <c r="O154" s="15">
        <f>IFERROR(VLOOKUP($C154,Sheet3!$H$2:$O$200,O$1,FALSE),IFERROR(VLOOKUP($D154,Sheet3!$H$2:$O$200,O$1,FALSE),VLOOKUP($E154,Sheet3!$H$2:$O$200,O$1,FALSE)))</f>
        <v>0</v>
      </c>
      <c r="P154" s="15">
        <f>IFERROR(VLOOKUP($C154,Sheet3!$H$2:$O$200,P$1,FALSE),IFERROR(VLOOKUP($D154,Sheet3!$H$2:$O$200,P$1,FALSE),VLOOKUP($E154,Sheet3!$H$2:$O$200,P$1,FALSE)))</f>
        <v>0</v>
      </c>
      <c r="Q154" s="15">
        <f>IFERROR(IF(ISBLANK(J154),IFERROR(VLOOKUP($D154,Sheet3!$H$2:$O$200,Q$1,FALSE),IFERROR(VLOOKUP($E154,Sheet3!$H$2:$O$200,Q$1,FALSE),VLOOKUP($F154,Sheet3!$H$2:$O$200,Q$1,FALSE))),$I$1),$I$1)</f>
        <v>0</v>
      </c>
      <c r="R154" s="15">
        <f>IFERROR(IF(ISBLANK(K154),IFERROR(VLOOKUP($D154,Sheet3!$H$2:$O$200,R$1,FALSE),IFERROR(VLOOKUP($E154,Sheet3!$H$2:$O$200,R$1,FALSE),VLOOKUP($F154,Sheet3!$H$2:$O$200,R$1,FALSE))),$I$1),$I$1)</f>
        <v>0</v>
      </c>
      <c r="S154" s="15">
        <f>IFERROR(IF(ISBLANK(L154),IFERROR(VLOOKUP($D154,Sheet3!$H$2:$O$200,S$1,FALSE),IFERROR(VLOOKUP($E154,Sheet3!$H$2:$O$200,S$1,FALSE),VLOOKUP($F154,Sheet3!$H$2:$O$200,S$1,FALSE))),$I$1),$I$1)</f>
        <v>0</v>
      </c>
      <c r="T154" s="15">
        <f>IFERROR(IF(ISBLANK(M154),IFERROR(VLOOKUP($D154,Sheet3!$H$2:$O$200,T$1,FALSE),IFERROR(VLOOKUP($E154,Sheet3!$H$2:$O$200,T$1,FALSE),VLOOKUP($F154,Sheet3!$H$2:$O$200,T$1,FALSE))),$I$1),$I$1)</f>
        <v>0</v>
      </c>
      <c r="U154" s="15">
        <f>IFERROR(IF(ISBLANK(N154),IFERROR(VLOOKUP($D154,Sheet3!$H$2:$O$200,U$1,FALSE),IFERROR(VLOOKUP($E154,Sheet3!$H$2:$O$200,U$1,FALSE),VLOOKUP($F154,Sheet3!$H$2:$O$200,U$1,FALSE))),$I$1),$I$1)</f>
        <v>0</v>
      </c>
      <c r="V154" s="15">
        <f>IFERROR(IF(ISBLANK(O154),IFERROR(VLOOKUP($D154,Sheet3!$H$2:$O$200,V$1,FALSE),IFERROR(VLOOKUP($E154,Sheet3!$H$2:$O$200,V$1,FALSE),VLOOKUP($F154,Sheet3!$H$2:$O$200,V$1,FALSE))),$I$1),$I$1)</f>
        <v>0</v>
      </c>
      <c r="W154" s="15">
        <f>IFERROR(IF(ISBLANK(P154),IFERROR(VLOOKUP($D154,Sheet3!$H$2:$O$200,W$1,FALSE),IFERROR(VLOOKUP($E154,Sheet3!$H$2:$O$200,W$1,FALSE),VLOOKUP($F154,Sheet3!$H$2:$O$200,W$1,FALSE))),$I$1),$I$1)</f>
        <v>0</v>
      </c>
      <c r="X154" s="15">
        <f>IFERROR(IF(ISBLANK(Q154),IFERROR(VLOOKUP($E154,Sheet3!$H$2:$O$200,X$1,FALSE),IFERROR(VLOOKUP($F154,Sheet3!$H$2:$O$200,X$1,FALSE),VLOOKUP($G154,Sheet3!$H$2:$O$200,X$1,FALSE))),$I$1),$I$1)</f>
        <v>0</v>
      </c>
      <c r="Y154" s="15">
        <f>IFERROR(IF(ISBLANK(R154),IFERROR(VLOOKUP($E154,Sheet3!$H$2:$O$200,Y$1,FALSE),IFERROR(VLOOKUP($F154,Sheet3!$H$2:$O$200,Y$1,FALSE),VLOOKUP($G154,Sheet3!$H$2:$O$200,Y$1,FALSE))),$I$1),$I$1)</f>
        <v>0</v>
      </c>
      <c r="Z154" s="15">
        <f>IFERROR(IF(ISBLANK(S154),IFERROR(VLOOKUP($E154,Sheet3!$H$2:$O$200,Z$1,FALSE),IFERROR(VLOOKUP($F154,Sheet3!$H$2:$O$200,Z$1,FALSE),VLOOKUP($G154,Sheet3!$H$2:$O$200,Z$1,FALSE))),$I$1),$I$1)</f>
        <v>0</v>
      </c>
      <c r="AA154" s="15">
        <f>IFERROR(IF(ISBLANK(T154),IFERROR(VLOOKUP($E154,Sheet3!$H$2:$O$200,AA$1,FALSE),IFERROR(VLOOKUP($F154,Sheet3!$H$2:$O$200,AA$1,FALSE),VLOOKUP($G154,Sheet3!$H$2:$O$200,AA$1,FALSE))),$I$1),$I$1)</f>
        <v>0</v>
      </c>
      <c r="AB154" s="15">
        <f>IFERROR(IF(ISBLANK(U154),IFERROR(VLOOKUP($E154,Sheet3!$H$2:$O$200,AB$1,FALSE),IFERROR(VLOOKUP($F154,Sheet3!$H$2:$O$200,AB$1,FALSE),VLOOKUP($G154,Sheet3!$H$2:$O$200,AB$1,FALSE))),$I$1),$I$1)</f>
        <v>0</v>
      </c>
      <c r="AC154" s="15">
        <f>IFERROR(IF(ISBLANK(V154),IFERROR(VLOOKUP($E154,Sheet3!$H$2:$O$200,AC$1,FALSE),IFERROR(VLOOKUP($F154,Sheet3!$H$2:$O$200,AC$1,FALSE),VLOOKUP($G154,Sheet3!$H$2:$O$200,AC$1,FALSE))),$I$1),$I$1)</f>
        <v>0</v>
      </c>
      <c r="AD154" s="15">
        <f>IFERROR(IF(ISBLANK(W154),IFERROR(VLOOKUP($E154,Sheet3!$H$2:$O$200,AD$1,FALSE),IFERROR(VLOOKUP($F154,Sheet3!$H$2:$O$200,AD$1,FALSE),VLOOKUP($G154,Sheet3!$H$2:$O$200,AD$1,FALSE))),$I$1),$I$1)</f>
        <v>0</v>
      </c>
      <c r="AE154" s="15">
        <f>IFERROR(IF(ISBLANK(X154),IFERROR(VLOOKUP($F154,Sheet3!$H$2:$O$200,AE$1,FALSE),VLOOKUP($G154,Sheet3!$H$2:$O$200,AE$1,FALSE)),$I$1),$I$1)</f>
        <v>0</v>
      </c>
      <c r="AF154" s="15">
        <f>IFERROR(IF(ISBLANK(Y154),IFERROR(VLOOKUP($F154,Sheet3!$H$2:$O$200,AF$1,FALSE),VLOOKUP($G154,Sheet3!$H$2:$O$200,AF$1,FALSE)),$I$1),$I$1)</f>
        <v>0</v>
      </c>
      <c r="AG154" s="15">
        <f>IFERROR(IF(ISBLANK(Z154),IFERROR(VLOOKUP($F154,Sheet3!$H$2:$O$200,AG$1,FALSE),VLOOKUP($G154,Sheet3!$H$2:$O$200,AG$1,FALSE)),$I$1),$I$1)</f>
        <v>0</v>
      </c>
      <c r="AH154" s="15">
        <f>IFERROR(IF(ISBLANK(AA154),IFERROR(VLOOKUP($F154,Sheet3!$H$2:$O$200,AH$1,FALSE),VLOOKUP($G154,Sheet3!$H$2:$O$200,AH$1,FALSE)),$I$1),$I$1)</f>
        <v>0</v>
      </c>
      <c r="AI154" s="15">
        <f>IFERROR(IF(ISBLANK(AB154),IFERROR(VLOOKUP($F154,Sheet3!$H$2:$O$200,AI$1,FALSE),VLOOKUP($G154,Sheet3!$H$2:$O$200,AI$1,FALSE)),$I$1),$I$1)</f>
        <v>0</v>
      </c>
      <c r="AJ154" s="15">
        <f>IFERROR(IF(ISBLANK(AC154),IFERROR(VLOOKUP($F154,Sheet3!$H$2:$O$200,AJ$1,FALSE),VLOOKUP($G154,Sheet3!$H$2:$O$200,AJ$1,FALSE)),$I$1),$I$1)</f>
        <v>0</v>
      </c>
      <c r="AK154" s="15">
        <f>IFERROR(IF(ISBLANK(AD154),IFERROR(VLOOKUP($F154,Sheet3!$H$2:$O$200,AK$1,FALSE),VLOOKUP($G154,Sheet3!$H$2:$O$200,AK$1,FALSE)),$I$1),$I$1)</f>
        <v>0</v>
      </c>
      <c r="AL154" s="15">
        <f>IFERROR(IF(ISBLANK(AE154),VLOOKUP($G154,Sheet3!$H$2:$O$200,AL$1,FALSE),$I$1),$I$1)</f>
        <v>0</v>
      </c>
      <c r="AM154" s="15">
        <f>IFERROR(IF(ISBLANK(AF154),VLOOKUP($G154,Sheet3!$H$2:$O$200,AM$1,FALSE),$I$1),$I$1)</f>
        <v>0</v>
      </c>
      <c r="AN154" s="15">
        <f>IFERROR(IF(ISBLANK(AG154),VLOOKUP($G154,Sheet3!$H$2:$O$200,AN$1,FALSE),$I$1),$I$1)</f>
        <v>0</v>
      </c>
      <c r="AO154" s="15">
        <f>IFERROR(IF(ISBLANK(AH154),VLOOKUP($G154,Sheet3!$H$2:$O$200,AO$1,FALSE),$I$1),$I$1)</f>
        <v>0</v>
      </c>
      <c r="AP154" s="15">
        <f>IFERROR(IF(ISBLANK(AI154),VLOOKUP($G154,Sheet3!$H$2:$O$200,AP$1,FALSE),$I$1),$I$1)</f>
        <v>0</v>
      </c>
      <c r="AQ154" s="15">
        <f>IFERROR(IF(ISBLANK(AJ154),VLOOKUP($G154,Sheet3!$H$2:$O$200,AQ$1,FALSE),$I$1),$I$1)</f>
        <v>0</v>
      </c>
      <c r="AR154" s="15">
        <f>IFERROR(IF(ISBLANK(AK154),VLOOKUP($G154,Sheet3!$H$2:$O$200,AR$1,FALSE),$I$1),$I$1)</f>
        <v>0</v>
      </c>
      <c r="AS154" s="15">
        <f t="shared" si="1"/>
        <v>28</v>
      </c>
      <c r="AT154" s="15" t="b">
        <f t="shared" si="2"/>
        <v>0</v>
      </c>
    </row>
    <row r="155" spans="1:46" x14ac:dyDescent="0.2">
      <c r="A155" s="19" t="s">
        <v>318</v>
      </c>
      <c r="B155" s="19" t="s">
        <v>317</v>
      </c>
      <c r="C155" s="19" t="s">
        <v>30</v>
      </c>
      <c r="D155" s="19"/>
      <c r="E155" s="19" t="s">
        <v>32</v>
      </c>
      <c r="F155" s="19"/>
      <c r="G155" s="19"/>
      <c r="H155" s="19" t="s">
        <v>318</v>
      </c>
      <c r="I155" s="15">
        <f t="shared" si="0"/>
        <v>2</v>
      </c>
      <c r="J155" s="15">
        <f>IFERROR(VLOOKUP($C155,Sheet3!$H$2:$O$200,J$1,FALSE),IFERROR(VLOOKUP($D155,Sheet3!$H$2:$O$200,J$1,FALSE),VLOOKUP($E155,Sheet3!$H$2:$O$200,J$1,FALSE)))</f>
        <v>0</v>
      </c>
      <c r="K155" s="15">
        <f>IFERROR(VLOOKUP($C155,Sheet3!$H$2:$O$200,K$1,FALSE),IFERROR(VLOOKUP($D155,Sheet3!$H$2:$O$200,K$1,FALSE),VLOOKUP($E155,Sheet3!$H$2:$O$200,K$1,FALSE)))</f>
        <v>0</v>
      </c>
      <c r="L155" s="15">
        <f>IFERROR(VLOOKUP($C155,Sheet3!$H$2:$O$200,L$1,FALSE),IFERROR(VLOOKUP($D155,Sheet3!$H$2:$O$200,L$1,FALSE),VLOOKUP($E155,Sheet3!$H$2:$O$200,L$1,FALSE)))</f>
        <v>0</v>
      </c>
      <c r="M155" s="15" t="str">
        <f>IFERROR(VLOOKUP($C155,Sheet3!$H$2:$O$200,M$1,FALSE),IFERROR(VLOOKUP($D155,Sheet3!$H$2:$O$200,M$1,FALSE),VLOOKUP($E155,Sheet3!$H$2:$O$200,M$1,FALSE)))</f>
        <v>amaretto</v>
      </c>
      <c r="N155" s="15">
        <f>IFERROR(VLOOKUP($C155,Sheet3!$H$2:$O$200,N$1,FALSE),IFERROR(VLOOKUP($D155,Sheet3!$H$2:$O$200,N$1,FALSE),VLOOKUP($E155,Sheet3!$H$2:$O$200,N$1,FALSE)))</f>
        <v>0</v>
      </c>
      <c r="O155" s="15">
        <f>IFERROR(VLOOKUP($C155,Sheet3!$H$2:$O$200,O$1,FALSE),IFERROR(VLOOKUP($D155,Sheet3!$H$2:$O$200,O$1,FALSE),VLOOKUP($E155,Sheet3!$H$2:$O$200,O$1,FALSE)))</f>
        <v>0</v>
      </c>
      <c r="P155" s="15">
        <f>IFERROR(VLOOKUP($C155,Sheet3!$H$2:$O$200,P$1,FALSE),IFERROR(VLOOKUP($D155,Sheet3!$H$2:$O$200,P$1,FALSE),VLOOKUP($E155,Sheet3!$H$2:$O$200,P$1,FALSE)))</f>
        <v>0</v>
      </c>
      <c r="Q155" s="15">
        <f>IFERROR(IF(ISBLANK(J155),IFERROR(VLOOKUP($D155,Sheet3!$H$2:$O$200,Q$1,FALSE),IFERROR(VLOOKUP($E155,Sheet3!$H$2:$O$200,Q$1,FALSE),VLOOKUP($F155,Sheet3!$H$2:$O$200,Q$1,FALSE))),$I$1),$I$1)</f>
        <v>0</v>
      </c>
      <c r="R155" s="15">
        <f>IFERROR(IF(ISBLANK(K155),IFERROR(VLOOKUP($D155,Sheet3!$H$2:$O$200,R$1,FALSE),IFERROR(VLOOKUP($E155,Sheet3!$H$2:$O$200,R$1,FALSE),VLOOKUP($F155,Sheet3!$H$2:$O$200,R$1,FALSE))),$I$1),$I$1)</f>
        <v>0</v>
      </c>
      <c r="S155" s="15">
        <f>IFERROR(IF(ISBLANK(L155),IFERROR(VLOOKUP($D155,Sheet3!$H$2:$O$200,S$1,FALSE),IFERROR(VLOOKUP($E155,Sheet3!$H$2:$O$200,S$1,FALSE),VLOOKUP($F155,Sheet3!$H$2:$O$200,S$1,FALSE))),$I$1),$I$1)</f>
        <v>0</v>
      </c>
      <c r="T155" s="15">
        <f>IFERROR(IF(ISBLANK(M155),IFERROR(VLOOKUP($D155,Sheet3!$H$2:$O$200,T$1,FALSE),IFERROR(VLOOKUP($E155,Sheet3!$H$2:$O$200,T$1,FALSE),VLOOKUP($F155,Sheet3!$H$2:$O$200,T$1,FALSE))),$I$1),$I$1)</f>
        <v>0</v>
      </c>
      <c r="U155" s="15">
        <f>IFERROR(IF(ISBLANK(N155),IFERROR(VLOOKUP($D155,Sheet3!$H$2:$O$200,U$1,FALSE),IFERROR(VLOOKUP($E155,Sheet3!$H$2:$O$200,U$1,FALSE),VLOOKUP($F155,Sheet3!$H$2:$O$200,U$1,FALSE))),$I$1),$I$1)</f>
        <v>0</v>
      </c>
      <c r="V155" s="15">
        <f>IFERROR(IF(ISBLANK(O155),IFERROR(VLOOKUP($D155,Sheet3!$H$2:$O$200,V$1,FALSE),IFERROR(VLOOKUP($E155,Sheet3!$H$2:$O$200,V$1,FALSE),VLOOKUP($F155,Sheet3!$H$2:$O$200,V$1,FALSE))),$I$1),$I$1)</f>
        <v>0</v>
      </c>
      <c r="W155" s="15">
        <f>IFERROR(IF(ISBLANK(P155),IFERROR(VLOOKUP($D155,Sheet3!$H$2:$O$200,W$1,FALSE),IFERROR(VLOOKUP($E155,Sheet3!$H$2:$O$200,W$1,FALSE),VLOOKUP($F155,Sheet3!$H$2:$O$200,W$1,FALSE))),$I$1),$I$1)</f>
        <v>0</v>
      </c>
      <c r="X155" s="15">
        <f>IFERROR(IF(ISBLANK(Q155),IFERROR(VLOOKUP($E155,Sheet3!$H$2:$O$200,X$1,FALSE),IFERROR(VLOOKUP($F155,Sheet3!$H$2:$O$200,X$1,FALSE),VLOOKUP($G155,Sheet3!$H$2:$O$200,X$1,FALSE))),$I$1),$I$1)</f>
        <v>0</v>
      </c>
      <c r="Y155" s="15">
        <f>IFERROR(IF(ISBLANK(R155),IFERROR(VLOOKUP($E155,Sheet3!$H$2:$O$200,Y$1,FALSE),IFERROR(VLOOKUP($F155,Sheet3!$H$2:$O$200,Y$1,FALSE),VLOOKUP($G155,Sheet3!$H$2:$O$200,Y$1,FALSE))),$I$1),$I$1)</f>
        <v>0</v>
      </c>
      <c r="Z155" s="15">
        <f>IFERROR(IF(ISBLANK(S155),IFERROR(VLOOKUP($E155,Sheet3!$H$2:$O$200,Z$1,FALSE),IFERROR(VLOOKUP($F155,Sheet3!$H$2:$O$200,Z$1,FALSE),VLOOKUP($G155,Sheet3!$H$2:$O$200,Z$1,FALSE))),$I$1),$I$1)</f>
        <v>0</v>
      </c>
      <c r="AA155" s="15">
        <f>IFERROR(IF(ISBLANK(T155),IFERROR(VLOOKUP($E155,Sheet3!$H$2:$O$200,AA$1,FALSE),IFERROR(VLOOKUP($F155,Sheet3!$H$2:$O$200,AA$1,FALSE),VLOOKUP($G155,Sheet3!$H$2:$O$200,AA$1,FALSE))),$I$1),$I$1)</f>
        <v>0</v>
      </c>
      <c r="AB155" s="15">
        <f>IFERROR(IF(ISBLANK(U155),IFERROR(VLOOKUP($E155,Sheet3!$H$2:$O$200,AB$1,FALSE),IFERROR(VLOOKUP($F155,Sheet3!$H$2:$O$200,AB$1,FALSE),VLOOKUP($G155,Sheet3!$H$2:$O$200,AB$1,FALSE))),$I$1),$I$1)</f>
        <v>0</v>
      </c>
      <c r="AC155" s="15">
        <f>IFERROR(IF(ISBLANK(V155),IFERROR(VLOOKUP($E155,Sheet3!$H$2:$O$200,AC$1,FALSE),IFERROR(VLOOKUP($F155,Sheet3!$H$2:$O$200,AC$1,FALSE),VLOOKUP($G155,Sheet3!$H$2:$O$200,AC$1,FALSE))),$I$1),$I$1)</f>
        <v>0</v>
      </c>
      <c r="AD155" s="15">
        <f>IFERROR(IF(ISBLANK(W155),IFERROR(VLOOKUP($E155,Sheet3!$H$2:$O$200,AD$1,FALSE),IFERROR(VLOOKUP($F155,Sheet3!$H$2:$O$200,AD$1,FALSE),VLOOKUP($G155,Sheet3!$H$2:$O$200,AD$1,FALSE))),$I$1),$I$1)</f>
        <v>0</v>
      </c>
      <c r="AE155" s="15">
        <f>IFERROR(IF(ISBLANK(X155),IFERROR(VLOOKUP($F155,Sheet3!$H$2:$O$200,AE$1,FALSE),VLOOKUP($G155,Sheet3!$H$2:$O$200,AE$1,FALSE)),$I$1),$I$1)</f>
        <v>0</v>
      </c>
      <c r="AF155" s="15">
        <f>IFERROR(IF(ISBLANK(Y155),IFERROR(VLOOKUP($F155,Sheet3!$H$2:$O$200,AF$1,FALSE),VLOOKUP($G155,Sheet3!$H$2:$O$200,AF$1,FALSE)),$I$1),$I$1)</f>
        <v>0</v>
      </c>
      <c r="AG155" s="15">
        <f>IFERROR(IF(ISBLANK(Z155),IFERROR(VLOOKUP($F155,Sheet3!$H$2:$O$200,AG$1,FALSE),VLOOKUP($G155,Sheet3!$H$2:$O$200,AG$1,FALSE)),$I$1),$I$1)</f>
        <v>0</v>
      </c>
      <c r="AH155" s="15">
        <f>IFERROR(IF(ISBLANK(AA155),IFERROR(VLOOKUP($F155,Sheet3!$H$2:$O$200,AH$1,FALSE),VLOOKUP($G155,Sheet3!$H$2:$O$200,AH$1,FALSE)),$I$1),$I$1)</f>
        <v>0</v>
      </c>
      <c r="AI155" s="15">
        <f>IFERROR(IF(ISBLANK(AB155),IFERROR(VLOOKUP($F155,Sheet3!$H$2:$O$200,AI$1,FALSE),VLOOKUP($G155,Sheet3!$H$2:$O$200,AI$1,FALSE)),$I$1),$I$1)</f>
        <v>0</v>
      </c>
      <c r="AJ155" s="15">
        <f>IFERROR(IF(ISBLANK(AC155),IFERROR(VLOOKUP($F155,Sheet3!$H$2:$O$200,AJ$1,FALSE),VLOOKUP($G155,Sheet3!$H$2:$O$200,AJ$1,FALSE)),$I$1),$I$1)</f>
        <v>0</v>
      </c>
      <c r="AK155" s="15">
        <f>IFERROR(IF(ISBLANK(AD155),IFERROR(VLOOKUP($F155,Sheet3!$H$2:$O$200,AK$1,FALSE),VLOOKUP($G155,Sheet3!$H$2:$O$200,AK$1,FALSE)),$I$1),$I$1)</f>
        <v>0</v>
      </c>
      <c r="AL155" s="15">
        <f>IFERROR(IF(ISBLANK(AE155),VLOOKUP($G155,Sheet3!$H$2:$O$200,AL$1,FALSE),$I$1),$I$1)</f>
        <v>0</v>
      </c>
      <c r="AM155" s="15">
        <f>IFERROR(IF(ISBLANK(AF155),VLOOKUP($G155,Sheet3!$H$2:$O$200,AM$1,FALSE),$I$1),$I$1)</f>
        <v>0</v>
      </c>
      <c r="AN155" s="15">
        <f>IFERROR(IF(ISBLANK(AG155),VLOOKUP($G155,Sheet3!$H$2:$O$200,AN$1,FALSE),$I$1),$I$1)</f>
        <v>0</v>
      </c>
      <c r="AO155" s="15">
        <f>IFERROR(IF(ISBLANK(AH155),VLOOKUP($G155,Sheet3!$H$2:$O$200,AO$1,FALSE),$I$1),$I$1)</f>
        <v>0</v>
      </c>
      <c r="AP155" s="15">
        <f>IFERROR(IF(ISBLANK(AI155),VLOOKUP($G155,Sheet3!$H$2:$O$200,AP$1,FALSE),$I$1),$I$1)</f>
        <v>0</v>
      </c>
      <c r="AQ155" s="15">
        <f>IFERROR(IF(ISBLANK(AJ155),VLOOKUP($G155,Sheet3!$H$2:$O$200,AQ$1,FALSE),$I$1),$I$1)</f>
        <v>0</v>
      </c>
      <c r="AR155" s="15">
        <f>IFERROR(IF(ISBLANK(AK155),VLOOKUP($G155,Sheet3!$H$2:$O$200,AR$1,FALSE),$I$1),$I$1)</f>
        <v>0</v>
      </c>
      <c r="AS155" s="15">
        <f t="shared" si="1"/>
        <v>28</v>
      </c>
      <c r="AT155" s="15" t="b">
        <f t="shared" si="2"/>
        <v>0</v>
      </c>
    </row>
    <row r="156" spans="1:46" x14ac:dyDescent="0.2">
      <c r="A156" s="19" t="s">
        <v>319</v>
      </c>
      <c r="B156" s="19" t="s">
        <v>317</v>
      </c>
      <c r="C156" s="19" t="s">
        <v>173</v>
      </c>
      <c r="D156" s="19"/>
      <c r="E156" s="19"/>
      <c r="F156" s="19"/>
      <c r="G156" s="19"/>
      <c r="H156" s="19" t="s">
        <v>319</v>
      </c>
      <c r="I156" s="15">
        <f t="shared" si="0"/>
        <v>1</v>
      </c>
      <c r="J156" s="15">
        <f>IFERROR(VLOOKUP($C156,Sheet3!$H$2:$O$200,J$1,FALSE),IFERROR(VLOOKUP($D156,Sheet3!$H$2:$O$200,J$1,FALSE),VLOOKUP($E156,Sheet3!$H$2:$O$200,J$1,FALSE)))</f>
        <v>0</v>
      </c>
      <c r="K156" s="15">
        <f>IFERROR(VLOOKUP($C156,Sheet3!$H$2:$O$200,K$1,FALSE),IFERROR(VLOOKUP($D156,Sheet3!$H$2:$O$200,K$1,FALSE),VLOOKUP($E156,Sheet3!$H$2:$O$200,K$1,FALSE)))</f>
        <v>0</v>
      </c>
      <c r="L156" s="15">
        <f>IFERROR(VLOOKUP($C156,Sheet3!$H$2:$O$200,L$1,FALSE),IFERROR(VLOOKUP($D156,Sheet3!$H$2:$O$200,L$1,FALSE),VLOOKUP($E156,Sheet3!$H$2:$O$200,L$1,FALSE)))</f>
        <v>0</v>
      </c>
      <c r="M156" s="15" t="str">
        <f>IFERROR(VLOOKUP($C156,Sheet3!$H$2:$O$200,M$1,FALSE),IFERROR(VLOOKUP($D156,Sheet3!$H$2:$O$200,M$1,FALSE),VLOOKUP($E156,Sheet3!$H$2:$O$200,M$1,FALSE)))</f>
        <v>ginger liqueur</v>
      </c>
      <c r="N156" s="15">
        <f>IFERROR(VLOOKUP($C156,Sheet3!$H$2:$O$200,N$1,FALSE),IFERROR(VLOOKUP($D156,Sheet3!$H$2:$O$200,N$1,FALSE),VLOOKUP($E156,Sheet3!$H$2:$O$200,N$1,FALSE)))</f>
        <v>0</v>
      </c>
      <c r="O156" s="15">
        <f>IFERROR(VLOOKUP($C156,Sheet3!$H$2:$O$200,O$1,FALSE),IFERROR(VLOOKUP($D156,Sheet3!$H$2:$O$200,O$1,FALSE),VLOOKUP($E156,Sheet3!$H$2:$O$200,O$1,FALSE)))</f>
        <v>0</v>
      </c>
      <c r="P156" s="15">
        <f>IFERROR(VLOOKUP($C156,Sheet3!$H$2:$O$200,P$1,FALSE),IFERROR(VLOOKUP($D156,Sheet3!$H$2:$O$200,P$1,FALSE),VLOOKUP($E156,Sheet3!$H$2:$O$200,P$1,FALSE)))</f>
        <v>0</v>
      </c>
      <c r="Q156" s="15">
        <f>IFERROR(IF(ISBLANK(J156),IFERROR(VLOOKUP($D156,Sheet3!$H$2:$O$200,Q$1,FALSE),IFERROR(VLOOKUP($E156,Sheet3!$H$2:$O$200,Q$1,FALSE),VLOOKUP($F156,Sheet3!$H$2:$O$200,Q$1,FALSE))),$I$1),$I$1)</f>
        <v>0</v>
      </c>
      <c r="R156" s="15">
        <f>IFERROR(IF(ISBLANK(K156),IFERROR(VLOOKUP($D156,Sheet3!$H$2:$O$200,R$1,FALSE),IFERROR(VLOOKUP($E156,Sheet3!$H$2:$O$200,R$1,FALSE),VLOOKUP($F156,Sheet3!$H$2:$O$200,R$1,FALSE))),$I$1),$I$1)</f>
        <v>0</v>
      </c>
      <c r="S156" s="15">
        <f>IFERROR(IF(ISBLANK(L156),IFERROR(VLOOKUP($D156,Sheet3!$H$2:$O$200,S$1,FALSE),IFERROR(VLOOKUP($E156,Sheet3!$H$2:$O$200,S$1,FALSE),VLOOKUP($F156,Sheet3!$H$2:$O$200,S$1,FALSE))),$I$1),$I$1)</f>
        <v>0</v>
      </c>
      <c r="T156" s="15">
        <f>IFERROR(IF(ISBLANK(M156),IFERROR(VLOOKUP($D156,Sheet3!$H$2:$O$200,T$1,FALSE),IFERROR(VLOOKUP($E156,Sheet3!$H$2:$O$200,T$1,FALSE),VLOOKUP($F156,Sheet3!$H$2:$O$200,T$1,FALSE))),$I$1),$I$1)</f>
        <v>0</v>
      </c>
      <c r="U156" s="15">
        <f>IFERROR(IF(ISBLANK(N156),IFERROR(VLOOKUP($D156,Sheet3!$H$2:$O$200,U$1,FALSE),IFERROR(VLOOKUP($E156,Sheet3!$H$2:$O$200,U$1,FALSE),VLOOKUP($F156,Sheet3!$H$2:$O$200,U$1,FALSE))),$I$1),$I$1)</f>
        <v>0</v>
      </c>
      <c r="V156" s="15">
        <f>IFERROR(IF(ISBLANK(O156),IFERROR(VLOOKUP($D156,Sheet3!$H$2:$O$200,V$1,FALSE),IFERROR(VLOOKUP($E156,Sheet3!$H$2:$O$200,V$1,FALSE),VLOOKUP($F156,Sheet3!$H$2:$O$200,V$1,FALSE))),$I$1),$I$1)</f>
        <v>0</v>
      </c>
      <c r="W156" s="15">
        <f>IFERROR(IF(ISBLANK(P156),IFERROR(VLOOKUP($D156,Sheet3!$H$2:$O$200,W$1,FALSE),IFERROR(VLOOKUP($E156,Sheet3!$H$2:$O$200,W$1,FALSE),VLOOKUP($F156,Sheet3!$H$2:$O$200,W$1,FALSE))),$I$1),$I$1)</f>
        <v>0</v>
      </c>
      <c r="X156" s="15">
        <f>IFERROR(IF(ISBLANK(Q156),IFERROR(VLOOKUP($E156,Sheet3!$H$2:$O$200,X$1,FALSE),IFERROR(VLOOKUP($F156,Sheet3!$H$2:$O$200,X$1,FALSE),VLOOKUP($G156,Sheet3!$H$2:$O$200,X$1,FALSE))),$I$1),$I$1)</f>
        <v>0</v>
      </c>
      <c r="Y156" s="15">
        <f>IFERROR(IF(ISBLANK(R156),IFERROR(VLOOKUP($E156,Sheet3!$H$2:$O$200,Y$1,FALSE),IFERROR(VLOOKUP($F156,Sheet3!$H$2:$O$200,Y$1,FALSE),VLOOKUP($G156,Sheet3!$H$2:$O$200,Y$1,FALSE))),$I$1),$I$1)</f>
        <v>0</v>
      </c>
      <c r="Z156" s="15">
        <f>IFERROR(IF(ISBLANK(S156),IFERROR(VLOOKUP($E156,Sheet3!$H$2:$O$200,Z$1,FALSE),IFERROR(VLOOKUP($F156,Sheet3!$H$2:$O$200,Z$1,FALSE),VLOOKUP($G156,Sheet3!$H$2:$O$200,Z$1,FALSE))),$I$1),$I$1)</f>
        <v>0</v>
      </c>
      <c r="AA156" s="15">
        <f>IFERROR(IF(ISBLANK(T156),IFERROR(VLOOKUP($E156,Sheet3!$H$2:$O$200,AA$1,FALSE),IFERROR(VLOOKUP($F156,Sheet3!$H$2:$O$200,AA$1,FALSE),VLOOKUP($G156,Sheet3!$H$2:$O$200,AA$1,FALSE))),$I$1),$I$1)</f>
        <v>0</v>
      </c>
      <c r="AB156" s="15">
        <f>IFERROR(IF(ISBLANK(U156),IFERROR(VLOOKUP($E156,Sheet3!$H$2:$O$200,AB$1,FALSE),IFERROR(VLOOKUP($F156,Sheet3!$H$2:$O$200,AB$1,FALSE),VLOOKUP($G156,Sheet3!$H$2:$O$200,AB$1,FALSE))),$I$1),$I$1)</f>
        <v>0</v>
      </c>
      <c r="AC156" s="15">
        <f>IFERROR(IF(ISBLANK(V156),IFERROR(VLOOKUP($E156,Sheet3!$H$2:$O$200,AC$1,FALSE),IFERROR(VLOOKUP($F156,Sheet3!$H$2:$O$200,AC$1,FALSE),VLOOKUP($G156,Sheet3!$H$2:$O$200,AC$1,FALSE))),$I$1),$I$1)</f>
        <v>0</v>
      </c>
      <c r="AD156" s="15">
        <f>IFERROR(IF(ISBLANK(W156),IFERROR(VLOOKUP($E156,Sheet3!$H$2:$O$200,AD$1,FALSE),IFERROR(VLOOKUP($F156,Sheet3!$H$2:$O$200,AD$1,FALSE),VLOOKUP($G156,Sheet3!$H$2:$O$200,AD$1,FALSE))),$I$1),$I$1)</f>
        <v>0</v>
      </c>
      <c r="AE156" s="15">
        <f>IFERROR(IF(ISBLANK(X156),IFERROR(VLOOKUP($F156,Sheet3!$H$2:$O$200,AE$1,FALSE),VLOOKUP($G156,Sheet3!$H$2:$O$200,AE$1,FALSE)),$I$1),$I$1)</f>
        <v>0</v>
      </c>
      <c r="AF156" s="15">
        <f>IFERROR(IF(ISBLANK(Y156),IFERROR(VLOOKUP($F156,Sheet3!$H$2:$O$200,AF$1,FALSE),VLOOKUP($G156,Sheet3!$H$2:$O$200,AF$1,FALSE)),$I$1),$I$1)</f>
        <v>0</v>
      </c>
      <c r="AG156" s="15">
        <f>IFERROR(IF(ISBLANK(Z156),IFERROR(VLOOKUP($F156,Sheet3!$H$2:$O$200,AG$1,FALSE),VLOOKUP($G156,Sheet3!$H$2:$O$200,AG$1,FALSE)),$I$1),$I$1)</f>
        <v>0</v>
      </c>
      <c r="AH156" s="15">
        <f>IFERROR(IF(ISBLANK(AA156),IFERROR(VLOOKUP($F156,Sheet3!$H$2:$O$200,AH$1,FALSE),VLOOKUP($G156,Sheet3!$H$2:$O$200,AH$1,FALSE)),$I$1),$I$1)</f>
        <v>0</v>
      </c>
      <c r="AI156" s="15">
        <f>IFERROR(IF(ISBLANK(AB156),IFERROR(VLOOKUP($F156,Sheet3!$H$2:$O$200,AI$1,FALSE),VLOOKUP($G156,Sheet3!$H$2:$O$200,AI$1,FALSE)),$I$1),$I$1)</f>
        <v>0</v>
      </c>
      <c r="AJ156" s="15">
        <f>IFERROR(IF(ISBLANK(AC156),IFERROR(VLOOKUP($F156,Sheet3!$H$2:$O$200,AJ$1,FALSE),VLOOKUP($G156,Sheet3!$H$2:$O$200,AJ$1,FALSE)),$I$1),$I$1)</f>
        <v>0</v>
      </c>
      <c r="AK156" s="15">
        <f>IFERROR(IF(ISBLANK(AD156),IFERROR(VLOOKUP($F156,Sheet3!$H$2:$O$200,AK$1,FALSE),VLOOKUP($G156,Sheet3!$H$2:$O$200,AK$1,FALSE)),$I$1),$I$1)</f>
        <v>0</v>
      </c>
      <c r="AL156" s="15">
        <f>IFERROR(IF(ISBLANK(AE156),VLOOKUP($G156,Sheet3!$H$2:$O$200,AL$1,FALSE),$I$1),$I$1)</f>
        <v>0</v>
      </c>
      <c r="AM156" s="15">
        <f>IFERROR(IF(ISBLANK(AF156),VLOOKUP($G156,Sheet3!$H$2:$O$200,AM$1,FALSE),$I$1),$I$1)</f>
        <v>0</v>
      </c>
      <c r="AN156" s="15">
        <f>IFERROR(IF(ISBLANK(AG156),VLOOKUP($G156,Sheet3!$H$2:$O$200,AN$1,FALSE),$I$1),$I$1)</f>
        <v>0</v>
      </c>
      <c r="AO156" s="15">
        <f>IFERROR(IF(ISBLANK(AH156),VLOOKUP($G156,Sheet3!$H$2:$O$200,AO$1,FALSE),$I$1),$I$1)</f>
        <v>0</v>
      </c>
      <c r="AP156" s="15">
        <f>IFERROR(IF(ISBLANK(AI156),VLOOKUP($G156,Sheet3!$H$2:$O$200,AP$1,FALSE),$I$1),$I$1)</f>
        <v>0</v>
      </c>
      <c r="AQ156" s="15">
        <f>IFERROR(IF(ISBLANK(AJ156),VLOOKUP($G156,Sheet3!$H$2:$O$200,AQ$1,FALSE),$I$1),$I$1)</f>
        <v>0</v>
      </c>
      <c r="AR156" s="15">
        <f>IFERROR(IF(ISBLANK(AK156),VLOOKUP($G156,Sheet3!$H$2:$O$200,AR$1,FALSE),$I$1),$I$1)</f>
        <v>0</v>
      </c>
      <c r="AS156" s="15">
        <f t="shared" si="1"/>
        <v>28</v>
      </c>
      <c r="AT156" s="15" t="b">
        <f t="shared" si="2"/>
        <v>0</v>
      </c>
    </row>
    <row r="157" spans="1:46" x14ac:dyDescent="0.2">
      <c r="A157" s="19" t="s">
        <v>320</v>
      </c>
      <c r="B157" s="19" t="s">
        <v>317</v>
      </c>
      <c r="C157" s="19" t="s">
        <v>60</v>
      </c>
      <c r="D157" s="19"/>
      <c r="E157" s="19"/>
      <c r="F157" s="19"/>
      <c r="G157" s="19"/>
      <c r="H157" s="19" t="s">
        <v>320</v>
      </c>
      <c r="I157" s="15">
        <f t="shared" si="0"/>
        <v>1</v>
      </c>
      <c r="J157" s="15">
        <f>IFERROR(VLOOKUP($C157,Sheet3!$H$2:$O$200,J$1,FALSE),IFERROR(VLOOKUP($D157,Sheet3!$H$2:$O$200,J$1,FALSE),VLOOKUP($E157,Sheet3!$H$2:$O$200,J$1,FALSE)))</f>
        <v>0</v>
      </c>
      <c r="K157" s="15">
        <f>IFERROR(VLOOKUP($C157,Sheet3!$H$2:$O$200,K$1,FALSE),IFERROR(VLOOKUP($D157,Sheet3!$H$2:$O$200,K$1,FALSE),VLOOKUP($E157,Sheet3!$H$2:$O$200,K$1,FALSE)))</f>
        <v>0</v>
      </c>
      <c r="L157" s="15">
        <f>IFERROR(VLOOKUP($C157,Sheet3!$H$2:$O$200,L$1,FALSE),IFERROR(VLOOKUP($D157,Sheet3!$H$2:$O$200,L$1,FALSE),VLOOKUP($E157,Sheet3!$H$2:$O$200,L$1,FALSE)))</f>
        <v>0</v>
      </c>
      <c r="M157" s="15" t="str">
        <f>IFERROR(VLOOKUP($C157,Sheet3!$H$2:$O$200,M$1,FALSE),IFERROR(VLOOKUP($D157,Sheet3!$H$2:$O$200,M$1,FALSE),VLOOKUP($E157,Sheet3!$H$2:$O$200,M$1,FALSE)))</f>
        <v>apricot brandy</v>
      </c>
      <c r="N157" s="15">
        <f>IFERROR(VLOOKUP($C157,Sheet3!$H$2:$O$200,N$1,FALSE),IFERROR(VLOOKUP($D157,Sheet3!$H$2:$O$200,N$1,FALSE),VLOOKUP($E157,Sheet3!$H$2:$O$200,N$1,FALSE)))</f>
        <v>0</v>
      </c>
      <c r="O157" s="15">
        <f>IFERROR(VLOOKUP($C157,Sheet3!$H$2:$O$200,O$1,FALSE),IFERROR(VLOOKUP($D157,Sheet3!$H$2:$O$200,O$1,FALSE),VLOOKUP($E157,Sheet3!$H$2:$O$200,O$1,FALSE)))</f>
        <v>0</v>
      </c>
      <c r="P157" s="15">
        <f>IFERROR(VLOOKUP($C157,Sheet3!$H$2:$O$200,P$1,FALSE),IFERROR(VLOOKUP($D157,Sheet3!$H$2:$O$200,P$1,FALSE),VLOOKUP($E157,Sheet3!$H$2:$O$200,P$1,FALSE)))</f>
        <v>0</v>
      </c>
      <c r="Q157" s="15">
        <f>IFERROR(IF(ISBLANK(J157),IFERROR(VLOOKUP($D157,Sheet3!$H$2:$O$200,Q$1,FALSE),IFERROR(VLOOKUP($E157,Sheet3!$H$2:$O$200,Q$1,FALSE),VLOOKUP($F157,Sheet3!$H$2:$O$200,Q$1,FALSE))),$I$1),$I$1)</f>
        <v>0</v>
      </c>
      <c r="R157" s="15">
        <f>IFERROR(IF(ISBLANK(K157),IFERROR(VLOOKUP($D157,Sheet3!$H$2:$O$200,R$1,FALSE),IFERROR(VLOOKUP($E157,Sheet3!$H$2:$O$200,R$1,FALSE),VLOOKUP($F157,Sheet3!$H$2:$O$200,R$1,FALSE))),$I$1),$I$1)</f>
        <v>0</v>
      </c>
      <c r="S157" s="15">
        <f>IFERROR(IF(ISBLANK(L157),IFERROR(VLOOKUP($D157,Sheet3!$H$2:$O$200,S$1,FALSE),IFERROR(VLOOKUP($E157,Sheet3!$H$2:$O$200,S$1,FALSE),VLOOKUP($F157,Sheet3!$H$2:$O$200,S$1,FALSE))),$I$1),$I$1)</f>
        <v>0</v>
      </c>
      <c r="T157" s="15">
        <f>IFERROR(IF(ISBLANK(M157),IFERROR(VLOOKUP($D157,Sheet3!$H$2:$O$200,T$1,FALSE),IFERROR(VLOOKUP($E157,Sheet3!$H$2:$O$200,T$1,FALSE),VLOOKUP($F157,Sheet3!$H$2:$O$200,T$1,FALSE))),$I$1),$I$1)</f>
        <v>0</v>
      </c>
      <c r="U157" s="15">
        <f>IFERROR(IF(ISBLANK(N157),IFERROR(VLOOKUP($D157,Sheet3!$H$2:$O$200,U$1,FALSE),IFERROR(VLOOKUP($E157,Sheet3!$H$2:$O$200,U$1,FALSE),VLOOKUP($F157,Sheet3!$H$2:$O$200,U$1,FALSE))),$I$1),$I$1)</f>
        <v>0</v>
      </c>
      <c r="V157" s="15">
        <f>IFERROR(IF(ISBLANK(O157),IFERROR(VLOOKUP($D157,Sheet3!$H$2:$O$200,V$1,FALSE),IFERROR(VLOOKUP($E157,Sheet3!$H$2:$O$200,V$1,FALSE),VLOOKUP($F157,Sheet3!$H$2:$O$200,V$1,FALSE))),$I$1),$I$1)</f>
        <v>0</v>
      </c>
      <c r="W157" s="15">
        <f>IFERROR(IF(ISBLANK(P157),IFERROR(VLOOKUP($D157,Sheet3!$H$2:$O$200,W$1,FALSE),IFERROR(VLOOKUP($E157,Sheet3!$H$2:$O$200,W$1,FALSE),VLOOKUP($F157,Sheet3!$H$2:$O$200,W$1,FALSE))),$I$1),$I$1)</f>
        <v>0</v>
      </c>
      <c r="X157" s="15">
        <f>IFERROR(IF(ISBLANK(Q157),IFERROR(VLOOKUP($E157,Sheet3!$H$2:$O$200,X$1,FALSE),IFERROR(VLOOKUP($F157,Sheet3!$H$2:$O$200,X$1,FALSE),VLOOKUP($G157,Sheet3!$H$2:$O$200,X$1,FALSE))),$I$1),$I$1)</f>
        <v>0</v>
      </c>
      <c r="Y157" s="15">
        <f>IFERROR(IF(ISBLANK(R157),IFERROR(VLOOKUP($E157,Sheet3!$H$2:$O$200,Y$1,FALSE),IFERROR(VLOOKUP($F157,Sheet3!$H$2:$O$200,Y$1,FALSE),VLOOKUP($G157,Sheet3!$H$2:$O$200,Y$1,FALSE))),$I$1),$I$1)</f>
        <v>0</v>
      </c>
      <c r="Z157" s="15">
        <f>IFERROR(IF(ISBLANK(S157),IFERROR(VLOOKUP($E157,Sheet3!$H$2:$O$200,Z$1,FALSE),IFERROR(VLOOKUP($F157,Sheet3!$H$2:$O$200,Z$1,FALSE),VLOOKUP($G157,Sheet3!$H$2:$O$200,Z$1,FALSE))),$I$1),$I$1)</f>
        <v>0</v>
      </c>
      <c r="AA157" s="15">
        <f>IFERROR(IF(ISBLANK(T157),IFERROR(VLOOKUP($E157,Sheet3!$H$2:$O$200,AA$1,FALSE),IFERROR(VLOOKUP($F157,Sheet3!$H$2:$O$200,AA$1,FALSE),VLOOKUP($G157,Sheet3!$H$2:$O$200,AA$1,FALSE))),$I$1),$I$1)</f>
        <v>0</v>
      </c>
      <c r="AB157" s="15">
        <f>IFERROR(IF(ISBLANK(U157),IFERROR(VLOOKUP($E157,Sheet3!$H$2:$O$200,AB$1,FALSE),IFERROR(VLOOKUP($F157,Sheet3!$H$2:$O$200,AB$1,FALSE),VLOOKUP($G157,Sheet3!$H$2:$O$200,AB$1,FALSE))),$I$1),$I$1)</f>
        <v>0</v>
      </c>
      <c r="AC157" s="15">
        <f>IFERROR(IF(ISBLANK(V157),IFERROR(VLOOKUP($E157,Sheet3!$H$2:$O$200,AC$1,FALSE),IFERROR(VLOOKUP($F157,Sheet3!$H$2:$O$200,AC$1,FALSE),VLOOKUP($G157,Sheet3!$H$2:$O$200,AC$1,FALSE))),$I$1),$I$1)</f>
        <v>0</v>
      </c>
      <c r="AD157" s="15">
        <f>IFERROR(IF(ISBLANK(W157),IFERROR(VLOOKUP($E157,Sheet3!$H$2:$O$200,AD$1,FALSE),IFERROR(VLOOKUP($F157,Sheet3!$H$2:$O$200,AD$1,FALSE),VLOOKUP($G157,Sheet3!$H$2:$O$200,AD$1,FALSE))),$I$1),$I$1)</f>
        <v>0</v>
      </c>
      <c r="AE157" s="15">
        <f>IFERROR(IF(ISBLANK(X157),IFERROR(VLOOKUP($F157,Sheet3!$H$2:$O$200,AE$1,FALSE),VLOOKUP($G157,Sheet3!$H$2:$O$200,AE$1,FALSE)),$I$1),$I$1)</f>
        <v>0</v>
      </c>
      <c r="AF157" s="15">
        <f>IFERROR(IF(ISBLANK(Y157),IFERROR(VLOOKUP($F157,Sheet3!$H$2:$O$200,AF$1,FALSE),VLOOKUP($G157,Sheet3!$H$2:$O$200,AF$1,FALSE)),$I$1),$I$1)</f>
        <v>0</v>
      </c>
      <c r="AG157" s="15">
        <f>IFERROR(IF(ISBLANK(Z157),IFERROR(VLOOKUP($F157,Sheet3!$H$2:$O$200,AG$1,FALSE),VLOOKUP($G157,Sheet3!$H$2:$O$200,AG$1,FALSE)),$I$1),$I$1)</f>
        <v>0</v>
      </c>
      <c r="AH157" s="15">
        <f>IFERROR(IF(ISBLANK(AA157),IFERROR(VLOOKUP($F157,Sheet3!$H$2:$O$200,AH$1,FALSE),VLOOKUP($G157,Sheet3!$H$2:$O$200,AH$1,FALSE)),$I$1),$I$1)</f>
        <v>0</v>
      </c>
      <c r="AI157" s="15">
        <f>IFERROR(IF(ISBLANK(AB157),IFERROR(VLOOKUP($F157,Sheet3!$H$2:$O$200,AI$1,FALSE),VLOOKUP($G157,Sheet3!$H$2:$O$200,AI$1,FALSE)),$I$1),$I$1)</f>
        <v>0</v>
      </c>
      <c r="AJ157" s="15">
        <f>IFERROR(IF(ISBLANK(AC157),IFERROR(VLOOKUP($F157,Sheet3!$H$2:$O$200,AJ$1,FALSE),VLOOKUP($G157,Sheet3!$H$2:$O$200,AJ$1,FALSE)),$I$1),$I$1)</f>
        <v>0</v>
      </c>
      <c r="AK157" s="15">
        <f>IFERROR(IF(ISBLANK(AD157),IFERROR(VLOOKUP($F157,Sheet3!$H$2:$O$200,AK$1,FALSE),VLOOKUP($G157,Sheet3!$H$2:$O$200,AK$1,FALSE)),$I$1),$I$1)</f>
        <v>0</v>
      </c>
      <c r="AL157" s="15">
        <f>IFERROR(IF(ISBLANK(AE157),VLOOKUP($G157,Sheet3!$H$2:$O$200,AL$1,FALSE),$I$1),$I$1)</f>
        <v>0</v>
      </c>
      <c r="AM157" s="15">
        <f>IFERROR(IF(ISBLANK(AF157),VLOOKUP($G157,Sheet3!$H$2:$O$200,AM$1,FALSE),$I$1),$I$1)</f>
        <v>0</v>
      </c>
      <c r="AN157" s="15">
        <f>IFERROR(IF(ISBLANK(AG157),VLOOKUP($G157,Sheet3!$H$2:$O$200,AN$1,FALSE),$I$1),$I$1)</f>
        <v>0</v>
      </c>
      <c r="AO157" s="15">
        <f>IFERROR(IF(ISBLANK(AH157),VLOOKUP($G157,Sheet3!$H$2:$O$200,AO$1,FALSE),$I$1),$I$1)</f>
        <v>0</v>
      </c>
      <c r="AP157" s="15">
        <f>IFERROR(IF(ISBLANK(AI157),VLOOKUP($G157,Sheet3!$H$2:$O$200,AP$1,FALSE),$I$1),$I$1)</f>
        <v>0</v>
      </c>
      <c r="AQ157" s="15">
        <f>IFERROR(IF(ISBLANK(AJ157),VLOOKUP($G157,Sheet3!$H$2:$O$200,AQ$1,FALSE),$I$1),$I$1)</f>
        <v>0</v>
      </c>
      <c r="AR157" s="15">
        <f>IFERROR(IF(ISBLANK(AK157),VLOOKUP($G157,Sheet3!$H$2:$O$200,AR$1,FALSE),$I$1),$I$1)</f>
        <v>0</v>
      </c>
      <c r="AS157" s="15">
        <f t="shared" si="1"/>
        <v>28</v>
      </c>
      <c r="AT157" s="15" t="b">
        <f t="shared" si="2"/>
        <v>0</v>
      </c>
    </row>
    <row r="158" spans="1:46" x14ac:dyDescent="0.2">
      <c r="A158" s="19" t="s">
        <v>321</v>
      </c>
      <c r="B158" s="19" t="s">
        <v>317</v>
      </c>
      <c r="C158" s="19" t="s">
        <v>70</v>
      </c>
      <c r="D158" s="19"/>
      <c r="E158" s="19"/>
      <c r="F158" s="19"/>
      <c r="G158" s="19"/>
      <c r="H158" s="19" t="s">
        <v>321</v>
      </c>
      <c r="I158" s="15">
        <f t="shared" si="0"/>
        <v>1</v>
      </c>
      <c r="J158" s="15">
        <f>IFERROR(VLOOKUP($C158,Sheet3!$H$2:$O$200,J$1,FALSE),IFERROR(VLOOKUP($D158,Sheet3!$H$2:$O$200,J$1,FALSE),VLOOKUP($E158,Sheet3!$H$2:$O$200,J$1,FALSE)))</f>
        <v>0</v>
      </c>
      <c r="K158" s="15">
        <f>IFERROR(VLOOKUP($C158,Sheet3!$H$2:$O$200,K$1,FALSE),IFERROR(VLOOKUP($D158,Sheet3!$H$2:$O$200,K$1,FALSE),VLOOKUP($E158,Sheet3!$H$2:$O$200,K$1,FALSE)))</f>
        <v>0</v>
      </c>
      <c r="L158" s="15">
        <f>IFERROR(VLOOKUP($C158,Sheet3!$H$2:$O$200,L$1,FALSE),IFERROR(VLOOKUP($D158,Sheet3!$H$2:$O$200,L$1,FALSE),VLOOKUP($E158,Sheet3!$H$2:$O$200,L$1,FALSE)))</f>
        <v>0</v>
      </c>
      <c r="M158" s="15" t="str">
        <f>IFERROR(VLOOKUP($C158,Sheet3!$H$2:$O$200,M$1,FALSE),IFERROR(VLOOKUP($D158,Sheet3!$H$2:$O$200,M$1,FALSE),VLOOKUP($E158,Sheet3!$H$2:$O$200,M$1,FALSE)))</f>
        <v>cherry brandy</v>
      </c>
      <c r="N158" s="15">
        <f>IFERROR(VLOOKUP($C158,Sheet3!$H$2:$O$200,N$1,FALSE),IFERROR(VLOOKUP($D158,Sheet3!$H$2:$O$200,N$1,FALSE),VLOOKUP($E158,Sheet3!$H$2:$O$200,N$1,FALSE)))</f>
        <v>0</v>
      </c>
      <c r="O158" s="15">
        <f>IFERROR(VLOOKUP($C158,Sheet3!$H$2:$O$200,O$1,FALSE),IFERROR(VLOOKUP($D158,Sheet3!$H$2:$O$200,O$1,FALSE),VLOOKUP($E158,Sheet3!$H$2:$O$200,O$1,FALSE)))</f>
        <v>0</v>
      </c>
      <c r="P158" s="15">
        <f>IFERROR(VLOOKUP($C158,Sheet3!$H$2:$O$200,P$1,FALSE),IFERROR(VLOOKUP($D158,Sheet3!$H$2:$O$200,P$1,FALSE),VLOOKUP($E158,Sheet3!$H$2:$O$200,P$1,FALSE)))</f>
        <v>0</v>
      </c>
      <c r="Q158" s="15">
        <f>IFERROR(IF(ISBLANK(J158),IFERROR(VLOOKUP($D158,Sheet3!$H$2:$O$200,Q$1,FALSE),IFERROR(VLOOKUP($E158,Sheet3!$H$2:$O$200,Q$1,FALSE),VLOOKUP($F158,Sheet3!$H$2:$O$200,Q$1,FALSE))),$I$1),$I$1)</f>
        <v>0</v>
      </c>
      <c r="R158" s="15">
        <f>IFERROR(IF(ISBLANK(K158),IFERROR(VLOOKUP($D158,Sheet3!$H$2:$O$200,R$1,FALSE),IFERROR(VLOOKUP($E158,Sheet3!$H$2:$O$200,R$1,FALSE),VLOOKUP($F158,Sheet3!$H$2:$O$200,R$1,FALSE))),$I$1),$I$1)</f>
        <v>0</v>
      </c>
      <c r="S158" s="15">
        <f>IFERROR(IF(ISBLANK(L158),IFERROR(VLOOKUP($D158,Sheet3!$H$2:$O$200,S$1,FALSE),IFERROR(VLOOKUP($E158,Sheet3!$H$2:$O$200,S$1,FALSE),VLOOKUP($F158,Sheet3!$H$2:$O$200,S$1,FALSE))),$I$1),$I$1)</f>
        <v>0</v>
      </c>
      <c r="T158" s="15">
        <f>IFERROR(IF(ISBLANK(M158),IFERROR(VLOOKUP($D158,Sheet3!$H$2:$O$200,T$1,FALSE),IFERROR(VLOOKUP($E158,Sheet3!$H$2:$O$200,T$1,FALSE),VLOOKUP($F158,Sheet3!$H$2:$O$200,T$1,FALSE))),$I$1),$I$1)</f>
        <v>0</v>
      </c>
      <c r="U158" s="15">
        <f>IFERROR(IF(ISBLANK(N158),IFERROR(VLOOKUP($D158,Sheet3!$H$2:$O$200,U$1,FALSE),IFERROR(VLOOKUP($E158,Sheet3!$H$2:$O$200,U$1,FALSE),VLOOKUP($F158,Sheet3!$H$2:$O$200,U$1,FALSE))),$I$1),$I$1)</f>
        <v>0</v>
      </c>
      <c r="V158" s="15">
        <f>IFERROR(IF(ISBLANK(O158),IFERROR(VLOOKUP($D158,Sheet3!$H$2:$O$200,V$1,FALSE),IFERROR(VLOOKUP($E158,Sheet3!$H$2:$O$200,V$1,FALSE),VLOOKUP($F158,Sheet3!$H$2:$O$200,V$1,FALSE))),$I$1),$I$1)</f>
        <v>0</v>
      </c>
      <c r="W158" s="15">
        <f>IFERROR(IF(ISBLANK(P158),IFERROR(VLOOKUP($D158,Sheet3!$H$2:$O$200,W$1,FALSE),IFERROR(VLOOKUP($E158,Sheet3!$H$2:$O$200,W$1,FALSE),VLOOKUP($F158,Sheet3!$H$2:$O$200,W$1,FALSE))),$I$1),$I$1)</f>
        <v>0</v>
      </c>
      <c r="X158" s="15">
        <f>IFERROR(IF(ISBLANK(Q158),IFERROR(VLOOKUP($E158,Sheet3!$H$2:$O$200,X$1,FALSE),IFERROR(VLOOKUP($F158,Sheet3!$H$2:$O$200,X$1,FALSE),VLOOKUP($G158,Sheet3!$H$2:$O$200,X$1,FALSE))),$I$1),$I$1)</f>
        <v>0</v>
      </c>
      <c r="Y158" s="15">
        <f>IFERROR(IF(ISBLANK(R158),IFERROR(VLOOKUP($E158,Sheet3!$H$2:$O$200,Y$1,FALSE),IFERROR(VLOOKUP($F158,Sheet3!$H$2:$O$200,Y$1,FALSE),VLOOKUP($G158,Sheet3!$H$2:$O$200,Y$1,FALSE))),$I$1),$I$1)</f>
        <v>0</v>
      </c>
      <c r="Z158" s="15">
        <f>IFERROR(IF(ISBLANK(S158),IFERROR(VLOOKUP($E158,Sheet3!$H$2:$O$200,Z$1,FALSE),IFERROR(VLOOKUP($F158,Sheet3!$H$2:$O$200,Z$1,FALSE),VLOOKUP($G158,Sheet3!$H$2:$O$200,Z$1,FALSE))),$I$1),$I$1)</f>
        <v>0</v>
      </c>
      <c r="AA158" s="15">
        <f>IFERROR(IF(ISBLANK(T158),IFERROR(VLOOKUP($E158,Sheet3!$H$2:$O$200,AA$1,FALSE),IFERROR(VLOOKUP($F158,Sheet3!$H$2:$O$200,AA$1,FALSE),VLOOKUP($G158,Sheet3!$H$2:$O$200,AA$1,FALSE))),$I$1),$I$1)</f>
        <v>0</v>
      </c>
      <c r="AB158" s="15">
        <f>IFERROR(IF(ISBLANK(U158),IFERROR(VLOOKUP($E158,Sheet3!$H$2:$O$200,AB$1,FALSE),IFERROR(VLOOKUP($F158,Sheet3!$H$2:$O$200,AB$1,FALSE),VLOOKUP($G158,Sheet3!$H$2:$O$200,AB$1,FALSE))),$I$1),$I$1)</f>
        <v>0</v>
      </c>
      <c r="AC158" s="15">
        <f>IFERROR(IF(ISBLANK(V158),IFERROR(VLOOKUP($E158,Sheet3!$H$2:$O$200,AC$1,FALSE),IFERROR(VLOOKUP($F158,Sheet3!$H$2:$O$200,AC$1,FALSE),VLOOKUP($G158,Sheet3!$H$2:$O$200,AC$1,FALSE))),$I$1),$I$1)</f>
        <v>0</v>
      </c>
      <c r="AD158" s="15">
        <f>IFERROR(IF(ISBLANK(W158),IFERROR(VLOOKUP($E158,Sheet3!$H$2:$O$200,AD$1,FALSE),IFERROR(VLOOKUP($F158,Sheet3!$H$2:$O$200,AD$1,FALSE),VLOOKUP($G158,Sheet3!$H$2:$O$200,AD$1,FALSE))),$I$1),$I$1)</f>
        <v>0</v>
      </c>
      <c r="AE158" s="15">
        <f>IFERROR(IF(ISBLANK(X158),IFERROR(VLOOKUP($F158,Sheet3!$H$2:$O$200,AE$1,FALSE),VLOOKUP($G158,Sheet3!$H$2:$O$200,AE$1,FALSE)),$I$1),$I$1)</f>
        <v>0</v>
      </c>
      <c r="AF158" s="15">
        <f>IFERROR(IF(ISBLANK(Y158),IFERROR(VLOOKUP($F158,Sheet3!$H$2:$O$200,AF$1,FALSE),VLOOKUP($G158,Sheet3!$H$2:$O$200,AF$1,FALSE)),$I$1),$I$1)</f>
        <v>0</v>
      </c>
      <c r="AG158" s="15">
        <f>IFERROR(IF(ISBLANK(Z158),IFERROR(VLOOKUP($F158,Sheet3!$H$2:$O$200,AG$1,FALSE),VLOOKUP($G158,Sheet3!$H$2:$O$200,AG$1,FALSE)),$I$1),$I$1)</f>
        <v>0</v>
      </c>
      <c r="AH158" s="15">
        <f>IFERROR(IF(ISBLANK(AA158),IFERROR(VLOOKUP($F158,Sheet3!$H$2:$O$200,AH$1,FALSE),VLOOKUP($G158,Sheet3!$H$2:$O$200,AH$1,FALSE)),$I$1),$I$1)</f>
        <v>0</v>
      </c>
      <c r="AI158" s="15">
        <f>IFERROR(IF(ISBLANK(AB158),IFERROR(VLOOKUP($F158,Sheet3!$H$2:$O$200,AI$1,FALSE),VLOOKUP($G158,Sheet3!$H$2:$O$200,AI$1,FALSE)),$I$1),$I$1)</f>
        <v>0</v>
      </c>
      <c r="AJ158" s="15">
        <f>IFERROR(IF(ISBLANK(AC158),IFERROR(VLOOKUP($F158,Sheet3!$H$2:$O$200,AJ$1,FALSE),VLOOKUP($G158,Sheet3!$H$2:$O$200,AJ$1,FALSE)),$I$1),$I$1)</f>
        <v>0</v>
      </c>
      <c r="AK158" s="15">
        <f>IFERROR(IF(ISBLANK(AD158),IFERROR(VLOOKUP($F158,Sheet3!$H$2:$O$200,AK$1,FALSE),VLOOKUP($G158,Sheet3!$H$2:$O$200,AK$1,FALSE)),$I$1),$I$1)</f>
        <v>0</v>
      </c>
      <c r="AL158" s="15">
        <f>IFERROR(IF(ISBLANK(AE158),VLOOKUP($G158,Sheet3!$H$2:$O$200,AL$1,FALSE),$I$1),$I$1)</f>
        <v>0</v>
      </c>
      <c r="AM158" s="15">
        <f>IFERROR(IF(ISBLANK(AF158),VLOOKUP($G158,Sheet3!$H$2:$O$200,AM$1,FALSE),$I$1),$I$1)</f>
        <v>0</v>
      </c>
      <c r="AN158" s="15">
        <f>IFERROR(IF(ISBLANK(AG158),VLOOKUP($G158,Sheet3!$H$2:$O$200,AN$1,FALSE),$I$1),$I$1)</f>
        <v>0</v>
      </c>
      <c r="AO158" s="15">
        <f>IFERROR(IF(ISBLANK(AH158),VLOOKUP($G158,Sheet3!$H$2:$O$200,AO$1,FALSE),$I$1),$I$1)</f>
        <v>0</v>
      </c>
      <c r="AP158" s="15">
        <f>IFERROR(IF(ISBLANK(AI158),VLOOKUP($G158,Sheet3!$H$2:$O$200,AP$1,FALSE),$I$1),$I$1)</f>
        <v>0</v>
      </c>
      <c r="AQ158" s="15">
        <f>IFERROR(IF(ISBLANK(AJ158),VLOOKUP($G158,Sheet3!$H$2:$O$200,AQ$1,FALSE),$I$1),$I$1)</f>
        <v>0</v>
      </c>
      <c r="AR158" s="15">
        <f>IFERROR(IF(ISBLANK(AK158),VLOOKUP($G158,Sheet3!$H$2:$O$200,AR$1,FALSE),$I$1),$I$1)</f>
        <v>0</v>
      </c>
      <c r="AS158" s="15">
        <f t="shared" si="1"/>
        <v>28</v>
      </c>
      <c r="AT158" s="15" t="b">
        <f t="shared" si="2"/>
        <v>0</v>
      </c>
    </row>
    <row r="159" spans="1:46" x14ac:dyDescent="0.2">
      <c r="A159" s="19" t="s">
        <v>322</v>
      </c>
      <c r="B159" s="19" t="s">
        <v>317</v>
      </c>
      <c r="C159" s="19" t="s">
        <v>323</v>
      </c>
      <c r="D159" s="19"/>
      <c r="E159" s="19"/>
      <c r="F159" s="19"/>
      <c r="G159" s="19"/>
      <c r="H159" s="19" t="s">
        <v>322</v>
      </c>
      <c r="I159" s="15">
        <f t="shared" si="0"/>
        <v>1</v>
      </c>
      <c r="J159" s="15">
        <f>IFERROR(VLOOKUP($C159,Sheet3!$H$2:$O$200,J$1,FALSE),IFERROR(VLOOKUP($D159,Sheet3!$H$2:$O$200,J$1,FALSE),VLOOKUP($E159,Sheet3!$H$2:$O$200,J$1,FALSE)))</f>
        <v>0</v>
      </c>
      <c r="K159" s="15">
        <f>IFERROR(VLOOKUP($C159,Sheet3!$H$2:$O$200,K$1,FALSE),IFERROR(VLOOKUP($D159,Sheet3!$H$2:$O$200,K$1,FALSE),VLOOKUP($E159,Sheet3!$H$2:$O$200,K$1,FALSE)))</f>
        <v>0</v>
      </c>
      <c r="L159" s="15">
        <f>IFERROR(VLOOKUP($C159,Sheet3!$H$2:$O$200,L$1,FALSE),IFERROR(VLOOKUP($D159,Sheet3!$H$2:$O$200,L$1,FALSE),VLOOKUP($E159,Sheet3!$H$2:$O$200,L$1,FALSE)))</f>
        <v>0</v>
      </c>
      <c r="M159" s="15" t="str">
        <f>IFERROR(VLOOKUP($C159,Sheet3!$H$2:$O$200,M$1,FALSE),IFERROR(VLOOKUP($D159,Sheet3!$H$2:$O$200,M$1,FALSE),VLOOKUP($E159,Sheet3!$H$2:$O$200,M$1,FALSE)))</f>
        <v>Drambuie</v>
      </c>
      <c r="N159" s="15">
        <f>IFERROR(VLOOKUP($C159,Sheet3!$H$2:$O$200,N$1,FALSE),IFERROR(VLOOKUP($D159,Sheet3!$H$2:$O$200,N$1,FALSE),VLOOKUP($E159,Sheet3!$H$2:$O$200,N$1,FALSE)))</f>
        <v>0</v>
      </c>
      <c r="O159" s="15">
        <f>IFERROR(VLOOKUP($C159,Sheet3!$H$2:$O$200,O$1,FALSE),IFERROR(VLOOKUP($D159,Sheet3!$H$2:$O$200,O$1,FALSE),VLOOKUP($E159,Sheet3!$H$2:$O$200,O$1,FALSE)))</f>
        <v>0</v>
      </c>
      <c r="P159" s="15">
        <f>IFERROR(VLOOKUP($C159,Sheet3!$H$2:$O$200,P$1,FALSE),IFERROR(VLOOKUP($D159,Sheet3!$H$2:$O$200,P$1,FALSE),VLOOKUP($E159,Sheet3!$H$2:$O$200,P$1,FALSE)))</f>
        <v>0</v>
      </c>
      <c r="Q159" s="15">
        <f>IFERROR(IF(ISBLANK(J159),IFERROR(VLOOKUP($D159,Sheet3!$H$2:$O$200,Q$1,FALSE),IFERROR(VLOOKUP($E159,Sheet3!$H$2:$O$200,Q$1,FALSE),VLOOKUP($F159,Sheet3!$H$2:$O$200,Q$1,FALSE))),$I$1),$I$1)</f>
        <v>0</v>
      </c>
      <c r="R159" s="15">
        <f>IFERROR(IF(ISBLANK(K159),IFERROR(VLOOKUP($D159,Sheet3!$H$2:$O$200,R$1,FALSE),IFERROR(VLOOKUP($E159,Sheet3!$H$2:$O$200,R$1,FALSE),VLOOKUP($F159,Sheet3!$H$2:$O$200,R$1,FALSE))),$I$1),$I$1)</f>
        <v>0</v>
      </c>
      <c r="S159" s="15">
        <f>IFERROR(IF(ISBLANK(L159),IFERROR(VLOOKUP($D159,Sheet3!$H$2:$O$200,S$1,FALSE),IFERROR(VLOOKUP($E159,Sheet3!$H$2:$O$200,S$1,FALSE),VLOOKUP($F159,Sheet3!$H$2:$O$200,S$1,FALSE))),$I$1),$I$1)</f>
        <v>0</v>
      </c>
      <c r="T159" s="15">
        <f>IFERROR(IF(ISBLANK(M159),IFERROR(VLOOKUP($D159,Sheet3!$H$2:$O$200,T$1,FALSE),IFERROR(VLOOKUP($E159,Sheet3!$H$2:$O$200,T$1,FALSE),VLOOKUP($F159,Sheet3!$H$2:$O$200,T$1,FALSE))),$I$1),$I$1)</f>
        <v>0</v>
      </c>
      <c r="U159" s="15">
        <f>IFERROR(IF(ISBLANK(N159),IFERROR(VLOOKUP($D159,Sheet3!$H$2:$O$200,U$1,FALSE),IFERROR(VLOOKUP($E159,Sheet3!$H$2:$O$200,U$1,FALSE),VLOOKUP($F159,Sheet3!$H$2:$O$200,U$1,FALSE))),$I$1),$I$1)</f>
        <v>0</v>
      </c>
      <c r="V159" s="15">
        <f>IFERROR(IF(ISBLANK(O159),IFERROR(VLOOKUP($D159,Sheet3!$H$2:$O$200,V$1,FALSE),IFERROR(VLOOKUP($E159,Sheet3!$H$2:$O$200,V$1,FALSE),VLOOKUP($F159,Sheet3!$H$2:$O$200,V$1,FALSE))),$I$1),$I$1)</f>
        <v>0</v>
      </c>
      <c r="W159" s="15">
        <f>IFERROR(IF(ISBLANK(P159),IFERROR(VLOOKUP($D159,Sheet3!$H$2:$O$200,W$1,FALSE),IFERROR(VLOOKUP($E159,Sheet3!$H$2:$O$200,W$1,FALSE),VLOOKUP($F159,Sheet3!$H$2:$O$200,W$1,FALSE))),$I$1),$I$1)</f>
        <v>0</v>
      </c>
      <c r="X159" s="15">
        <f>IFERROR(IF(ISBLANK(Q159),IFERROR(VLOOKUP($E159,Sheet3!$H$2:$O$200,X$1,FALSE),IFERROR(VLOOKUP($F159,Sheet3!$H$2:$O$200,X$1,FALSE),VLOOKUP($G159,Sheet3!$H$2:$O$200,X$1,FALSE))),$I$1),$I$1)</f>
        <v>0</v>
      </c>
      <c r="Y159" s="15">
        <f>IFERROR(IF(ISBLANK(R159),IFERROR(VLOOKUP($E159,Sheet3!$H$2:$O$200,Y$1,FALSE),IFERROR(VLOOKUP($F159,Sheet3!$H$2:$O$200,Y$1,FALSE),VLOOKUP($G159,Sheet3!$H$2:$O$200,Y$1,FALSE))),$I$1),$I$1)</f>
        <v>0</v>
      </c>
      <c r="Z159" s="15">
        <f>IFERROR(IF(ISBLANK(S159),IFERROR(VLOOKUP($E159,Sheet3!$H$2:$O$200,Z$1,FALSE),IFERROR(VLOOKUP($F159,Sheet3!$H$2:$O$200,Z$1,FALSE),VLOOKUP($G159,Sheet3!$H$2:$O$200,Z$1,FALSE))),$I$1),$I$1)</f>
        <v>0</v>
      </c>
      <c r="AA159" s="15">
        <f>IFERROR(IF(ISBLANK(T159),IFERROR(VLOOKUP($E159,Sheet3!$H$2:$O$200,AA$1,FALSE),IFERROR(VLOOKUP($F159,Sheet3!$H$2:$O$200,AA$1,FALSE),VLOOKUP($G159,Sheet3!$H$2:$O$200,AA$1,FALSE))),$I$1),$I$1)</f>
        <v>0</v>
      </c>
      <c r="AB159" s="15">
        <f>IFERROR(IF(ISBLANK(U159),IFERROR(VLOOKUP($E159,Sheet3!$H$2:$O$200,AB$1,FALSE),IFERROR(VLOOKUP($F159,Sheet3!$H$2:$O$200,AB$1,FALSE),VLOOKUP($G159,Sheet3!$H$2:$O$200,AB$1,FALSE))),$I$1),$I$1)</f>
        <v>0</v>
      </c>
      <c r="AC159" s="15">
        <f>IFERROR(IF(ISBLANK(V159),IFERROR(VLOOKUP($E159,Sheet3!$H$2:$O$200,AC$1,FALSE),IFERROR(VLOOKUP($F159,Sheet3!$H$2:$O$200,AC$1,FALSE),VLOOKUP($G159,Sheet3!$H$2:$O$200,AC$1,FALSE))),$I$1),$I$1)</f>
        <v>0</v>
      </c>
      <c r="AD159" s="15">
        <f>IFERROR(IF(ISBLANK(W159),IFERROR(VLOOKUP($E159,Sheet3!$H$2:$O$200,AD$1,FALSE),IFERROR(VLOOKUP($F159,Sheet3!$H$2:$O$200,AD$1,FALSE),VLOOKUP($G159,Sheet3!$H$2:$O$200,AD$1,FALSE))),$I$1),$I$1)</f>
        <v>0</v>
      </c>
      <c r="AE159" s="15">
        <f>IFERROR(IF(ISBLANK(X159),IFERROR(VLOOKUP($F159,Sheet3!$H$2:$O$200,AE$1,FALSE),VLOOKUP($G159,Sheet3!$H$2:$O$200,AE$1,FALSE)),$I$1),$I$1)</f>
        <v>0</v>
      </c>
      <c r="AF159" s="15">
        <f>IFERROR(IF(ISBLANK(Y159),IFERROR(VLOOKUP($F159,Sheet3!$H$2:$O$200,AF$1,FALSE),VLOOKUP($G159,Sheet3!$H$2:$O$200,AF$1,FALSE)),$I$1),$I$1)</f>
        <v>0</v>
      </c>
      <c r="AG159" s="15">
        <f>IFERROR(IF(ISBLANK(Z159),IFERROR(VLOOKUP($F159,Sheet3!$H$2:$O$200,AG$1,FALSE),VLOOKUP($G159,Sheet3!$H$2:$O$200,AG$1,FALSE)),$I$1),$I$1)</f>
        <v>0</v>
      </c>
      <c r="AH159" s="15">
        <f>IFERROR(IF(ISBLANK(AA159),IFERROR(VLOOKUP($F159,Sheet3!$H$2:$O$200,AH$1,FALSE),VLOOKUP($G159,Sheet3!$H$2:$O$200,AH$1,FALSE)),$I$1),$I$1)</f>
        <v>0</v>
      </c>
      <c r="AI159" s="15">
        <f>IFERROR(IF(ISBLANK(AB159),IFERROR(VLOOKUP($F159,Sheet3!$H$2:$O$200,AI$1,FALSE),VLOOKUP($G159,Sheet3!$H$2:$O$200,AI$1,FALSE)),$I$1),$I$1)</f>
        <v>0</v>
      </c>
      <c r="AJ159" s="15">
        <f>IFERROR(IF(ISBLANK(AC159),IFERROR(VLOOKUP($F159,Sheet3!$H$2:$O$200,AJ$1,FALSE),VLOOKUP($G159,Sheet3!$H$2:$O$200,AJ$1,FALSE)),$I$1),$I$1)</f>
        <v>0</v>
      </c>
      <c r="AK159" s="15">
        <f>IFERROR(IF(ISBLANK(AD159),IFERROR(VLOOKUP($F159,Sheet3!$H$2:$O$200,AK$1,FALSE),VLOOKUP($G159,Sheet3!$H$2:$O$200,AK$1,FALSE)),$I$1),$I$1)</f>
        <v>0</v>
      </c>
      <c r="AL159" s="15">
        <f>IFERROR(IF(ISBLANK(AE159),VLOOKUP($G159,Sheet3!$H$2:$O$200,AL$1,FALSE),$I$1),$I$1)</f>
        <v>0</v>
      </c>
      <c r="AM159" s="15">
        <f>IFERROR(IF(ISBLANK(AF159),VLOOKUP($G159,Sheet3!$H$2:$O$200,AM$1,FALSE),$I$1),$I$1)</f>
        <v>0</v>
      </c>
      <c r="AN159" s="15">
        <f>IFERROR(IF(ISBLANK(AG159),VLOOKUP($G159,Sheet3!$H$2:$O$200,AN$1,FALSE),$I$1),$I$1)</f>
        <v>0</v>
      </c>
      <c r="AO159" s="15">
        <f>IFERROR(IF(ISBLANK(AH159),VLOOKUP($G159,Sheet3!$H$2:$O$200,AO$1,FALSE),$I$1),$I$1)</f>
        <v>0</v>
      </c>
      <c r="AP159" s="15">
        <f>IFERROR(IF(ISBLANK(AI159),VLOOKUP($G159,Sheet3!$H$2:$O$200,AP$1,FALSE),$I$1),$I$1)</f>
        <v>0</v>
      </c>
      <c r="AQ159" s="15">
        <f>IFERROR(IF(ISBLANK(AJ159),VLOOKUP($G159,Sheet3!$H$2:$O$200,AQ$1,FALSE),$I$1),$I$1)</f>
        <v>0</v>
      </c>
      <c r="AR159" s="15">
        <f>IFERROR(IF(ISBLANK(AK159),VLOOKUP($G159,Sheet3!$H$2:$O$200,AR$1,FALSE),$I$1),$I$1)</f>
        <v>0</v>
      </c>
      <c r="AS159" s="15">
        <f t="shared" si="1"/>
        <v>28</v>
      </c>
      <c r="AT159" s="15" t="b">
        <f t="shared" si="2"/>
        <v>0</v>
      </c>
    </row>
    <row r="160" spans="1:46" x14ac:dyDescent="0.2">
      <c r="A160" s="19" t="s">
        <v>324</v>
      </c>
      <c r="B160" s="19" t="s">
        <v>317</v>
      </c>
      <c r="C160" s="19" t="s">
        <v>48</v>
      </c>
      <c r="D160" s="19"/>
      <c r="E160" s="19" t="s">
        <v>263</v>
      </c>
      <c r="F160" s="19"/>
      <c r="G160" s="19"/>
      <c r="H160" s="19" t="s">
        <v>324</v>
      </c>
      <c r="I160" s="15">
        <f t="shared" si="0"/>
        <v>2</v>
      </c>
      <c r="J160" s="15">
        <f>IFERROR(VLOOKUP($C160,Sheet3!$H$2:$O$200,J$1,FALSE),IFERROR(VLOOKUP($D160,Sheet3!$H$2:$O$200,J$1,FALSE),VLOOKUP($E160,Sheet3!$H$2:$O$200,J$1,FALSE)))</f>
        <v>0</v>
      </c>
      <c r="K160" s="15">
        <f>IFERROR(VLOOKUP($C160,Sheet3!$H$2:$O$200,K$1,FALSE),IFERROR(VLOOKUP($D160,Sheet3!$H$2:$O$200,K$1,FALSE),VLOOKUP($E160,Sheet3!$H$2:$O$200,K$1,FALSE)))</f>
        <v>0</v>
      </c>
      <c r="L160" s="15">
        <f>IFERROR(VLOOKUP($C160,Sheet3!$H$2:$O$200,L$1,FALSE),IFERROR(VLOOKUP($D160,Sheet3!$H$2:$O$200,L$1,FALSE),VLOOKUP($E160,Sheet3!$H$2:$O$200,L$1,FALSE)))</f>
        <v>0</v>
      </c>
      <c r="M160" s="15" t="str">
        <f>IFERROR(VLOOKUP($C160,Sheet3!$H$2:$O$200,M$1,FALSE),IFERROR(VLOOKUP($D160,Sheet3!$H$2:$O$200,M$1,FALSE),VLOOKUP($E160,Sheet3!$H$2:$O$200,M$1,FALSE)))</f>
        <v>sweet vermouth</v>
      </c>
      <c r="N160" s="15">
        <f>IFERROR(VLOOKUP($C160,Sheet3!$H$2:$O$200,N$1,FALSE),IFERROR(VLOOKUP($D160,Sheet3!$H$2:$O$200,N$1,FALSE),VLOOKUP($E160,Sheet3!$H$2:$O$200,N$1,FALSE)))</f>
        <v>0</v>
      </c>
      <c r="O160" s="15">
        <f>IFERROR(VLOOKUP($C160,Sheet3!$H$2:$O$200,O$1,FALSE),IFERROR(VLOOKUP($D160,Sheet3!$H$2:$O$200,O$1,FALSE),VLOOKUP($E160,Sheet3!$H$2:$O$200,O$1,FALSE)))</f>
        <v>0</v>
      </c>
      <c r="P160" s="15">
        <f>IFERROR(VLOOKUP($C160,Sheet3!$H$2:$O$200,P$1,FALSE),IFERROR(VLOOKUP($D160,Sheet3!$H$2:$O$200,P$1,FALSE),VLOOKUP($E160,Sheet3!$H$2:$O$200,P$1,FALSE)))</f>
        <v>0</v>
      </c>
      <c r="Q160" s="15">
        <f>IFERROR(IF(ISBLANK(J160),IFERROR(VLOOKUP($D160,Sheet3!$H$2:$O$200,Q$1,FALSE),IFERROR(VLOOKUP($E160,Sheet3!$H$2:$O$200,Q$1,FALSE),VLOOKUP($F160,Sheet3!$H$2:$O$200,Q$1,FALSE))),$I$1),$I$1)</f>
        <v>0</v>
      </c>
      <c r="R160" s="15">
        <f>IFERROR(IF(ISBLANK(K160),IFERROR(VLOOKUP($D160,Sheet3!$H$2:$O$200,R$1,FALSE),IFERROR(VLOOKUP($E160,Sheet3!$H$2:$O$200,R$1,FALSE),VLOOKUP($F160,Sheet3!$H$2:$O$200,R$1,FALSE))),$I$1),$I$1)</f>
        <v>0</v>
      </c>
      <c r="S160" s="15">
        <f>IFERROR(IF(ISBLANK(L160),IFERROR(VLOOKUP($D160,Sheet3!$H$2:$O$200,S$1,FALSE),IFERROR(VLOOKUP($E160,Sheet3!$H$2:$O$200,S$1,FALSE),VLOOKUP($F160,Sheet3!$H$2:$O$200,S$1,FALSE))),$I$1),$I$1)</f>
        <v>0</v>
      </c>
      <c r="T160" s="15">
        <f>IFERROR(IF(ISBLANK(M160),IFERROR(VLOOKUP($D160,Sheet3!$H$2:$O$200,T$1,FALSE),IFERROR(VLOOKUP($E160,Sheet3!$H$2:$O$200,T$1,FALSE),VLOOKUP($F160,Sheet3!$H$2:$O$200,T$1,FALSE))),$I$1),$I$1)</f>
        <v>0</v>
      </c>
      <c r="U160" s="15">
        <f>IFERROR(IF(ISBLANK(N160),IFERROR(VLOOKUP($D160,Sheet3!$H$2:$O$200,U$1,FALSE),IFERROR(VLOOKUP($E160,Sheet3!$H$2:$O$200,U$1,FALSE),VLOOKUP($F160,Sheet3!$H$2:$O$200,U$1,FALSE))),$I$1),$I$1)</f>
        <v>0</v>
      </c>
      <c r="V160" s="15">
        <f>IFERROR(IF(ISBLANK(O160),IFERROR(VLOOKUP($D160,Sheet3!$H$2:$O$200,V$1,FALSE),IFERROR(VLOOKUP($E160,Sheet3!$H$2:$O$200,V$1,FALSE),VLOOKUP($F160,Sheet3!$H$2:$O$200,V$1,FALSE))),$I$1),$I$1)</f>
        <v>0</v>
      </c>
      <c r="W160" s="15">
        <f>IFERROR(IF(ISBLANK(P160),IFERROR(VLOOKUP($D160,Sheet3!$H$2:$O$200,W$1,FALSE),IFERROR(VLOOKUP($E160,Sheet3!$H$2:$O$200,W$1,FALSE),VLOOKUP($F160,Sheet3!$H$2:$O$200,W$1,FALSE))),$I$1),$I$1)</f>
        <v>0</v>
      </c>
      <c r="X160" s="15">
        <f>IFERROR(IF(ISBLANK(Q160),IFERROR(VLOOKUP($E160,Sheet3!$H$2:$O$200,X$1,FALSE),IFERROR(VLOOKUP($F160,Sheet3!$H$2:$O$200,X$1,FALSE),VLOOKUP($G160,Sheet3!$H$2:$O$200,X$1,FALSE))),$I$1),$I$1)</f>
        <v>0</v>
      </c>
      <c r="Y160" s="15">
        <f>IFERROR(IF(ISBLANK(R160),IFERROR(VLOOKUP($E160,Sheet3!$H$2:$O$200,Y$1,FALSE),IFERROR(VLOOKUP($F160,Sheet3!$H$2:$O$200,Y$1,FALSE),VLOOKUP($G160,Sheet3!$H$2:$O$200,Y$1,FALSE))),$I$1),$I$1)</f>
        <v>0</v>
      </c>
      <c r="Z160" s="15">
        <f>IFERROR(IF(ISBLANK(S160),IFERROR(VLOOKUP($E160,Sheet3!$H$2:$O$200,Z$1,FALSE),IFERROR(VLOOKUP($F160,Sheet3!$H$2:$O$200,Z$1,FALSE),VLOOKUP($G160,Sheet3!$H$2:$O$200,Z$1,FALSE))),$I$1),$I$1)</f>
        <v>0</v>
      </c>
      <c r="AA160" s="15">
        <f>IFERROR(IF(ISBLANK(T160),IFERROR(VLOOKUP($E160,Sheet3!$H$2:$O$200,AA$1,FALSE),IFERROR(VLOOKUP($F160,Sheet3!$H$2:$O$200,AA$1,FALSE),VLOOKUP($G160,Sheet3!$H$2:$O$200,AA$1,FALSE))),$I$1),$I$1)</f>
        <v>0</v>
      </c>
      <c r="AB160" s="15">
        <f>IFERROR(IF(ISBLANK(U160),IFERROR(VLOOKUP($E160,Sheet3!$H$2:$O$200,AB$1,FALSE),IFERROR(VLOOKUP($F160,Sheet3!$H$2:$O$200,AB$1,FALSE),VLOOKUP($G160,Sheet3!$H$2:$O$200,AB$1,FALSE))),$I$1),$I$1)</f>
        <v>0</v>
      </c>
      <c r="AC160" s="15">
        <f>IFERROR(IF(ISBLANK(V160),IFERROR(VLOOKUP($E160,Sheet3!$H$2:$O$200,AC$1,FALSE),IFERROR(VLOOKUP($F160,Sheet3!$H$2:$O$200,AC$1,FALSE),VLOOKUP($G160,Sheet3!$H$2:$O$200,AC$1,FALSE))),$I$1),$I$1)</f>
        <v>0</v>
      </c>
      <c r="AD160" s="15">
        <f>IFERROR(IF(ISBLANK(W160),IFERROR(VLOOKUP($E160,Sheet3!$H$2:$O$200,AD$1,FALSE),IFERROR(VLOOKUP($F160,Sheet3!$H$2:$O$200,AD$1,FALSE),VLOOKUP($G160,Sheet3!$H$2:$O$200,AD$1,FALSE))),$I$1),$I$1)</f>
        <v>0</v>
      </c>
      <c r="AE160" s="15">
        <f>IFERROR(IF(ISBLANK(X160),IFERROR(VLOOKUP($F160,Sheet3!$H$2:$O$200,AE$1,FALSE),VLOOKUP($G160,Sheet3!$H$2:$O$200,AE$1,FALSE)),$I$1),$I$1)</f>
        <v>0</v>
      </c>
      <c r="AF160" s="15">
        <f>IFERROR(IF(ISBLANK(Y160),IFERROR(VLOOKUP($F160,Sheet3!$H$2:$O$200,AF$1,FALSE),VLOOKUP($G160,Sheet3!$H$2:$O$200,AF$1,FALSE)),$I$1),$I$1)</f>
        <v>0</v>
      </c>
      <c r="AG160" s="15">
        <f>IFERROR(IF(ISBLANK(Z160),IFERROR(VLOOKUP($F160,Sheet3!$H$2:$O$200,AG$1,FALSE),VLOOKUP($G160,Sheet3!$H$2:$O$200,AG$1,FALSE)),$I$1),$I$1)</f>
        <v>0</v>
      </c>
      <c r="AH160" s="15">
        <f>IFERROR(IF(ISBLANK(AA160),IFERROR(VLOOKUP($F160,Sheet3!$H$2:$O$200,AH$1,FALSE),VLOOKUP($G160,Sheet3!$H$2:$O$200,AH$1,FALSE)),$I$1),$I$1)</f>
        <v>0</v>
      </c>
      <c r="AI160" s="15">
        <f>IFERROR(IF(ISBLANK(AB160),IFERROR(VLOOKUP($F160,Sheet3!$H$2:$O$200,AI$1,FALSE),VLOOKUP($G160,Sheet3!$H$2:$O$200,AI$1,FALSE)),$I$1),$I$1)</f>
        <v>0</v>
      </c>
      <c r="AJ160" s="15">
        <f>IFERROR(IF(ISBLANK(AC160),IFERROR(VLOOKUP($F160,Sheet3!$H$2:$O$200,AJ$1,FALSE),VLOOKUP($G160,Sheet3!$H$2:$O$200,AJ$1,FALSE)),$I$1),$I$1)</f>
        <v>0</v>
      </c>
      <c r="AK160" s="15">
        <f>IFERROR(IF(ISBLANK(AD160),IFERROR(VLOOKUP($F160,Sheet3!$H$2:$O$200,AK$1,FALSE),VLOOKUP($G160,Sheet3!$H$2:$O$200,AK$1,FALSE)),$I$1),$I$1)</f>
        <v>0</v>
      </c>
      <c r="AL160" s="15">
        <f>IFERROR(IF(ISBLANK(AE160),VLOOKUP($G160,Sheet3!$H$2:$O$200,AL$1,FALSE),$I$1),$I$1)</f>
        <v>0</v>
      </c>
      <c r="AM160" s="15">
        <f>IFERROR(IF(ISBLANK(AF160),VLOOKUP($G160,Sheet3!$H$2:$O$200,AM$1,FALSE),$I$1),$I$1)</f>
        <v>0</v>
      </c>
      <c r="AN160" s="15">
        <f>IFERROR(IF(ISBLANK(AG160),VLOOKUP($G160,Sheet3!$H$2:$O$200,AN$1,FALSE),$I$1),$I$1)</f>
        <v>0</v>
      </c>
      <c r="AO160" s="15">
        <f>IFERROR(IF(ISBLANK(AH160),VLOOKUP($G160,Sheet3!$H$2:$O$200,AO$1,FALSE),$I$1),$I$1)</f>
        <v>0</v>
      </c>
      <c r="AP160" s="15">
        <f>IFERROR(IF(ISBLANK(AI160),VLOOKUP($G160,Sheet3!$H$2:$O$200,AP$1,FALSE),$I$1),$I$1)</f>
        <v>0</v>
      </c>
      <c r="AQ160" s="15">
        <f>IFERROR(IF(ISBLANK(AJ160),VLOOKUP($G160,Sheet3!$H$2:$O$200,AQ$1,FALSE),$I$1),$I$1)</f>
        <v>0</v>
      </c>
      <c r="AR160" s="15">
        <f>IFERROR(IF(ISBLANK(AK160),VLOOKUP($G160,Sheet3!$H$2:$O$200,AR$1,FALSE),$I$1),$I$1)</f>
        <v>0</v>
      </c>
      <c r="AS160" s="15">
        <f t="shared" si="1"/>
        <v>28</v>
      </c>
      <c r="AT160" s="15" t="b">
        <f t="shared" si="2"/>
        <v>0</v>
      </c>
    </row>
    <row r="161" spans="1:46" x14ac:dyDescent="0.2">
      <c r="A161" s="19" t="s">
        <v>325</v>
      </c>
      <c r="B161" s="19" t="s">
        <v>317</v>
      </c>
      <c r="C161" s="19" t="s">
        <v>48</v>
      </c>
      <c r="D161" s="19"/>
      <c r="E161" s="19" t="s">
        <v>68</v>
      </c>
      <c r="F161" s="19"/>
      <c r="G161" s="19"/>
      <c r="H161" s="19" t="s">
        <v>325</v>
      </c>
      <c r="I161" s="15">
        <f t="shared" si="0"/>
        <v>2</v>
      </c>
      <c r="J161" s="15">
        <f>IFERROR(VLOOKUP($C161,Sheet3!$H$2:$O$200,J$1,FALSE),IFERROR(VLOOKUP($D161,Sheet3!$H$2:$O$200,J$1,FALSE),VLOOKUP($E161,Sheet3!$H$2:$O$200,J$1,FALSE)))</f>
        <v>0</v>
      </c>
      <c r="K161" s="15">
        <f>IFERROR(VLOOKUP($C161,Sheet3!$H$2:$O$200,K$1,FALSE),IFERROR(VLOOKUP($D161,Sheet3!$H$2:$O$200,K$1,FALSE),VLOOKUP($E161,Sheet3!$H$2:$O$200,K$1,FALSE)))</f>
        <v>0</v>
      </c>
      <c r="L161" s="15">
        <f>IFERROR(VLOOKUP($C161,Sheet3!$H$2:$O$200,L$1,FALSE),IFERROR(VLOOKUP($D161,Sheet3!$H$2:$O$200,L$1,FALSE),VLOOKUP($E161,Sheet3!$H$2:$O$200,L$1,FALSE)))</f>
        <v>0</v>
      </c>
      <c r="M161" s="15" t="str">
        <f>IFERROR(VLOOKUP($C161,Sheet3!$H$2:$O$200,M$1,FALSE),IFERROR(VLOOKUP($D161,Sheet3!$H$2:$O$200,M$1,FALSE),VLOOKUP($E161,Sheet3!$H$2:$O$200,M$1,FALSE)))</f>
        <v>sweet vermouth</v>
      </c>
      <c r="N161" s="15">
        <f>IFERROR(VLOOKUP($C161,Sheet3!$H$2:$O$200,N$1,FALSE),IFERROR(VLOOKUP($D161,Sheet3!$H$2:$O$200,N$1,FALSE),VLOOKUP($E161,Sheet3!$H$2:$O$200,N$1,FALSE)))</f>
        <v>0</v>
      </c>
      <c r="O161" s="15">
        <f>IFERROR(VLOOKUP($C161,Sheet3!$H$2:$O$200,O$1,FALSE),IFERROR(VLOOKUP($D161,Sheet3!$H$2:$O$200,O$1,FALSE),VLOOKUP($E161,Sheet3!$H$2:$O$200,O$1,FALSE)))</f>
        <v>0</v>
      </c>
      <c r="P161" s="15">
        <f>IFERROR(VLOOKUP($C161,Sheet3!$H$2:$O$200,P$1,FALSE),IFERROR(VLOOKUP($D161,Sheet3!$H$2:$O$200,P$1,FALSE),VLOOKUP($E161,Sheet3!$H$2:$O$200,P$1,FALSE)))</f>
        <v>0</v>
      </c>
      <c r="Q161" s="15">
        <f>IFERROR(IF(ISBLANK(J161),IFERROR(VLOOKUP($D161,Sheet3!$H$2:$O$200,Q$1,FALSE),IFERROR(VLOOKUP($E161,Sheet3!$H$2:$O$200,Q$1,FALSE),VLOOKUP($F161,Sheet3!$H$2:$O$200,Q$1,FALSE))),$I$1),$I$1)</f>
        <v>0</v>
      </c>
      <c r="R161" s="15">
        <f>IFERROR(IF(ISBLANK(K161),IFERROR(VLOOKUP($D161,Sheet3!$H$2:$O$200,R$1,FALSE),IFERROR(VLOOKUP($E161,Sheet3!$H$2:$O$200,R$1,FALSE),VLOOKUP($F161,Sheet3!$H$2:$O$200,R$1,FALSE))),$I$1),$I$1)</f>
        <v>0</v>
      </c>
      <c r="S161" s="15">
        <f>IFERROR(IF(ISBLANK(L161),IFERROR(VLOOKUP($D161,Sheet3!$H$2:$O$200,S$1,FALSE),IFERROR(VLOOKUP($E161,Sheet3!$H$2:$O$200,S$1,FALSE),VLOOKUP($F161,Sheet3!$H$2:$O$200,S$1,FALSE))),$I$1),$I$1)</f>
        <v>0</v>
      </c>
      <c r="T161" s="15">
        <f>IFERROR(IF(ISBLANK(M161),IFERROR(VLOOKUP($D161,Sheet3!$H$2:$O$200,T$1,FALSE),IFERROR(VLOOKUP($E161,Sheet3!$H$2:$O$200,T$1,FALSE),VLOOKUP($F161,Sheet3!$H$2:$O$200,T$1,FALSE))),$I$1),$I$1)</f>
        <v>0</v>
      </c>
      <c r="U161" s="15">
        <f>IFERROR(IF(ISBLANK(N161),IFERROR(VLOOKUP($D161,Sheet3!$H$2:$O$200,U$1,FALSE),IFERROR(VLOOKUP($E161,Sheet3!$H$2:$O$200,U$1,FALSE),VLOOKUP($F161,Sheet3!$H$2:$O$200,U$1,FALSE))),$I$1),$I$1)</f>
        <v>0</v>
      </c>
      <c r="V161" s="15">
        <f>IFERROR(IF(ISBLANK(O161),IFERROR(VLOOKUP($D161,Sheet3!$H$2:$O$200,V$1,FALSE),IFERROR(VLOOKUP($E161,Sheet3!$H$2:$O$200,V$1,FALSE),VLOOKUP($F161,Sheet3!$H$2:$O$200,V$1,FALSE))),$I$1),$I$1)</f>
        <v>0</v>
      </c>
      <c r="W161" s="15">
        <f>IFERROR(IF(ISBLANK(P161),IFERROR(VLOOKUP($D161,Sheet3!$H$2:$O$200,W$1,FALSE),IFERROR(VLOOKUP($E161,Sheet3!$H$2:$O$200,W$1,FALSE),VLOOKUP($F161,Sheet3!$H$2:$O$200,W$1,FALSE))),$I$1),$I$1)</f>
        <v>0</v>
      </c>
      <c r="X161" s="15">
        <f>IFERROR(IF(ISBLANK(Q161),IFERROR(VLOOKUP($E161,Sheet3!$H$2:$O$200,X$1,FALSE),IFERROR(VLOOKUP($F161,Sheet3!$H$2:$O$200,X$1,FALSE),VLOOKUP($G161,Sheet3!$H$2:$O$200,X$1,FALSE))),$I$1),$I$1)</f>
        <v>0</v>
      </c>
      <c r="Y161" s="15">
        <f>IFERROR(IF(ISBLANK(R161),IFERROR(VLOOKUP($E161,Sheet3!$H$2:$O$200,Y$1,FALSE),IFERROR(VLOOKUP($F161,Sheet3!$H$2:$O$200,Y$1,FALSE),VLOOKUP($G161,Sheet3!$H$2:$O$200,Y$1,FALSE))),$I$1),$I$1)</f>
        <v>0</v>
      </c>
      <c r="Z161" s="15">
        <f>IFERROR(IF(ISBLANK(S161),IFERROR(VLOOKUP($E161,Sheet3!$H$2:$O$200,Z$1,FALSE),IFERROR(VLOOKUP($F161,Sheet3!$H$2:$O$200,Z$1,FALSE),VLOOKUP($G161,Sheet3!$H$2:$O$200,Z$1,FALSE))),$I$1),$I$1)</f>
        <v>0</v>
      </c>
      <c r="AA161" s="15">
        <f>IFERROR(IF(ISBLANK(T161),IFERROR(VLOOKUP($E161,Sheet3!$H$2:$O$200,AA$1,FALSE),IFERROR(VLOOKUP($F161,Sheet3!$H$2:$O$200,AA$1,FALSE),VLOOKUP($G161,Sheet3!$H$2:$O$200,AA$1,FALSE))),$I$1),$I$1)</f>
        <v>0</v>
      </c>
      <c r="AB161" s="15">
        <f>IFERROR(IF(ISBLANK(U161),IFERROR(VLOOKUP($E161,Sheet3!$H$2:$O$200,AB$1,FALSE),IFERROR(VLOOKUP($F161,Sheet3!$H$2:$O$200,AB$1,FALSE),VLOOKUP($G161,Sheet3!$H$2:$O$200,AB$1,FALSE))),$I$1),$I$1)</f>
        <v>0</v>
      </c>
      <c r="AC161" s="15">
        <f>IFERROR(IF(ISBLANK(V161),IFERROR(VLOOKUP($E161,Sheet3!$H$2:$O$200,AC$1,FALSE),IFERROR(VLOOKUP($F161,Sheet3!$H$2:$O$200,AC$1,FALSE),VLOOKUP($G161,Sheet3!$H$2:$O$200,AC$1,FALSE))),$I$1),$I$1)</f>
        <v>0</v>
      </c>
      <c r="AD161" s="15">
        <f>IFERROR(IF(ISBLANK(W161),IFERROR(VLOOKUP($E161,Sheet3!$H$2:$O$200,AD$1,FALSE),IFERROR(VLOOKUP($F161,Sheet3!$H$2:$O$200,AD$1,FALSE),VLOOKUP($G161,Sheet3!$H$2:$O$200,AD$1,FALSE))),$I$1),$I$1)</f>
        <v>0</v>
      </c>
      <c r="AE161" s="15">
        <f>IFERROR(IF(ISBLANK(X161),IFERROR(VLOOKUP($F161,Sheet3!$H$2:$O$200,AE$1,FALSE),VLOOKUP($G161,Sheet3!$H$2:$O$200,AE$1,FALSE)),$I$1),$I$1)</f>
        <v>0</v>
      </c>
      <c r="AF161" s="15">
        <f>IFERROR(IF(ISBLANK(Y161),IFERROR(VLOOKUP($F161,Sheet3!$H$2:$O$200,AF$1,FALSE),VLOOKUP($G161,Sheet3!$H$2:$O$200,AF$1,FALSE)),$I$1),$I$1)</f>
        <v>0</v>
      </c>
      <c r="AG161" s="15">
        <f>IFERROR(IF(ISBLANK(Z161),IFERROR(VLOOKUP($F161,Sheet3!$H$2:$O$200,AG$1,FALSE),VLOOKUP($G161,Sheet3!$H$2:$O$200,AG$1,FALSE)),$I$1),$I$1)</f>
        <v>0</v>
      </c>
      <c r="AH161" s="15">
        <f>IFERROR(IF(ISBLANK(AA161),IFERROR(VLOOKUP($F161,Sheet3!$H$2:$O$200,AH$1,FALSE),VLOOKUP($G161,Sheet3!$H$2:$O$200,AH$1,FALSE)),$I$1),$I$1)</f>
        <v>0</v>
      </c>
      <c r="AI161" s="15">
        <f>IFERROR(IF(ISBLANK(AB161),IFERROR(VLOOKUP($F161,Sheet3!$H$2:$O$200,AI$1,FALSE),VLOOKUP($G161,Sheet3!$H$2:$O$200,AI$1,FALSE)),$I$1),$I$1)</f>
        <v>0</v>
      </c>
      <c r="AJ161" s="15">
        <f>IFERROR(IF(ISBLANK(AC161),IFERROR(VLOOKUP($F161,Sheet3!$H$2:$O$200,AJ$1,FALSE),VLOOKUP($G161,Sheet3!$H$2:$O$200,AJ$1,FALSE)),$I$1),$I$1)</f>
        <v>0</v>
      </c>
      <c r="AK161" s="15">
        <f>IFERROR(IF(ISBLANK(AD161),IFERROR(VLOOKUP($F161,Sheet3!$H$2:$O$200,AK$1,FALSE),VLOOKUP($G161,Sheet3!$H$2:$O$200,AK$1,FALSE)),$I$1),$I$1)</f>
        <v>0</v>
      </c>
      <c r="AL161" s="15">
        <f>IFERROR(IF(ISBLANK(AE161),VLOOKUP($G161,Sheet3!$H$2:$O$200,AL$1,FALSE),$I$1),$I$1)</f>
        <v>0</v>
      </c>
      <c r="AM161" s="15">
        <f>IFERROR(IF(ISBLANK(AF161),VLOOKUP($G161,Sheet3!$H$2:$O$200,AM$1,FALSE),$I$1),$I$1)</f>
        <v>0</v>
      </c>
      <c r="AN161" s="15">
        <f>IFERROR(IF(ISBLANK(AG161),VLOOKUP($G161,Sheet3!$H$2:$O$200,AN$1,FALSE),$I$1),$I$1)</f>
        <v>0</v>
      </c>
      <c r="AO161" s="15">
        <f>IFERROR(IF(ISBLANK(AH161),VLOOKUP($G161,Sheet3!$H$2:$O$200,AO$1,FALSE),$I$1),$I$1)</f>
        <v>0</v>
      </c>
      <c r="AP161" s="15">
        <f>IFERROR(IF(ISBLANK(AI161),VLOOKUP($G161,Sheet3!$H$2:$O$200,AP$1,FALSE),$I$1),$I$1)</f>
        <v>0</v>
      </c>
      <c r="AQ161" s="15">
        <f>IFERROR(IF(ISBLANK(AJ161),VLOOKUP($G161,Sheet3!$H$2:$O$200,AQ$1,FALSE),$I$1),$I$1)</f>
        <v>0</v>
      </c>
      <c r="AR161" s="15">
        <f>IFERROR(IF(ISBLANK(AK161),VLOOKUP($G161,Sheet3!$H$2:$O$200,AR$1,FALSE),$I$1),$I$1)</f>
        <v>0</v>
      </c>
      <c r="AS161" s="15">
        <f t="shared" si="1"/>
        <v>28</v>
      </c>
      <c r="AT161" s="15" t="b">
        <f t="shared" si="2"/>
        <v>0</v>
      </c>
    </row>
    <row r="162" spans="1:46" x14ac:dyDescent="0.2">
      <c r="A162" s="19" t="s">
        <v>326</v>
      </c>
      <c r="B162" s="19" t="s">
        <v>317</v>
      </c>
      <c r="C162" s="19" t="s">
        <v>48</v>
      </c>
      <c r="D162" s="19" t="s">
        <v>126</v>
      </c>
      <c r="E162" s="19" t="s">
        <v>70</v>
      </c>
      <c r="F162" s="19"/>
      <c r="G162" s="19"/>
      <c r="H162" s="19" t="s">
        <v>326</v>
      </c>
      <c r="I162" s="15">
        <f t="shared" si="0"/>
        <v>3</v>
      </c>
      <c r="J162" s="15">
        <f>IFERROR(VLOOKUP($C162,Sheet3!$H$2:$O$200,J$1,FALSE),IFERROR(VLOOKUP($D162,Sheet3!$H$2:$O$200,J$1,FALSE),VLOOKUP($E162,Sheet3!$H$2:$O$200,J$1,FALSE)))</f>
        <v>0</v>
      </c>
      <c r="K162" s="15">
        <f>IFERROR(VLOOKUP($C162,Sheet3!$H$2:$O$200,K$1,FALSE),IFERROR(VLOOKUP($D162,Sheet3!$H$2:$O$200,K$1,FALSE),VLOOKUP($E162,Sheet3!$H$2:$O$200,K$1,FALSE)))</f>
        <v>0</v>
      </c>
      <c r="L162" s="15">
        <f>IFERROR(VLOOKUP($C162,Sheet3!$H$2:$O$200,L$1,FALSE),IFERROR(VLOOKUP($D162,Sheet3!$H$2:$O$200,L$1,FALSE),VLOOKUP($E162,Sheet3!$H$2:$O$200,L$1,FALSE)))</f>
        <v>0</v>
      </c>
      <c r="M162" s="15" t="str">
        <f>IFERROR(VLOOKUP($C162,Sheet3!$H$2:$O$200,M$1,FALSE),IFERROR(VLOOKUP($D162,Sheet3!$H$2:$O$200,M$1,FALSE),VLOOKUP($E162,Sheet3!$H$2:$O$200,M$1,FALSE)))</f>
        <v>sweet vermouth</v>
      </c>
      <c r="N162" s="15">
        <f>IFERROR(VLOOKUP($C162,Sheet3!$H$2:$O$200,N$1,FALSE),IFERROR(VLOOKUP($D162,Sheet3!$H$2:$O$200,N$1,FALSE),VLOOKUP($E162,Sheet3!$H$2:$O$200,N$1,FALSE)))</f>
        <v>0</v>
      </c>
      <c r="O162" s="15">
        <f>IFERROR(VLOOKUP($C162,Sheet3!$H$2:$O$200,O$1,FALSE),IFERROR(VLOOKUP($D162,Sheet3!$H$2:$O$200,O$1,FALSE),VLOOKUP($E162,Sheet3!$H$2:$O$200,O$1,FALSE)))</f>
        <v>0</v>
      </c>
      <c r="P162" s="15">
        <f>IFERROR(VLOOKUP($C162,Sheet3!$H$2:$O$200,P$1,FALSE),IFERROR(VLOOKUP($D162,Sheet3!$H$2:$O$200,P$1,FALSE),VLOOKUP($E162,Sheet3!$H$2:$O$200,P$1,FALSE)))</f>
        <v>0</v>
      </c>
      <c r="Q162" s="15">
        <f>IFERROR(IF(ISBLANK(J162),IFERROR(VLOOKUP($D162,Sheet3!$H$2:$O$200,Q$1,FALSE),IFERROR(VLOOKUP($E162,Sheet3!$H$2:$O$200,Q$1,FALSE),VLOOKUP($F162,Sheet3!$H$2:$O$200,Q$1,FALSE))),$I$1),$I$1)</f>
        <v>0</v>
      </c>
      <c r="R162" s="15">
        <f>IFERROR(IF(ISBLANK(K162),IFERROR(VLOOKUP($D162,Sheet3!$H$2:$O$200,R$1,FALSE),IFERROR(VLOOKUP($E162,Sheet3!$H$2:$O$200,R$1,FALSE),VLOOKUP($F162,Sheet3!$H$2:$O$200,R$1,FALSE))),$I$1),$I$1)</f>
        <v>0</v>
      </c>
      <c r="S162" s="15">
        <f>IFERROR(IF(ISBLANK(L162),IFERROR(VLOOKUP($D162,Sheet3!$H$2:$O$200,S$1,FALSE),IFERROR(VLOOKUP($E162,Sheet3!$H$2:$O$200,S$1,FALSE),VLOOKUP($F162,Sheet3!$H$2:$O$200,S$1,FALSE))),$I$1),$I$1)</f>
        <v>0</v>
      </c>
      <c r="T162" s="15">
        <f>IFERROR(IF(ISBLANK(M162),IFERROR(VLOOKUP($D162,Sheet3!$H$2:$O$200,T$1,FALSE),IFERROR(VLOOKUP($E162,Sheet3!$H$2:$O$200,T$1,FALSE),VLOOKUP($F162,Sheet3!$H$2:$O$200,T$1,FALSE))),$I$1),$I$1)</f>
        <v>0</v>
      </c>
      <c r="U162" s="15">
        <f>IFERROR(IF(ISBLANK(N162),IFERROR(VLOOKUP($D162,Sheet3!$H$2:$O$200,U$1,FALSE),IFERROR(VLOOKUP($E162,Sheet3!$H$2:$O$200,U$1,FALSE),VLOOKUP($F162,Sheet3!$H$2:$O$200,U$1,FALSE))),$I$1),$I$1)</f>
        <v>0</v>
      </c>
      <c r="V162" s="15">
        <f>IFERROR(IF(ISBLANK(O162),IFERROR(VLOOKUP($D162,Sheet3!$H$2:$O$200,V$1,FALSE),IFERROR(VLOOKUP($E162,Sheet3!$H$2:$O$200,V$1,FALSE),VLOOKUP($F162,Sheet3!$H$2:$O$200,V$1,FALSE))),$I$1),$I$1)</f>
        <v>0</v>
      </c>
      <c r="W162" s="15">
        <f>IFERROR(IF(ISBLANK(P162),IFERROR(VLOOKUP($D162,Sheet3!$H$2:$O$200,W$1,FALSE),IFERROR(VLOOKUP($E162,Sheet3!$H$2:$O$200,W$1,FALSE),VLOOKUP($F162,Sheet3!$H$2:$O$200,W$1,FALSE))),$I$1),$I$1)</f>
        <v>0</v>
      </c>
      <c r="X162" s="15">
        <f>IFERROR(IF(ISBLANK(Q162),IFERROR(VLOOKUP($E162,Sheet3!$H$2:$O$200,X$1,FALSE),IFERROR(VLOOKUP($F162,Sheet3!$H$2:$O$200,X$1,FALSE),VLOOKUP($G162,Sheet3!$H$2:$O$200,X$1,FALSE))),$I$1),$I$1)</f>
        <v>0</v>
      </c>
      <c r="Y162" s="15">
        <f>IFERROR(IF(ISBLANK(R162),IFERROR(VLOOKUP($E162,Sheet3!$H$2:$O$200,Y$1,FALSE),IFERROR(VLOOKUP($F162,Sheet3!$H$2:$O$200,Y$1,FALSE),VLOOKUP($G162,Sheet3!$H$2:$O$200,Y$1,FALSE))),$I$1),$I$1)</f>
        <v>0</v>
      </c>
      <c r="Z162" s="15">
        <f>IFERROR(IF(ISBLANK(S162),IFERROR(VLOOKUP($E162,Sheet3!$H$2:$O$200,Z$1,FALSE),IFERROR(VLOOKUP($F162,Sheet3!$H$2:$O$200,Z$1,FALSE),VLOOKUP($G162,Sheet3!$H$2:$O$200,Z$1,FALSE))),$I$1),$I$1)</f>
        <v>0</v>
      </c>
      <c r="AA162" s="15">
        <f>IFERROR(IF(ISBLANK(T162),IFERROR(VLOOKUP($E162,Sheet3!$H$2:$O$200,AA$1,FALSE),IFERROR(VLOOKUP($F162,Sheet3!$H$2:$O$200,AA$1,FALSE),VLOOKUP($G162,Sheet3!$H$2:$O$200,AA$1,FALSE))),$I$1),$I$1)</f>
        <v>0</v>
      </c>
      <c r="AB162" s="15">
        <f>IFERROR(IF(ISBLANK(U162),IFERROR(VLOOKUP($E162,Sheet3!$H$2:$O$200,AB$1,FALSE),IFERROR(VLOOKUP($F162,Sheet3!$H$2:$O$200,AB$1,FALSE),VLOOKUP($G162,Sheet3!$H$2:$O$200,AB$1,FALSE))),$I$1),$I$1)</f>
        <v>0</v>
      </c>
      <c r="AC162" s="15">
        <f>IFERROR(IF(ISBLANK(V162),IFERROR(VLOOKUP($E162,Sheet3!$H$2:$O$200,AC$1,FALSE),IFERROR(VLOOKUP($F162,Sheet3!$H$2:$O$200,AC$1,FALSE),VLOOKUP($G162,Sheet3!$H$2:$O$200,AC$1,FALSE))),$I$1),$I$1)</f>
        <v>0</v>
      </c>
      <c r="AD162" s="15">
        <f>IFERROR(IF(ISBLANK(W162),IFERROR(VLOOKUP($E162,Sheet3!$H$2:$O$200,AD$1,FALSE),IFERROR(VLOOKUP($F162,Sheet3!$H$2:$O$200,AD$1,FALSE),VLOOKUP($G162,Sheet3!$H$2:$O$200,AD$1,FALSE))),$I$1),$I$1)</f>
        <v>0</v>
      </c>
      <c r="AE162" s="15">
        <f>IFERROR(IF(ISBLANK(X162),IFERROR(VLOOKUP($F162,Sheet3!$H$2:$O$200,AE$1,FALSE),VLOOKUP($G162,Sheet3!$H$2:$O$200,AE$1,FALSE)),$I$1),$I$1)</f>
        <v>0</v>
      </c>
      <c r="AF162" s="15">
        <f>IFERROR(IF(ISBLANK(Y162),IFERROR(VLOOKUP($F162,Sheet3!$H$2:$O$200,AF$1,FALSE),VLOOKUP($G162,Sheet3!$H$2:$O$200,AF$1,FALSE)),$I$1),$I$1)</f>
        <v>0</v>
      </c>
      <c r="AG162" s="15">
        <f>IFERROR(IF(ISBLANK(Z162),IFERROR(VLOOKUP($F162,Sheet3!$H$2:$O$200,AG$1,FALSE),VLOOKUP($G162,Sheet3!$H$2:$O$200,AG$1,FALSE)),$I$1),$I$1)</f>
        <v>0</v>
      </c>
      <c r="AH162" s="15">
        <f>IFERROR(IF(ISBLANK(AA162),IFERROR(VLOOKUP($F162,Sheet3!$H$2:$O$200,AH$1,FALSE),VLOOKUP($G162,Sheet3!$H$2:$O$200,AH$1,FALSE)),$I$1),$I$1)</f>
        <v>0</v>
      </c>
      <c r="AI162" s="15">
        <f>IFERROR(IF(ISBLANK(AB162),IFERROR(VLOOKUP($F162,Sheet3!$H$2:$O$200,AI$1,FALSE),VLOOKUP($G162,Sheet3!$H$2:$O$200,AI$1,FALSE)),$I$1),$I$1)</f>
        <v>0</v>
      </c>
      <c r="AJ162" s="15">
        <f>IFERROR(IF(ISBLANK(AC162),IFERROR(VLOOKUP($F162,Sheet3!$H$2:$O$200,AJ$1,FALSE),VLOOKUP($G162,Sheet3!$H$2:$O$200,AJ$1,FALSE)),$I$1),$I$1)</f>
        <v>0</v>
      </c>
      <c r="AK162" s="15">
        <f>IFERROR(IF(ISBLANK(AD162),IFERROR(VLOOKUP($F162,Sheet3!$H$2:$O$200,AK$1,FALSE),VLOOKUP($G162,Sheet3!$H$2:$O$200,AK$1,FALSE)),$I$1),$I$1)</f>
        <v>0</v>
      </c>
      <c r="AL162" s="15">
        <f>IFERROR(IF(ISBLANK(AE162),VLOOKUP($G162,Sheet3!$H$2:$O$200,AL$1,FALSE),$I$1),$I$1)</f>
        <v>0</v>
      </c>
      <c r="AM162" s="15">
        <f>IFERROR(IF(ISBLANK(AF162),VLOOKUP($G162,Sheet3!$H$2:$O$200,AM$1,FALSE),$I$1),$I$1)</f>
        <v>0</v>
      </c>
      <c r="AN162" s="15">
        <f>IFERROR(IF(ISBLANK(AG162),VLOOKUP($G162,Sheet3!$H$2:$O$200,AN$1,FALSE),$I$1),$I$1)</f>
        <v>0</v>
      </c>
      <c r="AO162" s="15">
        <f>IFERROR(IF(ISBLANK(AH162),VLOOKUP($G162,Sheet3!$H$2:$O$200,AO$1,FALSE),$I$1),$I$1)</f>
        <v>0</v>
      </c>
      <c r="AP162" s="15">
        <f>IFERROR(IF(ISBLANK(AI162),VLOOKUP($G162,Sheet3!$H$2:$O$200,AP$1,FALSE),$I$1),$I$1)</f>
        <v>0</v>
      </c>
      <c r="AQ162" s="15">
        <f>IFERROR(IF(ISBLANK(AJ162),VLOOKUP($G162,Sheet3!$H$2:$O$200,AQ$1,FALSE),$I$1),$I$1)</f>
        <v>0</v>
      </c>
      <c r="AR162" s="15">
        <f>IFERROR(IF(ISBLANK(AK162),VLOOKUP($G162,Sheet3!$H$2:$O$200,AR$1,FALSE),$I$1),$I$1)</f>
        <v>0</v>
      </c>
      <c r="AS162" s="15">
        <f t="shared" si="1"/>
        <v>28</v>
      </c>
      <c r="AT162" s="15" t="b">
        <f t="shared" si="2"/>
        <v>0</v>
      </c>
    </row>
    <row r="163" spans="1:46" x14ac:dyDescent="0.2">
      <c r="A163" s="19" t="s">
        <v>327</v>
      </c>
      <c r="B163" s="19" t="s">
        <v>317</v>
      </c>
      <c r="C163" s="19" t="s">
        <v>81</v>
      </c>
      <c r="D163" s="19"/>
      <c r="E163" s="19"/>
      <c r="F163" s="19"/>
      <c r="G163" s="19"/>
      <c r="H163" s="19" t="s">
        <v>327</v>
      </c>
      <c r="I163" s="15">
        <f t="shared" si="0"/>
        <v>1</v>
      </c>
      <c r="J163" s="15">
        <f>IFERROR(VLOOKUP($C163,Sheet3!$H$2:$O$200,J$1,FALSE),IFERROR(VLOOKUP($D163,Sheet3!$H$2:$O$200,J$1,FALSE),VLOOKUP($E163,Sheet3!$H$2:$O$200,J$1,FALSE)))</f>
        <v>0</v>
      </c>
      <c r="K163" s="15" t="str">
        <f>IFERROR(VLOOKUP($C163,Sheet3!$H$2:$O$200,K$1,FALSE),IFERROR(VLOOKUP($D163,Sheet3!$H$2:$O$200,K$1,FALSE),VLOOKUP($E163,Sheet3!$H$2:$O$200,K$1,FALSE)))</f>
        <v>bottled water</v>
      </c>
      <c r="L163" s="15">
        <f>IFERROR(VLOOKUP($C163,Sheet3!$H$2:$O$200,L$1,FALSE),IFERROR(VLOOKUP($D163,Sheet3!$H$2:$O$200,L$1,FALSE),VLOOKUP($E163,Sheet3!$H$2:$O$200,L$1,FALSE)))</f>
        <v>0</v>
      </c>
      <c r="M163" s="15">
        <f>IFERROR(VLOOKUP($C163,Sheet3!$H$2:$O$200,M$1,FALSE),IFERROR(VLOOKUP($D163,Sheet3!$H$2:$O$200,M$1,FALSE),VLOOKUP($E163,Sheet3!$H$2:$O$200,M$1,FALSE)))</f>
        <v>0</v>
      </c>
      <c r="N163" s="15">
        <f>IFERROR(VLOOKUP($C163,Sheet3!$H$2:$O$200,N$1,FALSE),IFERROR(VLOOKUP($D163,Sheet3!$H$2:$O$200,N$1,FALSE),VLOOKUP($E163,Sheet3!$H$2:$O$200,N$1,FALSE)))</f>
        <v>0</v>
      </c>
      <c r="O163" s="15">
        <f>IFERROR(VLOOKUP($C163,Sheet3!$H$2:$O$200,O$1,FALSE),IFERROR(VLOOKUP($D163,Sheet3!$H$2:$O$200,O$1,FALSE),VLOOKUP($E163,Sheet3!$H$2:$O$200,O$1,FALSE)))</f>
        <v>0</v>
      </c>
      <c r="P163" s="15">
        <f>IFERROR(VLOOKUP($C163,Sheet3!$H$2:$O$200,P$1,FALSE),IFERROR(VLOOKUP($D163,Sheet3!$H$2:$O$200,P$1,FALSE),VLOOKUP($E163,Sheet3!$H$2:$O$200,P$1,FALSE)))</f>
        <v>0</v>
      </c>
      <c r="Q163" s="15">
        <f>IFERROR(IF(ISBLANK(J163),IFERROR(VLOOKUP($D163,Sheet3!$H$2:$O$200,Q$1,FALSE),IFERROR(VLOOKUP($E163,Sheet3!$H$2:$O$200,Q$1,FALSE),VLOOKUP($F163,Sheet3!$H$2:$O$200,Q$1,FALSE))),$I$1),$I$1)</f>
        <v>0</v>
      </c>
      <c r="R163" s="15">
        <f>IFERROR(IF(ISBLANK(K163),IFERROR(VLOOKUP($D163,Sheet3!$H$2:$O$200,R$1,FALSE),IFERROR(VLOOKUP($E163,Sheet3!$H$2:$O$200,R$1,FALSE),VLOOKUP($F163,Sheet3!$H$2:$O$200,R$1,FALSE))),$I$1),$I$1)</f>
        <v>0</v>
      </c>
      <c r="S163" s="15">
        <f>IFERROR(IF(ISBLANK(L163),IFERROR(VLOOKUP($D163,Sheet3!$H$2:$O$200,S$1,FALSE),IFERROR(VLOOKUP($E163,Sheet3!$H$2:$O$200,S$1,FALSE),VLOOKUP($F163,Sheet3!$H$2:$O$200,S$1,FALSE))),$I$1),$I$1)</f>
        <v>0</v>
      </c>
      <c r="T163" s="15">
        <f>IFERROR(IF(ISBLANK(M163),IFERROR(VLOOKUP($D163,Sheet3!$H$2:$O$200,T$1,FALSE),IFERROR(VLOOKUP($E163,Sheet3!$H$2:$O$200,T$1,FALSE),VLOOKUP($F163,Sheet3!$H$2:$O$200,T$1,FALSE))),$I$1),$I$1)</f>
        <v>0</v>
      </c>
      <c r="U163" s="15">
        <f>IFERROR(IF(ISBLANK(N163),IFERROR(VLOOKUP($D163,Sheet3!$H$2:$O$200,U$1,FALSE),IFERROR(VLOOKUP($E163,Sheet3!$H$2:$O$200,U$1,FALSE),VLOOKUP($F163,Sheet3!$H$2:$O$200,U$1,FALSE))),$I$1),$I$1)</f>
        <v>0</v>
      </c>
      <c r="V163" s="15">
        <f>IFERROR(IF(ISBLANK(O163),IFERROR(VLOOKUP($D163,Sheet3!$H$2:$O$200,V$1,FALSE),IFERROR(VLOOKUP($E163,Sheet3!$H$2:$O$200,V$1,FALSE),VLOOKUP($F163,Sheet3!$H$2:$O$200,V$1,FALSE))),$I$1),$I$1)</f>
        <v>0</v>
      </c>
      <c r="W163" s="15">
        <f>IFERROR(IF(ISBLANK(P163),IFERROR(VLOOKUP($D163,Sheet3!$H$2:$O$200,W$1,FALSE),IFERROR(VLOOKUP($E163,Sheet3!$H$2:$O$200,W$1,FALSE),VLOOKUP($F163,Sheet3!$H$2:$O$200,W$1,FALSE))),$I$1),$I$1)</f>
        <v>0</v>
      </c>
      <c r="X163" s="15">
        <f>IFERROR(IF(ISBLANK(Q163),IFERROR(VLOOKUP($E163,Sheet3!$H$2:$O$200,X$1,FALSE),IFERROR(VLOOKUP($F163,Sheet3!$H$2:$O$200,X$1,FALSE),VLOOKUP($G163,Sheet3!$H$2:$O$200,X$1,FALSE))),$I$1),$I$1)</f>
        <v>0</v>
      </c>
      <c r="Y163" s="15">
        <f>IFERROR(IF(ISBLANK(R163),IFERROR(VLOOKUP($E163,Sheet3!$H$2:$O$200,Y$1,FALSE),IFERROR(VLOOKUP($F163,Sheet3!$H$2:$O$200,Y$1,FALSE),VLOOKUP($G163,Sheet3!$H$2:$O$200,Y$1,FALSE))),$I$1),$I$1)</f>
        <v>0</v>
      </c>
      <c r="Z163" s="15">
        <f>IFERROR(IF(ISBLANK(S163),IFERROR(VLOOKUP($E163,Sheet3!$H$2:$O$200,Z$1,FALSE),IFERROR(VLOOKUP($F163,Sheet3!$H$2:$O$200,Z$1,FALSE),VLOOKUP($G163,Sheet3!$H$2:$O$200,Z$1,FALSE))),$I$1),$I$1)</f>
        <v>0</v>
      </c>
      <c r="AA163" s="15">
        <f>IFERROR(IF(ISBLANK(T163),IFERROR(VLOOKUP($E163,Sheet3!$H$2:$O$200,AA$1,FALSE),IFERROR(VLOOKUP($F163,Sheet3!$H$2:$O$200,AA$1,FALSE),VLOOKUP($G163,Sheet3!$H$2:$O$200,AA$1,FALSE))),$I$1),$I$1)</f>
        <v>0</v>
      </c>
      <c r="AB163" s="15">
        <f>IFERROR(IF(ISBLANK(U163),IFERROR(VLOOKUP($E163,Sheet3!$H$2:$O$200,AB$1,FALSE),IFERROR(VLOOKUP($F163,Sheet3!$H$2:$O$200,AB$1,FALSE),VLOOKUP($G163,Sheet3!$H$2:$O$200,AB$1,FALSE))),$I$1),$I$1)</f>
        <v>0</v>
      </c>
      <c r="AC163" s="15">
        <f>IFERROR(IF(ISBLANK(V163),IFERROR(VLOOKUP($E163,Sheet3!$H$2:$O$200,AC$1,FALSE),IFERROR(VLOOKUP($F163,Sheet3!$H$2:$O$200,AC$1,FALSE),VLOOKUP($G163,Sheet3!$H$2:$O$200,AC$1,FALSE))),$I$1),$I$1)</f>
        <v>0</v>
      </c>
      <c r="AD163" s="15">
        <f>IFERROR(IF(ISBLANK(W163),IFERROR(VLOOKUP($E163,Sheet3!$H$2:$O$200,AD$1,FALSE),IFERROR(VLOOKUP($F163,Sheet3!$H$2:$O$200,AD$1,FALSE),VLOOKUP($G163,Sheet3!$H$2:$O$200,AD$1,FALSE))),$I$1),$I$1)</f>
        <v>0</v>
      </c>
      <c r="AE163" s="15">
        <f>IFERROR(IF(ISBLANK(X163),IFERROR(VLOOKUP($F163,Sheet3!$H$2:$O$200,AE$1,FALSE),VLOOKUP($G163,Sheet3!$H$2:$O$200,AE$1,FALSE)),$I$1),$I$1)</f>
        <v>0</v>
      </c>
      <c r="AF163" s="15">
        <f>IFERROR(IF(ISBLANK(Y163),IFERROR(VLOOKUP($F163,Sheet3!$H$2:$O$200,AF$1,FALSE),VLOOKUP($G163,Sheet3!$H$2:$O$200,AF$1,FALSE)),$I$1),$I$1)</f>
        <v>0</v>
      </c>
      <c r="AG163" s="15">
        <f>IFERROR(IF(ISBLANK(Z163),IFERROR(VLOOKUP($F163,Sheet3!$H$2:$O$200,AG$1,FALSE),VLOOKUP($G163,Sheet3!$H$2:$O$200,AG$1,FALSE)),$I$1),$I$1)</f>
        <v>0</v>
      </c>
      <c r="AH163" s="15">
        <f>IFERROR(IF(ISBLANK(AA163),IFERROR(VLOOKUP($F163,Sheet3!$H$2:$O$200,AH$1,FALSE),VLOOKUP($G163,Sheet3!$H$2:$O$200,AH$1,FALSE)),$I$1),$I$1)</f>
        <v>0</v>
      </c>
      <c r="AI163" s="15">
        <f>IFERROR(IF(ISBLANK(AB163),IFERROR(VLOOKUP($F163,Sheet3!$H$2:$O$200,AI$1,FALSE),VLOOKUP($G163,Sheet3!$H$2:$O$200,AI$1,FALSE)),$I$1),$I$1)</f>
        <v>0</v>
      </c>
      <c r="AJ163" s="15">
        <f>IFERROR(IF(ISBLANK(AC163),IFERROR(VLOOKUP($F163,Sheet3!$H$2:$O$200,AJ$1,FALSE),VLOOKUP($G163,Sheet3!$H$2:$O$200,AJ$1,FALSE)),$I$1),$I$1)</f>
        <v>0</v>
      </c>
      <c r="AK163" s="15">
        <f>IFERROR(IF(ISBLANK(AD163),IFERROR(VLOOKUP($F163,Sheet3!$H$2:$O$200,AK$1,FALSE),VLOOKUP($G163,Sheet3!$H$2:$O$200,AK$1,FALSE)),$I$1),$I$1)</f>
        <v>0</v>
      </c>
      <c r="AL163" s="15">
        <f>IFERROR(IF(ISBLANK(AE163),VLOOKUP($G163,Sheet3!$H$2:$O$200,AL$1,FALSE),$I$1),$I$1)</f>
        <v>0</v>
      </c>
      <c r="AM163" s="15">
        <f>IFERROR(IF(ISBLANK(AF163),VLOOKUP($G163,Sheet3!$H$2:$O$200,AM$1,FALSE),$I$1),$I$1)</f>
        <v>0</v>
      </c>
      <c r="AN163" s="15">
        <f>IFERROR(IF(ISBLANK(AG163),VLOOKUP($G163,Sheet3!$H$2:$O$200,AN$1,FALSE),$I$1),$I$1)</f>
        <v>0</v>
      </c>
      <c r="AO163" s="15">
        <f>IFERROR(IF(ISBLANK(AH163),VLOOKUP($G163,Sheet3!$H$2:$O$200,AO$1,FALSE),$I$1),$I$1)</f>
        <v>0</v>
      </c>
      <c r="AP163" s="15">
        <f>IFERROR(IF(ISBLANK(AI163),VLOOKUP($G163,Sheet3!$H$2:$O$200,AP$1,FALSE),$I$1),$I$1)</f>
        <v>0</v>
      </c>
      <c r="AQ163" s="15">
        <f>IFERROR(IF(ISBLANK(AJ163),VLOOKUP($G163,Sheet3!$H$2:$O$200,AQ$1,FALSE),$I$1),$I$1)</f>
        <v>0</v>
      </c>
      <c r="AR163" s="15">
        <f>IFERROR(IF(ISBLANK(AK163),VLOOKUP($G163,Sheet3!$H$2:$O$200,AR$1,FALSE),$I$1),$I$1)</f>
        <v>0</v>
      </c>
      <c r="AS163" s="15">
        <f t="shared" si="1"/>
        <v>28</v>
      </c>
      <c r="AT163" s="15" t="b">
        <f t="shared" si="2"/>
        <v>0</v>
      </c>
    </row>
    <row r="164" spans="1:46" x14ac:dyDescent="0.2">
      <c r="A164" s="19" t="s">
        <v>328</v>
      </c>
      <c r="B164" s="19" t="s">
        <v>317</v>
      </c>
      <c r="C164" s="19" t="s">
        <v>62</v>
      </c>
      <c r="D164" s="19"/>
      <c r="E164" s="19"/>
      <c r="F164" s="19"/>
      <c r="G164" s="19"/>
      <c r="H164" s="19" t="s">
        <v>328</v>
      </c>
      <c r="I164" s="15">
        <f t="shared" si="0"/>
        <v>1</v>
      </c>
      <c r="J164" s="15">
        <f>IFERROR(VLOOKUP($C164,Sheet3!$H$2:$O$200,J$1,FALSE),IFERROR(VLOOKUP($D164,Sheet3!$H$2:$O$200,J$1,FALSE),VLOOKUP($E164,Sheet3!$H$2:$O$200,J$1,FALSE)))</f>
        <v>0</v>
      </c>
      <c r="K164" s="15" t="str">
        <f>IFERROR(VLOOKUP($C164,Sheet3!$H$2:$O$200,K$1,FALSE),IFERROR(VLOOKUP($D164,Sheet3!$H$2:$O$200,K$1,FALSE),VLOOKUP($E164,Sheet3!$H$2:$O$200,K$1,FALSE)))</f>
        <v>club soda</v>
      </c>
      <c r="L164" s="15">
        <f>IFERROR(VLOOKUP($C164,Sheet3!$H$2:$O$200,L$1,FALSE),IFERROR(VLOOKUP($D164,Sheet3!$H$2:$O$200,L$1,FALSE),VLOOKUP($E164,Sheet3!$H$2:$O$200,L$1,FALSE)))</f>
        <v>0</v>
      </c>
      <c r="M164" s="15">
        <f>IFERROR(VLOOKUP($C164,Sheet3!$H$2:$O$200,M$1,FALSE),IFERROR(VLOOKUP($D164,Sheet3!$H$2:$O$200,M$1,FALSE),VLOOKUP($E164,Sheet3!$H$2:$O$200,M$1,FALSE)))</f>
        <v>0</v>
      </c>
      <c r="N164" s="15">
        <f>IFERROR(VLOOKUP($C164,Sheet3!$H$2:$O$200,N$1,FALSE),IFERROR(VLOOKUP($D164,Sheet3!$H$2:$O$200,N$1,FALSE),VLOOKUP($E164,Sheet3!$H$2:$O$200,N$1,FALSE)))</f>
        <v>0</v>
      </c>
      <c r="O164" s="15">
        <f>IFERROR(VLOOKUP($C164,Sheet3!$H$2:$O$200,O$1,FALSE),IFERROR(VLOOKUP($D164,Sheet3!$H$2:$O$200,O$1,FALSE),VLOOKUP($E164,Sheet3!$H$2:$O$200,O$1,FALSE)))</f>
        <v>0</v>
      </c>
      <c r="P164" s="15">
        <f>IFERROR(VLOOKUP($C164,Sheet3!$H$2:$O$200,P$1,FALSE),IFERROR(VLOOKUP($D164,Sheet3!$H$2:$O$200,P$1,FALSE),VLOOKUP($E164,Sheet3!$H$2:$O$200,P$1,FALSE)))</f>
        <v>0</v>
      </c>
      <c r="Q164" s="15">
        <f>IFERROR(IF(ISBLANK(J164),IFERROR(VLOOKUP($D164,Sheet3!$H$2:$O$200,Q$1,FALSE),IFERROR(VLOOKUP($E164,Sheet3!$H$2:$O$200,Q$1,FALSE),VLOOKUP($F164,Sheet3!$H$2:$O$200,Q$1,FALSE))),$I$1),$I$1)</f>
        <v>0</v>
      </c>
      <c r="R164" s="15">
        <f>IFERROR(IF(ISBLANK(K164),IFERROR(VLOOKUP($D164,Sheet3!$H$2:$O$200,R$1,FALSE),IFERROR(VLOOKUP($E164,Sheet3!$H$2:$O$200,R$1,FALSE),VLOOKUP($F164,Sheet3!$H$2:$O$200,R$1,FALSE))),$I$1),$I$1)</f>
        <v>0</v>
      </c>
      <c r="S164" s="15">
        <f>IFERROR(IF(ISBLANK(L164),IFERROR(VLOOKUP($D164,Sheet3!$H$2:$O$200,S$1,FALSE),IFERROR(VLOOKUP($E164,Sheet3!$H$2:$O$200,S$1,FALSE),VLOOKUP($F164,Sheet3!$H$2:$O$200,S$1,FALSE))),$I$1),$I$1)</f>
        <v>0</v>
      </c>
      <c r="T164" s="15">
        <f>IFERROR(IF(ISBLANK(M164),IFERROR(VLOOKUP($D164,Sheet3!$H$2:$O$200,T$1,FALSE),IFERROR(VLOOKUP($E164,Sheet3!$H$2:$O$200,T$1,FALSE),VLOOKUP($F164,Sheet3!$H$2:$O$200,T$1,FALSE))),$I$1),$I$1)</f>
        <v>0</v>
      </c>
      <c r="U164" s="15">
        <f>IFERROR(IF(ISBLANK(N164),IFERROR(VLOOKUP($D164,Sheet3!$H$2:$O$200,U$1,FALSE),IFERROR(VLOOKUP($E164,Sheet3!$H$2:$O$200,U$1,FALSE),VLOOKUP($F164,Sheet3!$H$2:$O$200,U$1,FALSE))),$I$1),$I$1)</f>
        <v>0</v>
      </c>
      <c r="V164" s="15">
        <f>IFERROR(IF(ISBLANK(O164),IFERROR(VLOOKUP($D164,Sheet3!$H$2:$O$200,V$1,FALSE),IFERROR(VLOOKUP($E164,Sheet3!$H$2:$O$200,V$1,FALSE),VLOOKUP($F164,Sheet3!$H$2:$O$200,V$1,FALSE))),$I$1),$I$1)</f>
        <v>0</v>
      </c>
      <c r="W164" s="15">
        <f>IFERROR(IF(ISBLANK(P164),IFERROR(VLOOKUP($D164,Sheet3!$H$2:$O$200,W$1,FALSE),IFERROR(VLOOKUP($E164,Sheet3!$H$2:$O$200,W$1,FALSE),VLOOKUP($F164,Sheet3!$H$2:$O$200,W$1,FALSE))),$I$1),$I$1)</f>
        <v>0</v>
      </c>
      <c r="X164" s="15">
        <f>IFERROR(IF(ISBLANK(Q164),IFERROR(VLOOKUP($E164,Sheet3!$H$2:$O$200,X$1,FALSE),IFERROR(VLOOKUP($F164,Sheet3!$H$2:$O$200,X$1,FALSE),VLOOKUP($G164,Sheet3!$H$2:$O$200,X$1,FALSE))),$I$1),$I$1)</f>
        <v>0</v>
      </c>
      <c r="Y164" s="15">
        <f>IFERROR(IF(ISBLANK(R164),IFERROR(VLOOKUP($E164,Sheet3!$H$2:$O$200,Y$1,FALSE),IFERROR(VLOOKUP($F164,Sheet3!$H$2:$O$200,Y$1,FALSE),VLOOKUP($G164,Sheet3!$H$2:$O$200,Y$1,FALSE))),$I$1),$I$1)</f>
        <v>0</v>
      </c>
      <c r="Z164" s="15">
        <f>IFERROR(IF(ISBLANK(S164),IFERROR(VLOOKUP($E164,Sheet3!$H$2:$O$200,Z$1,FALSE),IFERROR(VLOOKUP($F164,Sheet3!$H$2:$O$200,Z$1,FALSE),VLOOKUP($G164,Sheet3!$H$2:$O$200,Z$1,FALSE))),$I$1),$I$1)</f>
        <v>0</v>
      </c>
      <c r="AA164" s="15">
        <f>IFERROR(IF(ISBLANK(T164),IFERROR(VLOOKUP($E164,Sheet3!$H$2:$O$200,AA$1,FALSE),IFERROR(VLOOKUP($F164,Sheet3!$H$2:$O$200,AA$1,FALSE),VLOOKUP($G164,Sheet3!$H$2:$O$200,AA$1,FALSE))),$I$1),$I$1)</f>
        <v>0</v>
      </c>
      <c r="AB164" s="15">
        <f>IFERROR(IF(ISBLANK(U164),IFERROR(VLOOKUP($E164,Sheet3!$H$2:$O$200,AB$1,FALSE),IFERROR(VLOOKUP($F164,Sheet3!$H$2:$O$200,AB$1,FALSE),VLOOKUP($G164,Sheet3!$H$2:$O$200,AB$1,FALSE))),$I$1),$I$1)</f>
        <v>0</v>
      </c>
      <c r="AC164" s="15">
        <f>IFERROR(IF(ISBLANK(V164),IFERROR(VLOOKUP($E164,Sheet3!$H$2:$O$200,AC$1,FALSE),IFERROR(VLOOKUP($F164,Sheet3!$H$2:$O$200,AC$1,FALSE),VLOOKUP($G164,Sheet3!$H$2:$O$200,AC$1,FALSE))),$I$1),$I$1)</f>
        <v>0</v>
      </c>
      <c r="AD164" s="15">
        <f>IFERROR(IF(ISBLANK(W164),IFERROR(VLOOKUP($E164,Sheet3!$H$2:$O$200,AD$1,FALSE),IFERROR(VLOOKUP($F164,Sheet3!$H$2:$O$200,AD$1,FALSE),VLOOKUP($G164,Sheet3!$H$2:$O$200,AD$1,FALSE))),$I$1),$I$1)</f>
        <v>0</v>
      </c>
      <c r="AE164" s="15">
        <f>IFERROR(IF(ISBLANK(X164),IFERROR(VLOOKUP($F164,Sheet3!$H$2:$O$200,AE$1,FALSE),VLOOKUP($G164,Sheet3!$H$2:$O$200,AE$1,FALSE)),$I$1),$I$1)</f>
        <v>0</v>
      </c>
      <c r="AF164" s="15">
        <f>IFERROR(IF(ISBLANK(Y164),IFERROR(VLOOKUP($F164,Sheet3!$H$2:$O$200,AF$1,FALSE),VLOOKUP($G164,Sheet3!$H$2:$O$200,AF$1,FALSE)),$I$1),$I$1)</f>
        <v>0</v>
      </c>
      <c r="AG164" s="15">
        <f>IFERROR(IF(ISBLANK(Z164),IFERROR(VLOOKUP($F164,Sheet3!$H$2:$O$200,AG$1,FALSE),VLOOKUP($G164,Sheet3!$H$2:$O$200,AG$1,FALSE)),$I$1),$I$1)</f>
        <v>0</v>
      </c>
      <c r="AH164" s="15">
        <f>IFERROR(IF(ISBLANK(AA164),IFERROR(VLOOKUP($F164,Sheet3!$H$2:$O$200,AH$1,FALSE),VLOOKUP($G164,Sheet3!$H$2:$O$200,AH$1,FALSE)),$I$1),$I$1)</f>
        <v>0</v>
      </c>
      <c r="AI164" s="15">
        <f>IFERROR(IF(ISBLANK(AB164),IFERROR(VLOOKUP($F164,Sheet3!$H$2:$O$200,AI$1,FALSE),VLOOKUP($G164,Sheet3!$H$2:$O$200,AI$1,FALSE)),$I$1),$I$1)</f>
        <v>0</v>
      </c>
      <c r="AJ164" s="15">
        <f>IFERROR(IF(ISBLANK(AC164),IFERROR(VLOOKUP($F164,Sheet3!$H$2:$O$200,AJ$1,FALSE),VLOOKUP($G164,Sheet3!$H$2:$O$200,AJ$1,FALSE)),$I$1),$I$1)</f>
        <v>0</v>
      </c>
      <c r="AK164" s="15">
        <f>IFERROR(IF(ISBLANK(AD164),IFERROR(VLOOKUP($F164,Sheet3!$H$2:$O$200,AK$1,FALSE),VLOOKUP($G164,Sheet3!$H$2:$O$200,AK$1,FALSE)),$I$1),$I$1)</f>
        <v>0</v>
      </c>
      <c r="AL164" s="15">
        <f>IFERROR(IF(ISBLANK(AE164),VLOOKUP($G164,Sheet3!$H$2:$O$200,AL$1,FALSE),$I$1),$I$1)</f>
        <v>0</v>
      </c>
      <c r="AM164" s="15">
        <f>IFERROR(IF(ISBLANK(AF164),VLOOKUP($G164,Sheet3!$H$2:$O$200,AM$1,FALSE),$I$1),$I$1)</f>
        <v>0</v>
      </c>
      <c r="AN164" s="15">
        <f>IFERROR(IF(ISBLANK(AG164),VLOOKUP($G164,Sheet3!$H$2:$O$200,AN$1,FALSE),$I$1),$I$1)</f>
        <v>0</v>
      </c>
      <c r="AO164" s="15">
        <f>IFERROR(IF(ISBLANK(AH164),VLOOKUP($G164,Sheet3!$H$2:$O$200,AO$1,FALSE),$I$1),$I$1)</f>
        <v>0</v>
      </c>
      <c r="AP164" s="15">
        <f>IFERROR(IF(ISBLANK(AI164),VLOOKUP($G164,Sheet3!$H$2:$O$200,AP$1,FALSE),$I$1),$I$1)</f>
        <v>0</v>
      </c>
      <c r="AQ164" s="15">
        <f>IFERROR(IF(ISBLANK(AJ164),VLOOKUP($G164,Sheet3!$H$2:$O$200,AQ$1,FALSE),$I$1),$I$1)</f>
        <v>0</v>
      </c>
      <c r="AR164" s="15">
        <f>IFERROR(IF(ISBLANK(AK164),VLOOKUP($G164,Sheet3!$H$2:$O$200,AR$1,FALSE),$I$1),$I$1)</f>
        <v>0</v>
      </c>
      <c r="AS164" s="15">
        <f t="shared" si="1"/>
        <v>28</v>
      </c>
      <c r="AT164" s="15" t="b">
        <f t="shared" si="2"/>
        <v>0</v>
      </c>
    </row>
    <row r="165" spans="1:46" x14ac:dyDescent="0.2">
      <c r="A165" s="19" t="s">
        <v>329</v>
      </c>
      <c r="B165" s="19" t="s">
        <v>317</v>
      </c>
      <c r="C165" s="19" t="s">
        <v>156</v>
      </c>
      <c r="D165" s="19"/>
      <c r="E165" s="19"/>
      <c r="F165" s="19"/>
      <c r="G165" s="19"/>
      <c r="H165" s="19" t="s">
        <v>329</v>
      </c>
      <c r="I165" s="15">
        <f t="shared" si="0"/>
        <v>1</v>
      </c>
      <c r="J165" s="15">
        <f>IFERROR(VLOOKUP($C165,Sheet3!$H$2:$O$200,J$1,FALSE),IFERROR(VLOOKUP($D165,Sheet3!$H$2:$O$200,J$1,FALSE),VLOOKUP($E165,Sheet3!$H$2:$O$200,J$1,FALSE)))</f>
        <v>0</v>
      </c>
      <c r="K165" s="15" t="str">
        <f>IFERROR(VLOOKUP($C165,Sheet3!$H$2:$O$200,K$1,FALSE),IFERROR(VLOOKUP($D165,Sheet3!$H$2:$O$200,K$1,FALSE),VLOOKUP($E165,Sheet3!$H$2:$O$200,K$1,FALSE)))</f>
        <v>ginger ale</v>
      </c>
      <c r="L165" s="15">
        <f>IFERROR(VLOOKUP($C165,Sheet3!$H$2:$O$200,L$1,FALSE),IFERROR(VLOOKUP($D165,Sheet3!$H$2:$O$200,L$1,FALSE),VLOOKUP($E165,Sheet3!$H$2:$O$200,L$1,FALSE)))</f>
        <v>0</v>
      </c>
      <c r="M165" s="15">
        <f>IFERROR(VLOOKUP($C165,Sheet3!$H$2:$O$200,M$1,FALSE),IFERROR(VLOOKUP($D165,Sheet3!$H$2:$O$200,M$1,FALSE),VLOOKUP($E165,Sheet3!$H$2:$O$200,M$1,FALSE)))</f>
        <v>0</v>
      </c>
      <c r="N165" s="15">
        <f>IFERROR(VLOOKUP($C165,Sheet3!$H$2:$O$200,N$1,FALSE),IFERROR(VLOOKUP($D165,Sheet3!$H$2:$O$200,N$1,FALSE),VLOOKUP($E165,Sheet3!$H$2:$O$200,N$1,FALSE)))</f>
        <v>0</v>
      </c>
      <c r="O165" s="15">
        <f>IFERROR(VLOOKUP($C165,Sheet3!$H$2:$O$200,O$1,FALSE),IFERROR(VLOOKUP($D165,Sheet3!$H$2:$O$200,O$1,FALSE),VLOOKUP($E165,Sheet3!$H$2:$O$200,O$1,FALSE)))</f>
        <v>0</v>
      </c>
      <c r="P165" s="15">
        <f>IFERROR(VLOOKUP($C165,Sheet3!$H$2:$O$200,P$1,FALSE),IFERROR(VLOOKUP($D165,Sheet3!$H$2:$O$200,P$1,FALSE),VLOOKUP($E165,Sheet3!$H$2:$O$200,P$1,FALSE)))</f>
        <v>0</v>
      </c>
      <c r="Q165" s="15">
        <f>IFERROR(IF(ISBLANK(J165),IFERROR(VLOOKUP($D165,Sheet3!$H$2:$O$200,Q$1,FALSE),IFERROR(VLOOKUP($E165,Sheet3!$H$2:$O$200,Q$1,FALSE),VLOOKUP($F165,Sheet3!$H$2:$O$200,Q$1,FALSE))),$I$1),$I$1)</f>
        <v>0</v>
      </c>
      <c r="R165" s="15">
        <f>IFERROR(IF(ISBLANK(K165),IFERROR(VLOOKUP($D165,Sheet3!$H$2:$O$200,R$1,FALSE),IFERROR(VLOOKUP($E165,Sheet3!$H$2:$O$200,R$1,FALSE),VLOOKUP($F165,Sheet3!$H$2:$O$200,R$1,FALSE))),$I$1),$I$1)</f>
        <v>0</v>
      </c>
      <c r="S165" s="15">
        <f>IFERROR(IF(ISBLANK(L165),IFERROR(VLOOKUP($D165,Sheet3!$H$2:$O$200,S$1,FALSE),IFERROR(VLOOKUP($E165,Sheet3!$H$2:$O$200,S$1,FALSE),VLOOKUP($F165,Sheet3!$H$2:$O$200,S$1,FALSE))),$I$1),$I$1)</f>
        <v>0</v>
      </c>
      <c r="T165" s="15">
        <f>IFERROR(IF(ISBLANK(M165),IFERROR(VLOOKUP($D165,Sheet3!$H$2:$O$200,T$1,FALSE),IFERROR(VLOOKUP($E165,Sheet3!$H$2:$O$200,T$1,FALSE),VLOOKUP($F165,Sheet3!$H$2:$O$200,T$1,FALSE))),$I$1),$I$1)</f>
        <v>0</v>
      </c>
      <c r="U165" s="15">
        <f>IFERROR(IF(ISBLANK(N165),IFERROR(VLOOKUP($D165,Sheet3!$H$2:$O$200,U$1,FALSE),IFERROR(VLOOKUP($E165,Sheet3!$H$2:$O$200,U$1,FALSE),VLOOKUP($F165,Sheet3!$H$2:$O$200,U$1,FALSE))),$I$1),$I$1)</f>
        <v>0</v>
      </c>
      <c r="V165" s="15">
        <f>IFERROR(IF(ISBLANK(O165),IFERROR(VLOOKUP($D165,Sheet3!$H$2:$O$200,V$1,FALSE),IFERROR(VLOOKUP($E165,Sheet3!$H$2:$O$200,V$1,FALSE),VLOOKUP($F165,Sheet3!$H$2:$O$200,V$1,FALSE))),$I$1),$I$1)</f>
        <v>0</v>
      </c>
      <c r="W165" s="15">
        <f>IFERROR(IF(ISBLANK(P165),IFERROR(VLOOKUP($D165,Sheet3!$H$2:$O$200,W$1,FALSE),IFERROR(VLOOKUP($E165,Sheet3!$H$2:$O$200,W$1,FALSE),VLOOKUP($F165,Sheet3!$H$2:$O$200,W$1,FALSE))),$I$1),$I$1)</f>
        <v>0</v>
      </c>
      <c r="X165" s="15">
        <f>IFERROR(IF(ISBLANK(Q165),IFERROR(VLOOKUP($E165,Sheet3!$H$2:$O$200,X$1,FALSE),IFERROR(VLOOKUP($F165,Sheet3!$H$2:$O$200,X$1,FALSE),VLOOKUP($G165,Sheet3!$H$2:$O$200,X$1,FALSE))),$I$1),$I$1)</f>
        <v>0</v>
      </c>
      <c r="Y165" s="15">
        <f>IFERROR(IF(ISBLANK(R165),IFERROR(VLOOKUP($E165,Sheet3!$H$2:$O$200,Y$1,FALSE),IFERROR(VLOOKUP($F165,Sheet3!$H$2:$O$200,Y$1,FALSE),VLOOKUP($G165,Sheet3!$H$2:$O$200,Y$1,FALSE))),$I$1),$I$1)</f>
        <v>0</v>
      </c>
      <c r="Z165" s="15">
        <f>IFERROR(IF(ISBLANK(S165),IFERROR(VLOOKUP($E165,Sheet3!$H$2:$O$200,Z$1,FALSE),IFERROR(VLOOKUP($F165,Sheet3!$H$2:$O$200,Z$1,FALSE),VLOOKUP($G165,Sheet3!$H$2:$O$200,Z$1,FALSE))),$I$1),$I$1)</f>
        <v>0</v>
      </c>
      <c r="AA165" s="15">
        <f>IFERROR(IF(ISBLANK(T165),IFERROR(VLOOKUP($E165,Sheet3!$H$2:$O$200,AA$1,FALSE),IFERROR(VLOOKUP($F165,Sheet3!$H$2:$O$200,AA$1,FALSE),VLOOKUP($G165,Sheet3!$H$2:$O$200,AA$1,FALSE))),$I$1),$I$1)</f>
        <v>0</v>
      </c>
      <c r="AB165" s="15">
        <f>IFERROR(IF(ISBLANK(U165),IFERROR(VLOOKUP($E165,Sheet3!$H$2:$O$200,AB$1,FALSE),IFERROR(VLOOKUP($F165,Sheet3!$H$2:$O$200,AB$1,FALSE),VLOOKUP($G165,Sheet3!$H$2:$O$200,AB$1,FALSE))),$I$1),$I$1)</f>
        <v>0</v>
      </c>
      <c r="AC165" s="15">
        <f>IFERROR(IF(ISBLANK(V165),IFERROR(VLOOKUP($E165,Sheet3!$H$2:$O$200,AC$1,FALSE),IFERROR(VLOOKUP($F165,Sheet3!$H$2:$O$200,AC$1,FALSE),VLOOKUP($G165,Sheet3!$H$2:$O$200,AC$1,FALSE))),$I$1),$I$1)</f>
        <v>0</v>
      </c>
      <c r="AD165" s="15">
        <f>IFERROR(IF(ISBLANK(W165),IFERROR(VLOOKUP($E165,Sheet3!$H$2:$O$200,AD$1,FALSE),IFERROR(VLOOKUP($F165,Sheet3!$H$2:$O$200,AD$1,FALSE),VLOOKUP($G165,Sheet3!$H$2:$O$200,AD$1,FALSE))),$I$1),$I$1)</f>
        <v>0</v>
      </c>
      <c r="AE165" s="15">
        <f>IFERROR(IF(ISBLANK(X165),IFERROR(VLOOKUP($F165,Sheet3!$H$2:$O$200,AE$1,FALSE),VLOOKUP($G165,Sheet3!$H$2:$O$200,AE$1,FALSE)),$I$1),$I$1)</f>
        <v>0</v>
      </c>
      <c r="AF165" s="15">
        <f>IFERROR(IF(ISBLANK(Y165),IFERROR(VLOOKUP($F165,Sheet3!$H$2:$O$200,AF$1,FALSE),VLOOKUP($G165,Sheet3!$H$2:$O$200,AF$1,FALSE)),$I$1),$I$1)</f>
        <v>0</v>
      </c>
      <c r="AG165" s="15">
        <f>IFERROR(IF(ISBLANK(Z165),IFERROR(VLOOKUP($F165,Sheet3!$H$2:$O$200,AG$1,FALSE),VLOOKUP($G165,Sheet3!$H$2:$O$200,AG$1,FALSE)),$I$1),$I$1)</f>
        <v>0</v>
      </c>
      <c r="AH165" s="15">
        <f>IFERROR(IF(ISBLANK(AA165),IFERROR(VLOOKUP($F165,Sheet3!$H$2:$O$200,AH$1,FALSE),VLOOKUP($G165,Sheet3!$H$2:$O$200,AH$1,FALSE)),$I$1),$I$1)</f>
        <v>0</v>
      </c>
      <c r="AI165" s="15">
        <f>IFERROR(IF(ISBLANK(AB165),IFERROR(VLOOKUP($F165,Sheet3!$H$2:$O$200,AI$1,FALSE),VLOOKUP($G165,Sheet3!$H$2:$O$200,AI$1,FALSE)),$I$1),$I$1)</f>
        <v>0</v>
      </c>
      <c r="AJ165" s="15">
        <f>IFERROR(IF(ISBLANK(AC165),IFERROR(VLOOKUP($F165,Sheet3!$H$2:$O$200,AJ$1,FALSE),VLOOKUP($G165,Sheet3!$H$2:$O$200,AJ$1,FALSE)),$I$1),$I$1)</f>
        <v>0</v>
      </c>
      <c r="AK165" s="15">
        <f>IFERROR(IF(ISBLANK(AD165),IFERROR(VLOOKUP($F165,Sheet3!$H$2:$O$200,AK$1,FALSE),VLOOKUP($G165,Sheet3!$H$2:$O$200,AK$1,FALSE)),$I$1),$I$1)</f>
        <v>0</v>
      </c>
      <c r="AL165" s="15">
        <f>IFERROR(IF(ISBLANK(AE165),VLOOKUP($G165,Sheet3!$H$2:$O$200,AL$1,FALSE),$I$1),$I$1)</f>
        <v>0</v>
      </c>
      <c r="AM165" s="15">
        <f>IFERROR(IF(ISBLANK(AF165),VLOOKUP($G165,Sheet3!$H$2:$O$200,AM$1,FALSE),$I$1),$I$1)</f>
        <v>0</v>
      </c>
      <c r="AN165" s="15">
        <f>IFERROR(IF(ISBLANK(AG165),VLOOKUP($G165,Sheet3!$H$2:$O$200,AN$1,FALSE),$I$1),$I$1)</f>
        <v>0</v>
      </c>
      <c r="AO165" s="15">
        <f>IFERROR(IF(ISBLANK(AH165),VLOOKUP($G165,Sheet3!$H$2:$O$200,AO$1,FALSE),$I$1),$I$1)</f>
        <v>0</v>
      </c>
      <c r="AP165" s="15">
        <f>IFERROR(IF(ISBLANK(AI165),VLOOKUP($G165,Sheet3!$H$2:$O$200,AP$1,FALSE),$I$1),$I$1)</f>
        <v>0</v>
      </c>
      <c r="AQ165" s="15">
        <f>IFERROR(IF(ISBLANK(AJ165),VLOOKUP($G165,Sheet3!$H$2:$O$200,AQ$1,FALSE),$I$1),$I$1)</f>
        <v>0</v>
      </c>
      <c r="AR165" s="15">
        <f>IFERROR(IF(ISBLANK(AK165),VLOOKUP($G165,Sheet3!$H$2:$O$200,AR$1,FALSE),$I$1),$I$1)</f>
        <v>0</v>
      </c>
      <c r="AS165" s="15">
        <f t="shared" si="1"/>
        <v>28</v>
      </c>
      <c r="AT165" s="15" t="b">
        <f t="shared" si="2"/>
        <v>0</v>
      </c>
    </row>
    <row r="166" spans="1:46" x14ac:dyDescent="0.2">
      <c r="A166" s="19" t="s">
        <v>330</v>
      </c>
      <c r="B166" s="19" t="s">
        <v>317</v>
      </c>
      <c r="C166" s="19" t="s">
        <v>57</v>
      </c>
      <c r="D166" s="19" t="s">
        <v>38</v>
      </c>
      <c r="E166" s="19"/>
      <c r="F166" s="19"/>
      <c r="G166" s="19"/>
      <c r="H166" s="19" t="s">
        <v>330</v>
      </c>
      <c r="I166" s="15">
        <f t="shared" si="0"/>
        <v>2</v>
      </c>
      <c r="J166" s="15">
        <f>IFERROR(VLOOKUP($C166,Sheet3!$H$2:$O$200,J$1,FALSE),IFERROR(VLOOKUP($D166,Sheet3!$H$2:$O$200,J$1,FALSE),VLOOKUP($E166,Sheet3!$H$2:$O$200,J$1,FALSE)))</f>
        <v>0</v>
      </c>
      <c r="K166" s="15">
        <f>IFERROR(VLOOKUP($C166,Sheet3!$H$2:$O$200,K$1,FALSE),IFERROR(VLOOKUP($D166,Sheet3!$H$2:$O$200,K$1,FALSE),VLOOKUP($E166,Sheet3!$H$2:$O$200,K$1,FALSE)))</f>
        <v>0</v>
      </c>
      <c r="L166" s="15">
        <f>IFERROR(VLOOKUP($C166,Sheet3!$H$2:$O$200,L$1,FALSE),IFERROR(VLOOKUP($D166,Sheet3!$H$2:$O$200,L$1,FALSE),VLOOKUP($E166,Sheet3!$H$2:$O$200,L$1,FALSE)))</f>
        <v>0</v>
      </c>
      <c r="M166" s="15" t="str">
        <f>IFERROR(VLOOKUP($C166,Sheet3!$H$2:$O$200,M$1,FALSE),IFERROR(VLOOKUP($D166,Sheet3!$H$2:$O$200,M$1,FALSE),VLOOKUP($E166,Sheet3!$H$2:$O$200,M$1,FALSE)))</f>
        <v>crème de noyau</v>
      </c>
      <c r="N166" s="15">
        <f>IFERROR(VLOOKUP($C166,Sheet3!$H$2:$O$200,N$1,FALSE),IFERROR(VLOOKUP($D166,Sheet3!$H$2:$O$200,N$1,FALSE),VLOOKUP($E166,Sheet3!$H$2:$O$200,N$1,FALSE)))</f>
        <v>0</v>
      </c>
      <c r="O166" s="15">
        <f>IFERROR(VLOOKUP($C166,Sheet3!$H$2:$O$200,O$1,FALSE),IFERROR(VLOOKUP($D166,Sheet3!$H$2:$O$200,O$1,FALSE),VLOOKUP($E166,Sheet3!$H$2:$O$200,O$1,FALSE)))</f>
        <v>0</v>
      </c>
      <c r="P166" s="15">
        <f>IFERROR(VLOOKUP($C166,Sheet3!$H$2:$O$200,P$1,FALSE),IFERROR(VLOOKUP($D166,Sheet3!$H$2:$O$200,P$1,FALSE),VLOOKUP($E166,Sheet3!$H$2:$O$200,P$1,FALSE)))</f>
        <v>0</v>
      </c>
      <c r="Q166" s="15">
        <f>IFERROR(IF(ISBLANK(J166),IFERROR(VLOOKUP($D166,Sheet3!$H$2:$O$200,Q$1,FALSE),IFERROR(VLOOKUP($E166,Sheet3!$H$2:$O$200,Q$1,FALSE),VLOOKUP($F166,Sheet3!$H$2:$O$200,Q$1,FALSE))),$I$1),$I$1)</f>
        <v>0</v>
      </c>
      <c r="R166" s="15">
        <f>IFERROR(IF(ISBLANK(K166),IFERROR(VLOOKUP($D166,Sheet3!$H$2:$O$200,R$1,FALSE),IFERROR(VLOOKUP($E166,Sheet3!$H$2:$O$200,R$1,FALSE),VLOOKUP($F166,Sheet3!$H$2:$O$200,R$1,FALSE))),$I$1),$I$1)</f>
        <v>0</v>
      </c>
      <c r="S166" s="15">
        <f>IFERROR(IF(ISBLANK(L166),IFERROR(VLOOKUP($D166,Sheet3!$H$2:$O$200,S$1,FALSE),IFERROR(VLOOKUP($E166,Sheet3!$H$2:$O$200,S$1,FALSE),VLOOKUP($F166,Sheet3!$H$2:$O$200,S$1,FALSE))),$I$1),$I$1)</f>
        <v>0</v>
      </c>
      <c r="T166" s="15">
        <f>IFERROR(IF(ISBLANK(M166),IFERROR(VLOOKUP($D166,Sheet3!$H$2:$O$200,T$1,FALSE),IFERROR(VLOOKUP($E166,Sheet3!$H$2:$O$200,T$1,FALSE),VLOOKUP($F166,Sheet3!$H$2:$O$200,T$1,FALSE))),$I$1),$I$1)</f>
        <v>0</v>
      </c>
      <c r="U166" s="15">
        <f>IFERROR(IF(ISBLANK(N166),IFERROR(VLOOKUP($D166,Sheet3!$H$2:$O$200,U$1,FALSE),IFERROR(VLOOKUP($E166,Sheet3!$H$2:$O$200,U$1,FALSE),VLOOKUP($F166,Sheet3!$H$2:$O$200,U$1,FALSE))),$I$1),$I$1)</f>
        <v>0</v>
      </c>
      <c r="V166" s="15">
        <f>IFERROR(IF(ISBLANK(O166),IFERROR(VLOOKUP($D166,Sheet3!$H$2:$O$200,V$1,FALSE),IFERROR(VLOOKUP($E166,Sheet3!$H$2:$O$200,V$1,FALSE),VLOOKUP($F166,Sheet3!$H$2:$O$200,V$1,FALSE))),$I$1),$I$1)</f>
        <v>0</v>
      </c>
      <c r="W166" s="15">
        <f>IFERROR(IF(ISBLANK(P166),IFERROR(VLOOKUP($D166,Sheet3!$H$2:$O$200,W$1,FALSE),IFERROR(VLOOKUP($E166,Sheet3!$H$2:$O$200,W$1,FALSE),VLOOKUP($F166,Sheet3!$H$2:$O$200,W$1,FALSE))),$I$1),$I$1)</f>
        <v>0</v>
      </c>
      <c r="X166" s="15">
        <f>IFERROR(IF(ISBLANK(Q166),IFERROR(VLOOKUP($E166,Sheet3!$H$2:$O$200,X$1,FALSE),IFERROR(VLOOKUP($F166,Sheet3!$H$2:$O$200,X$1,FALSE),VLOOKUP($G166,Sheet3!$H$2:$O$200,X$1,FALSE))),$I$1),$I$1)</f>
        <v>0</v>
      </c>
      <c r="Y166" s="15">
        <f>IFERROR(IF(ISBLANK(R166),IFERROR(VLOOKUP($E166,Sheet3!$H$2:$O$200,Y$1,FALSE),IFERROR(VLOOKUP($F166,Sheet3!$H$2:$O$200,Y$1,FALSE),VLOOKUP($G166,Sheet3!$H$2:$O$200,Y$1,FALSE))),$I$1),$I$1)</f>
        <v>0</v>
      </c>
      <c r="Z166" s="15">
        <f>IFERROR(IF(ISBLANK(S166),IFERROR(VLOOKUP($E166,Sheet3!$H$2:$O$200,Z$1,FALSE),IFERROR(VLOOKUP($F166,Sheet3!$H$2:$O$200,Z$1,FALSE),VLOOKUP($G166,Sheet3!$H$2:$O$200,Z$1,FALSE))),$I$1),$I$1)</f>
        <v>0</v>
      </c>
      <c r="AA166" s="15">
        <f>IFERROR(IF(ISBLANK(T166),IFERROR(VLOOKUP($E166,Sheet3!$H$2:$O$200,AA$1,FALSE),IFERROR(VLOOKUP($F166,Sheet3!$H$2:$O$200,AA$1,FALSE),VLOOKUP($G166,Sheet3!$H$2:$O$200,AA$1,FALSE))),$I$1),$I$1)</f>
        <v>0</v>
      </c>
      <c r="AB166" s="15">
        <f>IFERROR(IF(ISBLANK(U166),IFERROR(VLOOKUP($E166,Sheet3!$H$2:$O$200,AB$1,FALSE),IFERROR(VLOOKUP($F166,Sheet3!$H$2:$O$200,AB$1,FALSE),VLOOKUP($G166,Sheet3!$H$2:$O$200,AB$1,FALSE))),$I$1),$I$1)</f>
        <v>0</v>
      </c>
      <c r="AC166" s="15">
        <f>IFERROR(IF(ISBLANK(V166),IFERROR(VLOOKUP($E166,Sheet3!$H$2:$O$200,AC$1,FALSE),IFERROR(VLOOKUP($F166,Sheet3!$H$2:$O$200,AC$1,FALSE),VLOOKUP($G166,Sheet3!$H$2:$O$200,AC$1,FALSE))),$I$1),$I$1)</f>
        <v>0</v>
      </c>
      <c r="AD166" s="15">
        <f>IFERROR(IF(ISBLANK(W166),IFERROR(VLOOKUP($E166,Sheet3!$H$2:$O$200,AD$1,FALSE),IFERROR(VLOOKUP($F166,Sheet3!$H$2:$O$200,AD$1,FALSE),VLOOKUP($G166,Sheet3!$H$2:$O$200,AD$1,FALSE))),$I$1),$I$1)</f>
        <v>0</v>
      </c>
      <c r="AE166" s="15">
        <f>IFERROR(IF(ISBLANK(X166),IFERROR(VLOOKUP($F166,Sheet3!$H$2:$O$200,AE$1,FALSE),VLOOKUP($G166,Sheet3!$H$2:$O$200,AE$1,FALSE)),$I$1),$I$1)</f>
        <v>0</v>
      </c>
      <c r="AF166" s="15">
        <f>IFERROR(IF(ISBLANK(Y166),IFERROR(VLOOKUP($F166,Sheet3!$H$2:$O$200,AF$1,FALSE),VLOOKUP($G166,Sheet3!$H$2:$O$200,AF$1,FALSE)),$I$1),$I$1)</f>
        <v>0</v>
      </c>
      <c r="AG166" s="15">
        <f>IFERROR(IF(ISBLANK(Z166),IFERROR(VLOOKUP($F166,Sheet3!$H$2:$O$200,AG$1,FALSE),VLOOKUP($G166,Sheet3!$H$2:$O$200,AG$1,FALSE)),$I$1),$I$1)</f>
        <v>0</v>
      </c>
      <c r="AH166" s="15">
        <f>IFERROR(IF(ISBLANK(AA166),IFERROR(VLOOKUP($F166,Sheet3!$H$2:$O$200,AH$1,FALSE),VLOOKUP($G166,Sheet3!$H$2:$O$200,AH$1,FALSE)),$I$1),$I$1)</f>
        <v>0</v>
      </c>
      <c r="AI166" s="15">
        <f>IFERROR(IF(ISBLANK(AB166),IFERROR(VLOOKUP($F166,Sheet3!$H$2:$O$200,AI$1,FALSE),VLOOKUP($G166,Sheet3!$H$2:$O$200,AI$1,FALSE)),$I$1),$I$1)</f>
        <v>0</v>
      </c>
      <c r="AJ166" s="15">
        <f>IFERROR(IF(ISBLANK(AC166),IFERROR(VLOOKUP($F166,Sheet3!$H$2:$O$200,AJ$1,FALSE),VLOOKUP($G166,Sheet3!$H$2:$O$200,AJ$1,FALSE)),$I$1),$I$1)</f>
        <v>0</v>
      </c>
      <c r="AK166" s="15">
        <f>IFERROR(IF(ISBLANK(AD166),IFERROR(VLOOKUP($F166,Sheet3!$H$2:$O$200,AK$1,FALSE),VLOOKUP($G166,Sheet3!$H$2:$O$200,AK$1,FALSE)),$I$1),$I$1)</f>
        <v>0</v>
      </c>
      <c r="AL166" s="15">
        <f>IFERROR(IF(ISBLANK(AE166),VLOOKUP($G166,Sheet3!$H$2:$O$200,AL$1,FALSE),$I$1),$I$1)</f>
        <v>0</v>
      </c>
      <c r="AM166" s="15">
        <f>IFERROR(IF(ISBLANK(AF166),VLOOKUP($G166,Sheet3!$H$2:$O$200,AM$1,FALSE),$I$1),$I$1)</f>
        <v>0</v>
      </c>
      <c r="AN166" s="15">
        <f>IFERROR(IF(ISBLANK(AG166),VLOOKUP($G166,Sheet3!$H$2:$O$200,AN$1,FALSE),$I$1),$I$1)</f>
        <v>0</v>
      </c>
      <c r="AO166" s="15">
        <f>IFERROR(IF(ISBLANK(AH166),VLOOKUP($G166,Sheet3!$H$2:$O$200,AO$1,FALSE),$I$1),$I$1)</f>
        <v>0</v>
      </c>
      <c r="AP166" s="15">
        <f>IFERROR(IF(ISBLANK(AI166),VLOOKUP($G166,Sheet3!$H$2:$O$200,AP$1,FALSE),$I$1),$I$1)</f>
        <v>0</v>
      </c>
      <c r="AQ166" s="15">
        <f>IFERROR(IF(ISBLANK(AJ166),VLOOKUP($G166,Sheet3!$H$2:$O$200,AQ$1,FALSE),$I$1),$I$1)</f>
        <v>0</v>
      </c>
      <c r="AR166" s="15">
        <f>IFERROR(IF(ISBLANK(AK166),VLOOKUP($G166,Sheet3!$H$2:$O$200,AR$1,FALSE),$I$1),$I$1)</f>
        <v>0</v>
      </c>
      <c r="AS166" s="15">
        <f t="shared" si="1"/>
        <v>28</v>
      </c>
      <c r="AT166" s="15" t="b">
        <f t="shared" si="2"/>
        <v>0</v>
      </c>
    </row>
    <row r="167" spans="1:46" x14ac:dyDescent="0.2">
      <c r="A167" s="19" t="s">
        <v>331</v>
      </c>
      <c r="B167" s="19" t="s">
        <v>332</v>
      </c>
      <c r="C167" s="19" t="s">
        <v>104</v>
      </c>
      <c r="D167" s="19" t="s">
        <v>38</v>
      </c>
      <c r="E167" s="19" t="s">
        <v>74</v>
      </c>
      <c r="F167" s="19"/>
      <c r="G167" s="19"/>
      <c r="H167" s="19" t="s">
        <v>331</v>
      </c>
      <c r="I167" s="15">
        <f t="shared" si="0"/>
        <v>3</v>
      </c>
      <c r="J167" s="15">
        <f>IFERROR(VLOOKUP($C167,Sheet3!$H$2:$O$200,J$1,FALSE),IFERROR(VLOOKUP($D167,Sheet3!$H$2:$O$200,J$1,FALSE),VLOOKUP($E167,Sheet3!$H$2:$O$200,J$1,FALSE)))</f>
        <v>0</v>
      </c>
      <c r="K167" s="15">
        <f>IFERROR(VLOOKUP($C167,Sheet3!$H$2:$O$200,K$1,FALSE),IFERROR(VLOOKUP($D167,Sheet3!$H$2:$O$200,K$1,FALSE),VLOOKUP($E167,Sheet3!$H$2:$O$200,K$1,FALSE)))</f>
        <v>0</v>
      </c>
      <c r="L167" s="15">
        <f>IFERROR(VLOOKUP($C167,Sheet3!$H$2:$O$200,L$1,FALSE),IFERROR(VLOOKUP($D167,Sheet3!$H$2:$O$200,L$1,FALSE),VLOOKUP($E167,Sheet3!$H$2:$O$200,L$1,FALSE)))</f>
        <v>0</v>
      </c>
      <c r="M167" s="15" t="str">
        <f>IFERROR(VLOOKUP($C167,Sheet3!$H$2:$O$200,M$1,FALSE),IFERROR(VLOOKUP($D167,Sheet3!$H$2:$O$200,M$1,FALSE),VLOOKUP($E167,Sheet3!$H$2:$O$200,M$1,FALSE)))</f>
        <v>absinthe</v>
      </c>
      <c r="N167" s="15">
        <f>IFERROR(VLOOKUP($C167,Sheet3!$H$2:$O$200,N$1,FALSE),IFERROR(VLOOKUP($D167,Sheet3!$H$2:$O$200,N$1,FALSE),VLOOKUP($E167,Sheet3!$H$2:$O$200,N$1,FALSE)))</f>
        <v>0</v>
      </c>
      <c r="O167" s="15">
        <f>IFERROR(VLOOKUP($C167,Sheet3!$H$2:$O$200,O$1,FALSE),IFERROR(VLOOKUP($D167,Sheet3!$H$2:$O$200,O$1,FALSE),VLOOKUP($E167,Sheet3!$H$2:$O$200,O$1,FALSE)))</f>
        <v>0</v>
      </c>
      <c r="P167" s="15">
        <f>IFERROR(VLOOKUP($C167,Sheet3!$H$2:$O$200,P$1,FALSE),IFERROR(VLOOKUP($D167,Sheet3!$H$2:$O$200,P$1,FALSE),VLOOKUP($E167,Sheet3!$H$2:$O$200,P$1,FALSE)))</f>
        <v>0</v>
      </c>
      <c r="Q167" s="15">
        <f>IFERROR(IF(ISBLANK(J167),IFERROR(VLOOKUP($D167,Sheet3!$H$2:$O$200,Q$1,FALSE),IFERROR(VLOOKUP($E167,Sheet3!$H$2:$O$200,Q$1,FALSE),VLOOKUP($F167,Sheet3!$H$2:$O$200,Q$1,FALSE))),$I$1),$I$1)</f>
        <v>0</v>
      </c>
      <c r="R167" s="15">
        <f>IFERROR(IF(ISBLANK(K167),IFERROR(VLOOKUP($D167,Sheet3!$H$2:$O$200,R$1,FALSE),IFERROR(VLOOKUP($E167,Sheet3!$H$2:$O$200,R$1,FALSE),VLOOKUP($F167,Sheet3!$H$2:$O$200,R$1,FALSE))),$I$1),$I$1)</f>
        <v>0</v>
      </c>
      <c r="S167" s="15">
        <f>IFERROR(IF(ISBLANK(L167),IFERROR(VLOOKUP($D167,Sheet3!$H$2:$O$200,S$1,FALSE),IFERROR(VLOOKUP($E167,Sheet3!$H$2:$O$200,S$1,FALSE),VLOOKUP($F167,Sheet3!$H$2:$O$200,S$1,FALSE))),$I$1),$I$1)</f>
        <v>0</v>
      </c>
      <c r="T167" s="15">
        <f>IFERROR(IF(ISBLANK(M167),IFERROR(VLOOKUP($D167,Sheet3!$H$2:$O$200,T$1,FALSE),IFERROR(VLOOKUP($E167,Sheet3!$H$2:$O$200,T$1,FALSE),VLOOKUP($F167,Sheet3!$H$2:$O$200,T$1,FALSE))),$I$1),$I$1)</f>
        <v>0</v>
      </c>
      <c r="U167" s="15">
        <f>IFERROR(IF(ISBLANK(N167),IFERROR(VLOOKUP($D167,Sheet3!$H$2:$O$200,U$1,FALSE),IFERROR(VLOOKUP($E167,Sheet3!$H$2:$O$200,U$1,FALSE),VLOOKUP($F167,Sheet3!$H$2:$O$200,U$1,FALSE))),$I$1),$I$1)</f>
        <v>0</v>
      </c>
      <c r="V167" s="15">
        <f>IFERROR(IF(ISBLANK(O167),IFERROR(VLOOKUP($D167,Sheet3!$H$2:$O$200,V$1,FALSE),IFERROR(VLOOKUP($E167,Sheet3!$H$2:$O$200,V$1,FALSE),VLOOKUP($F167,Sheet3!$H$2:$O$200,V$1,FALSE))),$I$1),$I$1)</f>
        <v>0</v>
      </c>
      <c r="W167" s="15">
        <f>IFERROR(IF(ISBLANK(P167),IFERROR(VLOOKUP($D167,Sheet3!$H$2:$O$200,W$1,FALSE),IFERROR(VLOOKUP($E167,Sheet3!$H$2:$O$200,W$1,FALSE),VLOOKUP($F167,Sheet3!$H$2:$O$200,W$1,FALSE))),$I$1),$I$1)</f>
        <v>0</v>
      </c>
      <c r="X167" s="15">
        <f>IFERROR(IF(ISBLANK(Q167),IFERROR(VLOOKUP($E167,Sheet3!$H$2:$O$200,X$1,FALSE),IFERROR(VLOOKUP($F167,Sheet3!$H$2:$O$200,X$1,FALSE),VLOOKUP($G167,Sheet3!$H$2:$O$200,X$1,FALSE))),$I$1),$I$1)</f>
        <v>0</v>
      </c>
      <c r="Y167" s="15">
        <f>IFERROR(IF(ISBLANK(R167),IFERROR(VLOOKUP($E167,Sheet3!$H$2:$O$200,Y$1,FALSE),IFERROR(VLOOKUP($F167,Sheet3!$H$2:$O$200,Y$1,FALSE),VLOOKUP($G167,Sheet3!$H$2:$O$200,Y$1,FALSE))),$I$1),$I$1)</f>
        <v>0</v>
      </c>
      <c r="Z167" s="15">
        <f>IFERROR(IF(ISBLANK(S167),IFERROR(VLOOKUP($E167,Sheet3!$H$2:$O$200,Z$1,FALSE),IFERROR(VLOOKUP($F167,Sheet3!$H$2:$O$200,Z$1,FALSE),VLOOKUP($G167,Sheet3!$H$2:$O$200,Z$1,FALSE))),$I$1),$I$1)</f>
        <v>0</v>
      </c>
      <c r="AA167" s="15">
        <f>IFERROR(IF(ISBLANK(T167),IFERROR(VLOOKUP($E167,Sheet3!$H$2:$O$200,AA$1,FALSE),IFERROR(VLOOKUP($F167,Sheet3!$H$2:$O$200,AA$1,FALSE),VLOOKUP($G167,Sheet3!$H$2:$O$200,AA$1,FALSE))),$I$1),$I$1)</f>
        <v>0</v>
      </c>
      <c r="AB167" s="15">
        <f>IFERROR(IF(ISBLANK(U167),IFERROR(VLOOKUP($E167,Sheet3!$H$2:$O$200,AB$1,FALSE),IFERROR(VLOOKUP($F167,Sheet3!$H$2:$O$200,AB$1,FALSE),VLOOKUP($G167,Sheet3!$H$2:$O$200,AB$1,FALSE))),$I$1),$I$1)</f>
        <v>0</v>
      </c>
      <c r="AC167" s="15">
        <f>IFERROR(IF(ISBLANK(V167),IFERROR(VLOOKUP($E167,Sheet3!$H$2:$O$200,AC$1,FALSE),IFERROR(VLOOKUP($F167,Sheet3!$H$2:$O$200,AC$1,FALSE),VLOOKUP($G167,Sheet3!$H$2:$O$200,AC$1,FALSE))),$I$1),$I$1)</f>
        <v>0</v>
      </c>
      <c r="AD167" s="15">
        <f>IFERROR(IF(ISBLANK(W167),IFERROR(VLOOKUP($E167,Sheet3!$H$2:$O$200,AD$1,FALSE),IFERROR(VLOOKUP($F167,Sheet3!$H$2:$O$200,AD$1,FALSE),VLOOKUP($G167,Sheet3!$H$2:$O$200,AD$1,FALSE))),$I$1),$I$1)</f>
        <v>0</v>
      </c>
      <c r="AE167" s="15">
        <f>IFERROR(IF(ISBLANK(X167),IFERROR(VLOOKUP($F167,Sheet3!$H$2:$O$200,AE$1,FALSE),VLOOKUP($G167,Sheet3!$H$2:$O$200,AE$1,FALSE)),$I$1),$I$1)</f>
        <v>0</v>
      </c>
      <c r="AF167" s="15">
        <f>IFERROR(IF(ISBLANK(Y167),IFERROR(VLOOKUP($F167,Sheet3!$H$2:$O$200,AF$1,FALSE),VLOOKUP($G167,Sheet3!$H$2:$O$200,AF$1,FALSE)),$I$1),$I$1)</f>
        <v>0</v>
      </c>
      <c r="AG167" s="15">
        <f>IFERROR(IF(ISBLANK(Z167),IFERROR(VLOOKUP($F167,Sheet3!$H$2:$O$200,AG$1,FALSE),VLOOKUP($G167,Sheet3!$H$2:$O$200,AG$1,FALSE)),$I$1),$I$1)</f>
        <v>0</v>
      </c>
      <c r="AH167" s="15">
        <f>IFERROR(IF(ISBLANK(AA167),IFERROR(VLOOKUP($F167,Sheet3!$H$2:$O$200,AH$1,FALSE),VLOOKUP($G167,Sheet3!$H$2:$O$200,AH$1,FALSE)),$I$1),$I$1)</f>
        <v>0</v>
      </c>
      <c r="AI167" s="15">
        <f>IFERROR(IF(ISBLANK(AB167),IFERROR(VLOOKUP($F167,Sheet3!$H$2:$O$200,AI$1,FALSE),VLOOKUP($G167,Sheet3!$H$2:$O$200,AI$1,FALSE)),$I$1),$I$1)</f>
        <v>0</v>
      </c>
      <c r="AJ167" s="15">
        <f>IFERROR(IF(ISBLANK(AC167),IFERROR(VLOOKUP($F167,Sheet3!$H$2:$O$200,AJ$1,FALSE),VLOOKUP($G167,Sheet3!$H$2:$O$200,AJ$1,FALSE)),$I$1),$I$1)</f>
        <v>0</v>
      </c>
      <c r="AK167" s="15">
        <f>IFERROR(IF(ISBLANK(AD167),IFERROR(VLOOKUP($F167,Sheet3!$H$2:$O$200,AK$1,FALSE),VLOOKUP($G167,Sheet3!$H$2:$O$200,AK$1,FALSE)),$I$1),$I$1)</f>
        <v>0</v>
      </c>
      <c r="AL167" s="15">
        <f>IFERROR(IF(ISBLANK(AE167),VLOOKUP($G167,Sheet3!$H$2:$O$200,AL$1,FALSE),$I$1),$I$1)</f>
        <v>0</v>
      </c>
      <c r="AM167" s="15">
        <f>IFERROR(IF(ISBLANK(AF167),VLOOKUP($G167,Sheet3!$H$2:$O$200,AM$1,FALSE),$I$1),$I$1)</f>
        <v>0</v>
      </c>
      <c r="AN167" s="15">
        <f>IFERROR(IF(ISBLANK(AG167),VLOOKUP($G167,Sheet3!$H$2:$O$200,AN$1,FALSE),$I$1),$I$1)</f>
        <v>0</v>
      </c>
      <c r="AO167" s="15">
        <f>IFERROR(IF(ISBLANK(AH167),VLOOKUP($G167,Sheet3!$H$2:$O$200,AO$1,FALSE),$I$1),$I$1)</f>
        <v>0</v>
      </c>
      <c r="AP167" s="15">
        <f>IFERROR(IF(ISBLANK(AI167),VLOOKUP($G167,Sheet3!$H$2:$O$200,AP$1,FALSE),$I$1),$I$1)</f>
        <v>0</v>
      </c>
      <c r="AQ167" s="15">
        <f>IFERROR(IF(ISBLANK(AJ167),VLOOKUP($G167,Sheet3!$H$2:$O$200,AQ$1,FALSE),$I$1),$I$1)</f>
        <v>0</v>
      </c>
      <c r="AR167" s="15">
        <f>IFERROR(IF(ISBLANK(AK167),VLOOKUP($G167,Sheet3!$H$2:$O$200,AR$1,FALSE),$I$1),$I$1)</f>
        <v>0</v>
      </c>
      <c r="AS167" s="15">
        <f t="shared" si="1"/>
        <v>28</v>
      </c>
      <c r="AT167" s="15" t="b">
        <f t="shared" si="2"/>
        <v>0</v>
      </c>
    </row>
    <row r="168" spans="1:46" x14ac:dyDescent="0.2">
      <c r="A168" s="19" t="s">
        <v>333</v>
      </c>
      <c r="B168" s="19" t="s">
        <v>334</v>
      </c>
      <c r="C168" s="19" t="s">
        <v>335</v>
      </c>
      <c r="D168" s="19"/>
      <c r="E168" s="19"/>
      <c r="F168" s="19"/>
      <c r="G168" s="19"/>
      <c r="H168" s="19" t="s">
        <v>333</v>
      </c>
      <c r="I168" s="15">
        <f t="shared" si="0"/>
        <v>1</v>
      </c>
      <c r="J168" s="15">
        <f>IFERROR(VLOOKUP($C168,Sheet3!$H$2:$O$200,J$1,FALSE),IFERROR(VLOOKUP($D168,Sheet3!$H$2:$O$200,J$1,FALSE),VLOOKUP($E168,Sheet3!$H$2:$O$200,J$1,FALSE)))</f>
        <v>0</v>
      </c>
      <c r="K168" s="15" t="str">
        <f>IFERROR(VLOOKUP($C168,Sheet3!$H$2:$O$200,K$1,FALSE),IFERROR(VLOOKUP($D168,Sheet3!$H$2:$O$200,K$1,FALSE),VLOOKUP($E168,Sheet3!$H$2:$O$200,K$1,FALSE)))</f>
        <v>7UP</v>
      </c>
      <c r="L168" s="15">
        <f>IFERROR(VLOOKUP($C168,Sheet3!$H$2:$O$200,L$1,FALSE),IFERROR(VLOOKUP($D168,Sheet3!$H$2:$O$200,L$1,FALSE),VLOOKUP($E168,Sheet3!$H$2:$O$200,L$1,FALSE)))</f>
        <v>0</v>
      </c>
      <c r="M168" s="15">
        <f>IFERROR(VLOOKUP($C168,Sheet3!$H$2:$O$200,M$1,FALSE),IFERROR(VLOOKUP($D168,Sheet3!$H$2:$O$200,M$1,FALSE),VLOOKUP($E168,Sheet3!$H$2:$O$200,M$1,FALSE)))</f>
        <v>0</v>
      </c>
      <c r="N168" s="15">
        <f>IFERROR(VLOOKUP($C168,Sheet3!$H$2:$O$200,N$1,FALSE),IFERROR(VLOOKUP($D168,Sheet3!$H$2:$O$200,N$1,FALSE),VLOOKUP($E168,Sheet3!$H$2:$O$200,N$1,FALSE)))</f>
        <v>0</v>
      </c>
      <c r="O168" s="15">
        <f>IFERROR(VLOOKUP($C168,Sheet3!$H$2:$O$200,O$1,FALSE),IFERROR(VLOOKUP($D168,Sheet3!$H$2:$O$200,O$1,FALSE),VLOOKUP($E168,Sheet3!$H$2:$O$200,O$1,FALSE)))</f>
        <v>0</v>
      </c>
      <c r="P168" s="15">
        <f>IFERROR(VLOOKUP($C168,Sheet3!$H$2:$O$200,P$1,FALSE),IFERROR(VLOOKUP($D168,Sheet3!$H$2:$O$200,P$1,FALSE),VLOOKUP($E168,Sheet3!$H$2:$O$200,P$1,FALSE)))</f>
        <v>0</v>
      </c>
      <c r="Q168" s="15">
        <f>IFERROR(IF(ISBLANK(J168),IFERROR(VLOOKUP($D168,Sheet3!$H$2:$O$200,Q$1,FALSE),IFERROR(VLOOKUP($E168,Sheet3!$H$2:$O$200,Q$1,FALSE),VLOOKUP($F168,Sheet3!$H$2:$O$200,Q$1,FALSE))),$I$1),$I$1)</f>
        <v>0</v>
      </c>
      <c r="R168" s="15">
        <f>IFERROR(IF(ISBLANK(K168),IFERROR(VLOOKUP($D168,Sheet3!$H$2:$O$200,R$1,FALSE),IFERROR(VLOOKUP($E168,Sheet3!$H$2:$O$200,R$1,FALSE),VLOOKUP($F168,Sheet3!$H$2:$O$200,R$1,FALSE))),$I$1),$I$1)</f>
        <v>0</v>
      </c>
      <c r="S168" s="15">
        <f>IFERROR(IF(ISBLANK(L168),IFERROR(VLOOKUP($D168,Sheet3!$H$2:$O$200,S$1,FALSE),IFERROR(VLOOKUP($E168,Sheet3!$H$2:$O$200,S$1,FALSE),VLOOKUP($F168,Sheet3!$H$2:$O$200,S$1,FALSE))),$I$1),$I$1)</f>
        <v>0</v>
      </c>
      <c r="T168" s="15">
        <f>IFERROR(IF(ISBLANK(M168),IFERROR(VLOOKUP($D168,Sheet3!$H$2:$O$200,T$1,FALSE),IFERROR(VLOOKUP($E168,Sheet3!$H$2:$O$200,T$1,FALSE),VLOOKUP($F168,Sheet3!$H$2:$O$200,T$1,FALSE))),$I$1),$I$1)</f>
        <v>0</v>
      </c>
      <c r="U168" s="15">
        <f>IFERROR(IF(ISBLANK(N168),IFERROR(VLOOKUP($D168,Sheet3!$H$2:$O$200,U$1,FALSE),IFERROR(VLOOKUP($E168,Sheet3!$H$2:$O$200,U$1,FALSE),VLOOKUP($F168,Sheet3!$H$2:$O$200,U$1,FALSE))),$I$1),$I$1)</f>
        <v>0</v>
      </c>
      <c r="V168" s="15">
        <f>IFERROR(IF(ISBLANK(O168),IFERROR(VLOOKUP($D168,Sheet3!$H$2:$O$200,V$1,FALSE),IFERROR(VLOOKUP($E168,Sheet3!$H$2:$O$200,V$1,FALSE),VLOOKUP($F168,Sheet3!$H$2:$O$200,V$1,FALSE))),$I$1),$I$1)</f>
        <v>0</v>
      </c>
      <c r="W168" s="15">
        <f>IFERROR(IF(ISBLANK(P168),IFERROR(VLOOKUP($D168,Sheet3!$H$2:$O$200,W$1,FALSE),IFERROR(VLOOKUP($E168,Sheet3!$H$2:$O$200,W$1,FALSE),VLOOKUP($F168,Sheet3!$H$2:$O$200,W$1,FALSE))),$I$1),$I$1)</f>
        <v>0</v>
      </c>
      <c r="X168" s="15">
        <f>IFERROR(IF(ISBLANK(Q168),IFERROR(VLOOKUP($E168,Sheet3!$H$2:$O$200,X$1,FALSE),IFERROR(VLOOKUP($F168,Sheet3!$H$2:$O$200,X$1,FALSE),VLOOKUP($G168,Sheet3!$H$2:$O$200,X$1,FALSE))),$I$1),$I$1)</f>
        <v>0</v>
      </c>
      <c r="Y168" s="15">
        <f>IFERROR(IF(ISBLANK(R168),IFERROR(VLOOKUP($E168,Sheet3!$H$2:$O$200,Y$1,FALSE),IFERROR(VLOOKUP($F168,Sheet3!$H$2:$O$200,Y$1,FALSE),VLOOKUP($G168,Sheet3!$H$2:$O$200,Y$1,FALSE))),$I$1),$I$1)</f>
        <v>0</v>
      </c>
      <c r="Z168" s="15">
        <f>IFERROR(IF(ISBLANK(S168),IFERROR(VLOOKUP($E168,Sheet3!$H$2:$O$200,Z$1,FALSE),IFERROR(VLOOKUP($F168,Sheet3!$H$2:$O$200,Z$1,FALSE),VLOOKUP($G168,Sheet3!$H$2:$O$200,Z$1,FALSE))),$I$1),$I$1)</f>
        <v>0</v>
      </c>
      <c r="AA168" s="15">
        <f>IFERROR(IF(ISBLANK(T168),IFERROR(VLOOKUP($E168,Sheet3!$H$2:$O$200,AA$1,FALSE),IFERROR(VLOOKUP($F168,Sheet3!$H$2:$O$200,AA$1,FALSE),VLOOKUP($G168,Sheet3!$H$2:$O$200,AA$1,FALSE))),$I$1),$I$1)</f>
        <v>0</v>
      </c>
      <c r="AB168" s="15">
        <f>IFERROR(IF(ISBLANK(U168),IFERROR(VLOOKUP($E168,Sheet3!$H$2:$O$200,AB$1,FALSE),IFERROR(VLOOKUP($F168,Sheet3!$H$2:$O$200,AB$1,FALSE),VLOOKUP($G168,Sheet3!$H$2:$O$200,AB$1,FALSE))),$I$1),$I$1)</f>
        <v>0</v>
      </c>
      <c r="AC168" s="15">
        <f>IFERROR(IF(ISBLANK(V168),IFERROR(VLOOKUP($E168,Sheet3!$H$2:$O$200,AC$1,FALSE),IFERROR(VLOOKUP($F168,Sheet3!$H$2:$O$200,AC$1,FALSE),VLOOKUP($G168,Sheet3!$H$2:$O$200,AC$1,FALSE))),$I$1),$I$1)</f>
        <v>0</v>
      </c>
      <c r="AD168" s="15">
        <f>IFERROR(IF(ISBLANK(W168),IFERROR(VLOOKUP($E168,Sheet3!$H$2:$O$200,AD$1,FALSE),IFERROR(VLOOKUP($F168,Sheet3!$H$2:$O$200,AD$1,FALSE),VLOOKUP($G168,Sheet3!$H$2:$O$200,AD$1,FALSE))),$I$1),$I$1)</f>
        <v>0</v>
      </c>
      <c r="AE168" s="15">
        <f>IFERROR(IF(ISBLANK(X168),IFERROR(VLOOKUP($F168,Sheet3!$H$2:$O$200,AE$1,FALSE),VLOOKUP($G168,Sheet3!$H$2:$O$200,AE$1,FALSE)),$I$1),$I$1)</f>
        <v>0</v>
      </c>
      <c r="AF168" s="15">
        <f>IFERROR(IF(ISBLANK(Y168),IFERROR(VLOOKUP($F168,Sheet3!$H$2:$O$200,AF$1,FALSE),VLOOKUP($G168,Sheet3!$H$2:$O$200,AF$1,FALSE)),$I$1),$I$1)</f>
        <v>0</v>
      </c>
      <c r="AG168" s="15">
        <f>IFERROR(IF(ISBLANK(Z168),IFERROR(VLOOKUP($F168,Sheet3!$H$2:$O$200,AG$1,FALSE),VLOOKUP($G168,Sheet3!$H$2:$O$200,AG$1,FALSE)),$I$1),$I$1)</f>
        <v>0</v>
      </c>
      <c r="AH168" s="15">
        <f>IFERROR(IF(ISBLANK(AA168),IFERROR(VLOOKUP($F168,Sheet3!$H$2:$O$200,AH$1,FALSE),VLOOKUP($G168,Sheet3!$H$2:$O$200,AH$1,FALSE)),$I$1),$I$1)</f>
        <v>0</v>
      </c>
      <c r="AI168" s="15">
        <f>IFERROR(IF(ISBLANK(AB168),IFERROR(VLOOKUP($F168,Sheet3!$H$2:$O$200,AI$1,FALSE),VLOOKUP($G168,Sheet3!$H$2:$O$200,AI$1,FALSE)),$I$1),$I$1)</f>
        <v>0</v>
      </c>
      <c r="AJ168" s="15">
        <f>IFERROR(IF(ISBLANK(AC168),IFERROR(VLOOKUP($F168,Sheet3!$H$2:$O$200,AJ$1,FALSE),VLOOKUP($G168,Sheet3!$H$2:$O$200,AJ$1,FALSE)),$I$1),$I$1)</f>
        <v>0</v>
      </c>
      <c r="AK168" s="15">
        <f>IFERROR(IF(ISBLANK(AD168),IFERROR(VLOOKUP($F168,Sheet3!$H$2:$O$200,AK$1,FALSE),VLOOKUP($G168,Sheet3!$H$2:$O$200,AK$1,FALSE)),$I$1),$I$1)</f>
        <v>0</v>
      </c>
      <c r="AL168" s="15">
        <f>IFERROR(IF(ISBLANK(AE168),VLOOKUP($G168,Sheet3!$H$2:$O$200,AL$1,FALSE),$I$1),$I$1)</f>
        <v>0</v>
      </c>
      <c r="AM168" s="15">
        <f>IFERROR(IF(ISBLANK(AF168),VLOOKUP($G168,Sheet3!$H$2:$O$200,AM$1,FALSE),$I$1),$I$1)</f>
        <v>0</v>
      </c>
      <c r="AN168" s="15">
        <f>IFERROR(IF(ISBLANK(AG168),VLOOKUP($G168,Sheet3!$H$2:$O$200,AN$1,FALSE),$I$1),$I$1)</f>
        <v>0</v>
      </c>
      <c r="AO168" s="15">
        <f>IFERROR(IF(ISBLANK(AH168),VLOOKUP($G168,Sheet3!$H$2:$O$200,AO$1,FALSE),$I$1),$I$1)</f>
        <v>0</v>
      </c>
      <c r="AP168" s="15">
        <f>IFERROR(IF(ISBLANK(AI168),VLOOKUP($G168,Sheet3!$H$2:$O$200,AP$1,FALSE),$I$1),$I$1)</f>
        <v>0</v>
      </c>
      <c r="AQ168" s="15">
        <f>IFERROR(IF(ISBLANK(AJ168),VLOOKUP($G168,Sheet3!$H$2:$O$200,AQ$1,FALSE),$I$1),$I$1)</f>
        <v>0</v>
      </c>
      <c r="AR168" s="15">
        <f>IFERROR(IF(ISBLANK(AK168),VLOOKUP($G168,Sheet3!$H$2:$O$200,AR$1,FALSE),$I$1),$I$1)</f>
        <v>0</v>
      </c>
      <c r="AS168" s="15">
        <f t="shared" si="1"/>
        <v>28</v>
      </c>
      <c r="AT168" s="15" t="b">
        <f t="shared" si="2"/>
        <v>0</v>
      </c>
    </row>
    <row r="169" spans="1:46" x14ac:dyDescent="0.2">
      <c r="A169" s="19" t="s">
        <v>336</v>
      </c>
      <c r="B169" s="19" t="s">
        <v>282</v>
      </c>
      <c r="C169" s="19" t="s">
        <v>86</v>
      </c>
      <c r="D169" s="19" t="s">
        <v>38</v>
      </c>
      <c r="E169" s="19" t="s">
        <v>62</v>
      </c>
      <c r="F169" s="19"/>
      <c r="G169" s="19"/>
      <c r="H169" s="19" t="s">
        <v>336</v>
      </c>
      <c r="I169" s="15">
        <f t="shared" si="0"/>
        <v>3</v>
      </c>
      <c r="J169" s="15">
        <f>IFERROR(VLOOKUP($C169,Sheet3!$H$2:$O$200,J$1,FALSE),IFERROR(VLOOKUP($D169,Sheet3!$H$2:$O$200,J$1,FALSE),VLOOKUP($E169,Sheet3!$H$2:$O$200,J$1,FALSE)))</f>
        <v>0</v>
      </c>
      <c r="K169" s="15" t="str">
        <f>IFERROR(VLOOKUP($C169,Sheet3!$H$2:$O$200,K$1,FALSE),IFERROR(VLOOKUP($D169,Sheet3!$H$2:$O$200,K$1,FALSE),VLOOKUP($E169,Sheet3!$H$2:$O$200,K$1,FALSE)))</f>
        <v>simple syrup</v>
      </c>
      <c r="L169" s="15">
        <f>IFERROR(VLOOKUP($C169,Sheet3!$H$2:$O$200,L$1,FALSE),IFERROR(VLOOKUP($D169,Sheet3!$H$2:$O$200,L$1,FALSE),VLOOKUP($E169,Sheet3!$H$2:$O$200,L$1,FALSE)))</f>
        <v>0</v>
      </c>
      <c r="M169" s="15">
        <f>IFERROR(VLOOKUP($C169,Sheet3!$H$2:$O$200,M$1,FALSE),IFERROR(VLOOKUP($D169,Sheet3!$H$2:$O$200,M$1,FALSE),VLOOKUP($E169,Sheet3!$H$2:$O$200,M$1,FALSE)))</f>
        <v>0</v>
      </c>
      <c r="N169" s="15">
        <f>IFERROR(VLOOKUP($C169,Sheet3!$H$2:$O$200,N$1,FALSE),IFERROR(VLOOKUP($D169,Sheet3!$H$2:$O$200,N$1,FALSE),VLOOKUP($E169,Sheet3!$H$2:$O$200,N$1,FALSE)))</f>
        <v>0</v>
      </c>
      <c r="O169" s="15">
        <f>IFERROR(VLOOKUP($C169,Sheet3!$H$2:$O$200,O$1,FALSE),IFERROR(VLOOKUP($D169,Sheet3!$H$2:$O$200,O$1,FALSE),VLOOKUP($E169,Sheet3!$H$2:$O$200,O$1,FALSE)))</f>
        <v>0</v>
      </c>
      <c r="P169" s="15">
        <f>IFERROR(VLOOKUP($C169,Sheet3!$H$2:$O$200,P$1,FALSE),IFERROR(VLOOKUP($D169,Sheet3!$H$2:$O$200,P$1,FALSE),VLOOKUP($E169,Sheet3!$H$2:$O$200,P$1,FALSE)))</f>
        <v>0</v>
      </c>
      <c r="Q169" s="15">
        <f>IFERROR(IF(ISBLANK(J169),IFERROR(VLOOKUP($D169,Sheet3!$H$2:$O$200,Q$1,FALSE),IFERROR(VLOOKUP($E169,Sheet3!$H$2:$O$200,Q$1,FALSE),VLOOKUP($F169,Sheet3!$H$2:$O$200,Q$1,FALSE))),$I$1),$I$1)</f>
        <v>0</v>
      </c>
      <c r="R169" s="15">
        <f>IFERROR(IF(ISBLANK(K169),IFERROR(VLOOKUP($D169,Sheet3!$H$2:$O$200,R$1,FALSE),IFERROR(VLOOKUP($E169,Sheet3!$H$2:$O$200,R$1,FALSE),VLOOKUP($F169,Sheet3!$H$2:$O$200,R$1,FALSE))),$I$1),$I$1)</f>
        <v>0</v>
      </c>
      <c r="S169" s="15">
        <f>IFERROR(IF(ISBLANK(L169),IFERROR(VLOOKUP($D169,Sheet3!$H$2:$O$200,S$1,FALSE),IFERROR(VLOOKUP($E169,Sheet3!$H$2:$O$200,S$1,FALSE),VLOOKUP($F169,Sheet3!$H$2:$O$200,S$1,FALSE))),$I$1),$I$1)</f>
        <v>0</v>
      </c>
      <c r="T169" s="15">
        <f>IFERROR(IF(ISBLANK(M169),IFERROR(VLOOKUP($D169,Sheet3!$H$2:$O$200,T$1,FALSE),IFERROR(VLOOKUP($E169,Sheet3!$H$2:$O$200,T$1,FALSE),VLOOKUP($F169,Sheet3!$H$2:$O$200,T$1,FALSE))),$I$1),$I$1)</f>
        <v>0</v>
      </c>
      <c r="U169" s="15">
        <f>IFERROR(IF(ISBLANK(N169),IFERROR(VLOOKUP($D169,Sheet3!$H$2:$O$200,U$1,FALSE),IFERROR(VLOOKUP($E169,Sheet3!$H$2:$O$200,U$1,FALSE),VLOOKUP($F169,Sheet3!$H$2:$O$200,U$1,FALSE))),$I$1),$I$1)</f>
        <v>0</v>
      </c>
      <c r="V169" s="15">
        <f>IFERROR(IF(ISBLANK(O169),IFERROR(VLOOKUP($D169,Sheet3!$H$2:$O$200,V$1,FALSE),IFERROR(VLOOKUP($E169,Sheet3!$H$2:$O$200,V$1,FALSE),VLOOKUP($F169,Sheet3!$H$2:$O$200,V$1,FALSE))),$I$1),$I$1)</f>
        <v>0</v>
      </c>
      <c r="W169" s="15">
        <f>IFERROR(IF(ISBLANK(P169),IFERROR(VLOOKUP($D169,Sheet3!$H$2:$O$200,W$1,FALSE),IFERROR(VLOOKUP($E169,Sheet3!$H$2:$O$200,W$1,FALSE),VLOOKUP($F169,Sheet3!$H$2:$O$200,W$1,FALSE))),$I$1),$I$1)</f>
        <v>0</v>
      </c>
      <c r="X169" s="15">
        <f>IFERROR(IF(ISBLANK(Q169),IFERROR(VLOOKUP($E169,Sheet3!$H$2:$O$200,X$1,FALSE),IFERROR(VLOOKUP($F169,Sheet3!$H$2:$O$200,X$1,FALSE),VLOOKUP($G169,Sheet3!$H$2:$O$200,X$1,FALSE))),$I$1),$I$1)</f>
        <v>0</v>
      </c>
      <c r="Y169" s="15">
        <f>IFERROR(IF(ISBLANK(R169),IFERROR(VLOOKUP($E169,Sheet3!$H$2:$O$200,Y$1,FALSE),IFERROR(VLOOKUP($F169,Sheet3!$H$2:$O$200,Y$1,FALSE),VLOOKUP($G169,Sheet3!$H$2:$O$200,Y$1,FALSE))),$I$1),$I$1)</f>
        <v>0</v>
      </c>
      <c r="Z169" s="15">
        <f>IFERROR(IF(ISBLANK(S169),IFERROR(VLOOKUP($E169,Sheet3!$H$2:$O$200,Z$1,FALSE),IFERROR(VLOOKUP($F169,Sheet3!$H$2:$O$200,Z$1,FALSE),VLOOKUP($G169,Sheet3!$H$2:$O$200,Z$1,FALSE))),$I$1),$I$1)</f>
        <v>0</v>
      </c>
      <c r="AA169" s="15">
        <f>IFERROR(IF(ISBLANK(T169),IFERROR(VLOOKUP($E169,Sheet3!$H$2:$O$200,AA$1,FALSE),IFERROR(VLOOKUP($F169,Sheet3!$H$2:$O$200,AA$1,FALSE),VLOOKUP($G169,Sheet3!$H$2:$O$200,AA$1,FALSE))),$I$1),$I$1)</f>
        <v>0</v>
      </c>
      <c r="AB169" s="15">
        <f>IFERROR(IF(ISBLANK(U169),IFERROR(VLOOKUP($E169,Sheet3!$H$2:$O$200,AB$1,FALSE),IFERROR(VLOOKUP($F169,Sheet3!$H$2:$O$200,AB$1,FALSE),VLOOKUP($G169,Sheet3!$H$2:$O$200,AB$1,FALSE))),$I$1),$I$1)</f>
        <v>0</v>
      </c>
      <c r="AC169" s="15">
        <f>IFERROR(IF(ISBLANK(V169),IFERROR(VLOOKUP($E169,Sheet3!$H$2:$O$200,AC$1,FALSE),IFERROR(VLOOKUP($F169,Sheet3!$H$2:$O$200,AC$1,FALSE),VLOOKUP($G169,Sheet3!$H$2:$O$200,AC$1,FALSE))),$I$1),$I$1)</f>
        <v>0</v>
      </c>
      <c r="AD169" s="15">
        <f>IFERROR(IF(ISBLANK(W169),IFERROR(VLOOKUP($E169,Sheet3!$H$2:$O$200,AD$1,FALSE),IFERROR(VLOOKUP($F169,Sheet3!$H$2:$O$200,AD$1,FALSE),VLOOKUP($G169,Sheet3!$H$2:$O$200,AD$1,FALSE))),$I$1),$I$1)</f>
        <v>0</v>
      </c>
      <c r="AE169" s="15">
        <f>IFERROR(IF(ISBLANK(X169),IFERROR(VLOOKUP($F169,Sheet3!$H$2:$O$200,AE$1,FALSE),VLOOKUP($G169,Sheet3!$H$2:$O$200,AE$1,FALSE)),$I$1),$I$1)</f>
        <v>0</v>
      </c>
      <c r="AF169" s="15">
        <f>IFERROR(IF(ISBLANK(Y169),IFERROR(VLOOKUP($F169,Sheet3!$H$2:$O$200,AF$1,FALSE),VLOOKUP($G169,Sheet3!$H$2:$O$200,AF$1,FALSE)),$I$1),$I$1)</f>
        <v>0</v>
      </c>
      <c r="AG169" s="15">
        <f>IFERROR(IF(ISBLANK(Z169),IFERROR(VLOOKUP($F169,Sheet3!$H$2:$O$200,AG$1,FALSE),VLOOKUP($G169,Sheet3!$H$2:$O$200,AG$1,FALSE)),$I$1),$I$1)</f>
        <v>0</v>
      </c>
      <c r="AH169" s="15">
        <f>IFERROR(IF(ISBLANK(AA169),IFERROR(VLOOKUP($F169,Sheet3!$H$2:$O$200,AH$1,FALSE),VLOOKUP($G169,Sheet3!$H$2:$O$200,AH$1,FALSE)),$I$1),$I$1)</f>
        <v>0</v>
      </c>
      <c r="AI169" s="15">
        <f>IFERROR(IF(ISBLANK(AB169),IFERROR(VLOOKUP($F169,Sheet3!$H$2:$O$200,AI$1,FALSE),VLOOKUP($G169,Sheet3!$H$2:$O$200,AI$1,FALSE)),$I$1),$I$1)</f>
        <v>0</v>
      </c>
      <c r="AJ169" s="15">
        <f>IFERROR(IF(ISBLANK(AC169),IFERROR(VLOOKUP($F169,Sheet3!$H$2:$O$200,AJ$1,FALSE),VLOOKUP($G169,Sheet3!$H$2:$O$200,AJ$1,FALSE)),$I$1),$I$1)</f>
        <v>0</v>
      </c>
      <c r="AK169" s="15">
        <f>IFERROR(IF(ISBLANK(AD169),IFERROR(VLOOKUP($F169,Sheet3!$H$2:$O$200,AK$1,FALSE),VLOOKUP($G169,Sheet3!$H$2:$O$200,AK$1,FALSE)),$I$1),$I$1)</f>
        <v>0</v>
      </c>
      <c r="AL169" s="15">
        <f>IFERROR(IF(ISBLANK(AE169),VLOOKUP($G169,Sheet3!$H$2:$O$200,AL$1,FALSE),$I$1),$I$1)</f>
        <v>0</v>
      </c>
      <c r="AM169" s="15">
        <f>IFERROR(IF(ISBLANK(AF169),VLOOKUP($G169,Sheet3!$H$2:$O$200,AM$1,FALSE),$I$1),$I$1)</f>
        <v>0</v>
      </c>
      <c r="AN169" s="15">
        <f>IFERROR(IF(ISBLANK(AG169),VLOOKUP($G169,Sheet3!$H$2:$O$200,AN$1,FALSE),$I$1),$I$1)</f>
        <v>0</v>
      </c>
      <c r="AO169" s="15">
        <f>IFERROR(IF(ISBLANK(AH169),VLOOKUP($G169,Sheet3!$H$2:$O$200,AO$1,FALSE),$I$1),$I$1)</f>
        <v>0</v>
      </c>
      <c r="AP169" s="15">
        <f>IFERROR(IF(ISBLANK(AI169),VLOOKUP($G169,Sheet3!$H$2:$O$200,AP$1,FALSE),$I$1),$I$1)</f>
        <v>0</v>
      </c>
      <c r="AQ169" s="15">
        <f>IFERROR(IF(ISBLANK(AJ169),VLOOKUP($G169,Sheet3!$H$2:$O$200,AQ$1,FALSE),$I$1),$I$1)</f>
        <v>0</v>
      </c>
      <c r="AR169" s="15">
        <f>IFERROR(IF(ISBLANK(AK169),VLOOKUP($G169,Sheet3!$H$2:$O$200,AR$1,FALSE),$I$1),$I$1)</f>
        <v>0</v>
      </c>
      <c r="AS169" s="15">
        <f t="shared" si="1"/>
        <v>28</v>
      </c>
      <c r="AT169" s="15" t="b">
        <f t="shared" si="2"/>
        <v>0</v>
      </c>
    </row>
    <row r="170" spans="1:46" x14ac:dyDescent="0.2">
      <c r="A170" s="19" t="s">
        <v>337</v>
      </c>
      <c r="B170" s="19" t="s">
        <v>280</v>
      </c>
      <c r="C170" s="19" t="s">
        <v>282</v>
      </c>
      <c r="D170" s="19" t="s">
        <v>126</v>
      </c>
      <c r="E170" s="19" t="s">
        <v>30</v>
      </c>
      <c r="F170" s="19"/>
      <c r="G170" s="19"/>
      <c r="H170" s="19" t="s">
        <v>337</v>
      </c>
      <c r="I170" s="15">
        <f t="shared" si="0"/>
        <v>3</v>
      </c>
      <c r="J170" s="15" t="str">
        <f>IFERROR(VLOOKUP($C170,Sheet3!$H$2:$O$200,J$1,FALSE),IFERROR(VLOOKUP($D170,Sheet3!$H$2:$O$200,J$1,FALSE),VLOOKUP($E170,Sheet3!$H$2:$O$200,J$1,FALSE)))</f>
        <v>sloe gin</v>
      </c>
      <c r="K170" s="15">
        <f>IFERROR(VLOOKUP($C170,Sheet3!$H$2:$O$200,K$1,FALSE),IFERROR(VLOOKUP($D170,Sheet3!$H$2:$O$200,K$1,FALSE),VLOOKUP($E170,Sheet3!$H$2:$O$200,K$1,FALSE)))</f>
        <v>0</v>
      </c>
      <c r="L170" s="15">
        <f>IFERROR(VLOOKUP($C170,Sheet3!$H$2:$O$200,L$1,FALSE),IFERROR(VLOOKUP($D170,Sheet3!$H$2:$O$200,L$1,FALSE),VLOOKUP($E170,Sheet3!$H$2:$O$200,L$1,FALSE)))</f>
        <v>0</v>
      </c>
      <c r="M170" s="15">
        <f>IFERROR(VLOOKUP($C170,Sheet3!$H$2:$O$200,M$1,FALSE),IFERROR(VLOOKUP($D170,Sheet3!$H$2:$O$200,M$1,FALSE),VLOOKUP($E170,Sheet3!$H$2:$O$200,M$1,FALSE)))</f>
        <v>0</v>
      </c>
      <c r="N170" s="15">
        <f>IFERROR(VLOOKUP($C170,Sheet3!$H$2:$O$200,N$1,FALSE),IFERROR(VLOOKUP($D170,Sheet3!$H$2:$O$200,N$1,FALSE),VLOOKUP($E170,Sheet3!$H$2:$O$200,N$1,FALSE)))</f>
        <v>0</v>
      </c>
      <c r="O170" s="15">
        <f>IFERROR(VLOOKUP($C170,Sheet3!$H$2:$O$200,O$1,FALSE),IFERROR(VLOOKUP($D170,Sheet3!$H$2:$O$200,O$1,FALSE),VLOOKUP($E170,Sheet3!$H$2:$O$200,O$1,FALSE)))</f>
        <v>0</v>
      </c>
      <c r="P170" s="15">
        <f>IFERROR(VLOOKUP($C170,Sheet3!$H$2:$O$200,P$1,FALSE),IFERROR(VLOOKUP($D170,Sheet3!$H$2:$O$200,P$1,FALSE),VLOOKUP($E170,Sheet3!$H$2:$O$200,P$1,FALSE)))</f>
        <v>0</v>
      </c>
      <c r="Q170" s="15">
        <f>IFERROR(IF(ISBLANK(J170),IFERROR(VLOOKUP($D170,Sheet3!$H$2:$O$200,Q$1,FALSE),IFERROR(VLOOKUP($E170,Sheet3!$H$2:$O$200,Q$1,FALSE),VLOOKUP($F170,Sheet3!$H$2:$O$200,Q$1,FALSE))),$I$1),$I$1)</f>
        <v>0</v>
      </c>
      <c r="R170" s="15">
        <f>IFERROR(IF(ISBLANK(K170),IFERROR(VLOOKUP($D170,Sheet3!$H$2:$O$200,R$1,FALSE),IFERROR(VLOOKUP($E170,Sheet3!$H$2:$O$200,R$1,FALSE),VLOOKUP($F170,Sheet3!$H$2:$O$200,R$1,FALSE))),$I$1),$I$1)</f>
        <v>0</v>
      </c>
      <c r="S170" s="15">
        <f>IFERROR(IF(ISBLANK(L170),IFERROR(VLOOKUP($D170,Sheet3!$H$2:$O$200,S$1,FALSE),IFERROR(VLOOKUP($E170,Sheet3!$H$2:$O$200,S$1,FALSE),VLOOKUP($F170,Sheet3!$H$2:$O$200,S$1,FALSE))),$I$1),$I$1)</f>
        <v>0</v>
      </c>
      <c r="T170" s="15">
        <f>IFERROR(IF(ISBLANK(M170),IFERROR(VLOOKUP($D170,Sheet3!$H$2:$O$200,T$1,FALSE),IFERROR(VLOOKUP($E170,Sheet3!$H$2:$O$200,T$1,FALSE),VLOOKUP($F170,Sheet3!$H$2:$O$200,T$1,FALSE))),$I$1),$I$1)</f>
        <v>0</v>
      </c>
      <c r="U170" s="15">
        <f>IFERROR(IF(ISBLANK(N170),IFERROR(VLOOKUP($D170,Sheet3!$H$2:$O$200,U$1,FALSE),IFERROR(VLOOKUP($E170,Sheet3!$H$2:$O$200,U$1,FALSE),VLOOKUP($F170,Sheet3!$H$2:$O$200,U$1,FALSE))),$I$1),$I$1)</f>
        <v>0</v>
      </c>
      <c r="V170" s="15">
        <f>IFERROR(IF(ISBLANK(O170),IFERROR(VLOOKUP($D170,Sheet3!$H$2:$O$200,V$1,FALSE),IFERROR(VLOOKUP($E170,Sheet3!$H$2:$O$200,V$1,FALSE),VLOOKUP($F170,Sheet3!$H$2:$O$200,V$1,FALSE))),$I$1),$I$1)</f>
        <v>0</v>
      </c>
      <c r="W170" s="15">
        <f>IFERROR(IF(ISBLANK(P170),IFERROR(VLOOKUP($D170,Sheet3!$H$2:$O$200,W$1,FALSE),IFERROR(VLOOKUP($E170,Sheet3!$H$2:$O$200,W$1,FALSE),VLOOKUP($F170,Sheet3!$H$2:$O$200,W$1,FALSE))),$I$1),$I$1)</f>
        <v>0</v>
      </c>
      <c r="X170" s="15">
        <f>IFERROR(IF(ISBLANK(Q170),IFERROR(VLOOKUP($E170,Sheet3!$H$2:$O$200,X$1,FALSE),IFERROR(VLOOKUP($F170,Sheet3!$H$2:$O$200,X$1,FALSE),VLOOKUP($G170,Sheet3!$H$2:$O$200,X$1,FALSE))),$I$1),$I$1)</f>
        <v>0</v>
      </c>
      <c r="Y170" s="15">
        <f>IFERROR(IF(ISBLANK(R170),IFERROR(VLOOKUP($E170,Sheet3!$H$2:$O$200,Y$1,FALSE),IFERROR(VLOOKUP($F170,Sheet3!$H$2:$O$200,Y$1,FALSE),VLOOKUP($G170,Sheet3!$H$2:$O$200,Y$1,FALSE))),$I$1),$I$1)</f>
        <v>0</v>
      </c>
      <c r="Z170" s="15">
        <f>IFERROR(IF(ISBLANK(S170),IFERROR(VLOOKUP($E170,Sheet3!$H$2:$O$200,Z$1,FALSE),IFERROR(VLOOKUP($F170,Sheet3!$H$2:$O$200,Z$1,FALSE),VLOOKUP($G170,Sheet3!$H$2:$O$200,Z$1,FALSE))),$I$1),$I$1)</f>
        <v>0</v>
      </c>
      <c r="AA170" s="15">
        <f>IFERROR(IF(ISBLANK(T170),IFERROR(VLOOKUP($E170,Sheet3!$H$2:$O$200,AA$1,FALSE),IFERROR(VLOOKUP($F170,Sheet3!$H$2:$O$200,AA$1,FALSE),VLOOKUP($G170,Sheet3!$H$2:$O$200,AA$1,FALSE))),$I$1),$I$1)</f>
        <v>0</v>
      </c>
      <c r="AB170" s="15">
        <f>IFERROR(IF(ISBLANK(U170),IFERROR(VLOOKUP($E170,Sheet3!$H$2:$O$200,AB$1,FALSE),IFERROR(VLOOKUP($F170,Sheet3!$H$2:$O$200,AB$1,FALSE),VLOOKUP($G170,Sheet3!$H$2:$O$200,AB$1,FALSE))),$I$1),$I$1)</f>
        <v>0</v>
      </c>
      <c r="AC170" s="15">
        <f>IFERROR(IF(ISBLANK(V170),IFERROR(VLOOKUP($E170,Sheet3!$H$2:$O$200,AC$1,FALSE),IFERROR(VLOOKUP($F170,Sheet3!$H$2:$O$200,AC$1,FALSE),VLOOKUP($G170,Sheet3!$H$2:$O$200,AC$1,FALSE))),$I$1),$I$1)</f>
        <v>0</v>
      </c>
      <c r="AD170" s="15">
        <f>IFERROR(IF(ISBLANK(W170),IFERROR(VLOOKUP($E170,Sheet3!$H$2:$O$200,AD$1,FALSE),IFERROR(VLOOKUP($F170,Sheet3!$H$2:$O$200,AD$1,FALSE),VLOOKUP($G170,Sheet3!$H$2:$O$200,AD$1,FALSE))),$I$1),$I$1)</f>
        <v>0</v>
      </c>
      <c r="AE170" s="15">
        <f>IFERROR(IF(ISBLANK(X170),IFERROR(VLOOKUP($F170,Sheet3!$H$2:$O$200,AE$1,FALSE),VLOOKUP($G170,Sheet3!$H$2:$O$200,AE$1,FALSE)),$I$1),$I$1)</f>
        <v>0</v>
      </c>
      <c r="AF170" s="15">
        <f>IFERROR(IF(ISBLANK(Y170),IFERROR(VLOOKUP($F170,Sheet3!$H$2:$O$200,AF$1,FALSE),VLOOKUP($G170,Sheet3!$H$2:$O$200,AF$1,FALSE)),$I$1),$I$1)</f>
        <v>0</v>
      </c>
      <c r="AG170" s="15">
        <f>IFERROR(IF(ISBLANK(Z170),IFERROR(VLOOKUP($F170,Sheet3!$H$2:$O$200,AG$1,FALSE),VLOOKUP($G170,Sheet3!$H$2:$O$200,AG$1,FALSE)),$I$1),$I$1)</f>
        <v>0</v>
      </c>
      <c r="AH170" s="15">
        <f>IFERROR(IF(ISBLANK(AA170),IFERROR(VLOOKUP($F170,Sheet3!$H$2:$O$200,AH$1,FALSE),VLOOKUP($G170,Sheet3!$H$2:$O$200,AH$1,FALSE)),$I$1),$I$1)</f>
        <v>0</v>
      </c>
      <c r="AI170" s="15">
        <f>IFERROR(IF(ISBLANK(AB170),IFERROR(VLOOKUP($F170,Sheet3!$H$2:$O$200,AI$1,FALSE),VLOOKUP($G170,Sheet3!$H$2:$O$200,AI$1,FALSE)),$I$1),$I$1)</f>
        <v>0</v>
      </c>
      <c r="AJ170" s="15">
        <f>IFERROR(IF(ISBLANK(AC170),IFERROR(VLOOKUP($F170,Sheet3!$H$2:$O$200,AJ$1,FALSE),VLOOKUP($G170,Sheet3!$H$2:$O$200,AJ$1,FALSE)),$I$1),$I$1)</f>
        <v>0</v>
      </c>
      <c r="AK170" s="15">
        <f>IFERROR(IF(ISBLANK(AD170),IFERROR(VLOOKUP($F170,Sheet3!$H$2:$O$200,AK$1,FALSE),VLOOKUP($G170,Sheet3!$H$2:$O$200,AK$1,FALSE)),$I$1),$I$1)</f>
        <v>0</v>
      </c>
      <c r="AL170" s="15">
        <f>IFERROR(IF(ISBLANK(AE170),VLOOKUP($G170,Sheet3!$H$2:$O$200,AL$1,FALSE),$I$1),$I$1)</f>
        <v>0</v>
      </c>
      <c r="AM170" s="15">
        <f>IFERROR(IF(ISBLANK(AF170),VLOOKUP($G170,Sheet3!$H$2:$O$200,AM$1,FALSE),$I$1),$I$1)</f>
        <v>0</v>
      </c>
      <c r="AN170" s="15">
        <f>IFERROR(IF(ISBLANK(AG170),VLOOKUP($G170,Sheet3!$H$2:$O$200,AN$1,FALSE),$I$1),$I$1)</f>
        <v>0</v>
      </c>
      <c r="AO170" s="15">
        <f>IFERROR(IF(ISBLANK(AH170),VLOOKUP($G170,Sheet3!$H$2:$O$200,AO$1,FALSE),$I$1),$I$1)</f>
        <v>0</v>
      </c>
      <c r="AP170" s="15">
        <f>IFERROR(IF(ISBLANK(AI170),VLOOKUP($G170,Sheet3!$H$2:$O$200,AP$1,FALSE),$I$1),$I$1)</f>
        <v>0</v>
      </c>
      <c r="AQ170" s="15">
        <f>IFERROR(IF(ISBLANK(AJ170),VLOOKUP($G170,Sheet3!$H$2:$O$200,AQ$1,FALSE),$I$1),$I$1)</f>
        <v>0</v>
      </c>
      <c r="AR170" s="15">
        <f>IFERROR(IF(ISBLANK(AK170),VLOOKUP($G170,Sheet3!$H$2:$O$200,AR$1,FALSE),$I$1),$I$1)</f>
        <v>0</v>
      </c>
      <c r="AS170" s="15">
        <f t="shared" si="1"/>
        <v>28</v>
      </c>
      <c r="AT170" s="15" t="b">
        <f t="shared" si="2"/>
        <v>0</v>
      </c>
    </row>
    <row r="171" spans="1:46" x14ac:dyDescent="0.2">
      <c r="A171" s="19" t="s">
        <v>338</v>
      </c>
      <c r="B171" s="19" t="s">
        <v>339</v>
      </c>
      <c r="C171" s="19" t="s">
        <v>340</v>
      </c>
      <c r="D171" s="19" t="s">
        <v>341</v>
      </c>
      <c r="E171" s="19"/>
      <c r="F171" s="19"/>
      <c r="G171" s="19"/>
      <c r="H171" s="19" t="s">
        <v>338</v>
      </c>
      <c r="I171" s="15">
        <f t="shared" si="0"/>
        <v>2</v>
      </c>
      <c r="J171" s="15">
        <f>IFERROR(VLOOKUP($C171,Sheet3!$H$2:$O$200,J$1,FALSE),IFERROR(VLOOKUP($D171,Sheet3!$H$2:$O$200,J$1,FALSE),VLOOKUP($E171,Sheet3!$H$2:$O$200,J$1,FALSE)))</f>
        <v>0</v>
      </c>
      <c r="K171" s="15">
        <f>IFERROR(VLOOKUP($C171,Sheet3!$H$2:$O$200,K$1,FALSE),IFERROR(VLOOKUP($D171,Sheet3!$H$2:$O$200,K$1,FALSE),VLOOKUP($E171,Sheet3!$H$2:$O$200,K$1,FALSE)))</f>
        <v>0</v>
      </c>
      <c r="L171" s="15">
        <f>IFERROR(VLOOKUP($C171,Sheet3!$H$2:$O$200,L$1,FALSE),IFERROR(VLOOKUP($D171,Sheet3!$H$2:$O$200,L$1,FALSE),VLOOKUP($E171,Sheet3!$H$2:$O$200,L$1,FALSE)))</f>
        <v>0</v>
      </c>
      <c r="M171" s="15" t="str">
        <f>IFERROR(VLOOKUP($C171,Sheet3!$H$2:$O$200,M$1,FALSE),IFERROR(VLOOKUP($D171,Sheet3!$H$2:$O$200,M$1,FALSE),VLOOKUP($E171,Sheet3!$H$2:$O$200,M$1,FALSE)))</f>
        <v>Chambord</v>
      </c>
      <c r="N171" s="15">
        <f>IFERROR(VLOOKUP($C171,Sheet3!$H$2:$O$200,N$1,FALSE),IFERROR(VLOOKUP($D171,Sheet3!$H$2:$O$200,N$1,FALSE),VLOOKUP($E171,Sheet3!$H$2:$O$200,N$1,FALSE)))</f>
        <v>0</v>
      </c>
      <c r="O171" s="15">
        <f>IFERROR(VLOOKUP($C171,Sheet3!$H$2:$O$200,O$1,FALSE),IFERROR(VLOOKUP($D171,Sheet3!$H$2:$O$200,O$1,FALSE),VLOOKUP($E171,Sheet3!$H$2:$O$200,O$1,FALSE)))</f>
        <v>0</v>
      </c>
      <c r="P171" s="15">
        <f>IFERROR(VLOOKUP($C171,Sheet3!$H$2:$O$200,P$1,FALSE),IFERROR(VLOOKUP($D171,Sheet3!$H$2:$O$200,P$1,FALSE),VLOOKUP($E171,Sheet3!$H$2:$O$200,P$1,FALSE)))</f>
        <v>0</v>
      </c>
      <c r="Q171" s="15">
        <f>IFERROR(IF(ISBLANK(J171),IFERROR(VLOOKUP($D171,Sheet3!$H$2:$O$200,Q$1,FALSE),IFERROR(VLOOKUP($E171,Sheet3!$H$2:$O$200,Q$1,FALSE),VLOOKUP($F171,Sheet3!$H$2:$O$200,Q$1,FALSE))),$I$1),$I$1)</f>
        <v>0</v>
      </c>
      <c r="R171" s="15">
        <f>IFERROR(IF(ISBLANK(K171),IFERROR(VLOOKUP($D171,Sheet3!$H$2:$O$200,R$1,FALSE),IFERROR(VLOOKUP($E171,Sheet3!$H$2:$O$200,R$1,FALSE),VLOOKUP($F171,Sheet3!$H$2:$O$200,R$1,FALSE))),$I$1),$I$1)</f>
        <v>0</v>
      </c>
      <c r="S171" s="15">
        <f>IFERROR(IF(ISBLANK(L171),IFERROR(VLOOKUP($D171,Sheet3!$H$2:$O$200,S$1,FALSE),IFERROR(VLOOKUP($E171,Sheet3!$H$2:$O$200,S$1,FALSE),VLOOKUP($F171,Sheet3!$H$2:$O$200,S$1,FALSE))),$I$1),$I$1)</f>
        <v>0</v>
      </c>
      <c r="T171" s="15">
        <f>IFERROR(IF(ISBLANK(M171),IFERROR(VLOOKUP($D171,Sheet3!$H$2:$O$200,T$1,FALSE),IFERROR(VLOOKUP($E171,Sheet3!$H$2:$O$200,T$1,FALSE),VLOOKUP($F171,Sheet3!$H$2:$O$200,T$1,FALSE))),$I$1),$I$1)</f>
        <v>0</v>
      </c>
      <c r="U171" s="15">
        <f>IFERROR(IF(ISBLANK(N171),IFERROR(VLOOKUP($D171,Sheet3!$H$2:$O$200,U$1,FALSE),IFERROR(VLOOKUP($E171,Sheet3!$H$2:$O$200,U$1,FALSE),VLOOKUP($F171,Sheet3!$H$2:$O$200,U$1,FALSE))),$I$1),$I$1)</f>
        <v>0</v>
      </c>
      <c r="V171" s="15">
        <f>IFERROR(IF(ISBLANK(O171),IFERROR(VLOOKUP($D171,Sheet3!$H$2:$O$200,V$1,FALSE),IFERROR(VLOOKUP($E171,Sheet3!$H$2:$O$200,V$1,FALSE),VLOOKUP($F171,Sheet3!$H$2:$O$200,V$1,FALSE))),$I$1),$I$1)</f>
        <v>0</v>
      </c>
      <c r="W171" s="15">
        <f>IFERROR(IF(ISBLANK(P171),IFERROR(VLOOKUP($D171,Sheet3!$H$2:$O$200,W$1,FALSE),IFERROR(VLOOKUP($E171,Sheet3!$H$2:$O$200,W$1,FALSE),VLOOKUP($F171,Sheet3!$H$2:$O$200,W$1,FALSE))),$I$1),$I$1)</f>
        <v>0</v>
      </c>
      <c r="X171" s="15">
        <f>IFERROR(IF(ISBLANK(Q171),IFERROR(VLOOKUP($E171,Sheet3!$H$2:$O$200,X$1,FALSE),IFERROR(VLOOKUP($F171,Sheet3!$H$2:$O$200,X$1,FALSE),VLOOKUP($G171,Sheet3!$H$2:$O$200,X$1,FALSE))),$I$1),$I$1)</f>
        <v>0</v>
      </c>
      <c r="Y171" s="15">
        <f>IFERROR(IF(ISBLANK(R171),IFERROR(VLOOKUP($E171,Sheet3!$H$2:$O$200,Y$1,FALSE),IFERROR(VLOOKUP($F171,Sheet3!$H$2:$O$200,Y$1,FALSE),VLOOKUP($G171,Sheet3!$H$2:$O$200,Y$1,FALSE))),$I$1),$I$1)</f>
        <v>0</v>
      </c>
      <c r="Z171" s="15">
        <f>IFERROR(IF(ISBLANK(S171),IFERROR(VLOOKUP($E171,Sheet3!$H$2:$O$200,Z$1,FALSE),IFERROR(VLOOKUP($F171,Sheet3!$H$2:$O$200,Z$1,FALSE),VLOOKUP($G171,Sheet3!$H$2:$O$200,Z$1,FALSE))),$I$1),$I$1)</f>
        <v>0</v>
      </c>
      <c r="AA171" s="15">
        <f>IFERROR(IF(ISBLANK(T171),IFERROR(VLOOKUP($E171,Sheet3!$H$2:$O$200,AA$1,FALSE),IFERROR(VLOOKUP($F171,Sheet3!$H$2:$O$200,AA$1,FALSE),VLOOKUP($G171,Sheet3!$H$2:$O$200,AA$1,FALSE))),$I$1),$I$1)</f>
        <v>0</v>
      </c>
      <c r="AB171" s="15">
        <f>IFERROR(IF(ISBLANK(U171),IFERROR(VLOOKUP($E171,Sheet3!$H$2:$O$200,AB$1,FALSE),IFERROR(VLOOKUP($F171,Sheet3!$H$2:$O$200,AB$1,FALSE),VLOOKUP($G171,Sheet3!$H$2:$O$200,AB$1,FALSE))),$I$1),$I$1)</f>
        <v>0</v>
      </c>
      <c r="AC171" s="15">
        <f>IFERROR(IF(ISBLANK(V171),IFERROR(VLOOKUP($E171,Sheet3!$H$2:$O$200,AC$1,FALSE),IFERROR(VLOOKUP($F171,Sheet3!$H$2:$O$200,AC$1,FALSE),VLOOKUP($G171,Sheet3!$H$2:$O$200,AC$1,FALSE))),$I$1),$I$1)</f>
        <v>0</v>
      </c>
      <c r="AD171" s="15">
        <f>IFERROR(IF(ISBLANK(W171),IFERROR(VLOOKUP($E171,Sheet3!$H$2:$O$200,AD$1,FALSE),IFERROR(VLOOKUP($F171,Sheet3!$H$2:$O$200,AD$1,FALSE),VLOOKUP($G171,Sheet3!$H$2:$O$200,AD$1,FALSE))),$I$1),$I$1)</f>
        <v>0</v>
      </c>
      <c r="AE171" s="15">
        <f>IFERROR(IF(ISBLANK(X171),IFERROR(VLOOKUP($F171,Sheet3!$H$2:$O$200,AE$1,FALSE),VLOOKUP($G171,Sheet3!$H$2:$O$200,AE$1,FALSE)),$I$1),$I$1)</f>
        <v>0</v>
      </c>
      <c r="AF171" s="15">
        <f>IFERROR(IF(ISBLANK(Y171),IFERROR(VLOOKUP($F171,Sheet3!$H$2:$O$200,AF$1,FALSE),VLOOKUP($G171,Sheet3!$H$2:$O$200,AF$1,FALSE)),$I$1),$I$1)</f>
        <v>0</v>
      </c>
      <c r="AG171" s="15">
        <f>IFERROR(IF(ISBLANK(Z171),IFERROR(VLOOKUP($F171,Sheet3!$H$2:$O$200,AG$1,FALSE),VLOOKUP($G171,Sheet3!$H$2:$O$200,AG$1,FALSE)),$I$1),$I$1)</f>
        <v>0</v>
      </c>
      <c r="AH171" s="15">
        <f>IFERROR(IF(ISBLANK(AA171),IFERROR(VLOOKUP($F171,Sheet3!$H$2:$O$200,AH$1,FALSE),VLOOKUP($G171,Sheet3!$H$2:$O$200,AH$1,FALSE)),$I$1),$I$1)</f>
        <v>0</v>
      </c>
      <c r="AI171" s="15">
        <f>IFERROR(IF(ISBLANK(AB171),IFERROR(VLOOKUP($F171,Sheet3!$H$2:$O$200,AI$1,FALSE),VLOOKUP($G171,Sheet3!$H$2:$O$200,AI$1,FALSE)),$I$1),$I$1)</f>
        <v>0</v>
      </c>
      <c r="AJ171" s="15">
        <f>IFERROR(IF(ISBLANK(AC171),IFERROR(VLOOKUP($F171,Sheet3!$H$2:$O$200,AJ$1,FALSE),VLOOKUP($G171,Sheet3!$H$2:$O$200,AJ$1,FALSE)),$I$1),$I$1)</f>
        <v>0</v>
      </c>
      <c r="AK171" s="15">
        <f>IFERROR(IF(ISBLANK(AD171),IFERROR(VLOOKUP($F171,Sheet3!$H$2:$O$200,AK$1,FALSE),VLOOKUP($G171,Sheet3!$H$2:$O$200,AK$1,FALSE)),$I$1),$I$1)</f>
        <v>0</v>
      </c>
      <c r="AL171" s="15">
        <f>IFERROR(IF(ISBLANK(AE171),VLOOKUP($G171,Sheet3!$H$2:$O$200,AL$1,FALSE),$I$1),$I$1)</f>
        <v>0</v>
      </c>
      <c r="AM171" s="15">
        <f>IFERROR(IF(ISBLANK(AF171),VLOOKUP($G171,Sheet3!$H$2:$O$200,AM$1,FALSE),$I$1),$I$1)</f>
        <v>0</v>
      </c>
      <c r="AN171" s="15">
        <f>IFERROR(IF(ISBLANK(AG171),VLOOKUP($G171,Sheet3!$H$2:$O$200,AN$1,FALSE),$I$1),$I$1)</f>
        <v>0</v>
      </c>
      <c r="AO171" s="15">
        <f>IFERROR(IF(ISBLANK(AH171),VLOOKUP($G171,Sheet3!$H$2:$O$200,AO$1,FALSE),$I$1),$I$1)</f>
        <v>0</v>
      </c>
      <c r="AP171" s="15">
        <f>IFERROR(IF(ISBLANK(AI171),VLOOKUP($G171,Sheet3!$H$2:$O$200,AP$1,FALSE),$I$1),$I$1)</f>
        <v>0</v>
      </c>
      <c r="AQ171" s="15">
        <f>IFERROR(IF(ISBLANK(AJ171),VLOOKUP($G171,Sheet3!$H$2:$O$200,AQ$1,FALSE),$I$1),$I$1)</f>
        <v>0</v>
      </c>
      <c r="AR171" s="15">
        <f>IFERROR(IF(ISBLANK(AK171),VLOOKUP($G171,Sheet3!$H$2:$O$200,AR$1,FALSE),$I$1),$I$1)</f>
        <v>0</v>
      </c>
      <c r="AS171" s="15">
        <f t="shared" si="1"/>
        <v>28</v>
      </c>
      <c r="AT171" s="15" t="b">
        <f t="shared" si="2"/>
        <v>0</v>
      </c>
    </row>
    <row r="172" spans="1:46" x14ac:dyDescent="0.2">
      <c r="A172" s="19" t="s">
        <v>342</v>
      </c>
      <c r="B172" s="19" t="s">
        <v>343</v>
      </c>
      <c r="C172" s="19" t="s">
        <v>36</v>
      </c>
      <c r="D172" s="19"/>
      <c r="E172" s="19"/>
      <c r="F172" s="19"/>
      <c r="G172" s="19"/>
      <c r="H172" s="19" t="s">
        <v>342</v>
      </c>
      <c r="I172" s="15">
        <f t="shared" si="0"/>
        <v>1</v>
      </c>
      <c r="J172" s="15">
        <f>IFERROR(VLOOKUP($C172,Sheet3!$H$2:$O$200,J$1,FALSE),IFERROR(VLOOKUP($D172,Sheet3!$H$2:$O$200,J$1,FALSE),VLOOKUP($E172,Sheet3!$H$2:$O$200,J$1,FALSE)))</f>
        <v>0</v>
      </c>
      <c r="K172" s="15">
        <f>IFERROR(VLOOKUP($C172,Sheet3!$H$2:$O$200,K$1,FALSE),IFERROR(VLOOKUP($D172,Sheet3!$H$2:$O$200,K$1,FALSE),VLOOKUP($E172,Sheet3!$H$2:$O$200,K$1,FALSE)))</f>
        <v>0</v>
      </c>
      <c r="L172" s="15">
        <f>IFERROR(VLOOKUP($C172,Sheet3!$H$2:$O$200,L$1,FALSE),IFERROR(VLOOKUP($D172,Sheet3!$H$2:$O$200,L$1,FALSE),VLOOKUP($E172,Sheet3!$H$2:$O$200,L$1,FALSE)))</f>
        <v>0</v>
      </c>
      <c r="M172" s="15" t="str">
        <f>IFERROR(VLOOKUP($C172,Sheet3!$H$2:$O$200,M$1,FALSE),IFERROR(VLOOKUP($D172,Sheet3!$H$2:$O$200,M$1,FALSE),VLOOKUP($E172,Sheet3!$H$2:$O$200,M$1,FALSE)))</f>
        <v>Kahlua</v>
      </c>
      <c r="N172" s="15">
        <f>IFERROR(VLOOKUP($C172,Sheet3!$H$2:$O$200,N$1,FALSE),IFERROR(VLOOKUP($D172,Sheet3!$H$2:$O$200,N$1,FALSE),VLOOKUP($E172,Sheet3!$H$2:$O$200,N$1,FALSE)))</f>
        <v>0</v>
      </c>
      <c r="O172" s="15">
        <f>IFERROR(VLOOKUP($C172,Sheet3!$H$2:$O$200,O$1,FALSE),IFERROR(VLOOKUP($D172,Sheet3!$H$2:$O$200,O$1,FALSE),VLOOKUP($E172,Sheet3!$H$2:$O$200,O$1,FALSE)))</f>
        <v>0</v>
      </c>
      <c r="P172" s="15">
        <f>IFERROR(VLOOKUP($C172,Sheet3!$H$2:$O$200,P$1,FALSE),IFERROR(VLOOKUP($D172,Sheet3!$H$2:$O$200,P$1,FALSE),VLOOKUP($E172,Sheet3!$H$2:$O$200,P$1,FALSE)))</f>
        <v>0</v>
      </c>
      <c r="Q172" s="15">
        <f>IFERROR(IF(ISBLANK(J172),IFERROR(VLOOKUP($D172,Sheet3!$H$2:$O$200,Q$1,FALSE),IFERROR(VLOOKUP($E172,Sheet3!$H$2:$O$200,Q$1,FALSE),VLOOKUP($F172,Sheet3!$H$2:$O$200,Q$1,FALSE))),$I$1),$I$1)</f>
        <v>0</v>
      </c>
      <c r="R172" s="15">
        <f>IFERROR(IF(ISBLANK(K172),IFERROR(VLOOKUP($D172,Sheet3!$H$2:$O$200,R$1,FALSE),IFERROR(VLOOKUP($E172,Sheet3!$H$2:$O$200,R$1,FALSE),VLOOKUP($F172,Sheet3!$H$2:$O$200,R$1,FALSE))),$I$1),$I$1)</f>
        <v>0</v>
      </c>
      <c r="S172" s="15">
        <f>IFERROR(IF(ISBLANK(L172),IFERROR(VLOOKUP($D172,Sheet3!$H$2:$O$200,S$1,FALSE),IFERROR(VLOOKUP($E172,Sheet3!$H$2:$O$200,S$1,FALSE),VLOOKUP($F172,Sheet3!$H$2:$O$200,S$1,FALSE))),$I$1),$I$1)</f>
        <v>0</v>
      </c>
      <c r="T172" s="15">
        <f>IFERROR(IF(ISBLANK(M172),IFERROR(VLOOKUP($D172,Sheet3!$H$2:$O$200,T$1,FALSE),IFERROR(VLOOKUP($E172,Sheet3!$H$2:$O$200,T$1,FALSE),VLOOKUP($F172,Sheet3!$H$2:$O$200,T$1,FALSE))),$I$1),$I$1)</f>
        <v>0</v>
      </c>
      <c r="U172" s="15">
        <f>IFERROR(IF(ISBLANK(N172),IFERROR(VLOOKUP($D172,Sheet3!$H$2:$O$200,U$1,FALSE),IFERROR(VLOOKUP($E172,Sheet3!$H$2:$O$200,U$1,FALSE),VLOOKUP($F172,Sheet3!$H$2:$O$200,U$1,FALSE))),$I$1),$I$1)</f>
        <v>0</v>
      </c>
      <c r="V172" s="15">
        <f>IFERROR(IF(ISBLANK(O172),IFERROR(VLOOKUP($D172,Sheet3!$H$2:$O$200,V$1,FALSE),IFERROR(VLOOKUP($E172,Sheet3!$H$2:$O$200,V$1,FALSE),VLOOKUP($F172,Sheet3!$H$2:$O$200,V$1,FALSE))),$I$1),$I$1)</f>
        <v>0</v>
      </c>
      <c r="W172" s="15">
        <f>IFERROR(IF(ISBLANK(P172),IFERROR(VLOOKUP($D172,Sheet3!$H$2:$O$200,W$1,FALSE),IFERROR(VLOOKUP($E172,Sheet3!$H$2:$O$200,W$1,FALSE),VLOOKUP($F172,Sheet3!$H$2:$O$200,W$1,FALSE))),$I$1),$I$1)</f>
        <v>0</v>
      </c>
      <c r="X172" s="15">
        <f>IFERROR(IF(ISBLANK(Q172),IFERROR(VLOOKUP($E172,Sheet3!$H$2:$O$200,X$1,FALSE),IFERROR(VLOOKUP($F172,Sheet3!$H$2:$O$200,X$1,FALSE),VLOOKUP($G172,Sheet3!$H$2:$O$200,X$1,FALSE))),$I$1),$I$1)</f>
        <v>0</v>
      </c>
      <c r="Y172" s="15">
        <f>IFERROR(IF(ISBLANK(R172),IFERROR(VLOOKUP($E172,Sheet3!$H$2:$O$200,Y$1,FALSE),IFERROR(VLOOKUP($F172,Sheet3!$H$2:$O$200,Y$1,FALSE),VLOOKUP($G172,Sheet3!$H$2:$O$200,Y$1,FALSE))),$I$1),$I$1)</f>
        <v>0</v>
      </c>
      <c r="Z172" s="15">
        <f>IFERROR(IF(ISBLANK(S172),IFERROR(VLOOKUP($E172,Sheet3!$H$2:$O$200,Z$1,FALSE),IFERROR(VLOOKUP($F172,Sheet3!$H$2:$O$200,Z$1,FALSE),VLOOKUP($G172,Sheet3!$H$2:$O$200,Z$1,FALSE))),$I$1),$I$1)</f>
        <v>0</v>
      </c>
      <c r="AA172" s="15">
        <f>IFERROR(IF(ISBLANK(T172),IFERROR(VLOOKUP($E172,Sheet3!$H$2:$O$200,AA$1,FALSE),IFERROR(VLOOKUP($F172,Sheet3!$H$2:$O$200,AA$1,FALSE),VLOOKUP($G172,Sheet3!$H$2:$O$200,AA$1,FALSE))),$I$1),$I$1)</f>
        <v>0</v>
      </c>
      <c r="AB172" s="15">
        <f>IFERROR(IF(ISBLANK(U172),IFERROR(VLOOKUP($E172,Sheet3!$H$2:$O$200,AB$1,FALSE),IFERROR(VLOOKUP($F172,Sheet3!$H$2:$O$200,AB$1,FALSE),VLOOKUP($G172,Sheet3!$H$2:$O$200,AB$1,FALSE))),$I$1),$I$1)</f>
        <v>0</v>
      </c>
      <c r="AC172" s="15">
        <f>IFERROR(IF(ISBLANK(V172),IFERROR(VLOOKUP($E172,Sheet3!$H$2:$O$200,AC$1,FALSE),IFERROR(VLOOKUP($F172,Sheet3!$H$2:$O$200,AC$1,FALSE),VLOOKUP($G172,Sheet3!$H$2:$O$200,AC$1,FALSE))),$I$1),$I$1)</f>
        <v>0</v>
      </c>
      <c r="AD172" s="15">
        <f>IFERROR(IF(ISBLANK(W172),IFERROR(VLOOKUP($E172,Sheet3!$H$2:$O$200,AD$1,FALSE),IFERROR(VLOOKUP($F172,Sheet3!$H$2:$O$200,AD$1,FALSE),VLOOKUP($G172,Sheet3!$H$2:$O$200,AD$1,FALSE))),$I$1),$I$1)</f>
        <v>0</v>
      </c>
      <c r="AE172" s="15">
        <f>IFERROR(IF(ISBLANK(X172),IFERROR(VLOOKUP($F172,Sheet3!$H$2:$O$200,AE$1,FALSE),VLOOKUP($G172,Sheet3!$H$2:$O$200,AE$1,FALSE)),$I$1),$I$1)</f>
        <v>0</v>
      </c>
      <c r="AF172" s="15">
        <f>IFERROR(IF(ISBLANK(Y172),IFERROR(VLOOKUP($F172,Sheet3!$H$2:$O$200,AF$1,FALSE),VLOOKUP($G172,Sheet3!$H$2:$O$200,AF$1,FALSE)),$I$1),$I$1)</f>
        <v>0</v>
      </c>
      <c r="AG172" s="15">
        <f>IFERROR(IF(ISBLANK(Z172),IFERROR(VLOOKUP($F172,Sheet3!$H$2:$O$200,AG$1,FALSE),VLOOKUP($G172,Sheet3!$H$2:$O$200,AG$1,FALSE)),$I$1),$I$1)</f>
        <v>0</v>
      </c>
      <c r="AH172" s="15">
        <f>IFERROR(IF(ISBLANK(AA172),IFERROR(VLOOKUP($F172,Sheet3!$H$2:$O$200,AH$1,FALSE),VLOOKUP($G172,Sheet3!$H$2:$O$200,AH$1,FALSE)),$I$1),$I$1)</f>
        <v>0</v>
      </c>
      <c r="AI172" s="15">
        <f>IFERROR(IF(ISBLANK(AB172),IFERROR(VLOOKUP($F172,Sheet3!$H$2:$O$200,AI$1,FALSE),VLOOKUP($G172,Sheet3!$H$2:$O$200,AI$1,FALSE)),$I$1),$I$1)</f>
        <v>0</v>
      </c>
      <c r="AJ172" s="15">
        <f>IFERROR(IF(ISBLANK(AC172),IFERROR(VLOOKUP($F172,Sheet3!$H$2:$O$200,AJ$1,FALSE),VLOOKUP($G172,Sheet3!$H$2:$O$200,AJ$1,FALSE)),$I$1),$I$1)</f>
        <v>0</v>
      </c>
      <c r="AK172" s="15">
        <f>IFERROR(IF(ISBLANK(AD172),IFERROR(VLOOKUP($F172,Sheet3!$H$2:$O$200,AK$1,FALSE),VLOOKUP($G172,Sheet3!$H$2:$O$200,AK$1,FALSE)),$I$1),$I$1)</f>
        <v>0</v>
      </c>
      <c r="AL172" s="15">
        <f>IFERROR(IF(ISBLANK(AE172),VLOOKUP($G172,Sheet3!$H$2:$O$200,AL$1,FALSE),$I$1),$I$1)</f>
        <v>0</v>
      </c>
      <c r="AM172" s="15">
        <f>IFERROR(IF(ISBLANK(AF172),VLOOKUP($G172,Sheet3!$H$2:$O$200,AM$1,FALSE),$I$1),$I$1)</f>
        <v>0</v>
      </c>
      <c r="AN172" s="15">
        <f>IFERROR(IF(ISBLANK(AG172),VLOOKUP($G172,Sheet3!$H$2:$O$200,AN$1,FALSE),$I$1),$I$1)</f>
        <v>0</v>
      </c>
      <c r="AO172" s="15">
        <f>IFERROR(IF(ISBLANK(AH172),VLOOKUP($G172,Sheet3!$H$2:$O$200,AO$1,FALSE),$I$1),$I$1)</f>
        <v>0</v>
      </c>
      <c r="AP172" s="15">
        <f>IFERROR(IF(ISBLANK(AI172),VLOOKUP($G172,Sheet3!$H$2:$O$200,AP$1,FALSE),$I$1),$I$1)</f>
        <v>0</v>
      </c>
      <c r="AQ172" s="15">
        <f>IFERROR(IF(ISBLANK(AJ172),VLOOKUP($G172,Sheet3!$H$2:$O$200,AQ$1,FALSE),$I$1),$I$1)</f>
        <v>0</v>
      </c>
      <c r="AR172" s="15">
        <f>IFERROR(IF(ISBLANK(AK172),VLOOKUP($G172,Sheet3!$H$2:$O$200,AR$1,FALSE),$I$1),$I$1)</f>
        <v>0</v>
      </c>
      <c r="AS172" s="15">
        <f t="shared" si="1"/>
        <v>28</v>
      </c>
      <c r="AT172" s="15" t="b">
        <f t="shared" si="2"/>
        <v>0</v>
      </c>
    </row>
    <row r="173" spans="1:46" x14ac:dyDescent="0.2">
      <c r="A173" s="19" t="s">
        <v>344</v>
      </c>
      <c r="B173" s="19" t="s">
        <v>343</v>
      </c>
      <c r="C173" s="19" t="s">
        <v>345</v>
      </c>
      <c r="D173" s="19" t="s">
        <v>126</v>
      </c>
      <c r="E173" s="19"/>
      <c r="F173" s="19"/>
      <c r="G173" s="19"/>
      <c r="H173" s="19" t="s">
        <v>344</v>
      </c>
      <c r="I173" s="15">
        <f t="shared" si="0"/>
        <v>2</v>
      </c>
      <c r="J173" s="15">
        <f>IFERROR(VLOOKUP($C173,Sheet3!$H$2:$O$200,J$1,FALSE),IFERROR(VLOOKUP($D173,Sheet3!$H$2:$O$200,J$1,FALSE),VLOOKUP($E173,Sheet3!$H$2:$O$200,J$1,FALSE)))</f>
        <v>0</v>
      </c>
      <c r="K173" s="15">
        <f>IFERROR(VLOOKUP($C173,Sheet3!$H$2:$O$200,K$1,FALSE),IFERROR(VLOOKUP($D173,Sheet3!$H$2:$O$200,K$1,FALSE),VLOOKUP($E173,Sheet3!$H$2:$O$200,K$1,FALSE)))</f>
        <v>0</v>
      </c>
      <c r="L173" s="15">
        <f>IFERROR(VLOOKUP($C173,Sheet3!$H$2:$O$200,L$1,FALSE),IFERROR(VLOOKUP($D173,Sheet3!$H$2:$O$200,L$1,FALSE),VLOOKUP($E173,Sheet3!$H$2:$O$200,L$1,FALSE)))</f>
        <v>0</v>
      </c>
      <c r="M173" s="15" t="str">
        <f>IFERROR(VLOOKUP($C173,Sheet3!$H$2:$O$200,M$1,FALSE),IFERROR(VLOOKUP($D173,Sheet3!$H$2:$O$200,M$1,FALSE),VLOOKUP($E173,Sheet3!$H$2:$O$200,M$1,FALSE)))</f>
        <v>galliano</v>
      </c>
      <c r="N173" s="15">
        <f>IFERROR(VLOOKUP($C173,Sheet3!$H$2:$O$200,N$1,FALSE),IFERROR(VLOOKUP($D173,Sheet3!$H$2:$O$200,N$1,FALSE),VLOOKUP($E173,Sheet3!$H$2:$O$200,N$1,FALSE)))</f>
        <v>0</v>
      </c>
      <c r="O173" s="15">
        <f>IFERROR(VLOOKUP($C173,Sheet3!$H$2:$O$200,O$1,FALSE),IFERROR(VLOOKUP($D173,Sheet3!$H$2:$O$200,O$1,FALSE),VLOOKUP($E173,Sheet3!$H$2:$O$200,O$1,FALSE)))</f>
        <v>0</v>
      </c>
      <c r="P173" s="15">
        <f>IFERROR(VLOOKUP($C173,Sheet3!$H$2:$O$200,P$1,FALSE),IFERROR(VLOOKUP($D173,Sheet3!$H$2:$O$200,P$1,FALSE),VLOOKUP($E173,Sheet3!$H$2:$O$200,P$1,FALSE)))</f>
        <v>0</v>
      </c>
      <c r="Q173" s="15">
        <f>IFERROR(IF(ISBLANK(J173),IFERROR(VLOOKUP($D173,Sheet3!$H$2:$O$200,Q$1,FALSE),IFERROR(VLOOKUP($E173,Sheet3!$H$2:$O$200,Q$1,FALSE),VLOOKUP($F173,Sheet3!$H$2:$O$200,Q$1,FALSE))),$I$1),$I$1)</f>
        <v>0</v>
      </c>
      <c r="R173" s="15">
        <f>IFERROR(IF(ISBLANK(K173),IFERROR(VLOOKUP($D173,Sheet3!$H$2:$O$200,R$1,FALSE),IFERROR(VLOOKUP($E173,Sheet3!$H$2:$O$200,R$1,FALSE),VLOOKUP($F173,Sheet3!$H$2:$O$200,R$1,FALSE))),$I$1),$I$1)</f>
        <v>0</v>
      </c>
      <c r="S173" s="15">
        <f>IFERROR(IF(ISBLANK(L173),IFERROR(VLOOKUP($D173,Sheet3!$H$2:$O$200,S$1,FALSE),IFERROR(VLOOKUP($E173,Sheet3!$H$2:$O$200,S$1,FALSE),VLOOKUP($F173,Sheet3!$H$2:$O$200,S$1,FALSE))),$I$1),$I$1)</f>
        <v>0</v>
      </c>
      <c r="T173" s="15">
        <f>IFERROR(IF(ISBLANK(M173),IFERROR(VLOOKUP($D173,Sheet3!$H$2:$O$200,T$1,FALSE),IFERROR(VLOOKUP($E173,Sheet3!$H$2:$O$200,T$1,FALSE),VLOOKUP($F173,Sheet3!$H$2:$O$200,T$1,FALSE))),$I$1),$I$1)</f>
        <v>0</v>
      </c>
      <c r="U173" s="15">
        <f>IFERROR(IF(ISBLANK(N173),IFERROR(VLOOKUP($D173,Sheet3!$H$2:$O$200,U$1,FALSE),IFERROR(VLOOKUP($E173,Sheet3!$H$2:$O$200,U$1,FALSE),VLOOKUP($F173,Sheet3!$H$2:$O$200,U$1,FALSE))),$I$1),$I$1)</f>
        <v>0</v>
      </c>
      <c r="V173" s="15">
        <f>IFERROR(IF(ISBLANK(O173),IFERROR(VLOOKUP($D173,Sheet3!$H$2:$O$200,V$1,FALSE),IFERROR(VLOOKUP($E173,Sheet3!$H$2:$O$200,V$1,FALSE),VLOOKUP($F173,Sheet3!$H$2:$O$200,V$1,FALSE))),$I$1),$I$1)</f>
        <v>0</v>
      </c>
      <c r="W173" s="15">
        <f>IFERROR(IF(ISBLANK(P173),IFERROR(VLOOKUP($D173,Sheet3!$H$2:$O$200,W$1,FALSE),IFERROR(VLOOKUP($E173,Sheet3!$H$2:$O$200,W$1,FALSE),VLOOKUP($F173,Sheet3!$H$2:$O$200,W$1,FALSE))),$I$1),$I$1)</f>
        <v>0</v>
      </c>
      <c r="X173" s="15">
        <f>IFERROR(IF(ISBLANK(Q173),IFERROR(VLOOKUP($E173,Sheet3!$H$2:$O$200,X$1,FALSE),IFERROR(VLOOKUP($F173,Sheet3!$H$2:$O$200,X$1,FALSE),VLOOKUP($G173,Sheet3!$H$2:$O$200,X$1,FALSE))),$I$1),$I$1)</f>
        <v>0</v>
      </c>
      <c r="Y173" s="15">
        <f>IFERROR(IF(ISBLANK(R173),IFERROR(VLOOKUP($E173,Sheet3!$H$2:$O$200,Y$1,FALSE),IFERROR(VLOOKUP($F173,Sheet3!$H$2:$O$200,Y$1,FALSE),VLOOKUP($G173,Sheet3!$H$2:$O$200,Y$1,FALSE))),$I$1),$I$1)</f>
        <v>0</v>
      </c>
      <c r="Z173" s="15">
        <f>IFERROR(IF(ISBLANK(S173),IFERROR(VLOOKUP($E173,Sheet3!$H$2:$O$200,Z$1,FALSE),IFERROR(VLOOKUP($F173,Sheet3!$H$2:$O$200,Z$1,FALSE),VLOOKUP($G173,Sheet3!$H$2:$O$200,Z$1,FALSE))),$I$1),$I$1)</f>
        <v>0</v>
      </c>
      <c r="AA173" s="15">
        <f>IFERROR(IF(ISBLANK(T173),IFERROR(VLOOKUP($E173,Sheet3!$H$2:$O$200,AA$1,FALSE),IFERROR(VLOOKUP($F173,Sheet3!$H$2:$O$200,AA$1,FALSE),VLOOKUP($G173,Sheet3!$H$2:$O$200,AA$1,FALSE))),$I$1),$I$1)</f>
        <v>0</v>
      </c>
      <c r="AB173" s="15">
        <f>IFERROR(IF(ISBLANK(U173),IFERROR(VLOOKUP($E173,Sheet3!$H$2:$O$200,AB$1,FALSE),IFERROR(VLOOKUP($F173,Sheet3!$H$2:$O$200,AB$1,FALSE),VLOOKUP($G173,Sheet3!$H$2:$O$200,AB$1,FALSE))),$I$1),$I$1)</f>
        <v>0</v>
      </c>
      <c r="AC173" s="15">
        <f>IFERROR(IF(ISBLANK(V173),IFERROR(VLOOKUP($E173,Sheet3!$H$2:$O$200,AC$1,FALSE),IFERROR(VLOOKUP($F173,Sheet3!$H$2:$O$200,AC$1,FALSE),VLOOKUP($G173,Sheet3!$H$2:$O$200,AC$1,FALSE))),$I$1),$I$1)</f>
        <v>0</v>
      </c>
      <c r="AD173" s="15">
        <f>IFERROR(IF(ISBLANK(W173),IFERROR(VLOOKUP($E173,Sheet3!$H$2:$O$200,AD$1,FALSE),IFERROR(VLOOKUP($F173,Sheet3!$H$2:$O$200,AD$1,FALSE),VLOOKUP($G173,Sheet3!$H$2:$O$200,AD$1,FALSE))),$I$1),$I$1)</f>
        <v>0</v>
      </c>
      <c r="AE173" s="15">
        <f>IFERROR(IF(ISBLANK(X173),IFERROR(VLOOKUP($F173,Sheet3!$H$2:$O$200,AE$1,FALSE),VLOOKUP($G173,Sheet3!$H$2:$O$200,AE$1,FALSE)),$I$1),$I$1)</f>
        <v>0</v>
      </c>
      <c r="AF173" s="15">
        <f>IFERROR(IF(ISBLANK(Y173),IFERROR(VLOOKUP($F173,Sheet3!$H$2:$O$200,AF$1,FALSE),VLOOKUP($G173,Sheet3!$H$2:$O$200,AF$1,FALSE)),$I$1),$I$1)</f>
        <v>0</v>
      </c>
      <c r="AG173" s="15">
        <f>IFERROR(IF(ISBLANK(Z173),IFERROR(VLOOKUP($F173,Sheet3!$H$2:$O$200,AG$1,FALSE),VLOOKUP($G173,Sheet3!$H$2:$O$200,AG$1,FALSE)),$I$1),$I$1)</f>
        <v>0</v>
      </c>
      <c r="AH173" s="15">
        <f>IFERROR(IF(ISBLANK(AA173),IFERROR(VLOOKUP($F173,Sheet3!$H$2:$O$200,AH$1,FALSE),VLOOKUP($G173,Sheet3!$H$2:$O$200,AH$1,FALSE)),$I$1),$I$1)</f>
        <v>0</v>
      </c>
      <c r="AI173" s="15">
        <f>IFERROR(IF(ISBLANK(AB173),IFERROR(VLOOKUP($F173,Sheet3!$H$2:$O$200,AI$1,FALSE),VLOOKUP($G173,Sheet3!$H$2:$O$200,AI$1,FALSE)),$I$1),$I$1)</f>
        <v>0</v>
      </c>
      <c r="AJ173" s="15">
        <f>IFERROR(IF(ISBLANK(AC173),IFERROR(VLOOKUP($F173,Sheet3!$H$2:$O$200,AJ$1,FALSE),VLOOKUP($G173,Sheet3!$H$2:$O$200,AJ$1,FALSE)),$I$1),$I$1)</f>
        <v>0</v>
      </c>
      <c r="AK173" s="15">
        <f>IFERROR(IF(ISBLANK(AD173),IFERROR(VLOOKUP($F173,Sheet3!$H$2:$O$200,AK$1,FALSE),VLOOKUP($G173,Sheet3!$H$2:$O$200,AK$1,FALSE)),$I$1),$I$1)</f>
        <v>0</v>
      </c>
      <c r="AL173" s="15">
        <f>IFERROR(IF(ISBLANK(AE173),VLOOKUP($G173,Sheet3!$H$2:$O$200,AL$1,FALSE),$I$1),$I$1)</f>
        <v>0</v>
      </c>
      <c r="AM173" s="15">
        <f>IFERROR(IF(ISBLANK(AF173),VLOOKUP($G173,Sheet3!$H$2:$O$200,AM$1,FALSE),$I$1),$I$1)</f>
        <v>0</v>
      </c>
      <c r="AN173" s="15">
        <f>IFERROR(IF(ISBLANK(AG173),VLOOKUP($G173,Sheet3!$H$2:$O$200,AN$1,FALSE),$I$1),$I$1)</f>
        <v>0</v>
      </c>
      <c r="AO173" s="15">
        <f>IFERROR(IF(ISBLANK(AH173),VLOOKUP($G173,Sheet3!$H$2:$O$200,AO$1,FALSE),$I$1),$I$1)</f>
        <v>0</v>
      </c>
      <c r="AP173" s="15">
        <f>IFERROR(IF(ISBLANK(AI173),VLOOKUP($G173,Sheet3!$H$2:$O$200,AP$1,FALSE),$I$1),$I$1)</f>
        <v>0</v>
      </c>
      <c r="AQ173" s="15">
        <f>IFERROR(IF(ISBLANK(AJ173),VLOOKUP($G173,Sheet3!$H$2:$O$200,AQ$1,FALSE),$I$1),$I$1)</f>
        <v>0</v>
      </c>
      <c r="AR173" s="15">
        <f>IFERROR(IF(ISBLANK(AK173),VLOOKUP($G173,Sheet3!$H$2:$O$200,AR$1,FALSE),$I$1),$I$1)</f>
        <v>0</v>
      </c>
      <c r="AS173" s="15">
        <f t="shared" si="1"/>
        <v>28</v>
      </c>
      <c r="AT173" s="15" t="b">
        <f t="shared" si="2"/>
        <v>0</v>
      </c>
    </row>
    <row r="174" spans="1:46" x14ac:dyDescent="0.2">
      <c r="A174" s="19" t="s">
        <v>346</v>
      </c>
      <c r="B174" s="19" t="s">
        <v>343</v>
      </c>
      <c r="C174" s="19" t="s">
        <v>55</v>
      </c>
      <c r="D174" s="19" t="s">
        <v>126</v>
      </c>
      <c r="E174" s="19"/>
      <c r="F174" s="19"/>
      <c r="G174" s="19"/>
      <c r="H174" s="19" t="s">
        <v>346</v>
      </c>
      <c r="I174" s="15">
        <f t="shared" si="0"/>
        <v>2</v>
      </c>
      <c r="J174" s="15">
        <f>IFERROR(VLOOKUP($C174,Sheet3!$H$2:$O$200,J$1,FALSE),IFERROR(VLOOKUP($D174,Sheet3!$H$2:$O$200,J$1,FALSE),VLOOKUP($E174,Sheet3!$H$2:$O$200,J$1,FALSE)))</f>
        <v>0</v>
      </c>
      <c r="K174" s="15" t="str">
        <f>IFERROR(VLOOKUP($C174,Sheet3!$H$2:$O$200,K$1,FALSE),IFERROR(VLOOKUP($D174,Sheet3!$H$2:$O$200,K$1,FALSE),VLOOKUP($E174,Sheet3!$H$2:$O$200,K$1,FALSE)))</f>
        <v>grenadine</v>
      </c>
      <c r="L174" s="15">
        <f>IFERROR(VLOOKUP($C174,Sheet3!$H$2:$O$200,L$1,FALSE),IFERROR(VLOOKUP($D174,Sheet3!$H$2:$O$200,L$1,FALSE),VLOOKUP($E174,Sheet3!$H$2:$O$200,L$1,FALSE)))</f>
        <v>0</v>
      </c>
      <c r="M174" s="15">
        <f>IFERROR(VLOOKUP($C174,Sheet3!$H$2:$O$200,M$1,FALSE),IFERROR(VLOOKUP($D174,Sheet3!$H$2:$O$200,M$1,FALSE),VLOOKUP($E174,Sheet3!$H$2:$O$200,M$1,FALSE)))</f>
        <v>0</v>
      </c>
      <c r="N174" s="15">
        <f>IFERROR(VLOOKUP($C174,Sheet3!$H$2:$O$200,N$1,FALSE),IFERROR(VLOOKUP($D174,Sheet3!$H$2:$O$200,N$1,FALSE),VLOOKUP($E174,Sheet3!$H$2:$O$200,N$1,FALSE)))</f>
        <v>0</v>
      </c>
      <c r="O174" s="15">
        <f>IFERROR(VLOOKUP($C174,Sheet3!$H$2:$O$200,O$1,FALSE),IFERROR(VLOOKUP($D174,Sheet3!$H$2:$O$200,O$1,FALSE),VLOOKUP($E174,Sheet3!$H$2:$O$200,O$1,FALSE)))</f>
        <v>0</v>
      </c>
      <c r="P174" s="15">
        <f>IFERROR(VLOOKUP($C174,Sheet3!$H$2:$O$200,P$1,FALSE),IFERROR(VLOOKUP($D174,Sheet3!$H$2:$O$200,P$1,FALSE),VLOOKUP($E174,Sheet3!$H$2:$O$200,P$1,FALSE)))</f>
        <v>0</v>
      </c>
      <c r="Q174" s="15">
        <f>IFERROR(IF(ISBLANK(J174),IFERROR(VLOOKUP($D174,Sheet3!$H$2:$O$200,Q$1,FALSE),IFERROR(VLOOKUP($E174,Sheet3!$H$2:$O$200,Q$1,FALSE),VLOOKUP($F174,Sheet3!$H$2:$O$200,Q$1,FALSE))),$I$1),$I$1)</f>
        <v>0</v>
      </c>
      <c r="R174" s="15">
        <f>IFERROR(IF(ISBLANK(K174),IFERROR(VLOOKUP($D174,Sheet3!$H$2:$O$200,R$1,FALSE),IFERROR(VLOOKUP($E174,Sheet3!$H$2:$O$200,R$1,FALSE),VLOOKUP($F174,Sheet3!$H$2:$O$200,R$1,FALSE))),$I$1),$I$1)</f>
        <v>0</v>
      </c>
      <c r="S174" s="15">
        <f>IFERROR(IF(ISBLANK(L174),IFERROR(VLOOKUP($D174,Sheet3!$H$2:$O$200,S$1,FALSE),IFERROR(VLOOKUP($E174,Sheet3!$H$2:$O$200,S$1,FALSE),VLOOKUP($F174,Sheet3!$H$2:$O$200,S$1,FALSE))),$I$1),$I$1)</f>
        <v>0</v>
      </c>
      <c r="T174" s="15">
        <f>IFERROR(IF(ISBLANK(M174),IFERROR(VLOOKUP($D174,Sheet3!$H$2:$O$200,T$1,FALSE),IFERROR(VLOOKUP($E174,Sheet3!$H$2:$O$200,T$1,FALSE),VLOOKUP($F174,Sheet3!$H$2:$O$200,T$1,FALSE))),$I$1),$I$1)</f>
        <v>0</v>
      </c>
      <c r="U174" s="15">
        <f>IFERROR(IF(ISBLANK(N174),IFERROR(VLOOKUP($D174,Sheet3!$H$2:$O$200,U$1,FALSE),IFERROR(VLOOKUP($E174,Sheet3!$H$2:$O$200,U$1,FALSE),VLOOKUP($F174,Sheet3!$H$2:$O$200,U$1,FALSE))),$I$1),$I$1)</f>
        <v>0</v>
      </c>
      <c r="V174" s="15">
        <f>IFERROR(IF(ISBLANK(O174),IFERROR(VLOOKUP($D174,Sheet3!$H$2:$O$200,V$1,FALSE),IFERROR(VLOOKUP($E174,Sheet3!$H$2:$O$200,V$1,FALSE),VLOOKUP($F174,Sheet3!$H$2:$O$200,V$1,FALSE))),$I$1),$I$1)</f>
        <v>0</v>
      </c>
      <c r="W174" s="15">
        <f>IFERROR(IF(ISBLANK(P174),IFERROR(VLOOKUP($D174,Sheet3!$H$2:$O$200,W$1,FALSE),IFERROR(VLOOKUP($E174,Sheet3!$H$2:$O$200,W$1,FALSE),VLOOKUP($F174,Sheet3!$H$2:$O$200,W$1,FALSE))),$I$1),$I$1)</f>
        <v>0</v>
      </c>
      <c r="X174" s="15">
        <f>IFERROR(IF(ISBLANK(Q174),IFERROR(VLOOKUP($E174,Sheet3!$H$2:$O$200,X$1,FALSE),IFERROR(VLOOKUP($F174,Sheet3!$H$2:$O$200,X$1,FALSE),VLOOKUP($G174,Sheet3!$H$2:$O$200,X$1,FALSE))),$I$1),$I$1)</f>
        <v>0</v>
      </c>
      <c r="Y174" s="15">
        <f>IFERROR(IF(ISBLANK(R174),IFERROR(VLOOKUP($E174,Sheet3!$H$2:$O$200,Y$1,FALSE),IFERROR(VLOOKUP($F174,Sheet3!$H$2:$O$200,Y$1,FALSE),VLOOKUP($G174,Sheet3!$H$2:$O$200,Y$1,FALSE))),$I$1),$I$1)</f>
        <v>0</v>
      </c>
      <c r="Z174" s="15">
        <f>IFERROR(IF(ISBLANK(S174),IFERROR(VLOOKUP($E174,Sheet3!$H$2:$O$200,Z$1,FALSE),IFERROR(VLOOKUP($F174,Sheet3!$H$2:$O$200,Z$1,FALSE),VLOOKUP($G174,Sheet3!$H$2:$O$200,Z$1,FALSE))),$I$1),$I$1)</f>
        <v>0</v>
      </c>
      <c r="AA174" s="15">
        <f>IFERROR(IF(ISBLANK(T174),IFERROR(VLOOKUP($E174,Sheet3!$H$2:$O$200,AA$1,FALSE),IFERROR(VLOOKUP($F174,Sheet3!$H$2:$O$200,AA$1,FALSE),VLOOKUP($G174,Sheet3!$H$2:$O$200,AA$1,FALSE))),$I$1),$I$1)</f>
        <v>0</v>
      </c>
      <c r="AB174" s="15">
        <f>IFERROR(IF(ISBLANK(U174),IFERROR(VLOOKUP($E174,Sheet3!$H$2:$O$200,AB$1,FALSE),IFERROR(VLOOKUP($F174,Sheet3!$H$2:$O$200,AB$1,FALSE),VLOOKUP($G174,Sheet3!$H$2:$O$200,AB$1,FALSE))),$I$1),$I$1)</f>
        <v>0</v>
      </c>
      <c r="AC174" s="15">
        <f>IFERROR(IF(ISBLANK(V174),IFERROR(VLOOKUP($E174,Sheet3!$H$2:$O$200,AC$1,FALSE),IFERROR(VLOOKUP($F174,Sheet3!$H$2:$O$200,AC$1,FALSE),VLOOKUP($G174,Sheet3!$H$2:$O$200,AC$1,FALSE))),$I$1),$I$1)</f>
        <v>0</v>
      </c>
      <c r="AD174" s="15">
        <f>IFERROR(IF(ISBLANK(W174),IFERROR(VLOOKUP($E174,Sheet3!$H$2:$O$200,AD$1,FALSE),IFERROR(VLOOKUP($F174,Sheet3!$H$2:$O$200,AD$1,FALSE),VLOOKUP($G174,Sheet3!$H$2:$O$200,AD$1,FALSE))),$I$1),$I$1)</f>
        <v>0</v>
      </c>
      <c r="AE174" s="15">
        <f>IFERROR(IF(ISBLANK(X174),IFERROR(VLOOKUP($F174,Sheet3!$H$2:$O$200,AE$1,FALSE),VLOOKUP($G174,Sheet3!$H$2:$O$200,AE$1,FALSE)),$I$1),$I$1)</f>
        <v>0</v>
      </c>
      <c r="AF174" s="15">
        <f>IFERROR(IF(ISBLANK(Y174),IFERROR(VLOOKUP($F174,Sheet3!$H$2:$O$200,AF$1,FALSE),VLOOKUP($G174,Sheet3!$H$2:$O$200,AF$1,FALSE)),$I$1),$I$1)</f>
        <v>0</v>
      </c>
      <c r="AG174" s="15">
        <f>IFERROR(IF(ISBLANK(Z174),IFERROR(VLOOKUP($F174,Sheet3!$H$2:$O$200,AG$1,FALSE),VLOOKUP($G174,Sheet3!$H$2:$O$200,AG$1,FALSE)),$I$1),$I$1)</f>
        <v>0</v>
      </c>
      <c r="AH174" s="15">
        <f>IFERROR(IF(ISBLANK(AA174),IFERROR(VLOOKUP($F174,Sheet3!$H$2:$O$200,AH$1,FALSE),VLOOKUP($G174,Sheet3!$H$2:$O$200,AH$1,FALSE)),$I$1),$I$1)</f>
        <v>0</v>
      </c>
      <c r="AI174" s="15">
        <f>IFERROR(IF(ISBLANK(AB174),IFERROR(VLOOKUP($F174,Sheet3!$H$2:$O$200,AI$1,FALSE),VLOOKUP($G174,Sheet3!$H$2:$O$200,AI$1,FALSE)),$I$1),$I$1)</f>
        <v>0</v>
      </c>
      <c r="AJ174" s="15">
        <f>IFERROR(IF(ISBLANK(AC174),IFERROR(VLOOKUP($F174,Sheet3!$H$2:$O$200,AJ$1,FALSE),VLOOKUP($G174,Sheet3!$H$2:$O$200,AJ$1,FALSE)),$I$1),$I$1)</f>
        <v>0</v>
      </c>
      <c r="AK174" s="15">
        <f>IFERROR(IF(ISBLANK(AD174),IFERROR(VLOOKUP($F174,Sheet3!$H$2:$O$200,AK$1,FALSE),VLOOKUP($G174,Sheet3!$H$2:$O$200,AK$1,FALSE)),$I$1),$I$1)</f>
        <v>0</v>
      </c>
      <c r="AL174" s="15">
        <f>IFERROR(IF(ISBLANK(AE174),VLOOKUP($G174,Sheet3!$H$2:$O$200,AL$1,FALSE),$I$1),$I$1)</f>
        <v>0</v>
      </c>
      <c r="AM174" s="15">
        <f>IFERROR(IF(ISBLANK(AF174),VLOOKUP($G174,Sheet3!$H$2:$O$200,AM$1,FALSE),$I$1),$I$1)</f>
        <v>0</v>
      </c>
      <c r="AN174" s="15">
        <f>IFERROR(IF(ISBLANK(AG174),VLOOKUP($G174,Sheet3!$H$2:$O$200,AN$1,FALSE),$I$1),$I$1)</f>
        <v>0</v>
      </c>
      <c r="AO174" s="15">
        <f>IFERROR(IF(ISBLANK(AH174),VLOOKUP($G174,Sheet3!$H$2:$O$200,AO$1,FALSE),$I$1),$I$1)</f>
        <v>0</v>
      </c>
      <c r="AP174" s="15">
        <f>IFERROR(IF(ISBLANK(AI174),VLOOKUP($G174,Sheet3!$H$2:$O$200,AP$1,FALSE),$I$1),$I$1)</f>
        <v>0</v>
      </c>
      <c r="AQ174" s="15">
        <f>IFERROR(IF(ISBLANK(AJ174),VLOOKUP($G174,Sheet3!$H$2:$O$200,AQ$1,FALSE),$I$1),$I$1)</f>
        <v>0</v>
      </c>
      <c r="AR174" s="15">
        <f>IFERROR(IF(ISBLANK(AK174),VLOOKUP($G174,Sheet3!$H$2:$O$200,AR$1,FALSE),$I$1),$I$1)</f>
        <v>0</v>
      </c>
      <c r="AS174" s="15">
        <f t="shared" si="1"/>
        <v>28</v>
      </c>
      <c r="AT174" s="15" t="b">
        <f t="shared" si="2"/>
        <v>0</v>
      </c>
    </row>
    <row r="175" spans="1:46" x14ac:dyDescent="0.2">
      <c r="A175" s="19" t="s">
        <v>347</v>
      </c>
      <c r="B175" s="19" t="s">
        <v>343</v>
      </c>
      <c r="C175" s="19"/>
      <c r="D175" s="19" t="s">
        <v>134</v>
      </c>
      <c r="E175" s="19" t="s">
        <v>348</v>
      </c>
      <c r="F175" s="19"/>
      <c r="G175" s="19"/>
      <c r="H175" s="19" t="s">
        <v>347</v>
      </c>
      <c r="I175" s="15">
        <f t="shared" si="0"/>
        <v>2</v>
      </c>
      <c r="J175" s="15">
        <f>IFERROR(VLOOKUP($C175,Sheet3!$H$2:$O$200,J$1,FALSE),IFERROR(VLOOKUP($D175,Sheet3!$H$2:$O$200,J$1,FALSE),VLOOKUP($E175,Sheet3!$H$2:$O$200,J$1,FALSE)))</f>
        <v>0</v>
      </c>
      <c r="K175" s="15">
        <f>IFERROR(VLOOKUP($C175,Sheet3!$H$2:$O$200,K$1,FALSE),IFERROR(VLOOKUP($D175,Sheet3!$H$2:$O$200,K$1,FALSE),VLOOKUP($E175,Sheet3!$H$2:$O$200,K$1,FALSE)))</f>
        <v>0</v>
      </c>
      <c r="L175" s="15" t="str">
        <f>IFERROR(VLOOKUP($C175,Sheet3!$H$2:$O$200,L$1,FALSE),IFERROR(VLOOKUP($D175,Sheet3!$H$2:$O$200,L$1,FALSE),VLOOKUP($E175,Sheet3!$H$2:$O$200,L$1,FALSE)))</f>
        <v>grapefruit juice</v>
      </c>
      <c r="M175" s="15">
        <f>IFERROR(VLOOKUP($C175,Sheet3!$H$2:$O$200,M$1,FALSE),IFERROR(VLOOKUP($D175,Sheet3!$H$2:$O$200,M$1,FALSE),VLOOKUP($E175,Sheet3!$H$2:$O$200,M$1,FALSE)))</f>
        <v>0</v>
      </c>
      <c r="N175" s="15">
        <f>IFERROR(VLOOKUP($C175,Sheet3!$H$2:$O$200,N$1,FALSE),IFERROR(VLOOKUP($D175,Sheet3!$H$2:$O$200,N$1,FALSE),VLOOKUP($E175,Sheet3!$H$2:$O$200,N$1,FALSE)))</f>
        <v>0</v>
      </c>
      <c r="O175" s="15">
        <f>IFERROR(VLOOKUP($C175,Sheet3!$H$2:$O$200,O$1,FALSE),IFERROR(VLOOKUP($D175,Sheet3!$H$2:$O$200,O$1,FALSE),VLOOKUP($E175,Sheet3!$H$2:$O$200,O$1,FALSE)))</f>
        <v>0</v>
      </c>
      <c r="P175" s="15">
        <f>IFERROR(VLOOKUP($C175,Sheet3!$H$2:$O$200,P$1,FALSE),IFERROR(VLOOKUP($D175,Sheet3!$H$2:$O$200,P$1,FALSE),VLOOKUP($E175,Sheet3!$H$2:$O$200,P$1,FALSE)))</f>
        <v>0</v>
      </c>
      <c r="Q175" s="15">
        <f>IFERROR(IF(ISBLANK(J175),IFERROR(VLOOKUP($D175,Sheet3!$H$2:$O$200,Q$1,FALSE),IFERROR(VLOOKUP($E175,Sheet3!$H$2:$O$200,Q$1,FALSE),VLOOKUP($F175,Sheet3!$H$2:$O$200,Q$1,FALSE))),$I$1),$I$1)</f>
        <v>0</v>
      </c>
      <c r="R175" s="15">
        <f>IFERROR(IF(ISBLANK(K175),IFERROR(VLOOKUP($D175,Sheet3!$H$2:$O$200,R$1,FALSE),IFERROR(VLOOKUP($E175,Sheet3!$H$2:$O$200,R$1,FALSE),VLOOKUP($F175,Sheet3!$H$2:$O$200,R$1,FALSE))),$I$1),$I$1)</f>
        <v>0</v>
      </c>
      <c r="S175" s="15">
        <f>IFERROR(IF(ISBLANK(L175),IFERROR(VLOOKUP($D175,Sheet3!$H$2:$O$200,S$1,FALSE),IFERROR(VLOOKUP($E175,Sheet3!$H$2:$O$200,S$1,FALSE),VLOOKUP($F175,Sheet3!$H$2:$O$200,S$1,FALSE))),$I$1),$I$1)</f>
        <v>0</v>
      </c>
      <c r="T175" s="15">
        <f>IFERROR(IF(ISBLANK(M175),IFERROR(VLOOKUP($D175,Sheet3!$H$2:$O$200,T$1,FALSE),IFERROR(VLOOKUP($E175,Sheet3!$H$2:$O$200,T$1,FALSE),VLOOKUP($F175,Sheet3!$H$2:$O$200,T$1,FALSE))),$I$1),$I$1)</f>
        <v>0</v>
      </c>
      <c r="U175" s="15">
        <f>IFERROR(IF(ISBLANK(N175),IFERROR(VLOOKUP($D175,Sheet3!$H$2:$O$200,U$1,FALSE),IFERROR(VLOOKUP($E175,Sheet3!$H$2:$O$200,U$1,FALSE),VLOOKUP($F175,Sheet3!$H$2:$O$200,U$1,FALSE))),$I$1),$I$1)</f>
        <v>0</v>
      </c>
      <c r="V175" s="15">
        <f>IFERROR(IF(ISBLANK(O175),IFERROR(VLOOKUP($D175,Sheet3!$H$2:$O$200,V$1,FALSE),IFERROR(VLOOKUP($E175,Sheet3!$H$2:$O$200,V$1,FALSE),VLOOKUP($F175,Sheet3!$H$2:$O$200,V$1,FALSE))),$I$1),$I$1)</f>
        <v>0</v>
      </c>
      <c r="W175" s="15">
        <f>IFERROR(IF(ISBLANK(P175),IFERROR(VLOOKUP($D175,Sheet3!$H$2:$O$200,W$1,FALSE),IFERROR(VLOOKUP($E175,Sheet3!$H$2:$O$200,W$1,FALSE),VLOOKUP($F175,Sheet3!$H$2:$O$200,W$1,FALSE))),$I$1),$I$1)</f>
        <v>0</v>
      </c>
      <c r="X175" s="15">
        <f>IFERROR(IF(ISBLANK(Q175),IFERROR(VLOOKUP($E175,Sheet3!$H$2:$O$200,X$1,FALSE),IFERROR(VLOOKUP($F175,Sheet3!$H$2:$O$200,X$1,FALSE),VLOOKUP($G175,Sheet3!$H$2:$O$200,X$1,FALSE))),$I$1),$I$1)</f>
        <v>0</v>
      </c>
      <c r="Y175" s="15">
        <f>IFERROR(IF(ISBLANK(R175),IFERROR(VLOOKUP($E175,Sheet3!$H$2:$O$200,Y$1,FALSE),IFERROR(VLOOKUP($F175,Sheet3!$H$2:$O$200,Y$1,FALSE),VLOOKUP($G175,Sheet3!$H$2:$O$200,Y$1,FALSE))),$I$1),$I$1)</f>
        <v>0</v>
      </c>
      <c r="Z175" s="15">
        <f>IFERROR(IF(ISBLANK(S175),IFERROR(VLOOKUP($E175,Sheet3!$H$2:$O$200,Z$1,FALSE),IFERROR(VLOOKUP($F175,Sheet3!$H$2:$O$200,Z$1,FALSE),VLOOKUP($G175,Sheet3!$H$2:$O$200,Z$1,FALSE))),$I$1),$I$1)</f>
        <v>0</v>
      </c>
      <c r="AA175" s="15">
        <f>IFERROR(IF(ISBLANK(T175),IFERROR(VLOOKUP($E175,Sheet3!$H$2:$O$200,AA$1,FALSE),IFERROR(VLOOKUP($F175,Sheet3!$H$2:$O$200,AA$1,FALSE),VLOOKUP($G175,Sheet3!$H$2:$O$200,AA$1,FALSE))),$I$1),$I$1)</f>
        <v>0</v>
      </c>
      <c r="AB175" s="15">
        <f>IFERROR(IF(ISBLANK(U175),IFERROR(VLOOKUP($E175,Sheet3!$H$2:$O$200,AB$1,FALSE),IFERROR(VLOOKUP($F175,Sheet3!$H$2:$O$200,AB$1,FALSE),VLOOKUP($G175,Sheet3!$H$2:$O$200,AB$1,FALSE))),$I$1),$I$1)</f>
        <v>0</v>
      </c>
      <c r="AC175" s="15">
        <f>IFERROR(IF(ISBLANK(V175),IFERROR(VLOOKUP($E175,Sheet3!$H$2:$O$200,AC$1,FALSE),IFERROR(VLOOKUP($F175,Sheet3!$H$2:$O$200,AC$1,FALSE),VLOOKUP($G175,Sheet3!$H$2:$O$200,AC$1,FALSE))),$I$1),$I$1)</f>
        <v>0</v>
      </c>
      <c r="AD175" s="15">
        <f>IFERROR(IF(ISBLANK(W175),IFERROR(VLOOKUP($E175,Sheet3!$H$2:$O$200,AD$1,FALSE),IFERROR(VLOOKUP($F175,Sheet3!$H$2:$O$200,AD$1,FALSE),VLOOKUP($G175,Sheet3!$H$2:$O$200,AD$1,FALSE))),$I$1),$I$1)</f>
        <v>0</v>
      </c>
      <c r="AE175" s="15">
        <f>IFERROR(IF(ISBLANK(X175),IFERROR(VLOOKUP($F175,Sheet3!$H$2:$O$200,AE$1,FALSE),VLOOKUP($G175,Sheet3!$H$2:$O$200,AE$1,FALSE)),$I$1),$I$1)</f>
        <v>0</v>
      </c>
      <c r="AF175" s="15">
        <f>IFERROR(IF(ISBLANK(Y175),IFERROR(VLOOKUP($F175,Sheet3!$H$2:$O$200,AF$1,FALSE),VLOOKUP($G175,Sheet3!$H$2:$O$200,AF$1,FALSE)),$I$1),$I$1)</f>
        <v>0</v>
      </c>
      <c r="AG175" s="15">
        <f>IFERROR(IF(ISBLANK(Z175),IFERROR(VLOOKUP($F175,Sheet3!$H$2:$O$200,AG$1,FALSE),VLOOKUP($G175,Sheet3!$H$2:$O$200,AG$1,FALSE)),$I$1),$I$1)</f>
        <v>0</v>
      </c>
      <c r="AH175" s="15">
        <f>IFERROR(IF(ISBLANK(AA175),IFERROR(VLOOKUP($F175,Sheet3!$H$2:$O$200,AH$1,FALSE),VLOOKUP($G175,Sheet3!$H$2:$O$200,AH$1,FALSE)),$I$1),$I$1)</f>
        <v>0</v>
      </c>
      <c r="AI175" s="15">
        <f>IFERROR(IF(ISBLANK(AB175),IFERROR(VLOOKUP($F175,Sheet3!$H$2:$O$200,AI$1,FALSE),VLOOKUP($G175,Sheet3!$H$2:$O$200,AI$1,FALSE)),$I$1),$I$1)</f>
        <v>0</v>
      </c>
      <c r="AJ175" s="15">
        <f>IFERROR(IF(ISBLANK(AC175),IFERROR(VLOOKUP($F175,Sheet3!$H$2:$O$200,AJ$1,FALSE),VLOOKUP($G175,Sheet3!$H$2:$O$200,AJ$1,FALSE)),$I$1),$I$1)</f>
        <v>0</v>
      </c>
      <c r="AK175" s="15">
        <f>IFERROR(IF(ISBLANK(AD175),IFERROR(VLOOKUP($F175,Sheet3!$H$2:$O$200,AK$1,FALSE),VLOOKUP($G175,Sheet3!$H$2:$O$200,AK$1,FALSE)),$I$1),$I$1)</f>
        <v>0</v>
      </c>
      <c r="AL175" s="15">
        <f>IFERROR(IF(ISBLANK(AE175),VLOOKUP($G175,Sheet3!$H$2:$O$200,AL$1,FALSE),$I$1),$I$1)</f>
        <v>0</v>
      </c>
      <c r="AM175" s="15">
        <f>IFERROR(IF(ISBLANK(AF175),VLOOKUP($G175,Sheet3!$H$2:$O$200,AM$1,FALSE),$I$1),$I$1)</f>
        <v>0</v>
      </c>
      <c r="AN175" s="15">
        <f>IFERROR(IF(ISBLANK(AG175),VLOOKUP($G175,Sheet3!$H$2:$O$200,AN$1,FALSE),$I$1),$I$1)</f>
        <v>0</v>
      </c>
      <c r="AO175" s="15">
        <f>IFERROR(IF(ISBLANK(AH175),VLOOKUP($G175,Sheet3!$H$2:$O$200,AO$1,FALSE),$I$1),$I$1)</f>
        <v>0</v>
      </c>
      <c r="AP175" s="15">
        <f>IFERROR(IF(ISBLANK(AI175),VLOOKUP($G175,Sheet3!$H$2:$O$200,AP$1,FALSE),$I$1),$I$1)</f>
        <v>0</v>
      </c>
      <c r="AQ175" s="15">
        <f>IFERROR(IF(ISBLANK(AJ175),VLOOKUP($G175,Sheet3!$H$2:$O$200,AQ$1,FALSE),$I$1),$I$1)</f>
        <v>0</v>
      </c>
      <c r="AR175" s="15">
        <f>IFERROR(IF(ISBLANK(AK175),VLOOKUP($G175,Sheet3!$H$2:$O$200,AR$1,FALSE),$I$1),$I$1)</f>
        <v>0</v>
      </c>
      <c r="AS175" s="15">
        <f t="shared" si="1"/>
        <v>28</v>
      </c>
      <c r="AT175" s="15" t="b">
        <f t="shared" si="2"/>
        <v>0</v>
      </c>
    </row>
    <row r="176" spans="1:46" x14ac:dyDescent="0.2">
      <c r="A176" s="19" t="s">
        <v>349</v>
      </c>
      <c r="B176" s="19" t="s">
        <v>343</v>
      </c>
      <c r="C176" s="19" t="s">
        <v>30</v>
      </c>
      <c r="D176" s="19" t="s">
        <v>90</v>
      </c>
      <c r="E176" s="19"/>
      <c r="F176" s="19"/>
      <c r="G176" s="19"/>
      <c r="H176" s="19" t="s">
        <v>349</v>
      </c>
      <c r="I176" s="15">
        <f t="shared" si="0"/>
        <v>2</v>
      </c>
      <c r="J176" s="15">
        <f>IFERROR(VLOOKUP($C176,Sheet3!$H$2:$O$200,J$1,FALSE),IFERROR(VLOOKUP($D176,Sheet3!$H$2:$O$200,J$1,FALSE),VLOOKUP($E176,Sheet3!$H$2:$O$200,J$1,FALSE)))</f>
        <v>0</v>
      </c>
      <c r="K176" s="15">
        <f>IFERROR(VLOOKUP($C176,Sheet3!$H$2:$O$200,K$1,FALSE),IFERROR(VLOOKUP($D176,Sheet3!$H$2:$O$200,K$1,FALSE),VLOOKUP($E176,Sheet3!$H$2:$O$200,K$1,FALSE)))</f>
        <v>0</v>
      </c>
      <c r="L176" s="15">
        <f>IFERROR(VLOOKUP($C176,Sheet3!$H$2:$O$200,L$1,FALSE),IFERROR(VLOOKUP($D176,Sheet3!$H$2:$O$200,L$1,FALSE),VLOOKUP($E176,Sheet3!$H$2:$O$200,L$1,FALSE)))</f>
        <v>0</v>
      </c>
      <c r="M176" s="15" t="str">
        <f>IFERROR(VLOOKUP($C176,Sheet3!$H$2:$O$200,M$1,FALSE),IFERROR(VLOOKUP($D176,Sheet3!$H$2:$O$200,M$1,FALSE),VLOOKUP($E176,Sheet3!$H$2:$O$200,M$1,FALSE)))</f>
        <v>amaretto</v>
      </c>
      <c r="N176" s="15">
        <f>IFERROR(VLOOKUP($C176,Sheet3!$H$2:$O$200,N$1,FALSE),IFERROR(VLOOKUP($D176,Sheet3!$H$2:$O$200,N$1,FALSE),VLOOKUP($E176,Sheet3!$H$2:$O$200,N$1,FALSE)))</f>
        <v>0</v>
      </c>
      <c r="O176" s="15">
        <f>IFERROR(VLOOKUP($C176,Sheet3!$H$2:$O$200,O$1,FALSE),IFERROR(VLOOKUP($D176,Sheet3!$H$2:$O$200,O$1,FALSE),VLOOKUP($E176,Sheet3!$H$2:$O$200,O$1,FALSE)))</f>
        <v>0</v>
      </c>
      <c r="P176" s="15">
        <f>IFERROR(VLOOKUP($C176,Sheet3!$H$2:$O$200,P$1,FALSE),IFERROR(VLOOKUP($D176,Sheet3!$H$2:$O$200,P$1,FALSE),VLOOKUP($E176,Sheet3!$H$2:$O$200,P$1,FALSE)))</f>
        <v>0</v>
      </c>
      <c r="Q176" s="15">
        <f>IFERROR(IF(ISBLANK(J176),IFERROR(VLOOKUP($D176,Sheet3!$H$2:$O$200,Q$1,FALSE),IFERROR(VLOOKUP($E176,Sheet3!$H$2:$O$200,Q$1,FALSE),VLOOKUP($F176,Sheet3!$H$2:$O$200,Q$1,FALSE))),$I$1),$I$1)</f>
        <v>0</v>
      </c>
      <c r="R176" s="15">
        <f>IFERROR(IF(ISBLANK(K176),IFERROR(VLOOKUP($D176,Sheet3!$H$2:$O$200,R$1,FALSE),IFERROR(VLOOKUP($E176,Sheet3!$H$2:$O$200,R$1,FALSE),VLOOKUP($F176,Sheet3!$H$2:$O$200,R$1,FALSE))),$I$1),$I$1)</f>
        <v>0</v>
      </c>
      <c r="S176" s="15">
        <f>IFERROR(IF(ISBLANK(L176),IFERROR(VLOOKUP($D176,Sheet3!$H$2:$O$200,S$1,FALSE),IFERROR(VLOOKUP($E176,Sheet3!$H$2:$O$200,S$1,FALSE),VLOOKUP($F176,Sheet3!$H$2:$O$200,S$1,FALSE))),$I$1),$I$1)</f>
        <v>0</v>
      </c>
      <c r="T176" s="15">
        <f>IFERROR(IF(ISBLANK(M176),IFERROR(VLOOKUP($D176,Sheet3!$H$2:$O$200,T$1,FALSE),IFERROR(VLOOKUP($E176,Sheet3!$H$2:$O$200,T$1,FALSE),VLOOKUP($F176,Sheet3!$H$2:$O$200,T$1,FALSE))),$I$1),$I$1)</f>
        <v>0</v>
      </c>
      <c r="U176" s="15">
        <f>IFERROR(IF(ISBLANK(N176),IFERROR(VLOOKUP($D176,Sheet3!$H$2:$O$200,U$1,FALSE),IFERROR(VLOOKUP($E176,Sheet3!$H$2:$O$200,U$1,FALSE),VLOOKUP($F176,Sheet3!$H$2:$O$200,U$1,FALSE))),$I$1),$I$1)</f>
        <v>0</v>
      </c>
      <c r="V176" s="15">
        <f>IFERROR(IF(ISBLANK(O176),IFERROR(VLOOKUP($D176,Sheet3!$H$2:$O$200,V$1,FALSE),IFERROR(VLOOKUP($E176,Sheet3!$H$2:$O$200,V$1,FALSE),VLOOKUP($F176,Sheet3!$H$2:$O$200,V$1,FALSE))),$I$1),$I$1)</f>
        <v>0</v>
      </c>
      <c r="W176" s="15">
        <f>IFERROR(IF(ISBLANK(P176),IFERROR(VLOOKUP($D176,Sheet3!$H$2:$O$200,W$1,FALSE),IFERROR(VLOOKUP($E176,Sheet3!$H$2:$O$200,W$1,FALSE),VLOOKUP($F176,Sheet3!$H$2:$O$200,W$1,FALSE))),$I$1),$I$1)</f>
        <v>0</v>
      </c>
      <c r="X176" s="15">
        <f>IFERROR(IF(ISBLANK(Q176),IFERROR(VLOOKUP($E176,Sheet3!$H$2:$O$200,X$1,FALSE),IFERROR(VLOOKUP($F176,Sheet3!$H$2:$O$200,X$1,FALSE),VLOOKUP($G176,Sheet3!$H$2:$O$200,X$1,FALSE))),$I$1),$I$1)</f>
        <v>0</v>
      </c>
      <c r="Y176" s="15">
        <f>IFERROR(IF(ISBLANK(R176),IFERROR(VLOOKUP($E176,Sheet3!$H$2:$O$200,Y$1,FALSE),IFERROR(VLOOKUP($F176,Sheet3!$H$2:$O$200,Y$1,FALSE),VLOOKUP($G176,Sheet3!$H$2:$O$200,Y$1,FALSE))),$I$1),$I$1)</f>
        <v>0</v>
      </c>
      <c r="Z176" s="15">
        <f>IFERROR(IF(ISBLANK(S176),IFERROR(VLOOKUP($E176,Sheet3!$H$2:$O$200,Z$1,FALSE),IFERROR(VLOOKUP($F176,Sheet3!$H$2:$O$200,Z$1,FALSE),VLOOKUP($G176,Sheet3!$H$2:$O$200,Z$1,FALSE))),$I$1),$I$1)</f>
        <v>0</v>
      </c>
      <c r="AA176" s="15">
        <f>IFERROR(IF(ISBLANK(T176),IFERROR(VLOOKUP($E176,Sheet3!$H$2:$O$200,AA$1,FALSE),IFERROR(VLOOKUP($F176,Sheet3!$H$2:$O$200,AA$1,FALSE),VLOOKUP($G176,Sheet3!$H$2:$O$200,AA$1,FALSE))),$I$1),$I$1)</f>
        <v>0</v>
      </c>
      <c r="AB176" s="15">
        <f>IFERROR(IF(ISBLANK(U176),IFERROR(VLOOKUP($E176,Sheet3!$H$2:$O$200,AB$1,FALSE),IFERROR(VLOOKUP($F176,Sheet3!$H$2:$O$200,AB$1,FALSE),VLOOKUP($G176,Sheet3!$H$2:$O$200,AB$1,FALSE))),$I$1),$I$1)</f>
        <v>0</v>
      </c>
      <c r="AC176" s="15">
        <f>IFERROR(IF(ISBLANK(V176),IFERROR(VLOOKUP($E176,Sheet3!$H$2:$O$200,AC$1,FALSE),IFERROR(VLOOKUP($F176,Sheet3!$H$2:$O$200,AC$1,FALSE),VLOOKUP($G176,Sheet3!$H$2:$O$200,AC$1,FALSE))),$I$1),$I$1)</f>
        <v>0</v>
      </c>
      <c r="AD176" s="15">
        <f>IFERROR(IF(ISBLANK(W176),IFERROR(VLOOKUP($E176,Sheet3!$H$2:$O$200,AD$1,FALSE),IFERROR(VLOOKUP($F176,Sheet3!$H$2:$O$200,AD$1,FALSE),VLOOKUP($G176,Sheet3!$H$2:$O$200,AD$1,FALSE))),$I$1),$I$1)</f>
        <v>0</v>
      </c>
      <c r="AE176" s="15">
        <f>IFERROR(IF(ISBLANK(X176),IFERROR(VLOOKUP($F176,Sheet3!$H$2:$O$200,AE$1,FALSE),VLOOKUP($G176,Sheet3!$H$2:$O$200,AE$1,FALSE)),$I$1),$I$1)</f>
        <v>0</v>
      </c>
      <c r="AF176" s="15">
        <f>IFERROR(IF(ISBLANK(Y176),IFERROR(VLOOKUP($F176,Sheet3!$H$2:$O$200,AF$1,FALSE),VLOOKUP($G176,Sheet3!$H$2:$O$200,AF$1,FALSE)),$I$1),$I$1)</f>
        <v>0</v>
      </c>
      <c r="AG176" s="15">
        <f>IFERROR(IF(ISBLANK(Z176),IFERROR(VLOOKUP($F176,Sheet3!$H$2:$O$200,AG$1,FALSE),VLOOKUP($G176,Sheet3!$H$2:$O$200,AG$1,FALSE)),$I$1),$I$1)</f>
        <v>0</v>
      </c>
      <c r="AH176" s="15">
        <f>IFERROR(IF(ISBLANK(AA176),IFERROR(VLOOKUP($F176,Sheet3!$H$2:$O$200,AH$1,FALSE),VLOOKUP($G176,Sheet3!$H$2:$O$200,AH$1,FALSE)),$I$1),$I$1)</f>
        <v>0</v>
      </c>
      <c r="AI176" s="15">
        <f>IFERROR(IF(ISBLANK(AB176),IFERROR(VLOOKUP($F176,Sheet3!$H$2:$O$200,AI$1,FALSE),VLOOKUP($G176,Sheet3!$H$2:$O$200,AI$1,FALSE)),$I$1),$I$1)</f>
        <v>0</v>
      </c>
      <c r="AJ176" s="15">
        <f>IFERROR(IF(ISBLANK(AC176),IFERROR(VLOOKUP($F176,Sheet3!$H$2:$O$200,AJ$1,FALSE),VLOOKUP($G176,Sheet3!$H$2:$O$200,AJ$1,FALSE)),$I$1),$I$1)</f>
        <v>0</v>
      </c>
      <c r="AK176" s="15">
        <f>IFERROR(IF(ISBLANK(AD176),IFERROR(VLOOKUP($F176,Sheet3!$H$2:$O$200,AK$1,FALSE),VLOOKUP($G176,Sheet3!$H$2:$O$200,AK$1,FALSE)),$I$1),$I$1)</f>
        <v>0</v>
      </c>
      <c r="AL176" s="15">
        <f>IFERROR(IF(ISBLANK(AE176),VLOOKUP($G176,Sheet3!$H$2:$O$200,AL$1,FALSE),$I$1),$I$1)</f>
        <v>0</v>
      </c>
      <c r="AM176" s="15">
        <f>IFERROR(IF(ISBLANK(AF176),VLOOKUP($G176,Sheet3!$H$2:$O$200,AM$1,FALSE),$I$1),$I$1)</f>
        <v>0</v>
      </c>
      <c r="AN176" s="15">
        <f>IFERROR(IF(ISBLANK(AG176),VLOOKUP($G176,Sheet3!$H$2:$O$200,AN$1,FALSE),$I$1),$I$1)</f>
        <v>0</v>
      </c>
      <c r="AO176" s="15">
        <f>IFERROR(IF(ISBLANK(AH176),VLOOKUP($G176,Sheet3!$H$2:$O$200,AO$1,FALSE),$I$1),$I$1)</f>
        <v>0</v>
      </c>
      <c r="AP176" s="15">
        <f>IFERROR(IF(ISBLANK(AI176),VLOOKUP($G176,Sheet3!$H$2:$O$200,AP$1,FALSE),$I$1),$I$1)</f>
        <v>0</v>
      </c>
      <c r="AQ176" s="15">
        <f>IFERROR(IF(ISBLANK(AJ176),VLOOKUP($G176,Sheet3!$H$2:$O$200,AQ$1,FALSE),$I$1),$I$1)</f>
        <v>0</v>
      </c>
      <c r="AR176" s="15">
        <f>IFERROR(IF(ISBLANK(AK176),VLOOKUP($G176,Sheet3!$H$2:$O$200,AR$1,FALSE),$I$1),$I$1)</f>
        <v>0</v>
      </c>
      <c r="AS176" s="15">
        <f t="shared" si="1"/>
        <v>28</v>
      </c>
      <c r="AT176" s="15" t="b">
        <f t="shared" si="2"/>
        <v>0</v>
      </c>
    </row>
    <row r="177" spans="1:46" x14ac:dyDescent="0.2">
      <c r="A177" s="19" t="s">
        <v>350</v>
      </c>
      <c r="B177" s="19" t="s">
        <v>343</v>
      </c>
      <c r="C177" s="19" t="s">
        <v>139</v>
      </c>
      <c r="D177" s="19" t="s">
        <v>90</v>
      </c>
      <c r="E177" s="19"/>
      <c r="F177" s="19"/>
      <c r="G177" s="19"/>
      <c r="H177" s="19" t="s">
        <v>350</v>
      </c>
      <c r="I177" s="15">
        <f t="shared" si="0"/>
        <v>2</v>
      </c>
      <c r="J177" s="15">
        <f>IFERROR(VLOOKUP($C177,Sheet3!$H$2:$O$200,J$1,FALSE),IFERROR(VLOOKUP($D177,Sheet3!$H$2:$O$200,J$1,FALSE),VLOOKUP($E177,Sheet3!$H$2:$O$200,J$1,FALSE)))</f>
        <v>0</v>
      </c>
      <c r="K177" s="15">
        <f>IFERROR(VLOOKUP($C177,Sheet3!$H$2:$O$200,K$1,FALSE),IFERROR(VLOOKUP($D177,Sheet3!$H$2:$O$200,K$1,FALSE),VLOOKUP($E177,Sheet3!$H$2:$O$200,K$1,FALSE)))</f>
        <v>0</v>
      </c>
      <c r="L177" s="15">
        <f>IFERROR(VLOOKUP($C177,Sheet3!$H$2:$O$200,L$1,FALSE),IFERROR(VLOOKUP($D177,Sheet3!$H$2:$O$200,L$1,FALSE),VLOOKUP($E177,Sheet3!$H$2:$O$200,L$1,FALSE)))</f>
        <v>0</v>
      </c>
      <c r="M177" s="15" t="str">
        <f>IFERROR(VLOOKUP($C177,Sheet3!$H$2:$O$200,M$1,FALSE),IFERROR(VLOOKUP($D177,Sheet3!$H$2:$O$200,M$1,FALSE),VLOOKUP($E177,Sheet3!$H$2:$O$200,M$1,FALSE)))</f>
        <v>Grand Marnier</v>
      </c>
      <c r="N177" s="15">
        <f>IFERROR(VLOOKUP($C177,Sheet3!$H$2:$O$200,N$1,FALSE),IFERROR(VLOOKUP($D177,Sheet3!$H$2:$O$200,N$1,FALSE),VLOOKUP($E177,Sheet3!$H$2:$O$200,N$1,FALSE)))</f>
        <v>0</v>
      </c>
      <c r="O177" s="15">
        <f>IFERROR(VLOOKUP($C177,Sheet3!$H$2:$O$200,O$1,FALSE),IFERROR(VLOOKUP($D177,Sheet3!$H$2:$O$200,O$1,FALSE),VLOOKUP($E177,Sheet3!$H$2:$O$200,O$1,FALSE)))</f>
        <v>0</v>
      </c>
      <c r="P177" s="15">
        <f>IFERROR(VLOOKUP($C177,Sheet3!$H$2:$O$200,P$1,FALSE),IFERROR(VLOOKUP($D177,Sheet3!$H$2:$O$200,P$1,FALSE),VLOOKUP($E177,Sheet3!$H$2:$O$200,P$1,FALSE)))</f>
        <v>0</v>
      </c>
      <c r="Q177" s="15">
        <f>IFERROR(IF(ISBLANK(J177),IFERROR(VLOOKUP($D177,Sheet3!$H$2:$O$200,Q$1,FALSE),IFERROR(VLOOKUP($E177,Sheet3!$H$2:$O$200,Q$1,FALSE),VLOOKUP($F177,Sheet3!$H$2:$O$200,Q$1,FALSE))),$I$1),$I$1)</f>
        <v>0</v>
      </c>
      <c r="R177" s="15">
        <f>IFERROR(IF(ISBLANK(K177),IFERROR(VLOOKUP($D177,Sheet3!$H$2:$O$200,R$1,FALSE),IFERROR(VLOOKUP($E177,Sheet3!$H$2:$O$200,R$1,FALSE),VLOOKUP($F177,Sheet3!$H$2:$O$200,R$1,FALSE))),$I$1),$I$1)</f>
        <v>0</v>
      </c>
      <c r="S177" s="15">
        <f>IFERROR(IF(ISBLANK(L177),IFERROR(VLOOKUP($D177,Sheet3!$H$2:$O$200,S$1,FALSE),IFERROR(VLOOKUP($E177,Sheet3!$H$2:$O$200,S$1,FALSE),VLOOKUP($F177,Sheet3!$H$2:$O$200,S$1,FALSE))),$I$1),$I$1)</f>
        <v>0</v>
      </c>
      <c r="T177" s="15">
        <f>IFERROR(IF(ISBLANK(M177),IFERROR(VLOOKUP($D177,Sheet3!$H$2:$O$200,T$1,FALSE),IFERROR(VLOOKUP($E177,Sheet3!$H$2:$O$200,T$1,FALSE),VLOOKUP($F177,Sheet3!$H$2:$O$200,T$1,FALSE))),$I$1),$I$1)</f>
        <v>0</v>
      </c>
      <c r="U177" s="15">
        <f>IFERROR(IF(ISBLANK(N177),IFERROR(VLOOKUP($D177,Sheet3!$H$2:$O$200,U$1,FALSE),IFERROR(VLOOKUP($E177,Sheet3!$H$2:$O$200,U$1,FALSE),VLOOKUP($F177,Sheet3!$H$2:$O$200,U$1,FALSE))),$I$1),$I$1)</f>
        <v>0</v>
      </c>
      <c r="V177" s="15">
        <f>IFERROR(IF(ISBLANK(O177),IFERROR(VLOOKUP($D177,Sheet3!$H$2:$O$200,V$1,FALSE),IFERROR(VLOOKUP($E177,Sheet3!$H$2:$O$200,V$1,FALSE),VLOOKUP($F177,Sheet3!$H$2:$O$200,V$1,FALSE))),$I$1),$I$1)</f>
        <v>0</v>
      </c>
      <c r="W177" s="15">
        <f>IFERROR(IF(ISBLANK(P177),IFERROR(VLOOKUP($D177,Sheet3!$H$2:$O$200,W$1,FALSE),IFERROR(VLOOKUP($E177,Sheet3!$H$2:$O$200,W$1,FALSE),VLOOKUP($F177,Sheet3!$H$2:$O$200,W$1,FALSE))),$I$1),$I$1)</f>
        <v>0</v>
      </c>
      <c r="X177" s="15">
        <f>IFERROR(IF(ISBLANK(Q177),IFERROR(VLOOKUP($E177,Sheet3!$H$2:$O$200,X$1,FALSE),IFERROR(VLOOKUP($F177,Sheet3!$H$2:$O$200,X$1,FALSE),VLOOKUP($G177,Sheet3!$H$2:$O$200,X$1,FALSE))),$I$1),$I$1)</f>
        <v>0</v>
      </c>
      <c r="Y177" s="15">
        <f>IFERROR(IF(ISBLANK(R177),IFERROR(VLOOKUP($E177,Sheet3!$H$2:$O$200,Y$1,FALSE),IFERROR(VLOOKUP($F177,Sheet3!$H$2:$O$200,Y$1,FALSE),VLOOKUP($G177,Sheet3!$H$2:$O$200,Y$1,FALSE))),$I$1),$I$1)</f>
        <v>0</v>
      </c>
      <c r="Z177" s="15">
        <f>IFERROR(IF(ISBLANK(S177),IFERROR(VLOOKUP($E177,Sheet3!$H$2:$O$200,Z$1,FALSE),IFERROR(VLOOKUP($F177,Sheet3!$H$2:$O$200,Z$1,FALSE),VLOOKUP($G177,Sheet3!$H$2:$O$200,Z$1,FALSE))),$I$1),$I$1)</f>
        <v>0</v>
      </c>
      <c r="AA177" s="15">
        <f>IFERROR(IF(ISBLANK(T177),IFERROR(VLOOKUP($E177,Sheet3!$H$2:$O$200,AA$1,FALSE),IFERROR(VLOOKUP($F177,Sheet3!$H$2:$O$200,AA$1,FALSE),VLOOKUP($G177,Sheet3!$H$2:$O$200,AA$1,FALSE))),$I$1),$I$1)</f>
        <v>0</v>
      </c>
      <c r="AB177" s="15">
        <f>IFERROR(IF(ISBLANK(U177),IFERROR(VLOOKUP($E177,Sheet3!$H$2:$O$200,AB$1,FALSE),IFERROR(VLOOKUP($F177,Sheet3!$H$2:$O$200,AB$1,FALSE),VLOOKUP($G177,Sheet3!$H$2:$O$200,AB$1,FALSE))),$I$1),$I$1)</f>
        <v>0</v>
      </c>
      <c r="AC177" s="15">
        <f>IFERROR(IF(ISBLANK(V177),IFERROR(VLOOKUP($E177,Sheet3!$H$2:$O$200,AC$1,FALSE),IFERROR(VLOOKUP($F177,Sheet3!$H$2:$O$200,AC$1,FALSE),VLOOKUP($G177,Sheet3!$H$2:$O$200,AC$1,FALSE))),$I$1),$I$1)</f>
        <v>0</v>
      </c>
      <c r="AD177" s="15">
        <f>IFERROR(IF(ISBLANK(W177),IFERROR(VLOOKUP($E177,Sheet3!$H$2:$O$200,AD$1,FALSE),IFERROR(VLOOKUP($F177,Sheet3!$H$2:$O$200,AD$1,FALSE),VLOOKUP($G177,Sheet3!$H$2:$O$200,AD$1,FALSE))),$I$1),$I$1)</f>
        <v>0</v>
      </c>
      <c r="AE177" s="15">
        <f>IFERROR(IF(ISBLANK(X177),IFERROR(VLOOKUP($F177,Sheet3!$H$2:$O$200,AE$1,FALSE),VLOOKUP($G177,Sheet3!$H$2:$O$200,AE$1,FALSE)),$I$1),$I$1)</f>
        <v>0</v>
      </c>
      <c r="AF177" s="15">
        <f>IFERROR(IF(ISBLANK(Y177),IFERROR(VLOOKUP($F177,Sheet3!$H$2:$O$200,AF$1,FALSE),VLOOKUP($G177,Sheet3!$H$2:$O$200,AF$1,FALSE)),$I$1),$I$1)</f>
        <v>0</v>
      </c>
      <c r="AG177" s="15">
        <f>IFERROR(IF(ISBLANK(Z177),IFERROR(VLOOKUP($F177,Sheet3!$H$2:$O$200,AG$1,FALSE),VLOOKUP($G177,Sheet3!$H$2:$O$200,AG$1,FALSE)),$I$1),$I$1)</f>
        <v>0</v>
      </c>
      <c r="AH177" s="15">
        <f>IFERROR(IF(ISBLANK(AA177),IFERROR(VLOOKUP($F177,Sheet3!$H$2:$O$200,AH$1,FALSE),VLOOKUP($G177,Sheet3!$H$2:$O$200,AH$1,FALSE)),$I$1),$I$1)</f>
        <v>0</v>
      </c>
      <c r="AI177" s="15">
        <f>IFERROR(IF(ISBLANK(AB177),IFERROR(VLOOKUP($F177,Sheet3!$H$2:$O$200,AI$1,FALSE),VLOOKUP($G177,Sheet3!$H$2:$O$200,AI$1,FALSE)),$I$1),$I$1)</f>
        <v>0</v>
      </c>
      <c r="AJ177" s="15">
        <f>IFERROR(IF(ISBLANK(AC177),IFERROR(VLOOKUP($F177,Sheet3!$H$2:$O$200,AJ$1,FALSE),VLOOKUP($G177,Sheet3!$H$2:$O$200,AJ$1,FALSE)),$I$1),$I$1)</f>
        <v>0</v>
      </c>
      <c r="AK177" s="15">
        <f>IFERROR(IF(ISBLANK(AD177),IFERROR(VLOOKUP($F177,Sheet3!$H$2:$O$200,AK$1,FALSE),VLOOKUP($G177,Sheet3!$H$2:$O$200,AK$1,FALSE)),$I$1),$I$1)</f>
        <v>0</v>
      </c>
      <c r="AL177" s="15">
        <f>IFERROR(IF(ISBLANK(AE177),VLOOKUP($G177,Sheet3!$H$2:$O$200,AL$1,FALSE),$I$1),$I$1)</f>
        <v>0</v>
      </c>
      <c r="AM177" s="15">
        <f>IFERROR(IF(ISBLANK(AF177),VLOOKUP($G177,Sheet3!$H$2:$O$200,AM$1,FALSE),$I$1),$I$1)</f>
        <v>0</v>
      </c>
      <c r="AN177" s="15">
        <f>IFERROR(IF(ISBLANK(AG177),VLOOKUP($G177,Sheet3!$H$2:$O$200,AN$1,FALSE),$I$1),$I$1)</f>
        <v>0</v>
      </c>
      <c r="AO177" s="15">
        <f>IFERROR(IF(ISBLANK(AH177),VLOOKUP($G177,Sheet3!$H$2:$O$200,AO$1,FALSE),$I$1),$I$1)</f>
        <v>0</v>
      </c>
      <c r="AP177" s="15">
        <f>IFERROR(IF(ISBLANK(AI177),VLOOKUP($G177,Sheet3!$H$2:$O$200,AP$1,FALSE),$I$1),$I$1)</f>
        <v>0</v>
      </c>
      <c r="AQ177" s="15">
        <f>IFERROR(IF(ISBLANK(AJ177),VLOOKUP($G177,Sheet3!$H$2:$O$200,AQ$1,FALSE),$I$1),$I$1)</f>
        <v>0</v>
      </c>
      <c r="AR177" s="15">
        <f>IFERROR(IF(ISBLANK(AK177),VLOOKUP($G177,Sheet3!$H$2:$O$200,AR$1,FALSE),$I$1),$I$1)</f>
        <v>0</v>
      </c>
      <c r="AS177" s="15">
        <f t="shared" si="1"/>
        <v>28</v>
      </c>
      <c r="AT177" s="15" t="b">
        <f t="shared" si="2"/>
        <v>0</v>
      </c>
    </row>
    <row r="178" spans="1:46" x14ac:dyDescent="0.2">
      <c r="A178" s="19" t="s">
        <v>351</v>
      </c>
      <c r="B178" s="19" t="s">
        <v>343</v>
      </c>
      <c r="C178" s="19" t="s">
        <v>100</v>
      </c>
      <c r="D178" s="19" t="s">
        <v>90</v>
      </c>
      <c r="E178" s="19"/>
      <c r="F178" s="19"/>
      <c r="G178" s="19"/>
      <c r="H178" s="19" t="s">
        <v>351</v>
      </c>
      <c r="I178" s="15">
        <f t="shared" si="0"/>
        <v>2</v>
      </c>
      <c r="J178" s="15">
        <f>IFERROR(VLOOKUP($C178,Sheet3!$H$2:$O$200,J$1,FALSE),IFERROR(VLOOKUP($D178,Sheet3!$H$2:$O$200,J$1,FALSE),VLOOKUP($E178,Sheet3!$H$2:$O$200,J$1,FALSE)))</f>
        <v>0</v>
      </c>
      <c r="K178" s="15">
        <f>IFERROR(VLOOKUP($C178,Sheet3!$H$2:$O$200,K$1,FALSE),IFERROR(VLOOKUP($D178,Sheet3!$H$2:$O$200,K$1,FALSE),VLOOKUP($E178,Sheet3!$H$2:$O$200,K$1,FALSE)))</f>
        <v>0</v>
      </c>
      <c r="L178" s="15">
        <f>IFERROR(VLOOKUP($C178,Sheet3!$H$2:$O$200,L$1,FALSE),IFERROR(VLOOKUP($D178,Sheet3!$H$2:$O$200,L$1,FALSE),VLOOKUP($E178,Sheet3!$H$2:$O$200,L$1,FALSE)))</f>
        <v>0</v>
      </c>
      <c r="M178" s="15" t="str">
        <f>IFERROR(VLOOKUP($C178,Sheet3!$H$2:$O$200,M$1,FALSE),IFERROR(VLOOKUP($D178,Sheet3!$H$2:$O$200,M$1,FALSE),VLOOKUP($E178,Sheet3!$H$2:$O$200,M$1,FALSE)))</f>
        <v>triple sec</v>
      </c>
      <c r="N178" s="15">
        <f>IFERROR(VLOOKUP($C178,Sheet3!$H$2:$O$200,N$1,FALSE),IFERROR(VLOOKUP($D178,Sheet3!$H$2:$O$200,N$1,FALSE),VLOOKUP($E178,Sheet3!$H$2:$O$200,N$1,FALSE)))</f>
        <v>0</v>
      </c>
      <c r="O178" s="15">
        <f>IFERROR(VLOOKUP($C178,Sheet3!$H$2:$O$200,O$1,FALSE),IFERROR(VLOOKUP($D178,Sheet3!$H$2:$O$200,O$1,FALSE),VLOOKUP($E178,Sheet3!$H$2:$O$200,O$1,FALSE)))</f>
        <v>0</v>
      </c>
      <c r="P178" s="15">
        <f>IFERROR(VLOOKUP($C178,Sheet3!$H$2:$O$200,P$1,FALSE),IFERROR(VLOOKUP($D178,Sheet3!$H$2:$O$200,P$1,FALSE),VLOOKUP($E178,Sheet3!$H$2:$O$200,P$1,FALSE)))</f>
        <v>0</v>
      </c>
      <c r="Q178" s="15">
        <f>IFERROR(IF(ISBLANK(J178),IFERROR(VLOOKUP($D178,Sheet3!$H$2:$O$200,Q$1,FALSE),IFERROR(VLOOKUP($E178,Sheet3!$H$2:$O$200,Q$1,FALSE),VLOOKUP($F178,Sheet3!$H$2:$O$200,Q$1,FALSE))),$I$1),$I$1)</f>
        <v>0</v>
      </c>
      <c r="R178" s="15">
        <f>IFERROR(IF(ISBLANK(K178),IFERROR(VLOOKUP($D178,Sheet3!$H$2:$O$200,R$1,FALSE),IFERROR(VLOOKUP($E178,Sheet3!$H$2:$O$200,R$1,FALSE),VLOOKUP($F178,Sheet3!$H$2:$O$200,R$1,FALSE))),$I$1),$I$1)</f>
        <v>0</v>
      </c>
      <c r="S178" s="15">
        <f>IFERROR(IF(ISBLANK(L178),IFERROR(VLOOKUP($D178,Sheet3!$H$2:$O$200,S$1,FALSE),IFERROR(VLOOKUP($E178,Sheet3!$H$2:$O$200,S$1,FALSE),VLOOKUP($F178,Sheet3!$H$2:$O$200,S$1,FALSE))),$I$1),$I$1)</f>
        <v>0</v>
      </c>
      <c r="T178" s="15">
        <f>IFERROR(IF(ISBLANK(M178),IFERROR(VLOOKUP($D178,Sheet3!$H$2:$O$200,T$1,FALSE),IFERROR(VLOOKUP($E178,Sheet3!$H$2:$O$200,T$1,FALSE),VLOOKUP($F178,Sheet3!$H$2:$O$200,T$1,FALSE))),$I$1),$I$1)</f>
        <v>0</v>
      </c>
      <c r="U178" s="15">
        <f>IFERROR(IF(ISBLANK(N178),IFERROR(VLOOKUP($D178,Sheet3!$H$2:$O$200,U$1,FALSE),IFERROR(VLOOKUP($E178,Sheet3!$H$2:$O$200,U$1,FALSE),VLOOKUP($F178,Sheet3!$H$2:$O$200,U$1,FALSE))),$I$1),$I$1)</f>
        <v>0</v>
      </c>
      <c r="V178" s="15">
        <f>IFERROR(IF(ISBLANK(O178),IFERROR(VLOOKUP($D178,Sheet3!$H$2:$O$200,V$1,FALSE),IFERROR(VLOOKUP($E178,Sheet3!$H$2:$O$200,V$1,FALSE),VLOOKUP($F178,Sheet3!$H$2:$O$200,V$1,FALSE))),$I$1),$I$1)</f>
        <v>0</v>
      </c>
      <c r="W178" s="15">
        <f>IFERROR(IF(ISBLANK(P178),IFERROR(VLOOKUP($D178,Sheet3!$H$2:$O$200,W$1,FALSE),IFERROR(VLOOKUP($E178,Sheet3!$H$2:$O$200,W$1,FALSE),VLOOKUP($F178,Sheet3!$H$2:$O$200,W$1,FALSE))),$I$1),$I$1)</f>
        <v>0</v>
      </c>
      <c r="X178" s="15">
        <f>IFERROR(IF(ISBLANK(Q178),IFERROR(VLOOKUP($E178,Sheet3!$H$2:$O$200,X$1,FALSE),IFERROR(VLOOKUP($F178,Sheet3!$H$2:$O$200,X$1,FALSE),VLOOKUP($G178,Sheet3!$H$2:$O$200,X$1,FALSE))),$I$1),$I$1)</f>
        <v>0</v>
      </c>
      <c r="Y178" s="15">
        <f>IFERROR(IF(ISBLANK(R178),IFERROR(VLOOKUP($E178,Sheet3!$H$2:$O$200,Y$1,FALSE),IFERROR(VLOOKUP($F178,Sheet3!$H$2:$O$200,Y$1,FALSE),VLOOKUP($G178,Sheet3!$H$2:$O$200,Y$1,FALSE))),$I$1),$I$1)</f>
        <v>0</v>
      </c>
      <c r="Z178" s="15">
        <f>IFERROR(IF(ISBLANK(S178),IFERROR(VLOOKUP($E178,Sheet3!$H$2:$O$200,Z$1,FALSE),IFERROR(VLOOKUP($F178,Sheet3!$H$2:$O$200,Z$1,FALSE),VLOOKUP($G178,Sheet3!$H$2:$O$200,Z$1,FALSE))),$I$1),$I$1)</f>
        <v>0</v>
      </c>
      <c r="AA178" s="15">
        <f>IFERROR(IF(ISBLANK(T178),IFERROR(VLOOKUP($E178,Sheet3!$H$2:$O$200,AA$1,FALSE),IFERROR(VLOOKUP($F178,Sheet3!$H$2:$O$200,AA$1,FALSE),VLOOKUP($G178,Sheet3!$H$2:$O$200,AA$1,FALSE))),$I$1),$I$1)</f>
        <v>0</v>
      </c>
      <c r="AB178" s="15">
        <f>IFERROR(IF(ISBLANK(U178),IFERROR(VLOOKUP($E178,Sheet3!$H$2:$O$200,AB$1,FALSE),IFERROR(VLOOKUP($F178,Sheet3!$H$2:$O$200,AB$1,FALSE),VLOOKUP($G178,Sheet3!$H$2:$O$200,AB$1,FALSE))),$I$1),$I$1)</f>
        <v>0</v>
      </c>
      <c r="AC178" s="15">
        <f>IFERROR(IF(ISBLANK(V178),IFERROR(VLOOKUP($E178,Sheet3!$H$2:$O$200,AC$1,FALSE),IFERROR(VLOOKUP($F178,Sheet3!$H$2:$O$200,AC$1,FALSE),VLOOKUP($G178,Sheet3!$H$2:$O$200,AC$1,FALSE))),$I$1),$I$1)</f>
        <v>0</v>
      </c>
      <c r="AD178" s="15">
        <f>IFERROR(IF(ISBLANK(W178),IFERROR(VLOOKUP($E178,Sheet3!$H$2:$O$200,AD$1,FALSE),IFERROR(VLOOKUP($F178,Sheet3!$H$2:$O$200,AD$1,FALSE),VLOOKUP($G178,Sheet3!$H$2:$O$200,AD$1,FALSE))),$I$1),$I$1)</f>
        <v>0</v>
      </c>
      <c r="AE178" s="15">
        <f>IFERROR(IF(ISBLANK(X178),IFERROR(VLOOKUP($F178,Sheet3!$H$2:$O$200,AE$1,FALSE),VLOOKUP($G178,Sheet3!$H$2:$O$200,AE$1,FALSE)),$I$1),$I$1)</f>
        <v>0</v>
      </c>
      <c r="AF178" s="15">
        <f>IFERROR(IF(ISBLANK(Y178),IFERROR(VLOOKUP($F178,Sheet3!$H$2:$O$200,AF$1,FALSE),VLOOKUP($G178,Sheet3!$H$2:$O$200,AF$1,FALSE)),$I$1),$I$1)</f>
        <v>0</v>
      </c>
      <c r="AG178" s="15">
        <f>IFERROR(IF(ISBLANK(Z178),IFERROR(VLOOKUP($F178,Sheet3!$H$2:$O$200,AG$1,FALSE),VLOOKUP($G178,Sheet3!$H$2:$O$200,AG$1,FALSE)),$I$1),$I$1)</f>
        <v>0</v>
      </c>
      <c r="AH178" s="15">
        <f>IFERROR(IF(ISBLANK(AA178),IFERROR(VLOOKUP($F178,Sheet3!$H$2:$O$200,AH$1,FALSE),VLOOKUP($G178,Sheet3!$H$2:$O$200,AH$1,FALSE)),$I$1),$I$1)</f>
        <v>0</v>
      </c>
      <c r="AI178" s="15">
        <f>IFERROR(IF(ISBLANK(AB178),IFERROR(VLOOKUP($F178,Sheet3!$H$2:$O$200,AI$1,FALSE),VLOOKUP($G178,Sheet3!$H$2:$O$200,AI$1,FALSE)),$I$1),$I$1)</f>
        <v>0</v>
      </c>
      <c r="AJ178" s="15">
        <f>IFERROR(IF(ISBLANK(AC178),IFERROR(VLOOKUP($F178,Sheet3!$H$2:$O$200,AJ$1,FALSE),VLOOKUP($G178,Sheet3!$H$2:$O$200,AJ$1,FALSE)),$I$1),$I$1)</f>
        <v>0</v>
      </c>
      <c r="AK178" s="15">
        <f>IFERROR(IF(ISBLANK(AD178),IFERROR(VLOOKUP($F178,Sheet3!$H$2:$O$200,AK$1,FALSE),VLOOKUP($G178,Sheet3!$H$2:$O$200,AK$1,FALSE)),$I$1),$I$1)</f>
        <v>0</v>
      </c>
      <c r="AL178" s="15">
        <f>IFERROR(IF(ISBLANK(AE178),VLOOKUP($G178,Sheet3!$H$2:$O$200,AL$1,FALSE),$I$1),$I$1)</f>
        <v>0</v>
      </c>
      <c r="AM178" s="15">
        <f>IFERROR(IF(ISBLANK(AF178),VLOOKUP($G178,Sheet3!$H$2:$O$200,AM$1,FALSE),$I$1),$I$1)</f>
        <v>0</v>
      </c>
      <c r="AN178" s="15">
        <f>IFERROR(IF(ISBLANK(AG178),VLOOKUP($G178,Sheet3!$H$2:$O$200,AN$1,FALSE),$I$1),$I$1)</f>
        <v>0</v>
      </c>
      <c r="AO178" s="15">
        <f>IFERROR(IF(ISBLANK(AH178),VLOOKUP($G178,Sheet3!$H$2:$O$200,AO$1,FALSE),$I$1),$I$1)</f>
        <v>0</v>
      </c>
      <c r="AP178" s="15">
        <f>IFERROR(IF(ISBLANK(AI178),VLOOKUP($G178,Sheet3!$H$2:$O$200,AP$1,FALSE),$I$1),$I$1)</f>
        <v>0</v>
      </c>
      <c r="AQ178" s="15">
        <f>IFERROR(IF(ISBLANK(AJ178),VLOOKUP($G178,Sheet3!$H$2:$O$200,AQ$1,FALSE),$I$1),$I$1)</f>
        <v>0</v>
      </c>
      <c r="AR178" s="15">
        <f>IFERROR(IF(ISBLANK(AK178),VLOOKUP($G178,Sheet3!$H$2:$O$200,AR$1,FALSE),$I$1),$I$1)</f>
        <v>0</v>
      </c>
      <c r="AS178" s="15">
        <f t="shared" si="1"/>
        <v>28</v>
      </c>
      <c r="AT178" s="15" t="b">
        <f t="shared" si="2"/>
        <v>0</v>
      </c>
    </row>
    <row r="179" spans="1:46" x14ac:dyDescent="0.2">
      <c r="A179" s="19" t="s">
        <v>352</v>
      </c>
      <c r="B179" s="19" t="s">
        <v>343</v>
      </c>
      <c r="C179" s="19" t="s">
        <v>57</v>
      </c>
      <c r="D179" s="19" t="s">
        <v>90</v>
      </c>
      <c r="E179" s="19"/>
      <c r="F179" s="19"/>
      <c r="G179" s="19"/>
      <c r="H179" s="19" t="s">
        <v>352</v>
      </c>
      <c r="I179" s="15">
        <f t="shared" si="0"/>
        <v>2</v>
      </c>
      <c r="J179" s="15">
        <f>IFERROR(VLOOKUP($C179,Sheet3!$H$2:$O$200,J$1,FALSE),IFERROR(VLOOKUP($D179,Sheet3!$H$2:$O$200,J$1,FALSE),VLOOKUP($E179,Sheet3!$H$2:$O$200,J$1,FALSE)))</f>
        <v>0</v>
      </c>
      <c r="K179" s="15">
        <f>IFERROR(VLOOKUP($C179,Sheet3!$H$2:$O$200,K$1,FALSE),IFERROR(VLOOKUP($D179,Sheet3!$H$2:$O$200,K$1,FALSE),VLOOKUP($E179,Sheet3!$H$2:$O$200,K$1,FALSE)))</f>
        <v>0</v>
      </c>
      <c r="L179" s="15">
        <f>IFERROR(VLOOKUP($C179,Sheet3!$H$2:$O$200,L$1,FALSE),IFERROR(VLOOKUP($D179,Sheet3!$H$2:$O$200,L$1,FALSE),VLOOKUP($E179,Sheet3!$H$2:$O$200,L$1,FALSE)))</f>
        <v>0</v>
      </c>
      <c r="M179" s="15" t="str">
        <f>IFERROR(VLOOKUP($C179,Sheet3!$H$2:$O$200,M$1,FALSE),IFERROR(VLOOKUP($D179,Sheet3!$H$2:$O$200,M$1,FALSE),VLOOKUP($E179,Sheet3!$H$2:$O$200,M$1,FALSE)))</f>
        <v>crème de noyau</v>
      </c>
      <c r="N179" s="15">
        <f>IFERROR(VLOOKUP($C179,Sheet3!$H$2:$O$200,N$1,FALSE),IFERROR(VLOOKUP($D179,Sheet3!$H$2:$O$200,N$1,FALSE),VLOOKUP($E179,Sheet3!$H$2:$O$200,N$1,FALSE)))</f>
        <v>0</v>
      </c>
      <c r="O179" s="15">
        <f>IFERROR(VLOOKUP($C179,Sheet3!$H$2:$O$200,O$1,FALSE),IFERROR(VLOOKUP($D179,Sheet3!$H$2:$O$200,O$1,FALSE),VLOOKUP($E179,Sheet3!$H$2:$O$200,O$1,FALSE)))</f>
        <v>0</v>
      </c>
      <c r="P179" s="15">
        <f>IFERROR(VLOOKUP($C179,Sheet3!$H$2:$O$200,P$1,FALSE),IFERROR(VLOOKUP($D179,Sheet3!$H$2:$O$200,P$1,FALSE),VLOOKUP($E179,Sheet3!$H$2:$O$200,P$1,FALSE)))</f>
        <v>0</v>
      </c>
      <c r="Q179" s="15">
        <f>IFERROR(IF(ISBLANK(J179),IFERROR(VLOOKUP($D179,Sheet3!$H$2:$O$200,Q$1,FALSE),IFERROR(VLOOKUP($E179,Sheet3!$H$2:$O$200,Q$1,FALSE),VLOOKUP($F179,Sheet3!$H$2:$O$200,Q$1,FALSE))),$I$1),$I$1)</f>
        <v>0</v>
      </c>
      <c r="R179" s="15">
        <f>IFERROR(IF(ISBLANK(K179),IFERROR(VLOOKUP($D179,Sheet3!$H$2:$O$200,R$1,FALSE),IFERROR(VLOOKUP($E179,Sheet3!$H$2:$O$200,R$1,FALSE),VLOOKUP($F179,Sheet3!$H$2:$O$200,R$1,FALSE))),$I$1),$I$1)</f>
        <v>0</v>
      </c>
      <c r="S179" s="15">
        <f>IFERROR(IF(ISBLANK(L179),IFERROR(VLOOKUP($D179,Sheet3!$H$2:$O$200,S$1,FALSE),IFERROR(VLOOKUP($E179,Sheet3!$H$2:$O$200,S$1,FALSE),VLOOKUP($F179,Sheet3!$H$2:$O$200,S$1,FALSE))),$I$1),$I$1)</f>
        <v>0</v>
      </c>
      <c r="T179" s="15">
        <f>IFERROR(IF(ISBLANK(M179),IFERROR(VLOOKUP($D179,Sheet3!$H$2:$O$200,T$1,FALSE),IFERROR(VLOOKUP($E179,Sheet3!$H$2:$O$200,T$1,FALSE),VLOOKUP($F179,Sheet3!$H$2:$O$200,T$1,FALSE))),$I$1),$I$1)</f>
        <v>0</v>
      </c>
      <c r="U179" s="15">
        <f>IFERROR(IF(ISBLANK(N179),IFERROR(VLOOKUP($D179,Sheet3!$H$2:$O$200,U$1,FALSE),IFERROR(VLOOKUP($E179,Sheet3!$H$2:$O$200,U$1,FALSE),VLOOKUP($F179,Sheet3!$H$2:$O$200,U$1,FALSE))),$I$1),$I$1)</f>
        <v>0</v>
      </c>
      <c r="V179" s="15">
        <f>IFERROR(IF(ISBLANK(O179),IFERROR(VLOOKUP($D179,Sheet3!$H$2:$O$200,V$1,FALSE),IFERROR(VLOOKUP($E179,Sheet3!$H$2:$O$200,V$1,FALSE),VLOOKUP($F179,Sheet3!$H$2:$O$200,V$1,FALSE))),$I$1),$I$1)</f>
        <v>0</v>
      </c>
      <c r="W179" s="15">
        <f>IFERROR(IF(ISBLANK(P179),IFERROR(VLOOKUP($D179,Sheet3!$H$2:$O$200,W$1,FALSE),IFERROR(VLOOKUP($E179,Sheet3!$H$2:$O$200,W$1,FALSE),VLOOKUP($F179,Sheet3!$H$2:$O$200,W$1,FALSE))),$I$1),$I$1)</f>
        <v>0</v>
      </c>
      <c r="X179" s="15">
        <f>IFERROR(IF(ISBLANK(Q179),IFERROR(VLOOKUP($E179,Sheet3!$H$2:$O$200,X$1,FALSE),IFERROR(VLOOKUP($F179,Sheet3!$H$2:$O$200,X$1,FALSE),VLOOKUP($G179,Sheet3!$H$2:$O$200,X$1,FALSE))),$I$1),$I$1)</f>
        <v>0</v>
      </c>
      <c r="Y179" s="15">
        <f>IFERROR(IF(ISBLANK(R179),IFERROR(VLOOKUP($E179,Sheet3!$H$2:$O$200,Y$1,FALSE),IFERROR(VLOOKUP($F179,Sheet3!$H$2:$O$200,Y$1,FALSE),VLOOKUP($G179,Sheet3!$H$2:$O$200,Y$1,FALSE))),$I$1),$I$1)</f>
        <v>0</v>
      </c>
      <c r="Z179" s="15">
        <f>IFERROR(IF(ISBLANK(S179),IFERROR(VLOOKUP($E179,Sheet3!$H$2:$O$200,Z$1,FALSE),IFERROR(VLOOKUP($F179,Sheet3!$H$2:$O$200,Z$1,FALSE),VLOOKUP($G179,Sheet3!$H$2:$O$200,Z$1,FALSE))),$I$1),$I$1)</f>
        <v>0</v>
      </c>
      <c r="AA179" s="15">
        <f>IFERROR(IF(ISBLANK(T179),IFERROR(VLOOKUP($E179,Sheet3!$H$2:$O$200,AA$1,FALSE),IFERROR(VLOOKUP($F179,Sheet3!$H$2:$O$200,AA$1,FALSE),VLOOKUP($G179,Sheet3!$H$2:$O$200,AA$1,FALSE))),$I$1),$I$1)</f>
        <v>0</v>
      </c>
      <c r="AB179" s="15">
        <f>IFERROR(IF(ISBLANK(U179),IFERROR(VLOOKUP($E179,Sheet3!$H$2:$O$200,AB$1,FALSE),IFERROR(VLOOKUP($F179,Sheet3!$H$2:$O$200,AB$1,FALSE),VLOOKUP($G179,Sheet3!$H$2:$O$200,AB$1,FALSE))),$I$1),$I$1)</f>
        <v>0</v>
      </c>
      <c r="AC179" s="15">
        <f>IFERROR(IF(ISBLANK(V179),IFERROR(VLOOKUP($E179,Sheet3!$H$2:$O$200,AC$1,FALSE),IFERROR(VLOOKUP($F179,Sheet3!$H$2:$O$200,AC$1,FALSE),VLOOKUP($G179,Sheet3!$H$2:$O$200,AC$1,FALSE))),$I$1),$I$1)</f>
        <v>0</v>
      </c>
      <c r="AD179" s="15">
        <f>IFERROR(IF(ISBLANK(W179),IFERROR(VLOOKUP($E179,Sheet3!$H$2:$O$200,AD$1,FALSE),IFERROR(VLOOKUP($F179,Sheet3!$H$2:$O$200,AD$1,FALSE),VLOOKUP($G179,Sheet3!$H$2:$O$200,AD$1,FALSE))),$I$1),$I$1)</f>
        <v>0</v>
      </c>
      <c r="AE179" s="15">
        <f>IFERROR(IF(ISBLANK(X179),IFERROR(VLOOKUP($F179,Sheet3!$H$2:$O$200,AE$1,FALSE),VLOOKUP($G179,Sheet3!$H$2:$O$200,AE$1,FALSE)),$I$1),$I$1)</f>
        <v>0</v>
      </c>
      <c r="AF179" s="15">
        <f>IFERROR(IF(ISBLANK(Y179),IFERROR(VLOOKUP($F179,Sheet3!$H$2:$O$200,AF$1,FALSE),VLOOKUP($G179,Sheet3!$H$2:$O$200,AF$1,FALSE)),$I$1),$I$1)</f>
        <v>0</v>
      </c>
      <c r="AG179" s="15">
        <f>IFERROR(IF(ISBLANK(Z179),IFERROR(VLOOKUP($F179,Sheet3!$H$2:$O$200,AG$1,FALSE),VLOOKUP($G179,Sheet3!$H$2:$O$200,AG$1,FALSE)),$I$1),$I$1)</f>
        <v>0</v>
      </c>
      <c r="AH179" s="15">
        <f>IFERROR(IF(ISBLANK(AA179),IFERROR(VLOOKUP($F179,Sheet3!$H$2:$O$200,AH$1,FALSE),VLOOKUP($G179,Sheet3!$H$2:$O$200,AH$1,FALSE)),$I$1),$I$1)</f>
        <v>0</v>
      </c>
      <c r="AI179" s="15">
        <f>IFERROR(IF(ISBLANK(AB179),IFERROR(VLOOKUP($F179,Sheet3!$H$2:$O$200,AI$1,FALSE),VLOOKUP($G179,Sheet3!$H$2:$O$200,AI$1,FALSE)),$I$1),$I$1)</f>
        <v>0</v>
      </c>
      <c r="AJ179" s="15">
        <f>IFERROR(IF(ISBLANK(AC179),IFERROR(VLOOKUP($F179,Sheet3!$H$2:$O$200,AJ$1,FALSE),VLOOKUP($G179,Sheet3!$H$2:$O$200,AJ$1,FALSE)),$I$1),$I$1)</f>
        <v>0</v>
      </c>
      <c r="AK179" s="15">
        <f>IFERROR(IF(ISBLANK(AD179),IFERROR(VLOOKUP($F179,Sheet3!$H$2:$O$200,AK$1,FALSE),VLOOKUP($G179,Sheet3!$H$2:$O$200,AK$1,FALSE)),$I$1),$I$1)</f>
        <v>0</v>
      </c>
      <c r="AL179" s="15">
        <f>IFERROR(IF(ISBLANK(AE179),VLOOKUP($G179,Sheet3!$H$2:$O$200,AL$1,FALSE),$I$1),$I$1)</f>
        <v>0</v>
      </c>
      <c r="AM179" s="15">
        <f>IFERROR(IF(ISBLANK(AF179),VLOOKUP($G179,Sheet3!$H$2:$O$200,AM$1,FALSE),$I$1),$I$1)</f>
        <v>0</v>
      </c>
      <c r="AN179" s="15">
        <f>IFERROR(IF(ISBLANK(AG179),VLOOKUP($G179,Sheet3!$H$2:$O$200,AN$1,FALSE),$I$1),$I$1)</f>
        <v>0</v>
      </c>
      <c r="AO179" s="15">
        <f>IFERROR(IF(ISBLANK(AH179),VLOOKUP($G179,Sheet3!$H$2:$O$200,AO$1,FALSE),$I$1),$I$1)</f>
        <v>0</v>
      </c>
      <c r="AP179" s="15">
        <f>IFERROR(IF(ISBLANK(AI179),VLOOKUP($G179,Sheet3!$H$2:$O$200,AP$1,FALSE),$I$1),$I$1)</f>
        <v>0</v>
      </c>
      <c r="AQ179" s="15">
        <f>IFERROR(IF(ISBLANK(AJ179),VLOOKUP($G179,Sheet3!$H$2:$O$200,AQ$1,FALSE),$I$1),$I$1)</f>
        <v>0</v>
      </c>
      <c r="AR179" s="15">
        <f>IFERROR(IF(ISBLANK(AK179),VLOOKUP($G179,Sheet3!$H$2:$O$200,AR$1,FALSE),$I$1),$I$1)</f>
        <v>0</v>
      </c>
      <c r="AS179" s="15">
        <f t="shared" si="1"/>
        <v>28</v>
      </c>
      <c r="AT179" s="15" t="b">
        <f t="shared" si="2"/>
        <v>0</v>
      </c>
    </row>
    <row r="180" spans="1:46" x14ac:dyDescent="0.2">
      <c r="A180" s="19" t="s">
        <v>353</v>
      </c>
      <c r="B180" s="19" t="s">
        <v>354</v>
      </c>
      <c r="C180" s="19" t="s">
        <v>57</v>
      </c>
      <c r="D180" s="19" t="s">
        <v>38</v>
      </c>
      <c r="E180" s="19" t="s">
        <v>62</v>
      </c>
      <c r="F180" s="19"/>
      <c r="G180" s="19"/>
      <c r="H180" s="19" t="s">
        <v>353</v>
      </c>
      <c r="I180" s="15">
        <f t="shared" si="0"/>
        <v>3</v>
      </c>
      <c r="J180" s="15">
        <f>IFERROR(VLOOKUP($C180,Sheet3!$H$2:$O$200,J$1,FALSE),IFERROR(VLOOKUP($D180,Sheet3!$H$2:$O$200,J$1,FALSE),VLOOKUP($E180,Sheet3!$H$2:$O$200,J$1,FALSE)))</f>
        <v>0</v>
      </c>
      <c r="K180" s="15">
        <f>IFERROR(VLOOKUP($C180,Sheet3!$H$2:$O$200,K$1,FALSE),IFERROR(VLOOKUP($D180,Sheet3!$H$2:$O$200,K$1,FALSE),VLOOKUP($E180,Sheet3!$H$2:$O$200,K$1,FALSE)))</f>
        <v>0</v>
      </c>
      <c r="L180" s="15">
        <f>IFERROR(VLOOKUP($C180,Sheet3!$H$2:$O$200,L$1,FALSE),IFERROR(VLOOKUP($D180,Sheet3!$H$2:$O$200,L$1,FALSE),VLOOKUP($E180,Sheet3!$H$2:$O$200,L$1,FALSE)))</f>
        <v>0</v>
      </c>
      <c r="M180" s="15" t="str">
        <f>IFERROR(VLOOKUP($C180,Sheet3!$H$2:$O$200,M$1,FALSE),IFERROR(VLOOKUP($D180,Sheet3!$H$2:$O$200,M$1,FALSE),VLOOKUP($E180,Sheet3!$H$2:$O$200,M$1,FALSE)))</f>
        <v>crème de noyau</v>
      </c>
      <c r="N180" s="15">
        <f>IFERROR(VLOOKUP($C180,Sheet3!$H$2:$O$200,N$1,FALSE),IFERROR(VLOOKUP($D180,Sheet3!$H$2:$O$200,N$1,FALSE),VLOOKUP($E180,Sheet3!$H$2:$O$200,N$1,FALSE)))</f>
        <v>0</v>
      </c>
      <c r="O180" s="15">
        <f>IFERROR(VLOOKUP($C180,Sheet3!$H$2:$O$200,O$1,FALSE),IFERROR(VLOOKUP($D180,Sheet3!$H$2:$O$200,O$1,FALSE),VLOOKUP($E180,Sheet3!$H$2:$O$200,O$1,FALSE)))</f>
        <v>0</v>
      </c>
      <c r="P180" s="15">
        <f>IFERROR(VLOOKUP($C180,Sheet3!$H$2:$O$200,P$1,FALSE),IFERROR(VLOOKUP($D180,Sheet3!$H$2:$O$200,P$1,FALSE),VLOOKUP($E180,Sheet3!$H$2:$O$200,P$1,FALSE)))</f>
        <v>0</v>
      </c>
      <c r="Q180" s="15">
        <f>IFERROR(IF(ISBLANK(J180),IFERROR(VLOOKUP($D180,Sheet3!$H$2:$O$200,Q$1,FALSE),IFERROR(VLOOKUP($E180,Sheet3!$H$2:$O$200,Q$1,FALSE),VLOOKUP($F180,Sheet3!$H$2:$O$200,Q$1,FALSE))),$I$1),$I$1)</f>
        <v>0</v>
      </c>
      <c r="R180" s="15">
        <f>IFERROR(IF(ISBLANK(K180),IFERROR(VLOOKUP($D180,Sheet3!$H$2:$O$200,R$1,FALSE),IFERROR(VLOOKUP($E180,Sheet3!$H$2:$O$200,R$1,FALSE),VLOOKUP($F180,Sheet3!$H$2:$O$200,R$1,FALSE))),$I$1),$I$1)</f>
        <v>0</v>
      </c>
      <c r="S180" s="15">
        <f>IFERROR(IF(ISBLANK(L180),IFERROR(VLOOKUP($D180,Sheet3!$H$2:$O$200,S$1,FALSE),IFERROR(VLOOKUP($E180,Sheet3!$H$2:$O$200,S$1,FALSE),VLOOKUP($F180,Sheet3!$H$2:$O$200,S$1,FALSE))),$I$1),$I$1)</f>
        <v>0</v>
      </c>
      <c r="T180" s="15">
        <f>IFERROR(IF(ISBLANK(M180),IFERROR(VLOOKUP($D180,Sheet3!$H$2:$O$200,T$1,FALSE),IFERROR(VLOOKUP($E180,Sheet3!$H$2:$O$200,T$1,FALSE),VLOOKUP($F180,Sheet3!$H$2:$O$200,T$1,FALSE))),$I$1),$I$1)</f>
        <v>0</v>
      </c>
      <c r="U180" s="15">
        <f>IFERROR(IF(ISBLANK(N180),IFERROR(VLOOKUP($D180,Sheet3!$H$2:$O$200,U$1,FALSE),IFERROR(VLOOKUP($E180,Sheet3!$H$2:$O$200,U$1,FALSE),VLOOKUP($F180,Sheet3!$H$2:$O$200,U$1,FALSE))),$I$1),$I$1)</f>
        <v>0</v>
      </c>
      <c r="V180" s="15">
        <f>IFERROR(IF(ISBLANK(O180),IFERROR(VLOOKUP($D180,Sheet3!$H$2:$O$200,V$1,FALSE),IFERROR(VLOOKUP($E180,Sheet3!$H$2:$O$200,V$1,FALSE),VLOOKUP($F180,Sheet3!$H$2:$O$200,V$1,FALSE))),$I$1),$I$1)</f>
        <v>0</v>
      </c>
      <c r="W180" s="15">
        <f>IFERROR(IF(ISBLANK(P180),IFERROR(VLOOKUP($D180,Sheet3!$H$2:$O$200,W$1,FALSE),IFERROR(VLOOKUP($E180,Sheet3!$H$2:$O$200,W$1,FALSE),VLOOKUP($F180,Sheet3!$H$2:$O$200,W$1,FALSE))),$I$1),$I$1)</f>
        <v>0</v>
      </c>
      <c r="X180" s="15">
        <f>IFERROR(IF(ISBLANK(Q180),IFERROR(VLOOKUP($E180,Sheet3!$H$2:$O$200,X$1,FALSE),IFERROR(VLOOKUP($F180,Sheet3!$H$2:$O$200,X$1,FALSE),VLOOKUP($G180,Sheet3!$H$2:$O$200,X$1,FALSE))),$I$1),$I$1)</f>
        <v>0</v>
      </c>
      <c r="Y180" s="15">
        <f>IFERROR(IF(ISBLANK(R180),IFERROR(VLOOKUP($E180,Sheet3!$H$2:$O$200,Y$1,FALSE),IFERROR(VLOOKUP($F180,Sheet3!$H$2:$O$200,Y$1,FALSE),VLOOKUP($G180,Sheet3!$H$2:$O$200,Y$1,FALSE))),$I$1),$I$1)</f>
        <v>0</v>
      </c>
      <c r="Z180" s="15">
        <f>IFERROR(IF(ISBLANK(S180),IFERROR(VLOOKUP($E180,Sheet3!$H$2:$O$200,Z$1,FALSE),IFERROR(VLOOKUP($F180,Sheet3!$H$2:$O$200,Z$1,FALSE),VLOOKUP($G180,Sheet3!$H$2:$O$200,Z$1,FALSE))),$I$1),$I$1)</f>
        <v>0</v>
      </c>
      <c r="AA180" s="15">
        <f>IFERROR(IF(ISBLANK(T180),IFERROR(VLOOKUP($E180,Sheet3!$H$2:$O$200,AA$1,FALSE),IFERROR(VLOOKUP($F180,Sheet3!$H$2:$O$200,AA$1,FALSE),VLOOKUP($G180,Sheet3!$H$2:$O$200,AA$1,FALSE))),$I$1),$I$1)</f>
        <v>0</v>
      </c>
      <c r="AB180" s="15">
        <f>IFERROR(IF(ISBLANK(U180),IFERROR(VLOOKUP($E180,Sheet3!$H$2:$O$200,AB$1,FALSE),IFERROR(VLOOKUP($F180,Sheet3!$H$2:$O$200,AB$1,FALSE),VLOOKUP($G180,Sheet3!$H$2:$O$200,AB$1,FALSE))),$I$1),$I$1)</f>
        <v>0</v>
      </c>
      <c r="AC180" s="15">
        <f>IFERROR(IF(ISBLANK(V180),IFERROR(VLOOKUP($E180,Sheet3!$H$2:$O$200,AC$1,FALSE),IFERROR(VLOOKUP($F180,Sheet3!$H$2:$O$200,AC$1,FALSE),VLOOKUP($G180,Sheet3!$H$2:$O$200,AC$1,FALSE))),$I$1),$I$1)</f>
        <v>0</v>
      </c>
      <c r="AD180" s="15">
        <f>IFERROR(IF(ISBLANK(W180),IFERROR(VLOOKUP($E180,Sheet3!$H$2:$O$200,AD$1,FALSE),IFERROR(VLOOKUP($F180,Sheet3!$H$2:$O$200,AD$1,FALSE),VLOOKUP($G180,Sheet3!$H$2:$O$200,AD$1,FALSE))),$I$1),$I$1)</f>
        <v>0</v>
      </c>
      <c r="AE180" s="15">
        <f>IFERROR(IF(ISBLANK(X180),IFERROR(VLOOKUP($F180,Sheet3!$H$2:$O$200,AE$1,FALSE),VLOOKUP($G180,Sheet3!$H$2:$O$200,AE$1,FALSE)),$I$1),$I$1)</f>
        <v>0</v>
      </c>
      <c r="AF180" s="15">
        <f>IFERROR(IF(ISBLANK(Y180),IFERROR(VLOOKUP($F180,Sheet3!$H$2:$O$200,AF$1,FALSE),VLOOKUP($G180,Sheet3!$H$2:$O$200,AF$1,FALSE)),$I$1),$I$1)</f>
        <v>0</v>
      </c>
      <c r="AG180" s="15">
        <f>IFERROR(IF(ISBLANK(Z180),IFERROR(VLOOKUP($F180,Sheet3!$H$2:$O$200,AG$1,FALSE),VLOOKUP($G180,Sheet3!$H$2:$O$200,AG$1,FALSE)),$I$1),$I$1)</f>
        <v>0</v>
      </c>
      <c r="AH180" s="15">
        <f>IFERROR(IF(ISBLANK(AA180),IFERROR(VLOOKUP($F180,Sheet3!$H$2:$O$200,AH$1,FALSE),VLOOKUP($G180,Sheet3!$H$2:$O$200,AH$1,FALSE)),$I$1),$I$1)</f>
        <v>0</v>
      </c>
      <c r="AI180" s="15">
        <f>IFERROR(IF(ISBLANK(AB180),IFERROR(VLOOKUP($F180,Sheet3!$H$2:$O$200,AI$1,FALSE),VLOOKUP($G180,Sheet3!$H$2:$O$200,AI$1,FALSE)),$I$1),$I$1)</f>
        <v>0</v>
      </c>
      <c r="AJ180" s="15">
        <f>IFERROR(IF(ISBLANK(AC180),IFERROR(VLOOKUP($F180,Sheet3!$H$2:$O$200,AJ$1,FALSE),VLOOKUP($G180,Sheet3!$H$2:$O$200,AJ$1,FALSE)),$I$1),$I$1)</f>
        <v>0</v>
      </c>
      <c r="AK180" s="15">
        <f>IFERROR(IF(ISBLANK(AD180),IFERROR(VLOOKUP($F180,Sheet3!$H$2:$O$200,AK$1,FALSE),VLOOKUP($G180,Sheet3!$H$2:$O$200,AK$1,FALSE)),$I$1),$I$1)</f>
        <v>0</v>
      </c>
      <c r="AL180" s="15">
        <f>IFERROR(IF(ISBLANK(AE180),VLOOKUP($G180,Sheet3!$H$2:$O$200,AL$1,FALSE),$I$1),$I$1)</f>
        <v>0</v>
      </c>
      <c r="AM180" s="15">
        <f>IFERROR(IF(ISBLANK(AF180),VLOOKUP($G180,Sheet3!$H$2:$O$200,AM$1,FALSE),$I$1),$I$1)</f>
        <v>0</v>
      </c>
      <c r="AN180" s="15">
        <f>IFERROR(IF(ISBLANK(AG180),VLOOKUP($G180,Sheet3!$H$2:$O$200,AN$1,FALSE),$I$1),$I$1)</f>
        <v>0</v>
      </c>
      <c r="AO180" s="15">
        <f>IFERROR(IF(ISBLANK(AH180),VLOOKUP($G180,Sheet3!$H$2:$O$200,AO$1,FALSE),$I$1),$I$1)</f>
        <v>0</v>
      </c>
      <c r="AP180" s="15">
        <f>IFERROR(IF(ISBLANK(AI180),VLOOKUP($G180,Sheet3!$H$2:$O$200,AP$1,FALSE),$I$1),$I$1)</f>
        <v>0</v>
      </c>
      <c r="AQ180" s="15">
        <f>IFERROR(IF(ISBLANK(AJ180),VLOOKUP($G180,Sheet3!$H$2:$O$200,AQ$1,FALSE),$I$1),$I$1)</f>
        <v>0</v>
      </c>
      <c r="AR180" s="15">
        <f>IFERROR(IF(ISBLANK(AK180),VLOOKUP($G180,Sheet3!$H$2:$O$200,AR$1,FALSE),$I$1),$I$1)</f>
        <v>0</v>
      </c>
      <c r="AS180" s="15">
        <f t="shared" si="1"/>
        <v>28</v>
      </c>
      <c r="AT180" s="15" t="b">
        <f t="shared" si="2"/>
        <v>0</v>
      </c>
    </row>
    <row r="181" spans="1:46" x14ac:dyDescent="0.2">
      <c r="A181" s="19" t="s">
        <v>355</v>
      </c>
      <c r="B181" s="19" t="s">
        <v>354</v>
      </c>
      <c r="C181" s="19" t="s">
        <v>57</v>
      </c>
      <c r="D181" s="19" t="s">
        <v>38</v>
      </c>
      <c r="E181" s="19"/>
      <c r="F181" s="19"/>
      <c r="G181" s="19"/>
      <c r="H181" s="19" t="s">
        <v>355</v>
      </c>
      <c r="I181" s="15">
        <f t="shared" si="0"/>
        <v>2</v>
      </c>
      <c r="J181" s="15">
        <f>IFERROR(VLOOKUP($C181,Sheet3!$H$2:$O$200,J$1,FALSE),IFERROR(VLOOKUP($D181,Sheet3!$H$2:$O$200,J$1,FALSE),VLOOKUP($E181,Sheet3!$H$2:$O$200,J$1,FALSE)))</f>
        <v>0</v>
      </c>
      <c r="K181" s="15">
        <f>IFERROR(VLOOKUP($C181,Sheet3!$H$2:$O$200,K$1,FALSE),IFERROR(VLOOKUP($D181,Sheet3!$H$2:$O$200,K$1,FALSE),VLOOKUP($E181,Sheet3!$H$2:$O$200,K$1,FALSE)))</f>
        <v>0</v>
      </c>
      <c r="L181" s="15">
        <f>IFERROR(VLOOKUP($C181,Sheet3!$H$2:$O$200,L$1,FALSE),IFERROR(VLOOKUP($D181,Sheet3!$H$2:$O$200,L$1,FALSE),VLOOKUP($E181,Sheet3!$H$2:$O$200,L$1,FALSE)))</f>
        <v>0</v>
      </c>
      <c r="M181" s="15" t="str">
        <f>IFERROR(VLOOKUP($C181,Sheet3!$H$2:$O$200,M$1,FALSE),IFERROR(VLOOKUP($D181,Sheet3!$H$2:$O$200,M$1,FALSE),VLOOKUP($E181,Sheet3!$H$2:$O$200,M$1,FALSE)))</f>
        <v>crème de noyau</v>
      </c>
      <c r="N181" s="15">
        <f>IFERROR(VLOOKUP($C181,Sheet3!$H$2:$O$200,N$1,FALSE),IFERROR(VLOOKUP($D181,Sheet3!$H$2:$O$200,N$1,FALSE),VLOOKUP($E181,Sheet3!$H$2:$O$200,N$1,FALSE)))</f>
        <v>0</v>
      </c>
      <c r="O181" s="15">
        <f>IFERROR(VLOOKUP($C181,Sheet3!$H$2:$O$200,O$1,FALSE),IFERROR(VLOOKUP($D181,Sheet3!$H$2:$O$200,O$1,FALSE),VLOOKUP($E181,Sheet3!$H$2:$O$200,O$1,FALSE)))</f>
        <v>0</v>
      </c>
      <c r="P181" s="15">
        <f>IFERROR(VLOOKUP($C181,Sheet3!$H$2:$O$200,P$1,FALSE),IFERROR(VLOOKUP($D181,Sheet3!$H$2:$O$200,P$1,FALSE),VLOOKUP($E181,Sheet3!$H$2:$O$200,P$1,FALSE)))</f>
        <v>0</v>
      </c>
      <c r="Q181" s="15">
        <f>IFERROR(IF(ISBLANK(J181),IFERROR(VLOOKUP($D181,Sheet3!$H$2:$O$200,Q$1,FALSE),IFERROR(VLOOKUP($E181,Sheet3!$H$2:$O$200,Q$1,FALSE),VLOOKUP($F181,Sheet3!$H$2:$O$200,Q$1,FALSE))),$I$1),$I$1)</f>
        <v>0</v>
      </c>
      <c r="R181" s="15">
        <f>IFERROR(IF(ISBLANK(K181),IFERROR(VLOOKUP($D181,Sheet3!$H$2:$O$200,R$1,FALSE),IFERROR(VLOOKUP($E181,Sheet3!$H$2:$O$200,R$1,FALSE),VLOOKUP($F181,Sheet3!$H$2:$O$200,R$1,FALSE))),$I$1),$I$1)</f>
        <v>0</v>
      </c>
      <c r="S181" s="15">
        <f>IFERROR(IF(ISBLANK(L181),IFERROR(VLOOKUP($D181,Sheet3!$H$2:$O$200,S$1,FALSE),IFERROR(VLOOKUP($E181,Sheet3!$H$2:$O$200,S$1,FALSE),VLOOKUP($F181,Sheet3!$H$2:$O$200,S$1,FALSE))),$I$1),$I$1)</f>
        <v>0</v>
      </c>
      <c r="T181" s="15">
        <f>IFERROR(IF(ISBLANK(M181),IFERROR(VLOOKUP($D181,Sheet3!$H$2:$O$200,T$1,FALSE),IFERROR(VLOOKUP($E181,Sheet3!$H$2:$O$200,T$1,FALSE),VLOOKUP($F181,Sheet3!$H$2:$O$200,T$1,FALSE))),$I$1),$I$1)</f>
        <v>0</v>
      </c>
      <c r="U181" s="15">
        <f>IFERROR(IF(ISBLANK(N181),IFERROR(VLOOKUP($D181,Sheet3!$H$2:$O$200,U$1,FALSE),IFERROR(VLOOKUP($E181,Sheet3!$H$2:$O$200,U$1,FALSE),VLOOKUP($F181,Sheet3!$H$2:$O$200,U$1,FALSE))),$I$1),$I$1)</f>
        <v>0</v>
      </c>
      <c r="V181" s="15">
        <f>IFERROR(IF(ISBLANK(O181),IFERROR(VLOOKUP($D181,Sheet3!$H$2:$O$200,V$1,FALSE),IFERROR(VLOOKUP($E181,Sheet3!$H$2:$O$200,V$1,FALSE),VLOOKUP($F181,Sheet3!$H$2:$O$200,V$1,FALSE))),$I$1),$I$1)</f>
        <v>0</v>
      </c>
      <c r="W181" s="15">
        <f>IFERROR(IF(ISBLANK(P181),IFERROR(VLOOKUP($D181,Sheet3!$H$2:$O$200,W$1,FALSE),IFERROR(VLOOKUP($E181,Sheet3!$H$2:$O$200,W$1,FALSE),VLOOKUP($F181,Sheet3!$H$2:$O$200,W$1,FALSE))),$I$1),$I$1)</f>
        <v>0</v>
      </c>
      <c r="X181" s="15">
        <f>IFERROR(IF(ISBLANK(Q181),IFERROR(VLOOKUP($E181,Sheet3!$H$2:$O$200,X$1,FALSE),IFERROR(VLOOKUP($F181,Sheet3!$H$2:$O$200,X$1,FALSE),VLOOKUP($G181,Sheet3!$H$2:$O$200,X$1,FALSE))),$I$1),$I$1)</f>
        <v>0</v>
      </c>
      <c r="Y181" s="15">
        <f>IFERROR(IF(ISBLANK(R181),IFERROR(VLOOKUP($E181,Sheet3!$H$2:$O$200,Y$1,FALSE),IFERROR(VLOOKUP($F181,Sheet3!$H$2:$O$200,Y$1,FALSE),VLOOKUP($G181,Sheet3!$H$2:$O$200,Y$1,FALSE))),$I$1),$I$1)</f>
        <v>0</v>
      </c>
      <c r="Z181" s="15">
        <f>IFERROR(IF(ISBLANK(S181),IFERROR(VLOOKUP($E181,Sheet3!$H$2:$O$200,Z$1,FALSE),IFERROR(VLOOKUP($F181,Sheet3!$H$2:$O$200,Z$1,FALSE),VLOOKUP($G181,Sheet3!$H$2:$O$200,Z$1,FALSE))),$I$1),$I$1)</f>
        <v>0</v>
      </c>
      <c r="AA181" s="15">
        <f>IFERROR(IF(ISBLANK(T181),IFERROR(VLOOKUP($E181,Sheet3!$H$2:$O$200,AA$1,FALSE),IFERROR(VLOOKUP($F181,Sheet3!$H$2:$O$200,AA$1,FALSE),VLOOKUP($G181,Sheet3!$H$2:$O$200,AA$1,FALSE))),$I$1),$I$1)</f>
        <v>0</v>
      </c>
      <c r="AB181" s="15">
        <f>IFERROR(IF(ISBLANK(U181),IFERROR(VLOOKUP($E181,Sheet3!$H$2:$O$200,AB$1,FALSE),IFERROR(VLOOKUP($F181,Sheet3!$H$2:$O$200,AB$1,FALSE),VLOOKUP($G181,Sheet3!$H$2:$O$200,AB$1,FALSE))),$I$1),$I$1)</f>
        <v>0</v>
      </c>
      <c r="AC181" s="15">
        <f>IFERROR(IF(ISBLANK(V181),IFERROR(VLOOKUP($E181,Sheet3!$H$2:$O$200,AC$1,FALSE),IFERROR(VLOOKUP($F181,Sheet3!$H$2:$O$200,AC$1,FALSE),VLOOKUP($G181,Sheet3!$H$2:$O$200,AC$1,FALSE))),$I$1),$I$1)</f>
        <v>0</v>
      </c>
      <c r="AD181" s="15">
        <f>IFERROR(IF(ISBLANK(W181),IFERROR(VLOOKUP($E181,Sheet3!$H$2:$O$200,AD$1,FALSE),IFERROR(VLOOKUP($F181,Sheet3!$H$2:$O$200,AD$1,FALSE),VLOOKUP($G181,Sheet3!$H$2:$O$200,AD$1,FALSE))),$I$1),$I$1)</f>
        <v>0</v>
      </c>
      <c r="AE181" s="15">
        <f>IFERROR(IF(ISBLANK(X181),IFERROR(VLOOKUP($F181,Sheet3!$H$2:$O$200,AE$1,FALSE),VLOOKUP($G181,Sheet3!$H$2:$O$200,AE$1,FALSE)),$I$1),$I$1)</f>
        <v>0</v>
      </c>
      <c r="AF181" s="15">
        <f>IFERROR(IF(ISBLANK(Y181),IFERROR(VLOOKUP($F181,Sheet3!$H$2:$O$200,AF$1,FALSE),VLOOKUP($G181,Sheet3!$H$2:$O$200,AF$1,FALSE)),$I$1),$I$1)</f>
        <v>0</v>
      </c>
      <c r="AG181" s="15">
        <f>IFERROR(IF(ISBLANK(Z181),IFERROR(VLOOKUP($F181,Sheet3!$H$2:$O$200,AG$1,FALSE),VLOOKUP($G181,Sheet3!$H$2:$O$200,AG$1,FALSE)),$I$1),$I$1)</f>
        <v>0</v>
      </c>
      <c r="AH181" s="15">
        <f>IFERROR(IF(ISBLANK(AA181),IFERROR(VLOOKUP($F181,Sheet3!$H$2:$O$200,AH$1,FALSE),VLOOKUP($G181,Sheet3!$H$2:$O$200,AH$1,FALSE)),$I$1),$I$1)</f>
        <v>0</v>
      </c>
      <c r="AI181" s="15">
        <f>IFERROR(IF(ISBLANK(AB181),IFERROR(VLOOKUP($F181,Sheet3!$H$2:$O$200,AI$1,FALSE),VLOOKUP($G181,Sheet3!$H$2:$O$200,AI$1,FALSE)),$I$1),$I$1)</f>
        <v>0</v>
      </c>
      <c r="AJ181" s="15">
        <f>IFERROR(IF(ISBLANK(AC181),IFERROR(VLOOKUP($F181,Sheet3!$H$2:$O$200,AJ$1,FALSE),VLOOKUP($G181,Sheet3!$H$2:$O$200,AJ$1,FALSE)),$I$1),$I$1)</f>
        <v>0</v>
      </c>
      <c r="AK181" s="15">
        <f>IFERROR(IF(ISBLANK(AD181),IFERROR(VLOOKUP($F181,Sheet3!$H$2:$O$200,AK$1,FALSE),VLOOKUP($G181,Sheet3!$H$2:$O$200,AK$1,FALSE)),$I$1),$I$1)</f>
        <v>0</v>
      </c>
      <c r="AL181" s="15">
        <f>IFERROR(IF(ISBLANK(AE181),VLOOKUP($G181,Sheet3!$H$2:$O$200,AL$1,FALSE),$I$1),$I$1)</f>
        <v>0</v>
      </c>
      <c r="AM181" s="15">
        <f>IFERROR(IF(ISBLANK(AF181),VLOOKUP($G181,Sheet3!$H$2:$O$200,AM$1,FALSE),$I$1),$I$1)</f>
        <v>0</v>
      </c>
      <c r="AN181" s="15">
        <f>IFERROR(IF(ISBLANK(AG181),VLOOKUP($G181,Sheet3!$H$2:$O$200,AN$1,FALSE),$I$1),$I$1)</f>
        <v>0</v>
      </c>
      <c r="AO181" s="15">
        <f>IFERROR(IF(ISBLANK(AH181),VLOOKUP($G181,Sheet3!$H$2:$O$200,AO$1,FALSE),$I$1),$I$1)</f>
        <v>0</v>
      </c>
      <c r="AP181" s="15">
        <f>IFERROR(IF(ISBLANK(AI181),VLOOKUP($G181,Sheet3!$H$2:$O$200,AP$1,FALSE),$I$1),$I$1)</f>
        <v>0</v>
      </c>
      <c r="AQ181" s="15">
        <f>IFERROR(IF(ISBLANK(AJ181),VLOOKUP($G181,Sheet3!$H$2:$O$200,AQ$1,FALSE),$I$1),$I$1)</f>
        <v>0</v>
      </c>
      <c r="AR181" s="15">
        <f>IFERROR(IF(ISBLANK(AK181),VLOOKUP($G181,Sheet3!$H$2:$O$200,AR$1,FALSE),$I$1),$I$1)</f>
        <v>0</v>
      </c>
      <c r="AS181" s="15">
        <f t="shared" si="1"/>
        <v>28</v>
      </c>
      <c r="AT181" s="15" t="b">
        <f t="shared" si="2"/>
        <v>0</v>
      </c>
    </row>
    <row r="182" spans="1:46" x14ac:dyDescent="0.2">
      <c r="A182" s="19" t="s">
        <v>356</v>
      </c>
      <c r="B182" s="19" t="s">
        <v>357</v>
      </c>
      <c r="C182" s="19" t="s">
        <v>30</v>
      </c>
      <c r="D182" s="19"/>
      <c r="E182" s="19"/>
      <c r="F182" s="19"/>
      <c r="G182" s="19"/>
      <c r="H182" s="19" t="s">
        <v>356</v>
      </c>
      <c r="I182" s="15">
        <f t="shared" si="0"/>
        <v>1</v>
      </c>
      <c r="J182" s="15">
        <f>IFERROR(VLOOKUP($C182,Sheet3!$H$2:$O$200,J$1,FALSE),IFERROR(VLOOKUP($D182,Sheet3!$H$2:$O$200,J$1,FALSE),VLOOKUP($E182,Sheet3!$H$2:$O$200,J$1,FALSE)))</f>
        <v>0</v>
      </c>
      <c r="K182" s="15">
        <f>IFERROR(VLOOKUP($C182,Sheet3!$H$2:$O$200,K$1,FALSE),IFERROR(VLOOKUP($D182,Sheet3!$H$2:$O$200,K$1,FALSE),VLOOKUP($E182,Sheet3!$H$2:$O$200,K$1,FALSE)))</f>
        <v>0</v>
      </c>
      <c r="L182" s="15">
        <f>IFERROR(VLOOKUP($C182,Sheet3!$H$2:$O$200,L$1,FALSE),IFERROR(VLOOKUP($D182,Sheet3!$H$2:$O$200,L$1,FALSE),VLOOKUP($E182,Sheet3!$H$2:$O$200,L$1,FALSE)))</f>
        <v>0</v>
      </c>
      <c r="M182" s="15" t="str">
        <f>IFERROR(VLOOKUP($C182,Sheet3!$H$2:$O$200,M$1,FALSE),IFERROR(VLOOKUP($D182,Sheet3!$H$2:$O$200,M$1,FALSE),VLOOKUP($E182,Sheet3!$H$2:$O$200,M$1,FALSE)))</f>
        <v>amaretto</v>
      </c>
      <c r="N182" s="15">
        <f>IFERROR(VLOOKUP($C182,Sheet3!$H$2:$O$200,N$1,FALSE),IFERROR(VLOOKUP($D182,Sheet3!$H$2:$O$200,N$1,FALSE),VLOOKUP($E182,Sheet3!$H$2:$O$200,N$1,FALSE)))</f>
        <v>0</v>
      </c>
      <c r="O182" s="15">
        <f>IFERROR(VLOOKUP($C182,Sheet3!$H$2:$O$200,O$1,FALSE),IFERROR(VLOOKUP($D182,Sheet3!$H$2:$O$200,O$1,FALSE),VLOOKUP($E182,Sheet3!$H$2:$O$200,O$1,FALSE)))</f>
        <v>0</v>
      </c>
      <c r="P182" s="15">
        <f>IFERROR(VLOOKUP($C182,Sheet3!$H$2:$O$200,P$1,FALSE),IFERROR(VLOOKUP($D182,Sheet3!$H$2:$O$200,P$1,FALSE),VLOOKUP($E182,Sheet3!$H$2:$O$200,P$1,FALSE)))</f>
        <v>0</v>
      </c>
      <c r="Q182" s="15">
        <f>IFERROR(IF(ISBLANK(J182),IFERROR(VLOOKUP($D182,Sheet3!$H$2:$O$200,Q$1,FALSE),IFERROR(VLOOKUP($E182,Sheet3!$H$2:$O$200,Q$1,FALSE),VLOOKUP($F182,Sheet3!$H$2:$O$200,Q$1,FALSE))),$I$1),$I$1)</f>
        <v>0</v>
      </c>
      <c r="R182" s="15">
        <f>IFERROR(IF(ISBLANK(K182),IFERROR(VLOOKUP($D182,Sheet3!$H$2:$O$200,R$1,FALSE),IFERROR(VLOOKUP($E182,Sheet3!$H$2:$O$200,R$1,FALSE),VLOOKUP($F182,Sheet3!$H$2:$O$200,R$1,FALSE))),$I$1),$I$1)</f>
        <v>0</v>
      </c>
      <c r="S182" s="15">
        <f>IFERROR(IF(ISBLANK(L182),IFERROR(VLOOKUP($D182,Sheet3!$H$2:$O$200,S$1,FALSE),IFERROR(VLOOKUP($E182,Sheet3!$H$2:$O$200,S$1,FALSE),VLOOKUP($F182,Sheet3!$H$2:$O$200,S$1,FALSE))),$I$1),$I$1)</f>
        <v>0</v>
      </c>
      <c r="T182" s="15">
        <f>IFERROR(IF(ISBLANK(M182),IFERROR(VLOOKUP($D182,Sheet3!$H$2:$O$200,T$1,FALSE),IFERROR(VLOOKUP($E182,Sheet3!$H$2:$O$200,T$1,FALSE),VLOOKUP($F182,Sheet3!$H$2:$O$200,T$1,FALSE))),$I$1),$I$1)</f>
        <v>0</v>
      </c>
      <c r="U182" s="15">
        <f>IFERROR(IF(ISBLANK(N182),IFERROR(VLOOKUP($D182,Sheet3!$H$2:$O$200,U$1,FALSE),IFERROR(VLOOKUP($E182,Sheet3!$H$2:$O$200,U$1,FALSE),VLOOKUP($F182,Sheet3!$H$2:$O$200,U$1,FALSE))),$I$1),$I$1)</f>
        <v>0</v>
      </c>
      <c r="V182" s="15">
        <f>IFERROR(IF(ISBLANK(O182),IFERROR(VLOOKUP($D182,Sheet3!$H$2:$O$200,V$1,FALSE),IFERROR(VLOOKUP($E182,Sheet3!$H$2:$O$200,V$1,FALSE),VLOOKUP($F182,Sheet3!$H$2:$O$200,V$1,FALSE))),$I$1),$I$1)</f>
        <v>0</v>
      </c>
      <c r="W182" s="15">
        <f>IFERROR(IF(ISBLANK(P182),IFERROR(VLOOKUP($D182,Sheet3!$H$2:$O$200,W$1,FALSE),IFERROR(VLOOKUP($E182,Sheet3!$H$2:$O$200,W$1,FALSE),VLOOKUP($F182,Sheet3!$H$2:$O$200,W$1,FALSE))),$I$1),$I$1)</f>
        <v>0</v>
      </c>
      <c r="X182" s="15">
        <f>IFERROR(IF(ISBLANK(Q182),IFERROR(VLOOKUP($E182,Sheet3!$H$2:$O$200,X$1,FALSE),IFERROR(VLOOKUP($F182,Sheet3!$H$2:$O$200,X$1,FALSE),VLOOKUP($G182,Sheet3!$H$2:$O$200,X$1,FALSE))),$I$1),$I$1)</f>
        <v>0</v>
      </c>
      <c r="Y182" s="15">
        <f>IFERROR(IF(ISBLANK(R182),IFERROR(VLOOKUP($E182,Sheet3!$H$2:$O$200,Y$1,FALSE),IFERROR(VLOOKUP($F182,Sheet3!$H$2:$O$200,Y$1,FALSE),VLOOKUP($G182,Sheet3!$H$2:$O$200,Y$1,FALSE))),$I$1),$I$1)</f>
        <v>0</v>
      </c>
      <c r="Z182" s="15">
        <f>IFERROR(IF(ISBLANK(S182),IFERROR(VLOOKUP($E182,Sheet3!$H$2:$O$200,Z$1,FALSE),IFERROR(VLOOKUP($F182,Sheet3!$H$2:$O$200,Z$1,FALSE),VLOOKUP($G182,Sheet3!$H$2:$O$200,Z$1,FALSE))),$I$1),$I$1)</f>
        <v>0</v>
      </c>
      <c r="AA182" s="15">
        <f>IFERROR(IF(ISBLANK(T182),IFERROR(VLOOKUP($E182,Sheet3!$H$2:$O$200,AA$1,FALSE),IFERROR(VLOOKUP($F182,Sheet3!$H$2:$O$200,AA$1,FALSE),VLOOKUP($G182,Sheet3!$H$2:$O$200,AA$1,FALSE))),$I$1),$I$1)</f>
        <v>0</v>
      </c>
      <c r="AB182" s="15">
        <f>IFERROR(IF(ISBLANK(U182),IFERROR(VLOOKUP($E182,Sheet3!$H$2:$O$200,AB$1,FALSE),IFERROR(VLOOKUP($F182,Sheet3!$H$2:$O$200,AB$1,FALSE),VLOOKUP($G182,Sheet3!$H$2:$O$200,AB$1,FALSE))),$I$1),$I$1)</f>
        <v>0</v>
      </c>
      <c r="AC182" s="15">
        <f>IFERROR(IF(ISBLANK(V182),IFERROR(VLOOKUP($E182,Sheet3!$H$2:$O$200,AC$1,FALSE),IFERROR(VLOOKUP($F182,Sheet3!$H$2:$O$200,AC$1,FALSE),VLOOKUP($G182,Sheet3!$H$2:$O$200,AC$1,FALSE))),$I$1),$I$1)</f>
        <v>0</v>
      </c>
      <c r="AD182" s="15">
        <f>IFERROR(IF(ISBLANK(W182),IFERROR(VLOOKUP($E182,Sheet3!$H$2:$O$200,AD$1,FALSE),IFERROR(VLOOKUP($F182,Sheet3!$H$2:$O$200,AD$1,FALSE),VLOOKUP($G182,Sheet3!$H$2:$O$200,AD$1,FALSE))),$I$1),$I$1)</f>
        <v>0</v>
      </c>
      <c r="AE182" s="15">
        <f>IFERROR(IF(ISBLANK(X182),IFERROR(VLOOKUP($F182,Sheet3!$H$2:$O$200,AE$1,FALSE),VLOOKUP($G182,Sheet3!$H$2:$O$200,AE$1,FALSE)),$I$1),$I$1)</f>
        <v>0</v>
      </c>
      <c r="AF182" s="15">
        <f>IFERROR(IF(ISBLANK(Y182),IFERROR(VLOOKUP($F182,Sheet3!$H$2:$O$200,AF$1,FALSE),VLOOKUP($G182,Sheet3!$H$2:$O$200,AF$1,FALSE)),$I$1),$I$1)</f>
        <v>0</v>
      </c>
      <c r="AG182" s="15">
        <f>IFERROR(IF(ISBLANK(Z182),IFERROR(VLOOKUP($F182,Sheet3!$H$2:$O$200,AG$1,FALSE),VLOOKUP($G182,Sheet3!$H$2:$O$200,AG$1,FALSE)),$I$1),$I$1)</f>
        <v>0</v>
      </c>
      <c r="AH182" s="15">
        <f>IFERROR(IF(ISBLANK(AA182),IFERROR(VLOOKUP($F182,Sheet3!$H$2:$O$200,AH$1,FALSE),VLOOKUP($G182,Sheet3!$H$2:$O$200,AH$1,FALSE)),$I$1),$I$1)</f>
        <v>0</v>
      </c>
      <c r="AI182" s="15">
        <f>IFERROR(IF(ISBLANK(AB182),IFERROR(VLOOKUP($F182,Sheet3!$H$2:$O$200,AI$1,FALSE),VLOOKUP($G182,Sheet3!$H$2:$O$200,AI$1,FALSE)),$I$1),$I$1)</f>
        <v>0</v>
      </c>
      <c r="AJ182" s="15">
        <f>IFERROR(IF(ISBLANK(AC182),IFERROR(VLOOKUP($F182,Sheet3!$H$2:$O$200,AJ$1,FALSE),VLOOKUP($G182,Sheet3!$H$2:$O$200,AJ$1,FALSE)),$I$1),$I$1)</f>
        <v>0</v>
      </c>
      <c r="AK182" s="15">
        <f>IFERROR(IF(ISBLANK(AD182),IFERROR(VLOOKUP($F182,Sheet3!$H$2:$O$200,AK$1,FALSE),VLOOKUP($G182,Sheet3!$H$2:$O$200,AK$1,FALSE)),$I$1),$I$1)</f>
        <v>0</v>
      </c>
      <c r="AL182" s="15">
        <f>IFERROR(IF(ISBLANK(AE182),VLOOKUP($G182,Sheet3!$H$2:$O$200,AL$1,FALSE),$I$1),$I$1)</f>
        <v>0</v>
      </c>
      <c r="AM182" s="15">
        <f>IFERROR(IF(ISBLANK(AF182),VLOOKUP($G182,Sheet3!$H$2:$O$200,AM$1,FALSE),$I$1),$I$1)</f>
        <v>0</v>
      </c>
      <c r="AN182" s="15">
        <f>IFERROR(IF(ISBLANK(AG182),VLOOKUP($G182,Sheet3!$H$2:$O$200,AN$1,FALSE),$I$1),$I$1)</f>
        <v>0</v>
      </c>
      <c r="AO182" s="15">
        <f>IFERROR(IF(ISBLANK(AH182),VLOOKUP($G182,Sheet3!$H$2:$O$200,AO$1,FALSE),$I$1),$I$1)</f>
        <v>0</v>
      </c>
      <c r="AP182" s="15">
        <f>IFERROR(IF(ISBLANK(AI182),VLOOKUP($G182,Sheet3!$H$2:$O$200,AP$1,FALSE),$I$1),$I$1)</f>
        <v>0</v>
      </c>
      <c r="AQ182" s="15">
        <f>IFERROR(IF(ISBLANK(AJ182),VLOOKUP($G182,Sheet3!$H$2:$O$200,AQ$1,FALSE),$I$1),$I$1)</f>
        <v>0</v>
      </c>
      <c r="AR182" s="15">
        <f>IFERROR(IF(ISBLANK(AK182),VLOOKUP($G182,Sheet3!$H$2:$O$200,AR$1,FALSE),$I$1),$I$1)</f>
        <v>0</v>
      </c>
      <c r="AS182" s="15">
        <f t="shared" si="1"/>
        <v>28</v>
      </c>
      <c r="AT182" s="15" t="b">
        <f t="shared" si="2"/>
        <v>0</v>
      </c>
    </row>
    <row r="183" spans="1:46" x14ac:dyDescent="0.2">
      <c r="A183" s="19" t="s">
        <v>358</v>
      </c>
      <c r="B183" s="19" t="s">
        <v>357</v>
      </c>
      <c r="C183" s="19" t="s">
        <v>30</v>
      </c>
      <c r="D183" s="19"/>
      <c r="E183" s="19" t="s">
        <v>32</v>
      </c>
      <c r="F183" s="19"/>
      <c r="G183" s="19"/>
      <c r="H183" s="19" t="s">
        <v>358</v>
      </c>
      <c r="I183" s="15">
        <f t="shared" si="0"/>
        <v>2</v>
      </c>
      <c r="J183" s="15">
        <f>IFERROR(VLOOKUP($C183,Sheet3!$H$2:$O$200,J$1,FALSE),IFERROR(VLOOKUP($D183,Sheet3!$H$2:$O$200,J$1,FALSE),VLOOKUP($E183,Sheet3!$H$2:$O$200,J$1,FALSE)))</f>
        <v>0</v>
      </c>
      <c r="K183" s="15">
        <f>IFERROR(VLOOKUP($C183,Sheet3!$H$2:$O$200,K$1,FALSE),IFERROR(VLOOKUP($D183,Sheet3!$H$2:$O$200,K$1,FALSE),VLOOKUP($E183,Sheet3!$H$2:$O$200,K$1,FALSE)))</f>
        <v>0</v>
      </c>
      <c r="L183" s="15">
        <f>IFERROR(VLOOKUP($C183,Sheet3!$H$2:$O$200,L$1,FALSE),IFERROR(VLOOKUP($D183,Sheet3!$H$2:$O$200,L$1,FALSE),VLOOKUP($E183,Sheet3!$H$2:$O$200,L$1,FALSE)))</f>
        <v>0</v>
      </c>
      <c r="M183" s="15" t="str">
        <f>IFERROR(VLOOKUP($C183,Sheet3!$H$2:$O$200,M$1,FALSE),IFERROR(VLOOKUP($D183,Sheet3!$H$2:$O$200,M$1,FALSE),VLOOKUP($E183,Sheet3!$H$2:$O$200,M$1,FALSE)))</f>
        <v>amaretto</v>
      </c>
      <c r="N183" s="15">
        <f>IFERROR(VLOOKUP($C183,Sheet3!$H$2:$O$200,N$1,FALSE),IFERROR(VLOOKUP($D183,Sheet3!$H$2:$O$200,N$1,FALSE),VLOOKUP($E183,Sheet3!$H$2:$O$200,N$1,FALSE)))</f>
        <v>0</v>
      </c>
      <c r="O183" s="15">
        <f>IFERROR(VLOOKUP($C183,Sheet3!$H$2:$O$200,O$1,FALSE),IFERROR(VLOOKUP($D183,Sheet3!$H$2:$O$200,O$1,FALSE),VLOOKUP($E183,Sheet3!$H$2:$O$200,O$1,FALSE)))</f>
        <v>0</v>
      </c>
      <c r="P183" s="15">
        <f>IFERROR(VLOOKUP($C183,Sheet3!$H$2:$O$200,P$1,FALSE),IFERROR(VLOOKUP($D183,Sheet3!$H$2:$O$200,P$1,FALSE),VLOOKUP($E183,Sheet3!$H$2:$O$200,P$1,FALSE)))</f>
        <v>0</v>
      </c>
      <c r="Q183" s="15">
        <f>IFERROR(IF(ISBLANK(J183),IFERROR(VLOOKUP($D183,Sheet3!$H$2:$O$200,Q$1,FALSE),IFERROR(VLOOKUP($E183,Sheet3!$H$2:$O$200,Q$1,FALSE),VLOOKUP($F183,Sheet3!$H$2:$O$200,Q$1,FALSE))),$I$1),$I$1)</f>
        <v>0</v>
      </c>
      <c r="R183" s="15">
        <f>IFERROR(IF(ISBLANK(K183),IFERROR(VLOOKUP($D183,Sheet3!$H$2:$O$200,R$1,FALSE),IFERROR(VLOOKUP($E183,Sheet3!$H$2:$O$200,R$1,FALSE),VLOOKUP($F183,Sheet3!$H$2:$O$200,R$1,FALSE))),$I$1),$I$1)</f>
        <v>0</v>
      </c>
      <c r="S183" s="15">
        <f>IFERROR(IF(ISBLANK(L183),IFERROR(VLOOKUP($D183,Sheet3!$H$2:$O$200,S$1,FALSE),IFERROR(VLOOKUP($E183,Sheet3!$H$2:$O$200,S$1,FALSE),VLOOKUP($F183,Sheet3!$H$2:$O$200,S$1,FALSE))),$I$1),$I$1)</f>
        <v>0</v>
      </c>
      <c r="T183" s="15">
        <f>IFERROR(IF(ISBLANK(M183),IFERROR(VLOOKUP($D183,Sheet3!$H$2:$O$200,T$1,FALSE),IFERROR(VLOOKUP($E183,Sheet3!$H$2:$O$200,T$1,FALSE),VLOOKUP($F183,Sheet3!$H$2:$O$200,T$1,FALSE))),$I$1),$I$1)</f>
        <v>0</v>
      </c>
      <c r="U183" s="15">
        <f>IFERROR(IF(ISBLANK(N183),IFERROR(VLOOKUP($D183,Sheet3!$H$2:$O$200,U$1,FALSE),IFERROR(VLOOKUP($E183,Sheet3!$H$2:$O$200,U$1,FALSE),VLOOKUP($F183,Sheet3!$H$2:$O$200,U$1,FALSE))),$I$1),$I$1)</f>
        <v>0</v>
      </c>
      <c r="V183" s="15">
        <f>IFERROR(IF(ISBLANK(O183),IFERROR(VLOOKUP($D183,Sheet3!$H$2:$O$200,V$1,FALSE),IFERROR(VLOOKUP($E183,Sheet3!$H$2:$O$200,V$1,FALSE),VLOOKUP($F183,Sheet3!$H$2:$O$200,V$1,FALSE))),$I$1),$I$1)</f>
        <v>0</v>
      </c>
      <c r="W183" s="15">
        <f>IFERROR(IF(ISBLANK(P183),IFERROR(VLOOKUP($D183,Sheet3!$H$2:$O$200,W$1,FALSE),IFERROR(VLOOKUP($E183,Sheet3!$H$2:$O$200,W$1,FALSE),VLOOKUP($F183,Sheet3!$H$2:$O$200,W$1,FALSE))),$I$1),$I$1)</f>
        <v>0</v>
      </c>
      <c r="X183" s="15">
        <f>IFERROR(IF(ISBLANK(Q183),IFERROR(VLOOKUP($E183,Sheet3!$H$2:$O$200,X$1,FALSE),IFERROR(VLOOKUP($F183,Sheet3!$H$2:$O$200,X$1,FALSE),VLOOKUP($G183,Sheet3!$H$2:$O$200,X$1,FALSE))),$I$1),$I$1)</f>
        <v>0</v>
      </c>
      <c r="Y183" s="15">
        <f>IFERROR(IF(ISBLANK(R183),IFERROR(VLOOKUP($E183,Sheet3!$H$2:$O$200,Y$1,FALSE),IFERROR(VLOOKUP($F183,Sheet3!$H$2:$O$200,Y$1,FALSE),VLOOKUP($G183,Sheet3!$H$2:$O$200,Y$1,FALSE))),$I$1),$I$1)</f>
        <v>0</v>
      </c>
      <c r="Z183" s="15">
        <f>IFERROR(IF(ISBLANK(S183),IFERROR(VLOOKUP($E183,Sheet3!$H$2:$O$200,Z$1,FALSE),IFERROR(VLOOKUP($F183,Sheet3!$H$2:$O$200,Z$1,FALSE),VLOOKUP($G183,Sheet3!$H$2:$O$200,Z$1,FALSE))),$I$1),$I$1)</f>
        <v>0</v>
      </c>
      <c r="AA183" s="15">
        <f>IFERROR(IF(ISBLANK(T183),IFERROR(VLOOKUP($E183,Sheet3!$H$2:$O$200,AA$1,FALSE),IFERROR(VLOOKUP($F183,Sheet3!$H$2:$O$200,AA$1,FALSE),VLOOKUP($G183,Sheet3!$H$2:$O$200,AA$1,FALSE))),$I$1),$I$1)</f>
        <v>0</v>
      </c>
      <c r="AB183" s="15">
        <f>IFERROR(IF(ISBLANK(U183),IFERROR(VLOOKUP($E183,Sheet3!$H$2:$O$200,AB$1,FALSE),IFERROR(VLOOKUP($F183,Sheet3!$H$2:$O$200,AB$1,FALSE),VLOOKUP($G183,Sheet3!$H$2:$O$200,AB$1,FALSE))),$I$1),$I$1)</f>
        <v>0</v>
      </c>
      <c r="AC183" s="15">
        <f>IFERROR(IF(ISBLANK(V183),IFERROR(VLOOKUP($E183,Sheet3!$H$2:$O$200,AC$1,FALSE),IFERROR(VLOOKUP($F183,Sheet3!$H$2:$O$200,AC$1,FALSE),VLOOKUP($G183,Sheet3!$H$2:$O$200,AC$1,FALSE))),$I$1),$I$1)</f>
        <v>0</v>
      </c>
      <c r="AD183" s="15">
        <f>IFERROR(IF(ISBLANK(W183),IFERROR(VLOOKUP($E183,Sheet3!$H$2:$O$200,AD$1,FALSE),IFERROR(VLOOKUP($F183,Sheet3!$H$2:$O$200,AD$1,FALSE),VLOOKUP($G183,Sheet3!$H$2:$O$200,AD$1,FALSE))),$I$1),$I$1)</f>
        <v>0</v>
      </c>
      <c r="AE183" s="15">
        <f>IFERROR(IF(ISBLANK(X183),IFERROR(VLOOKUP($F183,Sheet3!$H$2:$O$200,AE$1,FALSE),VLOOKUP($G183,Sheet3!$H$2:$O$200,AE$1,FALSE)),$I$1),$I$1)</f>
        <v>0</v>
      </c>
      <c r="AF183" s="15">
        <f>IFERROR(IF(ISBLANK(Y183),IFERROR(VLOOKUP($F183,Sheet3!$H$2:$O$200,AF$1,FALSE),VLOOKUP($G183,Sheet3!$H$2:$O$200,AF$1,FALSE)),$I$1),$I$1)</f>
        <v>0</v>
      </c>
      <c r="AG183" s="15">
        <f>IFERROR(IF(ISBLANK(Z183),IFERROR(VLOOKUP($F183,Sheet3!$H$2:$O$200,AG$1,FALSE),VLOOKUP($G183,Sheet3!$H$2:$O$200,AG$1,FALSE)),$I$1),$I$1)</f>
        <v>0</v>
      </c>
      <c r="AH183" s="15">
        <f>IFERROR(IF(ISBLANK(AA183),IFERROR(VLOOKUP($F183,Sheet3!$H$2:$O$200,AH$1,FALSE),VLOOKUP($G183,Sheet3!$H$2:$O$200,AH$1,FALSE)),$I$1),$I$1)</f>
        <v>0</v>
      </c>
      <c r="AI183" s="15">
        <f>IFERROR(IF(ISBLANK(AB183),IFERROR(VLOOKUP($F183,Sheet3!$H$2:$O$200,AI$1,FALSE),VLOOKUP($G183,Sheet3!$H$2:$O$200,AI$1,FALSE)),$I$1),$I$1)</f>
        <v>0</v>
      </c>
      <c r="AJ183" s="15">
        <f>IFERROR(IF(ISBLANK(AC183),IFERROR(VLOOKUP($F183,Sheet3!$H$2:$O$200,AJ$1,FALSE),VLOOKUP($G183,Sheet3!$H$2:$O$200,AJ$1,FALSE)),$I$1),$I$1)</f>
        <v>0</v>
      </c>
      <c r="AK183" s="15">
        <f>IFERROR(IF(ISBLANK(AD183),IFERROR(VLOOKUP($F183,Sheet3!$H$2:$O$200,AK$1,FALSE),VLOOKUP($G183,Sheet3!$H$2:$O$200,AK$1,FALSE)),$I$1),$I$1)</f>
        <v>0</v>
      </c>
      <c r="AL183" s="15">
        <f>IFERROR(IF(ISBLANK(AE183),VLOOKUP($G183,Sheet3!$H$2:$O$200,AL$1,FALSE),$I$1),$I$1)</f>
        <v>0</v>
      </c>
      <c r="AM183" s="15">
        <f>IFERROR(IF(ISBLANK(AF183),VLOOKUP($G183,Sheet3!$H$2:$O$200,AM$1,FALSE),$I$1),$I$1)</f>
        <v>0</v>
      </c>
      <c r="AN183" s="15">
        <f>IFERROR(IF(ISBLANK(AG183),VLOOKUP($G183,Sheet3!$H$2:$O$200,AN$1,FALSE),$I$1),$I$1)</f>
        <v>0</v>
      </c>
      <c r="AO183" s="15">
        <f>IFERROR(IF(ISBLANK(AH183),VLOOKUP($G183,Sheet3!$H$2:$O$200,AO$1,FALSE),$I$1),$I$1)</f>
        <v>0</v>
      </c>
      <c r="AP183" s="15">
        <f>IFERROR(IF(ISBLANK(AI183),VLOOKUP($G183,Sheet3!$H$2:$O$200,AP$1,FALSE),$I$1),$I$1)</f>
        <v>0</v>
      </c>
      <c r="AQ183" s="15">
        <f>IFERROR(IF(ISBLANK(AJ183),VLOOKUP($G183,Sheet3!$H$2:$O$200,AQ$1,FALSE),$I$1),$I$1)</f>
        <v>0</v>
      </c>
      <c r="AR183" s="15">
        <f>IFERROR(IF(ISBLANK(AK183),VLOOKUP($G183,Sheet3!$H$2:$O$200,AR$1,FALSE),$I$1),$I$1)</f>
        <v>0</v>
      </c>
      <c r="AS183" s="15">
        <f t="shared" si="1"/>
        <v>28</v>
      </c>
      <c r="AT183" s="15" t="b">
        <f t="shared" si="2"/>
        <v>0</v>
      </c>
    </row>
    <row r="184" spans="1:46" x14ac:dyDescent="0.2">
      <c r="A184" s="19" t="s">
        <v>359</v>
      </c>
      <c r="B184" s="19" t="s">
        <v>357</v>
      </c>
      <c r="C184" s="19" t="s">
        <v>31</v>
      </c>
      <c r="D184" s="19"/>
      <c r="E184" s="19"/>
      <c r="F184" s="19"/>
      <c r="G184" s="19"/>
      <c r="H184" s="19" t="s">
        <v>359</v>
      </c>
      <c r="I184" s="15">
        <f t="shared" si="0"/>
        <v>1</v>
      </c>
      <c r="J184" s="15">
        <f>IFERROR(VLOOKUP($C184,Sheet3!$H$2:$O$200,J$1,FALSE),IFERROR(VLOOKUP($D184,Sheet3!$H$2:$O$200,J$1,FALSE),VLOOKUP($E184,Sheet3!$H$2:$O$200,J$1,FALSE)))</f>
        <v>0</v>
      </c>
      <c r="K184" s="15">
        <f>IFERROR(VLOOKUP($C184,Sheet3!$H$2:$O$200,K$1,FALSE),IFERROR(VLOOKUP($D184,Sheet3!$H$2:$O$200,K$1,FALSE),VLOOKUP($E184,Sheet3!$H$2:$O$200,K$1,FALSE)))</f>
        <v>0</v>
      </c>
      <c r="L184" s="15">
        <f>IFERROR(VLOOKUP($C184,Sheet3!$H$2:$O$200,L$1,FALSE),IFERROR(VLOOKUP($D184,Sheet3!$H$2:$O$200,L$1,FALSE),VLOOKUP($E184,Sheet3!$H$2:$O$200,L$1,FALSE)))</f>
        <v>0</v>
      </c>
      <c r="M184" s="15" t="str">
        <f>IFERROR(VLOOKUP($C184,Sheet3!$H$2:$O$200,M$1,FALSE),IFERROR(VLOOKUP($D184,Sheet3!$H$2:$O$200,M$1,FALSE),VLOOKUP($E184,Sheet3!$H$2:$O$200,M$1,FALSE)))</f>
        <v>white crème de cacao</v>
      </c>
      <c r="N184" s="15">
        <f>IFERROR(VLOOKUP($C184,Sheet3!$H$2:$O$200,N$1,FALSE),IFERROR(VLOOKUP($D184,Sheet3!$H$2:$O$200,N$1,FALSE),VLOOKUP($E184,Sheet3!$H$2:$O$200,N$1,FALSE)))</f>
        <v>0</v>
      </c>
      <c r="O184" s="15">
        <f>IFERROR(VLOOKUP($C184,Sheet3!$H$2:$O$200,O$1,FALSE),IFERROR(VLOOKUP($D184,Sheet3!$H$2:$O$200,O$1,FALSE),VLOOKUP($E184,Sheet3!$H$2:$O$200,O$1,FALSE)))</f>
        <v>0</v>
      </c>
      <c r="P184" s="15">
        <f>IFERROR(VLOOKUP($C184,Sheet3!$H$2:$O$200,P$1,FALSE),IFERROR(VLOOKUP($D184,Sheet3!$H$2:$O$200,P$1,FALSE),VLOOKUP($E184,Sheet3!$H$2:$O$200,P$1,FALSE)))</f>
        <v>0</v>
      </c>
      <c r="Q184" s="15">
        <f>IFERROR(IF(ISBLANK(J184),IFERROR(VLOOKUP($D184,Sheet3!$H$2:$O$200,Q$1,FALSE),IFERROR(VLOOKUP($E184,Sheet3!$H$2:$O$200,Q$1,FALSE),VLOOKUP($F184,Sheet3!$H$2:$O$200,Q$1,FALSE))),$I$1),$I$1)</f>
        <v>0</v>
      </c>
      <c r="R184" s="15">
        <f>IFERROR(IF(ISBLANK(K184),IFERROR(VLOOKUP($D184,Sheet3!$H$2:$O$200,R$1,FALSE),IFERROR(VLOOKUP($E184,Sheet3!$H$2:$O$200,R$1,FALSE),VLOOKUP($F184,Sheet3!$H$2:$O$200,R$1,FALSE))),$I$1),$I$1)</f>
        <v>0</v>
      </c>
      <c r="S184" s="15">
        <f>IFERROR(IF(ISBLANK(L184),IFERROR(VLOOKUP($D184,Sheet3!$H$2:$O$200,S$1,FALSE),IFERROR(VLOOKUP($E184,Sheet3!$H$2:$O$200,S$1,FALSE),VLOOKUP($F184,Sheet3!$H$2:$O$200,S$1,FALSE))),$I$1),$I$1)</f>
        <v>0</v>
      </c>
      <c r="T184" s="15">
        <f>IFERROR(IF(ISBLANK(M184),IFERROR(VLOOKUP($D184,Sheet3!$H$2:$O$200,T$1,FALSE),IFERROR(VLOOKUP($E184,Sheet3!$H$2:$O$200,T$1,FALSE),VLOOKUP($F184,Sheet3!$H$2:$O$200,T$1,FALSE))),$I$1),$I$1)</f>
        <v>0</v>
      </c>
      <c r="U184" s="15">
        <f>IFERROR(IF(ISBLANK(N184),IFERROR(VLOOKUP($D184,Sheet3!$H$2:$O$200,U$1,FALSE),IFERROR(VLOOKUP($E184,Sheet3!$H$2:$O$200,U$1,FALSE),VLOOKUP($F184,Sheet3!$H$2:$O$200,U$1,FALSE))),$I$1),$I$1)</f>
        <v>0</v>
      </c>
      <c r="V184" s="15">
        <f>IFERROR(IF(ISBLANK(O184),IFERROR(VLOOKUP($D184,Sheet3!$H$2:$O$200,V$1,FALSE),IFERROR(VLOOKUP($E184,Sheet3!$H$2:$O$200,V$1,FALSE),VLOOKUP($F184,Sheet3!$H$2:$O$200,V$1,FALSE))),$I$1),$I$1)</f>
        <v>0</v>
      </c>
      <c r="W184" s="15">
        <f>IFERROR(IF(ISBLANK(P184),IFERROR(VLOOKUP($D184,Sheet3!$H$2:$O$200,W$1,FALSE),IFERROR(VLOOKUP($E184,Sheet3!$H$2:$O$200,W$1,FALSE),VLOOKUP($F184,Sheet3!$H$2:$O$200,W$1,FALSE))),$I$1),$I$1)</f>
        <v>0</v>
      </c>
      <c r="X184" s="15">
        <f>IFERROR(IF(ISBLANK(Q184),IFERROR(VLOOKUP($E184,Sheet3!$H$2:$O$200,X$1,FALSE),IFERROR(VLOOKUP($F184,Sheet3!$H$2:$O$200,X$1,FALSE),VLOOKUP($G184,Sheet3!$H$2:$O$200,X$1,FALSE))),$I$1),$I$1)</f>
        <v>0</v>
      </c>
      <c r="Y184" s="15">
        <f>IFERROR(IF(ISBLANK(R184),IFERROR(VLOOKUP($E184,Sheet3!$H$2:$O$200,Y$1,FALSE),IFERROR(VLOOKUP($F184,Sheet3!$H$2:$O$200,Y$1,FALSE),VLOOKUP($G184,Sheet3!$H$2:$O$200,Y$1,FALSE))),$I$1),$I$1)</f>
        <v>0</v>
      </c>
      <c r="Z184" s="15">
        <f>IFERROR(IF(ISBLANK(S184),IFERROR(VLOOKUP($E184,Sheet3!$H$2:$O$200,Z$1,FALSE),IFERROR(VLOOKUP($F184,Sheet3!$H$2:$O$200,Z$1,FALSE),VLOOKUP($G184,Sheet3!$H$2:$O$200,Z$1,FALSE))),$I$1),$I$1)</f>
        <v>0</v>
      </c>
      <c r="AA184" s="15">
        <f>IFERROR(IF(ISBLANK(T184),IFERROR(VLOOKUP($E184,Sheet3!$H$2:$O$200,AA$1,FALSE),IFERROR(VLOOKUP($F184,Sheet3!$H$2:$O$200,AA$1,FALSE),VLOOKUP($G184,Sheet3!$H$2:$O$200,AA$1,FALSE))),$I$1),$I$1)</f>
        <v>0</v>
      </c>
      <c r="AB184" s="15">
        <f>IFERROR(IF(ISBLANK(U184),IFERROR(VLOOKUP($E184,Sheet3!$H$2:$O$200,AB$1,FALSE),IFERROR(VLOOKUP($F184,Sheet3!$H$2:$O$200,AB$1,FALSE),VLOOKUP($G184,Sheet3!$H$2:$O$200,AB$1,FALSE))),$I$1),$I$1)</f>
        <v>0</v>
      </c>
      <c r="AC184" s="15">
        <f>IFERROR(IF(ISBLANK(V184),IFERROR(VLOOKUP($E184,Sheet3!$H$2:$O$200,AC$1,FALSE),IFERROR(VLOOKUP($F184,Sheet3!$H$2:$O$200,AC$1,FALSE),VLOOKUP($G184,Sheet3!$H$2:$O$200,AC$1,FALSE))),$I$1),$I$1)</f>
        <v>0</v>
      </c>
      <c r="AD184" s="15">
        <f>IFERROR(IF(ISBLANK(W184),IFERROR(VLOOKUP($E184,Sheet3!$H$2:$O$200,AD$1,FALSE),IFERROR(VLOOKUP($F184,Sheet3!$H$2:$O$200,AD$1,FALSE),VLOOKUP($G184,Sheet3!$H$2:$O$200,AD$1,FALSE))),$I$1),$I$1)</f>
        <v>0</v>
      </c>
      <c r="AE184" s="15">
        <f>IFERROR(IF(ISBLANK(X184),IFERROR(VLOOKUP($F184,Sheet3!$H$2:$O$200,AE$1,FALSE),VLOOKUP($G184,Sheet3!$H$2:$O$200,AE$1,FALSE)),$I$1),$I$1)</f>
        <v>0</v>
      </c>
      <c r="AF184" s="15">
        <f>IFERROR(IF(ISBLANK(Y184),IFERROR(VLOOKUP($F184,Sheet3!$H$2:$O$200,AF$1,FALSE),VLOOKUP($G184,Sheet3!$H$2:$O$200,AF$1,FALSE)),$I$1),$I$1)</f>
        <v>0</v>
      </c>
      <c r="AG184" s="15">
        <f>IFERROR(IF(ISBLANK(Z184),IFERROR(VLOOKUP($F184,Sheet3!$H$2:$O$200,AG$1,FALSE),VLOOKUP($G184,Sheet3!$H$2:$O$200,AG$1,FALSE)),$I$1),$I$1)</f>
        <v>0</v>
      </c>
      <c r="AH184" s="15">
        <f>IFERROR(IF(ISBLANK(AA184),IFERROR(VLOOKUP($F184,Sheet3!$H$2:$O$200,AH$1,FALSE),VLOOKUP($G184,Sheet3!$H$2:$O$200,AH$1,FALSE)),$I$1),$I$1)</f>
        <v>0</v>
      </c>
      <c r="AI184" s="15">
        <f>IFERROR(IF(ISBLANK(AB184),IFERROR(VLOOKUP($F184,Sheet3!$H$2:$O$200,AI$1,FALSE),VLOOKUP($G184,Sheet3!$H$2:$O$200,AI$1,FALSE)),$I$1),$I$1)</f>
        <v>0</v>
      </c>
      <c r="AJ184" s="15">
        <f>IFERROR(IF(ISBLANK(AC184),IFERROR(VLOOKUP($F184,Sheet3!$H$2:$O$200,AJ$1,FALSE),VLOOKUP($G184,Sheet3!$H$2:$O$200,AJ$1,FALSE)),$I$1),$I$1)</f>
        <v>0</v>
      </c>
      <c r="AK184" s="15">
        <f>IFERROR(IF(ISBLANK(AD184),IFERROR(VLOOKUP($F184,Sheet3!$H$2:$O$200,AK$1,FALSE),VLOOKUP($G184,Sheet3!$H$2:$O$200,AK$1,FALSE)),$I$1),$I$1)</f>
        <v>0</v>
      </c>
      <c r="AL184" s="15">
        <f>IFERROR(IF(ISBLANK(AE184),VLOOKUP($G184,Sheet3!$H$2:$O$200,AL$1,FALSE),$I$1),$I$1)</f>
        <v>0</v>
      </c>
      <c r="AM184" s="15">
        <f>IFERROR(IF(ISBLANK(AF184),VLOOKUP($G184,Sheet3!$H$2:$O$200,AM$1,FALSE),$I$1),$I$1)</f>
        <v>0</v>
      </c>
      <c r="AN184" s="15">
        <f>IFERROR(IF(ISBLANK(AG184),VLOOKUP($G184,Sheet3!$H$2:$O$200,AN$1,FALSE),$I$1),$I$1)</f>
        <v>0</v>
      </c>
      <c r="AO184" s="15">
        <f>IFERROR(IF(ISBLANK(AH184),VLOOKUP($G184,Sheet3!$H$2:$O$200,AO$1,FALSE),$I$1),$I$1)</f>
        <v>0</v>
      </c>
      <c r="AP184" s="15">
        <f>IFERROR(IF(ISBLANK(AI184),VLOOKUP($G184,Sheet3!$H$2:$O$200,AP$1,FALSE),$I$1),$I$1)</f>
        <v>0</v>
      </c>
      <c r="AQ184" s="15">
        <f>IFERROR(IF(ISBLANK(AJ184),VLOOKUP($G184,Sheet3!$H$2:$O$200,AQ$1,FALSE),$I$1),$I$1)</f>
        <v>0</v>
      </c>
      <c r="AR184" s="15">
        <f>IFERROR(IF(ISBLANK(AK184),VLOOKUP($G184,Sheet3!$H$2:$O$200,AR$1,FALSE),$I$1),$I$1)</f>
        <v>0</v>
      </c>
      <c r="AS184" s="15">
        <f t="shared" si="1"/>
        <v>28</v>
      </c>
      <c r="AT184" s="15" t="b">
        <f t="shared" si="2"/>
        <v>0</v>
      </c>
    </row>
    <row r="185" spans="1:46" x14ac:dyDescent="0.2">
      <c r="A185" s="19" t="s">
        <v>360</v>
      </c>
      <c r="B185" s="19" t="s">
        <v>357</v>
      </c>
      <c r="C185" s="19" t="s">
        <v>36</v>
      </c>
      <c r="D185" s="19"/>
      <c r="E185" s="19"/>
      <c r="F185" s="19"/>
      <c r="G185" s="19"/>
      <c r="H185" s="19" t="s">
        <v>360</v>
      </c>
      <c r="I185" s="15">
        <f t="shared" si="0"/>
        <v>1</v>
      </c>
      <c r="J185" s="15">
        <f>IFERROR(VLOOKUP($C185,Sheet3!$H$2:$O$200,J$1,FALSE),IFERROR(VLOOKUP($D185,Sheet3!$H$2:$O$200,J$1,FALSE),VLOOKUP($E185,Sheet3!$H$2:$O$200,J$1,FALSE)))</f>
        <v>0</v>
      </c>
      <c r="K185" s="15">
        <f>IFERROR(VLOOKUP($C185,Sheet3!$H$2:$O$200,K$1,FALSE),IFERROR(VLOOKUP($D185,Sheet3!$H$2:$O$200,K$1,FALSE),VLOOKUP($E185,Sheet3!$H$2:$O$200,K$1,FALSE)))</f>
        <v>0</v>
      </c>
      <c r="L185" s="15">
        <f>IFERROR(VLOOKUP($C185,Sheet3!$H$2:$O$200,L$1,FALSE),IFERROR(VLOOKUP($D185,Sheet3!$H$2:$O$200,L$1,FALSE),VLOOKUP($E185,Sheet3!$H$2:$O$200,L$1,FALSE)))</f>
        <v>0</v>
      </c>
      <c r="M185" s="15" t="str">
        <f>IFERROR(VLOOKUP($C185,Sheet3!$H$2:$O$200,M$1,FALSE),IFERROR(VLOOKUP($D185,Sheet3!$H$2:$O$200,M$1,FALSE),VLOOKUP($E185,Sheet3!$H$2:$O$200,M$1,FALSE)))</f>
        <v>Kahlua</v>
      </c>
      <c r="N185" s="15">
        <f>IFERROR(VLOOKUP($C185,Sheet3!$H$2:$O$200,N$1,FALSE),IFERROR(VLOOKUP($D185,Sheet3!$H$2:$O$200,N$1,FALSE),VLOOKUP($E185,Sheet3!$H$2:$O$200,N$1,FALSE)))</f>
        <v>0</v>
      </c>
      <c r="O185" s="15">
        <f>IFERROR(VLOOKUP($C185,Sheet3!$H$2:$O$200,O$1,FALSE),IFERROR(VLOOKUP($D185,Sheet3!$H$2:$O$200,O$1,FALSE),VLOOKUP($E185,Sheet3!$H$2:$O$200,O$1,FALSE)))</f>
        <v>0</v>
      </c>
      <c r="P185" s="15">
        <f>IFERROR(VLOOKUP($C185,Sheet3!$H$2:$O$200,P$1,FALSE),IFERROR(VLOOKUP($D185,Sheet3!$H$2:$O$200,P$1,FALSE),VLOOKUP($E185,Sheet3!$H$2:$O$200,P$1,FALSE)))</f>
        <v>0</v>
      </c>
      <c r="Q185" s="15">
        <f>IFERROR(IF(ISBLANK(J185),IFERROR(VLOOKUP($D185,Sheet3!$H$2:$O$200,Q$1,FALSE),IFERROR(VLOOKUP($E185,Sheet3!$H$2:$O$200,Q$1,FALSE),VLOOKUP($F185,Sheet3!$H$2:$O$200,Q$1,FALSE))),$I$1),$I$1)</f>
        <v>0</v>
      </c>
      <c r="R185" s="15">
        <f>IFERROR(IF(ISBLANK(K185),IFERROR(VLOOKUP($D185,Sheet3!$H$2:$O$200,R$1,FALSE),IFERROR(VLOOKUP($E185,Sheet3!$H$2:$O$200,R$1,FALSE),VLOOKUP($F185,Sheet3!$H$2:$O$200,R$1,FALSE))),$I$1),$I$1)</f>
        <v>0</v>
      </c>
      <c r="S185" s="15">
        <f>IFERROR(IF(ISBLANK(L185),IFERROR(VLOOKUP($D185,Sheet3!$H$2:$O$200,S$1,FALSE),IFERROR(VLOOKUP($E185,Sheet3!$H$2:$O$200,S$1,FALSE),VLOOKUP($F185,Sheet3!$H$2:$O$200,S$1,FALSE))),$I$1),$I$1)</f>
        <v>0</v>
      </c>
      <c r="T185" s="15">
        <f>IFERROR(IF(ISBLANK(M185),IFERROR(VLOOKUP($D185,Sheet3!$H$2:$O$200,T$1,FALSE),IFERROR(VLOOKUP($E185,Sheet3!$H$2:$O$200,T$1,FALSE),VLOOKUP($F185,Sheet3!$H$2:$O$200,T$1,FALSE))),$I$1),$I$1)</f>
        <v>0</v>
      </c>
      <c r="U185" s="15">
        <f>IFERROR(IF(ISBLANK(N185),IFERROR(VLOOKUP($D185,Sheet3!$H$2:$O$200,U$1,FALSE),IFERROR(VLOOKUP($E185,Sheet3!$H$2:$O$200,U$1,FALSE),VLOOKUP($F185,Sheet3!$H$2:$O$200,U$1,FALSE))),$I$1),$I$1)</f>
        <v>0</v>
      </c>
      <c r="V185" s="15">
        <f>IFERROR(IF(ISBLANK(O185),IFERROR(VLOOKUP($D185,Sheet3!$H$2:$O$200,V$1,FALSE),IFERROR(VLOOKUP($E185,Sheet3!$H$2:$O$200,V$1,FALSE),VLOOKUP($F185,Sheet3!$H$2:$O$200,V$1,FALSE))),$I$1),$I$1)</f>
        <v>0</v>
      </c>
      <c r="W185" s="15">
        <f>IFERROR(IF(ISBLANK(P185),IFERROR(VLOOKUP($D185,Sheet3!$H$2:$O$200,W$1,FALSE),IFERROR(VLOOKUP($E185,Sheet3!$H$2:$O$200,W$1,FALSE),VLOOKUP($F185,Sheet3!$H$2:$O$200,W$1,FALSE))),$I$1),$I$1)</f>
        <v>0</v>
      </c>
      <c r="X185" s="15">
        <f>IFERROR(IF(ISBLANK(Q185),IFERROR(VLOOKUP($E185,Sheet3!$H$2:$O$200,X$1,FALSE),IFERROR(VLOOKUP($F185,Sheet3!$H$2:$O$200,X$1,FALSE),VLOOKUP($G185,Sheet3!$H$2:$O$200,X$1,FALSE))),$I$1),$I$1)</f>
        <v>0</v>
      </c>
      <c r="Y185" s="15">
        <f>IFERROR(IF(ISBLANK(R185),IFERROR(VLOOKUP($E185,Sheet3!$H$2:$O$200,Y$1,FALSE),IFERROR(VLOOKUP($F185,Sheet3!$H$2:$O$200,Y$1,FALSE),VLOOKUP($G185,Sheet3!$H$2:$O$200,Y$1,FALSE))),$I$1),$I$1)</f>
        <v>0</v>
      </c>
      <c r="Z185" s="15">
        <f>IFERROR(IF(ISBLANK(S185),IFERROR(VLOOKUP($E185,Sheet3!$H$2:$O$200,Z$1,FALSE),IFERROR(VLOOKUP($F185,Sheet3!$H$2:$O$200,Z$1,FALSE),VLOOKUP($G185,Sheet3!$H$2:$O$200,Z$1,FALSE))),$I$1),$I$1)</f>
        <v>0</v>
      </c>
      <c r="AA185" s="15">
        <f>IFERROR(IF(ISBLANK(T185),IFERROR(VLOOKUP($E185,Sheet3!$H$2:$O$200,AA$1,FALSE),IFERROR(VLOOKUP($F185,Sheet3!$H$2:$O$200,AA$1,FALSE),VLOOKUP($G185,Sheet3!$H$2:$O$200,AA$1,FALSE))),$I$1),$I$1)</f>
        <v>0</v>
      </c>
      <c r="AB185" s="15">
        <f>IFERROR(IF(ISBLANK(U185),IFERROR(VLOOKUP($E185,Sheet3!$H$2:$O$200,AB$1,FALSE),IFERROR(VLOOKUP($F185,Sheet3!$H$2:$O$200,AB$1,FALSE),VLOOKUP($G185,Sheet3!$H$2:$O$200,AB$1,FALSE))),$I$1),$I$1)</f>
        <v>0</v>
      </c>
      <c r="AC185" s="15">
        <f>IFERROR(IF(ISBLANK(V185),IFERROR(VLOOKUP($E185,Sheet3!$H$2:$O$200,AC$1,FALSE),IFERROR(VLOOKUP($F185,Sheet3!$H$2:$O$200,AC$1,FALSE),VLOOKUP($G185,Sheet3!$H$2:$O$200,AC$1,FALSE))),$I$1),$I$1)</f>
        <v>0</v>
      </c>
      <c r="AD185" s="15">
        <f>IFERROR(IF(ISBLANK(W185),IFERROR(VLOOKUP($E185,Sheet3!$H$2:$O$200,AD$1,FALSE),IFERROR(VLOOKUP($F185,Sheet3!$H$2:$O$200,AD$1,FALSE),VLOOKUP($G185,Sheet3!$H$2:$O$200,AD$1,FALSE))),$I$1),$I$1)</f>
        <v>0</v>
      </c>
      <c r="AE185" s="15">
        <f>IFERROR(IF(ISBLANK(X185),IFERROR(VLOOKUP($F185,Sheet3!$H$2:$O$200,AE$1,FALSE),VLOOKUP($G185,Sheet3!$H$2:$O$200,AE$1,FALSE)),$I$1),$I$1)</f>
        <v>0</v>
      </c>
      <c r="AF185" s="15">
        <f>IFERROR(IF(ISBLANK(Y185),IFERROR(VLOOKUP($F185,Sheet3!$H$2:$O$200,AF$1,FALSE),VLOOKUP($G185,Sheet3!$H$2:$O$200,AF$1,FALSE)),$I$1),$I$1)</f>
        <v>0</v>
      </c>
      <c r="AG185" s="15">
        <f>IFERROR(IF(ISBLANK(Z185),IFERROR(VLOOKUP($F185,Sheet3!$H$2:$O$200,AG$1,FALSE),VLOOKUP($G185,Sheet3!$H$2:$O$200,AG$1,FALSE)),$I$1),$I$1)</f>
        <v>0</v>
      </c>
      <c r="AH185" s="15">
        <f>IFERROR(IF(ISBLANK(AA185),IFERROR(VLOOKUP($F185,Sheet3!$H$2:$O$200,AH$1,FALSE),VLOOKUP($G185,Sheet3!$H$2:$O$200,AH$1,FALSE)),$I$1),$I$1)</f>
        <v>0</v>
      </c>
      <c r="AI185" s="15">
        <f>IFERROR(IF(ISBLANK(AB185),IFERROR(VLOOKUP($F185,Sheet3!$H$2:$O$200,AI$1,FALSE),VLOOKUP($G185,Sheet3!$H$2:$O$200,AI$1,FALSE)),$I$1),$I$1)</f>
        <v>0</v>
      </c>
      <c r="AJ185" s="15">
        <f>IFERROR(IF(ISBLANK(AC185),IFERROR(VLOOKUP($F185,Sheet3!$H$2:$O$200,AJ$1,FALSE),VLOOKUP($G185,Sheet3!$H$2:$O$200,AJ$1,FALSE)),$I$1),$I$1)</f>
        <v>0</v>
      </c>
      <c r="AK185" s="15">
        <f>IFERROR(IF(ISBLANK(AD185),IFERROR(VLOOKUP($F185,Sheet3!$H$2:$O$200,AK$1,FALSE),VLOOKUP($G185,Sheet3!$H$2:$O$200,AK$1,FALSE)),$I$1),$I$1)</f>
        <v>0</v>
      </c>
      <c r="AL185" s="15">
        <f>IFERROR(IF(ISBLANK(AE185),VLOOKUP($G185,Sheet3!$H$2:$O$200,AL$1,FALSE),$I$1),$I$1)</f>
        <v>0</v>
      </c>
      <c r="AM185" s="15">
        <f>IFERROR(IF(ISBLANK(AF185),VLOOKUP($G185,Sheet3!$H$2:$O$200,AM$1,FALSE),$I$1),$I$1)</f>
        <v>0</v>
      </c>
      <c r="AN185" s="15">
        <f>IFERROR(IF(ISBLANK(AG185),VLOOKUP($G185,Sheet3!$H$2:$O$200,AN$1,FALSE),$I$1),$I$1)</f>
        <v>0</v>
      </c>
      <c r="AO185" s="15">
        <f>IFERROR(IF(ISBLANK(AH185),VLOOKUP($G185,Sheet3!$H$2:$O$200,AO$1,FALSE),$I$1),$I$1)</f>
        <v>0</v>
      </c>
      <c r="AP185" s="15">
        <f>IFERROR(IF(ISBLANK(AI185),VLOOKUP($G185,Sheet3!$H$2:$O$200,AP$1,FALSE),$I$1),$I$1)</f>
        <v>0</v>
      </c>
      <c r="AQ185" s="15">
        <f>IFERROR(IF(ISBLANK(AJ185),VLOOKUP($G185,Sheet3!$H$2:$O$200,AQ$1,FALSE),$I$1),$I$1)</f>
        <v>0</v>
      </c>
      <c r="AR185" s="15">
        <f>IFERROR(IF(ISBLANK(AK185),VLOOKUP($G185,Sheet3!$H$2:$O$200,AR$1,FALSE),$I$1),$I$1)</f>
        <v>0</v>
      </c>
      <c r="AS185" s="15">
        <f t="shared" si="1"/>
        <v>28</v>
      </c>
      <c r="AT185" s="15" t="b">
        <f t="shared" si="2"/>
        <v>0</v>
      </c>
    </row>
    <row r="186" spans="1:46" x14ac:dyDescent="0.2">
      <c r="A186" s="19" t="s">
        <v>361</v>
      </c>
      <c r="B186" s="19" t="s">
        <v>357</v>
      </c>
      <c r="C186" s="19" t="s">
        <v>36</v>
      </c>
      <c r="D186" s="19"/>
      <c r="E186" s="19" t="s">
        <v>32</v>
      </c>
      <c r="F186" s="19"/>
      <c r="G186" s="19"/>
      <c r="H186" s="19" t="s">
        <v>361</v>
      </c>
      <c r="I186" s="15">
        <f t="shared" si="0"/>
        <v>2</v>
      </c>
      <c r="J186" s="15">
        <f>IFERROR(VLOOKUP($C186,Sheet3!$H$2:$O$200,J$1,FALSE),IFERROR(VLOOKUP($D186,Sheet3!$H$2:$O$200,J$1,FALSE),VLOOKUP($E186,Sheet3!$H$2:$O$200,J$1,FALSE)))</f>
        <v>0</v>
      </c>
      <c r="K186" s="15">
        <f>IFERROR(VLOOKUP($C186,Sheet3!$H$2:$O$200,K$1,FALSE),IFERROR(VLOOKUP($D186,Sheet3!$H$2:$O$200,K$1,FALSE),VLOOKUP($E186,Sheet3!$H$2:$O$200,K$1,FALSE)))</f>
        <v>0</v>
      </c>
      <c r="L186" s="15">
        <f>IFERROR(VLOOKUP($C186,Sheet3!$H$2:$O$200,L$1,FALSE),IFERROR(VLOOKUP($D186,Sheet3!$H$2:$O$200,L$1,FALSE),VLOOKUP($E186,Sheet3!$H$2:$O$200,L$1,FALSE)))</f>
        <v>0</v>
      </c>
      <c r="M186" s="15" t="str">
        <f>IFERROR(VLOOKUP($C186,Sheet3!$H$2:$O$200,M$1,FALSE),IFERROR(VLOOKUP($D186,Sheet3!$H$2:$O$200,M$1,FALSE),VLOOKUP($E186,Sheet3!$H$2:$O$200,M$1,FALSE)))</f>
        <v>Kahlua</v>
      </c>
      <c r="N186" s="15">
        <f>IFERROR(VLOOKUP($C186,Sheet3!$H$2:$O$200,N$1,FALSE),IFERROR(VLOOKUP($D186,Sheet3!$H$2:$O$200,N$1,FALSE),VLOOKUP($E186,Sheet3!$H$2:$O$200,N$1,FALSE)))</f>
        <v>0</v>
      </c>
      <c r="O186" s="15">
        <f>IFERROR(VLOOKUP($C186,Sheet3!$H$2:$O$200,O$1,FALSE),IFERROR(VLOOKUP($D186,Sheet3!$H$2:$O$200,O$1,FALSE),VLOOKUP($E186,Sheet3!$H$2:$O$200,O$1,FALSE)))</f>
        <v>0</v>
      </c>
      <c r="P186" s="15">
        <f>IFERROR(VLOOKUP($C186,Sheet3!$H$2:$O$200,P$1,FALSE),IFERROR(VLOOKUP($D186,Sheet3!$H$2:$O$200,P$1,FALSE),VLOOKUP($E186,Sheet3!$H$2:$O$200,P$1,FALSE)))</f>
        <v>0</v>
      </c>
      <c r="Q186" s="15">
        <f>IFERROR(IF(ISBLANK(J186),IFERROR(VLOOKUP($D186,Sheet3!$H$2:$O$200,Q$1,FALSE),IFERROR(VLOOKUP($E186,Sheet3!$H$2:$O$200,Q$1,FALSE),VLOOKUP($F186,Sheet3!$H$2:$O$200,Q$1,FALSE))),$I$1),$I$1)</f>
        <v>0</v>
      </c>
      <c r="R186" s="15">
        <f>IFERROR(IF(ISBLANK(K186),IFERROR(VLOOKUP($D186,Sheet3!$H$2:$O$200,R$1,FALSE),IFERROR(VLOOKUP($E186,Sheet3!$H$2:$O$200,R$1,FALSE),VLOOKUP($F186,Sheet3!$H$2:$O$200,R$1,FALSE))),$I$1),$I$1)</f>
        <v>0</v>
      </c>
      <c r="S186" s="15">
        <f>IFERROR(IF(ISBLANK(L186),IFERROR(VLOOKUP($D186,Sheet3!$H$2:$O$200,S$1,FALSE),IFERROR(VLOOKUP($E186,Sheet3!$H$2:$O$200,S$1,FALSE),VLOOKUP($F186,Sheet3!$H$2:$O$200,S$1,FALSE))),$I$1),$I$1)</f>
        <v>0</v>
      </c>
      <c r="T186" s="15">
        <f>IFERROR(IF(ISBLANK(M186),IFERROR(VLOOKUP($D186,Sheet3!$H$2:$O$200,T$1,FALSE),IFERROR(VLOOKUP($E186,Sheet3!$H$2:$O$200,T$1,FALSE),VLOOKUP($F186,Sheet3!$H$2:$O$200,T$1,FALSE))),$I$1),$I$1)</f>
        <v>0</v>
      </c>
      <c r="U186" s="15">
        <f>IFERROR(IF(ISBLANK(N186),IFERROR(VLOOKUP($D186,Sheet3!$H$2:$O$200,U$1,FALSE),IFERROR(VLOOKUP($E186,Sheet3!$H$2:$O$200,U$1,FALSE),VLOOKUP($F186,Sheet3!$H$2:$O$200,U$1,FALSE))),$I$1),$I$1)</f>
        <v>0</v>
      </c>
      <c r="V186" s="15">
        <f>IFERROR(IF(ISBLANK(O186),IFERROR(VLOOKUP($D186,Sheet3!$H$2:$O$200,V$1,FALSE),IFERROR(VLOOKUP($E186,Sheet3!$H$2:$O$200,V$1,FALSE),VLOOKUP($F186,Sheet3!$H$2:$O$200,V$1,FALSE))),$I$1),$I$1)</f>
        <v>0</v>
      </c>
      <c r="W186" s="15">
        <f>IFERROR(IF(ISBLANK(P186),IFERROR(VLOOKUP($D186,Sheet3!$H$2:$O$200,W$1,FALSE),IFERROR(VLOOKUP($E186,Sheet3!$H$2:$O$200,W$1,FALSE),VLOOKUP($F186,Sheet3!$H$2:$O$200,W$1,FALSE))),$I$1),$I$1)</f>
        <v>0</v>
      </c>
      <c r="X186" s="15">
        <f>IFERROR(IF(ISBLANK(Q186),IFERROR(VLOOKUP($E186,Sheet3!$H$2:$O$200,X$1,FALSE),IFERROR(VLOOKUP($F186,Sheet3!$H$2:$O$200,X$1,FALSE),VLOOKUP($G186,Sheet3!$H$2:$O$200,X$1,FALSE))),$I$1),$I$1)</f>
        <v>0</v>
      </c>
      <c r="Y186" s="15">
        <f>IFERROR(IF(ISBLANK(R186),IFERROR(VLOOKUP($E186,Sheet3!$H$2:$O$200,Y$1,FALSE),IFERROR(VLOOKUP($F186,Sheet3!$H$2:$O$200,Y$1,FALSE),VLOOKUP($G186,Sheet3!$H$2:$O$200,Y$1,FALSE))),$I$1),$I$1)</f>
        <v>0</v>
      </c>
      <c r="Z186" s="15">
        <f>IFERROR(IF(ISBLANK(S186),IFERROR(VLOOKUP($E186,Sheet3!$H$2:$O$200,Z$1,FALSE),IFERROR(VLOOKUP($F186,Sheet3!$H$2:$O$200,Z$1,FALSE),VLOOKUP($G186,Sheet3!$H$2:$O$200,Z$1,FALSE))),$I$1),$I$1)</f>
        <v>0</v>
      </c>
      <c r="AA186" s="15">
        <f>IFERROR(IF(ISBLANK(T186),IFERROR(VLOOKUP($E186,Sheet3!$H$2:$O$200,AA$1,FALSE),IFERROR(VLOOKUP($F186,Sheet3!$H$2:$O$200,AA$1,FALSE),VLOOKUP($G186,Sheet3!$H$2:$O$200,AA$1,FALSE))),$I$1),$I$1)</f>
        <v>0</v>
      </c>
      <c r="AB186" s="15">
        <f>IFERROR(IF(ISBLANK(U186),IFERROR(VLOOKUP($E186,Sheet3!$H$2:$O$200,AB$1,FALSE),IFERROR(VLOOKUP($F186,Sheet3!$H$2:$O$200,AB$1,FALSE),VLOOKUP($G186,Sheet3!$H$2:$O$200,AB$1,FALSE))),$I$1),$I$1)</f>
        <v>0</v>
      </c>
      <c r="AC186" s="15">
        <f>IFERROR(IF(ISBLANK(V186),IFERROR(VLOOKUP($E186,Sheet3!$H$2:$O$200,AC$1,FALSE),IFERROR(VLOOKUP($F186,Sheet3!$H$2:$O$200,AC$1,FALSE),VLOOKUP($G186,Sheet3!$H$2:$O$200,AC$1,FALSE))),$I$1),$I$1)</f>
        <v>0</v>
      </c>
      <c r="AD186" s="15">
        <f>IFERROR(IF(ISBLANK(W186),IFERROR(VLOOKUP($E186,Sheet3!$H$2:$O$200,AD$1,FALSE),IFERROR(VLOOKUP($F186,Sheet3!$H$2:$O$200,AD$1,FALSE),VLOOKUP($G186,Sheet3!$H$2:$O$200,AD$1,FALSE))),$I$1),$I$1)</f>
        <v>0</v>
      </c>
      <c r="AE186" s="15">
        <f>IFERROR(IF(ISBLANK(X186),IFERROR(VLOOKUP($F186,Sheet3!$H$2:$O$200,AE$1,FALSE),VLOOKUP($G186,Sheet3!$H$2:$O$200,AE$1,FALSE)),$I$1),$I$1)</f>
        <v>0</v>
      </c>
      <c r="AF186" s="15">
        <f>IFERROR(IF(ISBLANK(Y186),IFERROR(VLOOKUP($F186,Sheet3!$H$2:$O$200,AF$1,FALSE),VLOOKUP($G186,Sheet3!$H$2:$O$200,AF$1,FALSE)),$I$1),$I$1)</f>
        <v>0</v>
      </c>
      <c r="AG186" s="15">
        <f>IFERROR(IF(ISBLANK(Z186),IFERROR(VLOOKUP($F186,Sheet3!$H$2:$O$200,AG$1,FALSE),VLOOKUP($G186,Sheet3!$H$2:$O$200,AG$1,FALSE)),$I$1),$I$1)</f>
        <v>0</v>
      </c>
      <c r="AH186" s="15">
        <f>IFERROR(IF(ISBLANK(AA186),IFERROR(VLOOKUP($F186,Sheet3!$H$2:$O$200,AH$1,FALSE),VLOOKUP($G186,Sheet3!$H$2:$O$200,AH$1,FALSE)),$I$1),$I$1)</f>
        <v>0</v>
      </c>
      <c r="AI186" s="15">
        <f>IFERROR(IF(ISBLANK(AB186),IFERROR(VLOOKUP($F186,Sheet3!$H$2:$O$200,AI$1,FALSE),VLOOKUP($G186,Sheet3!$H$2:$O$200,AI$1,FALSE)),$I$1),$I$1)</f>
        <v>0</v>
      </c>
      <c r="AJ186" s="15">
        <f>IFERROR(IF(ISBLANK(AC186),IFERROR(VLOOKUP($F186,Sheet3!$H$2:$O$200,AJ$1,FALSE),VLOOKUP($G186,Sheet3!$H$2:$O$200,AJ$1,FALSE)),$I$1),$I$1)</f>
        <v>0</v>
      </c>
      <c r="AK186" s="15">
        <f>IFERROR(IF(ISBLANK(AD186),IFERROR(VLOOKUP($F186,Sheet3!$H$2:$O$200,AK$1,FALSE),VLOOKUP($G186,Sheet3!$H$2:$O$200,AK$1,FALSE)),$I$1),$I$1)</f>
        <v>0</v>
      </c>
      <c r="AL186" s="15">
        <f>IFERROR(IF(ISBLANK(AE186),VLOOKUP($G186,Sheet3!$H$2:$O$200,AL$1,FALSE),$I$1),$I$1)</f>
        <v>0</v>
      </c>
      <c r="AM186" s="15">
        <f>IFERROR(IF(ISBLANK(AF186),VLOOKUP($G186,Sheet3!$H$2:$O$200,AM$1,FALSE),$I$1),$I$1)</f>
        <v>0</v>
      </c>
      <c r="AN186" s="15">
        <f>IFERROR(IF(ISBLANK(AG186),VLOOKUP($G186,Sheet3!$H$2:$O$200,AN$1,FALSE),$I$1),$I$1)</f>
        <v>0</v>
      </c>
      <c r="AO186" s="15">
        <f>IFERROR(IF(ISBLANK(AH186),VLOOKUP($G186,Sheet3!$H$2:$O$200,AO$1,FALSE),$I$1),$I$1)</f>
        <v>0</v>
      </c>
      <c r="AP186" s="15">
        <f>IFERROR(IF(ISBLANK(AI186),VLOOKUP($G186,Sheet3!$H$2:$O$200,AP$1,FALSE),$I$1),$I$1)</f>
        <v>0</v>
      </c>
      <c r="AQ186" s="15">
        <f>IFERROR(IF(ISBLANK(AJ186),VLOOKUP($G186,Sheet3!$H$2:$O$200,AQ$1,FALSE),$I$1),$I$1)</f>
        <v>0</v>
      </c>
      <c r="AR186" s="15">
        <f>IFERROR(IF(ISBLANK(AK186),VLOOKUP($G186,Sheet3!$H$2:$O$200,AR$1,FALSE),$I$1),$I$1)</f>
        <v>0</v>
      </c>
      <c r="AS186" s="15">
        <f t="shared" si="1"/>
        <v>28</v>
      </c>
      <c r="AT186" s="15" t="b">
        <f t="shared" si="2"/>
        <v>0</v>
      </c>
    </row>
    <row r="187" spans="1:46" x14ac:dyDescent="0.2">
      <c r="A187" s="19" t="s">
        <v>362</v>
      </c>
      <c r="B187" s="19" t="s">
        <v>357</v>
      </c>
      <c r="C187" s="19" t="s">
        <v>36</v>
      </c>
      <c r="D187" s="19"/>
      <c r="E187" s="19" t="s">
        <v>253</v>
      </c>
      <c r="F187" s="19"/>
      <c r="G187" s="19"/>
      <c r="H187" s="19" t="s">
        <v>362</v>
      </c>
      <c r="I187" s="15">
        <f t="shared" si="0"/>
        <v>2</v>
      </c>
      <c r="J187" s="15">
        <f>IFERROR(VLOOKUP($C187,Sheet3!$H$2:$O$200,J$1,FALSE),IFERROR(VLOOKUP($D187,Sheet3!$H$2:$O$200,J$1,FALSE),VLOOKUP($E187,Sheet3!$H$2:$O$200,J$1,FALSE)))</f>
        <v>0</v>
      </c>
      <c r="K187" s="15">
        <f>IFERROR(VLOOKUP($C187,Sheet3!$H$2:$O$200,K$1,FALSE),IFERROR(VLOOKUP($D187,Sheet3!$H$2:$O$200,K$1,FALSE),VLOOKUP($E187,Sheet3!$H$2:$O$200,K$1,FALSE)))</f>
        <v>0</v>
      </c>
      <c r="L187" s="15">
        <f>IFERROR(VLOOKUP($C187,Sheet3!$H$2:$O$200,L$1,FALSE),IFERROR(VLOOKUP($D187,Sheet3!$H$2:$O$200,L$1,FALSE),VLOOKUP($E187,Sheet3!$H$2:$O$200,L$1,FALSE)))</f>
        <v>0</v>
      </c>
      <c r="M187" s="15" t="str">
        <f>IFERROR(VLOOKUP($C187,Sheet3!$H$2:$O$200,M$1,FALSE),IFERROR(VLOOKUP($D187,Sheet3!$H$2:$O$200,M$1,FALSE),VLOOKUP($E187,Sheet3!$H$2:$O$200,M$1,FALSE)))</f>
        <v>Kahlua</v>
      </c>
      <c r="N187" s="15">
        <f>IFERROR(VLOOKUP($C187,Sheet3!$H$2:$O$200,N$1,FALSE),IFERROR(VLOOKUP($D187,Sheet3!$H$2:$O$200,N$1,FALSE),VLOOKUP($E187,Sheet3!$H$2:$O$200,N$1,FALSE)))</f>
        <v>0</v>
      </c>
      <c r="O187" s="15">
        <f>IFERROR(VLOOKUP($C187,Sheet3!$H$2:$O$200,O$1,FALSE),IFERROR(VLOOKUP($D187,Sheet3!$H$2:$O$200,O$1,FALSE),VLOOKUP($E187,Sheet3!$H$2:$O$200,O$1,FALSE)))</f>
        <v>0</v>
      </c>
      <c r="P187" s="15">
        <f>IFERROR(VLOOKUP($C187,Sheet3!$H$2:$O$200,P$1,FALSE),IFERROR(VLOOKUP($D187,Sheet3!$H$2:$O$200,P$1,FALSE),VLOOKUP($E187,Sheet3!$H$2:$O$200,P$1,FALSE)))</f>
        <v>0</v>
      </c>
      <c r="Q187" s="15">
        <f>IFERROR(IF(ISBLANK(J187),IFERROR(VLOOKUP($D187,Sheet3!$H$2:$O$200,Q$1,FALSE),IFERROR(VLOOKUP($E187,Sheet3!$H$2:$O$200,Q$1,FALSE),VLOOKUP($F187,Sheet3!$H$2:$O$200,Q$1,FALSE))),$I$1),$I$1)</f>
        <v>0</v>
      </c>
      <c r="R187" s="15">
        <f>IFERROR(IF(ISBLANK(K187),IFERROR(VLOOKUP($D187,Sheet3!$H$2:$O$200,R$1,FALSE),IFERROR(VLOOKUP($E187,Sheet3!$H$2:$O$200,R$1,FALSE),VLOOKUP($F187,Sheet3!$H$2:$O$200,R$1,FALSE))),$I$1),$I$1)</f>
        <v>0</v>
      </c>
      <c r="S187" s="15">
        <f>IFERROR(IF(ISBLANK(L187),IFERROR(VLOOKUP($D187,Sheet3!$H$2:$O$200,S$1,FALSE),IFERROR(VLOOKUP($E187,Sheet3!$H$2:$O$200,S$1,FALSE),VLOOKUP($F187,Sheet3!$H$2:$O$200,S$1,FALSE))),$I$1),$I$1)</f>
        <v>0</v>
      </c>
      <c r="T187" s="15">
        <f>IFERROR(IF(ISBLANK(M187),IFERROR(VLOOKUP($D187,Sheet3!$H$2:$O$200,T$1,FALSE),IFERROR(VLOOKUP($E187,Sheet3!$H$2:$O$200,T$1,FALSE),VLOOKUP($F187,Sheet3!$H$2:$O$200,T$1,FALSE))),$I$1),$I$1)</f>
        <v>0</v>
      </c>
      <c r="U187" s="15">
        <f>IFERROR(IF(ISBLANK(N187),IFERROR(VLOOKUP($D187,Sheet3!$H$2:$O$200,U$1,FALSE),IFERROR(VLOOKUP($E187,Sheet3!$H$2:$O$200,U$1,FALSE),VLOOKUP($F187,Sheet3!$H$2:$O$200,U$1,FALSE))),$I$1),$I$1)</f>
        <v>0</v>
      </c>
      <c r="V187" s="15">
        <f>IFERROR(IF(ISBLANK(O187),IFERROR(VLOOKUP($D187,Sheet3!$H$2:$O$200,V$1,FALSE),IFERROR(VLOOKUP($E187,Sheet3!$H$2:$O$200,V$1,FALSE),VLOOKUP($F187,Sheet3!$H$2:$O$200,V$1,FALSE))),$I$1),$I$1)</f>
        <v>0</v>
      </c>
      <c r="W187" s="15">
        <f>IFERROR(IF(ISBLANK(P187),IFERROR(VLOOKUP($D187,Sheet3!$H$2:$O$200,W$1,FALSE),IFERROR(VLOOKUP($E187,Sheet3!$H$2:$O$200,W$1,FALSE),VLOOKUP($F187,Sheet3!$H$2:$O$200,W$1,FALSE))),$I$1),$I$1)</f>
        <v>0</v>
      </c>
      <c r="X187" s="15">
        <f>IFERROR(IF(ISBLANK(Q187),IFERROR(VLOOKUP($E187,Sheet3!$H$2:$O$200,X$1,FALSE),IFERROR(VLOOKUP($F187,Sheet3!$H$2:$O$200,X$1,FALSE),VLOOKUP($G187,Sheet3!$H$2:$O$200,X$1,FALSE))),$I$1),$I$1)</f>
        <v>0</v>
      </c>
      <c r="Y187" s="15">
        <f>IFERROR(IF(ISBLANK(R187),IFERROR(VLOOKUP($E187,Sheet3!$H$2:$O$200,Y$1,FALSE),IFERROR(VLOOKUP($F187,Sheet3!$H$2:$O$200,Y$1,FALSE),VLOOKUP($G187,Sheet3!$H$2:$O$200,Y$1,FALSE))),$I$1),$I$1)</f>
        <v>0</v>
      </c>
      <c r="Z187" s="15">
        <f>IFERROR(IF(ISBLANK(S187),IFERROR(VLOOKUP($E187,Sheet3!$H$2:$O$200,Z$1,FALSE),IFERROR(VLOOKUP($F187,Sheet3!$H$2:$O$200,Z$1,FALSE),VLOOKUP($G187,Sheet3!$H$2:$O$200,Z$1,FALSE))),$I$1),$I$1)</f>
        <v>0</v>
      </c>
      <c r="AA187" s="15">
        <f>IFERROR(IF(ISBLANK(T187),IFERROR(VLOOKUP($E187,Sheet3!$H$2:$O$200,AA$1,FALSE),IFERROR(VLOOKUP($F187,Sheet3!$H$2:$O$200,AA$1,FALSE),VLOOKUP($G187,Sheet3!$H$2:$O$200,AA$1,FALSE))),$I$1),$I$1)</f>
        <v>0</v>
      </c>
      <c r="AB187" s="15">
        <f>IFERROR(IF(ISBLANK(U187),IFERROR(VLOOKUP($E187,Sheet3!$H$2:$O$200,AB$1,FALSE),IFERROR(VLOOKUP($F187,Sheet3!$H$2:$O$200,AB$1,FALSE),VLOOKUP($G187,Sheet3!$H$2:$O$200,AB$1,FALSE))),$I$1),$I$1)</f>
        <v>0</v>
      </c>
      <c r="AC187" s="15">
        <f>IFERROR(IF(ISBLANK(V187),IFERROR(VLOOKUP($E187,Sheet3!$H$2:$O$200,AC$1,FALSE),IFERROR(VLOOKUP($F187,Sheet3!$H$2:$O$200,AC$1,FALSE),VLOOKUP($G187,Sheet3!$H$2:$O$200,AC$1,FALSE))),$I$1),$I$1)</f>
        <v>0</v>
      </c>
      <c r="AD187" s="15">
        <f>IFERROR(IF(ISBLANK(W187),IFERROR(VLOOKUP($E187,Sheet3!$H$2:$O$200,AD$1,FALSE),IFERROR(VLOOKUP($F187,Sheet3!$H$2:$O$200,AD$1,FALSE),VLOOKUP($G187,Sheet3!$H$2:$O$200,AD$1,FALSE))),$I$1),$I$1)</f>
        <v>0</v>
      </c>
      <c r="AE187" s="15">
        <f>IFERROR(IF(ISBLANK(X187),IFERROR(VLOOKUP($F187,Sheet3!$H$2:$O$200,AE$1,FALSE),VLOOKUP($G187,Sheet3!$H$2:$O$200,AE$1,FALSE)),$I$1),$I$1)</f>
        <v>0</v>
      </c>
      <c r="AF187" s="15">
        <f>IFERROR(IF(ISBLANK(Y187),IFERROR(VLOOKUP($F187,Sheet3!$H$2:$O$200,AF$1,FALSE),VLOOKUP($G187,Sheet3!$H$2:$O$200,AF$1,FALSE)),$I$1),$I$1)</f>
        <v>0</v>
      </c>
      <c r="AG187" s="15">
        <f>IFERROR(IF(ISBLANK(Z187),IFERROR(VLOOKUP($F187,Sheet3!$H$2:$O$200,AG$1,FALSE),VLOOKUP($G187,Sheet3!$H$2:$O$200,AG$1,FALSE)),$I$1),$I$1)</f>
        <v>0</v>
      </c>
      <c r="AH187" s="15">
        <f>IFERROR(IF(ISBLANK(AA187),IFERROR(VLOOKUP($F187,Sheet3!$H$2:$O$200,AH$1,FALSE),VLOOKUP($G187,Sheet3!$H$2:$O$200,AH$1,FALSE)),$I$1),$I$1)</f>
        <v>0</v>
      </c>
      <c r="AI187" s="15">
        <f>IFERROR(IF(ISBLANK(AB187),IFERROR(VLOOKUP($F187,Sheet3!$H$2:$O$200,AI$1,FALSE),VLOOKUP($G187,Sheet3!$H$2:$O$200,AI$1,FALSE)),$I$1),$I$1)</f>
        <v>0</v>
      </c>
      <c r="AJ187" s="15">
        <f>IFERROR(IF(ISBLANK(AC187),IFERROR(VLOOKUP($F187,Sheet3!$H$2:$O$200,AJ$1,FALSE),VLOOKUP($G187,Sheet3!$H$2:$O$200,AJ$1,FALSE)),$I$1),$I$1)</f>
        <v>0</v>
      </c>
      <c r="AK187" s="15">
        <f>IFERROR(IF(ISBLANK(AD187),IFERROR(VLOOKUP($F187,Sheet3!$H$2:$O$200,AK$1,FALSE),VLOOKUP($G187,Sheet3!$H$2:$O$200,AK$1,FALSE)),$I$1),$I$1)</f>
        <v>0</v>
      </c>
      <c r="AL187" s="15">
        <f>IFERROR(IF(ISBLANK(AE187),VLOOKUP($G187,Sheet3!$H$2:$O$200,AL$1,FALSE),$I$1),$I$1)</f>
        <v>0</v>
      </c>
      <c r="AM187" s="15">
        <f>IFERROR(IF(ISBLANK(AF187),VLOOKUP($G187,Sheet3!$H$2:$O$200,AM$1,FALSE),$I$1),$I$1)</f>
        <v>0</v>
      </c>
      <c r="AN187" s="15">
        <f>IFERROR(IF(ISBLANK(AG187),VLOOKUP($G187,Sheet3!$H$2:$O$200,AN$1,FALSE),$I$1),$I$1)</f>
        <v>0</v>
      </c>
      <c r="AO187" s="15">
        <f>IFERROR(IF(ISBLANK(AH187),VLOOKUP($G187,Sheet3!$H$2:$O$200,AO$1,FALSE),$I$1),$I$1)</f>
        <v>0</v>
      </c>
      <c r="AP187" s="15">
        <f>IFERROR(IF(ISBLANK(AI187),VLOOKUP($G187,Sheet3!$H$2:$O$200,AP$1,FALSE),$I$1),$I$1)</f>
        <v>0</v>
      </c>
      <c r="AQ187" s="15">
        <f>IFERROR(IF(ISBLANK(AJ187),VLOOKUP($G187,Sheet3!$H$2:$O$200,AQ$1,FALSE),$I$1),$I$1)</f>
        <v>0</v>
      </c>
      <c r="AR187" s="15">
        <f>IFERROR(IF(ISBLANK(AK187),VLOOKUP($G187,Sheet3!$H$2:$O$200,AR$1,FALSE),$I$1),$I$1)</f>
        <v>0</v>
      </c>
      <c r="AS187" s="15">
        <f t="shared" si="1"/>
        <v>28</v>
      </c>
      <c r="AT187" s="15" t="b">
        <f t="shared" si="2"/>
        <v>0</v>
      </c>
    </row>
    <row r="188" spans="1:46" x14ac:dyDescent="0.2">
      <c r="A188" s="19" t="s">
        <v>363</v>
      </c>
      <c r="B188" s="19" t="s">
        <v>357</v>
      </c>
      <c r="C188" s="19" t="s">
        <v>31</v>
      </c>
      <c r="D188" s="19"/>
      <c r="E188" s="19"/>
      <c r="F188" s="19"/>
      <c r="G188" s="19"/>
      <c r="H188" s="19" t="s">
        <v>363</v>
      </c>
      <c r="I188" s="15">
        <f t="shared" si="0"/>
        <v>1</v>
      </c>
      <c r="J188" s="15">
        <f>IFERROR(VLOOKUP($C188,Sheet3!$H$2:$O$200,J$1,FALSE),IFERROR(VLOOKUP($D188,Sheet3!$H$2:$O$200,J$1,FALSE),VLOOKUP($E188,Sheet3!$H$2:$O$200,J$1,FALSE)))</f>
        <v>0</v>
      </c>
      <c r="K188" s="15">
        <f>IFERROR(VLOOKUP($C188,Sheet3!$H$2:$O$200,K$1,FALSE),IFERROR(VLOOKUP($D188,Sheet3!$H$2:$O$200,K$1,FALSE),VLOOKUP($E188,Sheet3!$H$2:$O$200,K$1,FALSE)))</f>
        <v>0</v>
      </c>
      <c r="L188" s="15">
        <f>IFERROR(VLOOKUP($C188,Sheet3!$H$2:$O$200,L$1,FALSE),IFERROR(VLOOKUP($D188,Sheet3!$H$2:$O$200,L$1,FALSE),VLOOKUP($E188,Sheet3!$H$2:$O$200,L$1,FALSE)))</f>
        <v>0</v>
      </c>
      <c r="M188" s="15" t="str">
        <f>IFERROR(VLOOKUP($C188,Sheet3!$H$2:$O$200,M$1,FALSE),IFERROR(VLOOKUP($D188,Sheet3!$H$2:$O$200,M$1,FALSE),VLOOKUP($E188,Sheet3!$H$2:$O$200,M$1,FALSE)))</f>
        <v>white crème de cacao</v>
      </c>
      <c r="N188" s="15">
        <f>IFERROR(VLOOKUP($C188,Sheet3!$H$2:$O$200,N$1,FALSE),IFERROR(VLOOKUP($D188,Sheet3!$H$2:$O$200,N$1,FALSE),VLOOKUP($E188,Sheet3!$H$2:$O$200,N$1,FALSE)))</f>
        <v>0</v>
      </c>
      <c r="O188" s="15">
        <f>IFERROR(VLOOKUP($C188,Sheet3!$H$2:$O$200,O$1,FALSE),IFERROR(VLOOKUP($D188,Sheet3!$H$2:$O$200,O$1,FALSE),VLOOKUP($E188,Sheet3!$H$2:$O$200,O$1,FALSE)))</f>
        <v>0</v>
      </c>
      <c r="P188" s="15">
        <f>IFERROR(VLOOKUP($C188,Sheet3!$H$2:$O$200,P$1,FALSE),IFERROR(VLOOKUP($D188,Sheet3!$H$2:$O$200,P$1,FALSE),VLOOKUP($E188,Sheet3!$H$2:$O$200,P$1,FALSE)))</f>
        <v>0</v>
      </c>
      <c r="Q188" s="15">
        <f>IFERROR(IF(ISBLANK(J188),IFERROR(VLOOKUP($D188,Sheet3!$H$2:$O$200,Q$1,FALSE),IFERROR(VLOOKUP($E188,Sheet3!$H$2:$O$200,Q$1,FALSE),VLOOKUP($F188,Sheet3!$H$2:$O$200,Q$1,FALSE))),$I$1),$I$1)</f>
        <v>0</v>
      </c>
      <c r="R188" s="15">
        <f>IFERROR(IF(ISBLANK(K188),IFERROR(VLOOKUP($D188,Sheet3!$H$2:$O$200,R$1,FALSE),IFERROR(VLOOKUP($E188,Sheet3!$H$2:$O$200,R$1,FALSE),VLOOKUP($F188,Sheet3!$H$2:$O$200,R$1,FALSE))),$I$1),$I$1)</f>
        <v>0</v>
      </c>
      <c r="S188" s="15">
        <f>IFERROR(IF(ISBLANK(L188),IFERROR(VLOOKUP($D188,Sheet3!$H$2:$O$200,S$1,FALSE),IFERROR(VLOOKUP($E188,Sheet3!$H$2:$O$200,S$1,FALSE),VLOOKUP($F188,Sheet3!$H$2:$O$200,S$1,FALSE))),$I$1),$I$1)</f>
        <v>0</v>
      </c>
      <c r="T188" s="15">
        <f>IFERROR(IF(ISBLANK(M188),IFERROR(VLOOKUP($D188,Sheet3!$H$2:$O$200,T$1,FALSE),IFERROR(VLOOKUP($E188,Sheet3!$H$2:$O$200,T$1,FALSE),VLOOKUP($F188,Sheet3!$H$2:$O$200,T$1,FALSE))),$I$1),$I$1)</f>
        <v>0</v>
      </c>
      <c r="U188" s="15">
        <f>IFERROR(IF(ISBLANK(N188),IFERROR(VLOOKUP($D188,Sheet3!$H$2:$O$200,U$1,FALSE),IFERROR(VLOOKUP($E188,Sheet3!$H$2:$O$200,U$1,FALSE),VLOOKUP($F188,Sheet3!$H$2:$O$200,U$1,FALSE))),$I$1),$I$1)</f>
        <v>0</v>
      </c>
      <c r="V188" s="15">
        <f>IFERROR(IF(ISBLANK(O188),IFERROR(VLOOKUP($D188,Sheet3!$H$2:$O$200,V$1,FALSE),IFERROR(VLOOKUP($E188,Sheet3!$H$2:$O$200,V$1,FALSE),VLOOKUP($F188,Sheet3!$H$2:$O$200,V$1,FALSE))),$I$1),$I$1)</f>
        <v>0</v>
      </c>
      <c r="W188" s="15">
        <f>IFERROR(IF(ISBLANK(P188),IFERROR(VLOOKUP($D188,Sheet3!$H$2:$O$200,W$1,FALSE),IFERROR(VLOOKUP($E188,Sheet3!$H$2:$O$200,W$1,FALSE),VLOOKUP($F188,Sheet3!$H$2:$O$200,W$1,FALSE))),$I$1),$I$1)</f>
        <v>0</v>
      </c>
      <c r="X188" s="15">
        <f>IFERROR(IF(ISBLANK(Q188),IFERROR(VLOOKUP($E188,Sheet3!$H$2:$O$200,X$1,FALSE),IFERROR(VLOOKUP($F188,Sheet3!$H$2:$O$200,X$1,FALSE),VLOOKUP($G188,Sheet3!$H$2:$O$200,X$1,FALSE))),$I$1),$I$1)</f>
        <v>0</v>
      </c>
      <c r="Y188" s="15">
        <f>IFERROR(IF(ISBLANK(R188),IFERROR(VLOOKUP($E188,Sheet3!$H$2:$O$200,Y$1,FALSE),IFERROR(VLOOKUP($F188,Sheet3!$H$2:$O$200,Y$1,FALSE),VLOOKUP($G188,Sheet3!$H$2:$O$200,Y$1,FALSE))),$I$1),$I$1)</f>
        <v>0</v>
      </c>
      <c r="Z188" s="15">
        <f>IFERROR(IF(ISBLANK(S188),IFERROR(VLOOKUP($E188,Sheet3!$H$2:$O$200,Z$1,FALSE),IFERROR(VLOOKUP($F188,Sheet3!$H$2:$O$200,Z$1,FALSE),VLOOKUP($G188,Sheet3!$H$2:$O$200,Z$1,FALSE))),$I$1),$I$1)</f>
        <v>0</v>
      </c>
      <c r="AA188" s="15">
        <f>IFERROR(IF(ISBLANK(T188),IFERROR(VLOOKUP($E188,Sheet3!$H$2:$O$200,AA$1,FALSE),IFERROR(VLOOKUP($F188,Sheet3!$H$2:$O$200,AA$1,FALSE),VLOOKUP($G188,Sheet3!$H$2:$O$200,AA$1,FALSE))),$I$1),$I$1)</f>
        <v>0</v>
      </c>
      <c r="AB188" s="15">
        <f>IFERROR(IF(ISBLANK(U188),IFERROR(VLOOKUP($E188,Sheet3!$H$2:$O$200,AB$1,FALSE),IFERROR(VLOOKUP($F188,Sheet3!$H$2:$O$200,AB$1,FALSE),VLOOKUP($G188,Sheet3!$H$2:$O$200,AB$1,FALSE))),$I$1),$I$1)</f>
        <v>0</v>
      </c>
      <c r="AC188" s="15">
        <f>IFERROR(IF(ISBLANK(V188),IFERROR(VLOOKUP($E188,Sheet3!$H$2:$O$200,AC$1,FALSE),IFERROR(VLOOKUP($F188,Sheet3!$H$2:$O$200,AC$1,FALSE),VLOOKUP($G188,Sheet3!$H$2:$O$200,AC$1,FALSE))),$I$1),$I$1)</f>
        <v>0</v>
      </c>
      <c r="AD188" s="15">
        <f>IFERROR(IF(ISBLANK(W188),IFERROR(VLOOKUP($E188,Sheet3!$H$2:$O$200,AD$1,FALSE),IFERROR(VLOOKUP($F188,Sheet3!$H$2:$O$200,AD$1,FALSE),VLOOKUP($G188,Sheet3!$H$2:$O$200,AD$1,FALSE))),$I$1),$I$1)</f>
        <v>0</v>
      </c>
      <c r="AE188" s="15">
        <f>IFERROR(IF(ISBLANK(X188),IFERROR(VLOOKUP($F188,Sheet3!$H$2:$O$200,AE$1,FALSE),VLOOKUP($G188,Sheet3!$H$2:$O$200,AE$1,FALSE)),$I$1),$I$1)</f>
        <v>0</v>
      </c>
      <c r="AF188" s="15">
        <f>IFERROR(IF(ISBLANK(Y188),IFERROR(VLOOKUP($F188,Sheet3!$H$2:$O$200,AF$1,FALSE),VLOOKUP($G188,Sheet3!$H$2:$O$200,AF$1,FALSE)),$I$1),$I$1)</f>
        <v>0</v>
      </c>
      <c r="AG188" s="15">
        <f>IFERROR(IF(ISBLANK(Z188),IFERROR(VLOOKUP($F188,Sheet3!$H$2:$O$200,AG$1,FALSE),VLOOKUP($G188,Sheet3!$H$2:$O$200,AG$1,FALSE)),$I$1),$I$1)</f>
        <v>0</v>
      </c>
      <c r="AH188" s="15">
        <f>IFERROR(IF(ISBLANK(AA188),IFERROR(VLOOKUP($F188,Sheet3!$H$2:$O$200,AH$1,FALSE),VLOOKUP($G188,Sheet3!$H$2:$O$200,AH$1,FALSE)),$I$1),$I$1)</f>
        <v>0</v>
      </c>
      <c r="AI188" s="15">
        <f>IFERROR(IF(ISBLANK(AB188),IFERROR(VLOOKUP($F188,Sheet3!$H$2:$O$200,AI$1,FALSE),VLOOKUP($G188,Sheet3!$H$2:$O$200,AI$1,FALSE)),$I$1),$I$1)</f>
        <v>0</v>
      </c>
      <c r="AJ188" s="15">
        <f>IFERROR(IF(ISBLANK(AC188),IFERROR(VLOOKUP($F188,Sheet3!$H$2:$O$200,AJ$1,FALSE),VLOOKUP($G188,Sheet3!$H$2:$O$200,AJ$1,FALSE)),$I$1),$I$1)</f>
        <v>0</v>
      </c>
      <c r="AK188" s="15">
        <f>IFERROR(IF(ISBLANK(AD188),IFERROR(VLOOKUP($F188,Sheet3!$H$2:$O$200,AK$1,FALSE),VLOOKUP($G188,Sheet3!$H$2:$O$200,AK$1,FALSE)),$I$1),$I$1)</f>
        <v>0</v>
      </c>
      <c r="AL188" s="15">
        <f>IFERROR(IF(ISBLANK(AE188),VLOOKUP($G188,Sheet3!$H$2:$O$200,AL$1,FALSE),$I$1),$I$1)</f>
        <v>0</v>
      </c>
      <c r="AM188" s="15">
        <f>IFERROR(IF(ISBLANK(AF188),VLOOKUP($G188,Sheet3!$H$2:$O$200,AM$1,FALSE),$I$1),$I$1)</f>
        <v>0</v>
      </c>
      <c r="AN188" s="15">
        <f>IFERROR(IF(ISBLANK(AG188),VLOOKUP($G188,Sheet3!$H$2:$O$200,AN$1,FALSE),$I$1),$I$1)</f>
        <v>0</v>
      </c>
      <c r="AO188" s="15">
        <f>IFERROR(IF(ISBLANK(AH188),VLOOKUP($G188,Sheet3!$H$2:$O$200,AO$1,FALSE),$I$1),$I$1)</f>
        <v>0</v>
      </c>
      <c r="AP188" s="15">
        <f>IFERROR(IF(ISBLANK(AI188),VLOOKUP($G188,Sheet3!$H$2:$O$200,AP$1,FALSE),$I$1),$I$1)</f>
        <v>0</v>
      </c>
      <c r="AQ188" s="15">
        <f>IFERROR(IF(ISBLANK(AJ188),VLOOKUP($G188,Sheet3!$H$2:$O$200,AQ$1,FALSE),$I$1),$I$1)</f>
        <v>0</v>
      </c>
      <c r="AR188" s="15">
        <f>IFERROR(IF(ISBLANK(AK188),VLOOKUP($G188,Sheet3!$H$2:$O$200,AR$1,FALSE),$I$1),$I$1)</f>
        <v>0</v>
      </c>
      <c r="AS188" s="15">
        <f t="shared" si="1"/>
        <v>28</v>
      </c>
      <c r="AT188" s="15" t="b">
        <f t="shared" si="2"/>
        <v>0</v>
      </c>
    </row>
    <row r="189" spans="1:46" x14ac:dyDescent="0.2">
      <c r="A189" s="20" t="s">
        <v>364</v>
      </c>
      <c r="B189" s="20" t="s">
        <v>357</v>
      </c>
      <c r="C189" s="20" t="s">
        <v>270</v>
      </c>
      <c r="D189" s="20"/>
      <c r="E189" s="20"/>
      <c r="F189" s="20"/>
      <c r="G189" s="20"/>
      <c r="H189" s="20" t="s">
        <v>364</v>
      </c>
      <c r="I189" s="15">
        <f t="shared" si="0"/>
        <v>1</v>
      </c>
      <c r="J189" s="15">
        <f>IFERROR(VLOOKUP($C189,Sheet3!$H$2:$O$200,J$1,FALSE),IFERROR(VLOOKUP($D189,Sheet3!$H$2:$O$200,J$1,FALSE),VLOOKUP($E189,Sheet3!$H$2:$O$200,J$1,FALSE)))</f>
        <v>0</v>
      </c>
      <c r="K189" s="15" t="str">
        <f>IFERROR(VLOOKUP($C189,Sheet3!$H$2:$O$200,K$1,FALSE),IFERROR(VLOOKUP($D189,Sheet3!$H$2:$O$200,K$1,FALSE),VLOOKUP($E189,Sheet3!$H$2:$O$200,K$1,FALSE)))</f>
        <v>ginger beer</v>
      </c>
      <c r="L189" s="15">
        <f>IFERROR(VLOOKUP($C189,Sheet3!$H$2:$O$200,L$1,FALSE),IFERROR(VLOOKUP($D189,Sheet3!$H$2:$O$200,L$1,FALSE),VLOOKUP($E189,Sheet3!$H$2:$O$200,L$1,FALSE)))</f>
        <v>0</v>
      </c>
      <c r="M189" s="15">
        <f>IFERROR(VLOOKUP($C189,Sheet3!$H$2:$O$200,M$1,FALSE),IFERROR(VLOOKUP($D189,Sheet3!$H$2:$O$200,M$1,FALSE),VLOOKUP($E189,Sheet3!$H$2:$O$200,M$1,FALSE)))</f>
        <v>0</v>
      </c>
      <c r="N189" s="15">
        <f>IFERROR(VLOOKUP($C189,Sheet3!$H$2:$O$200,N$1,FALSE),IFERROR(VLOOKUP($D189,Sheet3!$H$2:$O$200,N$1,FALSE),VLOOKUP($E189,Sheet3!$H$2:$O$200,N$1,FALSE)))</f>
        <v>0</v>
      </c>
      <c r="O189" s="15">
        <f>IFERROR(VLOOKUP($C189,Sheet3!$H$2:$O$200,O$1,FALSE),IFERROR(VLOOKUP($D189,Sheet3!$H$2:$O$200,O$1,FALSE),VLOOKUP($E189,Sheet3!$H$2:$O$200,O$1,FALSE)))</f>
        <v>0</v>
      </c>
      <c r="P189" s="15">
        <f>IFERROR(VLOOKUP($C189,Sheet3!$H$2:$O$200,P$1,FALSE),IFERROR(VLOOKUP($D189,Sheet3!$H$2:$O$200,P$1,FALSE),VLOOKUP($E189,Sheet3!$H$2:$O$200,P$1,FALSE)))</f>
        <v>0</v>
      </c>
      <c r="Q189" s="15">
        <f>IFERROR(IF(ISBLANK(J189),IFERROR(VLOOKUP($D189,Sheet3!$H$2:$O$200,Q$1,FALSE),IFERROR(VLOOKUP($E189,Sheet3!$H$2:$O$200,Q$1,FALSE),VLOOKUP($F189,Sheet3!$H$2:$O$200,Q$1,FALSE))),$I$1),$I$1)</f>
        <v>0</v>
      </c>
      <c r="R189" s="15">
        <f>IFERROR(IF(ISBLANK(K189),IFERROR(VLOOKUP($D189,Sheet3!$H$2:$O$200,R$1,FALSE),IFERROR(VLOOKUP($E189,Sheet3!$H$2:$O$200,R$1,FALSE),VLOOKUP($F189,Sheet3!$H$2:$O$200,R$1,FALSE))),$I$1),$I$1)</f>
        <v>0</v>
      </c>
      <c r="S189" s="15">
        <f>IFERROR(IF(ISBLANK(L189),IFERROR(VLOOKUP($D189,Sheet3!$H$2:$O$200,S$1,FALSE),IFERROR(VLOOKUP($E189,Sheet3!$H$2:$O$200,S$1,FALSE),VLOOKUP($F189,Sheet3!$H$2:$O$200,S$1,FALSE))),$I$1),$I$1)</f>
        <v>0</v>
      </c>
      <c r="T189" s="15">
        <f>IFERROR(IF(ISBLANK(M189),IFERROR(VLOOKUP($D189,Sheet3!$H$2:$O$200,T$1,FALSE),IFERROR(VLOOKUP($E189,Sheet3!$H$2:$O$200,T$1,FALSE),VLOOKUP($F189,Sheet3!$H$2:$O$200,T$1,FALSE))),$I$1),$I$1)</f>
        <v>0</v>
      </c>
      <c r="U189" s="15">
        <f>IFERROR(IF(ISBLANK(N189),IFERROR(VLOOKUP($D189,Sheet3!$H$2:$O$200,U$1,FALSE),IFERROR(VLOOKUP($E189,Sheet3!$H$2:$O$200,U$1,FALSE),VLOOKUP($F189,Sheet3!$H$2:$O$200,U$1,FALSE))),$I$1),$I$1)</f>
        <v>0</v>
      </c>
      <c r="V189" s="15">
        <f>IFERROR(IF(ISBLANK(O189),IFERROR(VLOOKUP($D189,Sheet3!$H$2:$O$200,V$1,FALSE),IFERROR(VLOOKUP($E189,Sheet3!$H$2:$O$200,V$1,FALSE),VLOOKUP($F189,Sheet3!$H$2:$O$200,V$1,FALSE))),$I$1),$I$1)</f>
        <v>0</v>
      </c>
      <c r="W189" s="15">
        <f>IFERROR(IF(ISBLANK(P189),IFERROR(VLOOKUP($D189,Sheet3!$H$2:$O$200,W$1,FALSE),IFERROR(VLOOKUP($E189,Sheet3!$H$2:$O$200,W$1,FALSE),VLOOKUP($F189,Sheet3!$H$2:$O$200,W$1,FALSE))),$I$1),$I$1)</f>
        <v>0</v>
      </c>
      <c r="X189" s="15">
        <f>IFERROR(IF(ISBLANK(Q189),IFERROR(VLOOKUP($E189,Sheet3!$H$2:$O$200,X$1,FALSE),IFERROR(VLOOKUP($F189,Sheet3!$H$2:$O$200,X$1,FALSE),VLOOKUP($G189,Sheet3!$H$2:$O$200,X$1,FALSE))),$I$1),$I$1)</f>
        <v>0</v>
      </c>
      <c r="Y189" s="15">
        <f>IFERROR(IF(ISBLANK(R189),IFERROR(VLOOKUP($E189,Sheet3!$H$2:$O$200,Y$1,FALSE),IFERROR(VLOOKUP($F189,Sheet3!$H$2:$O$200,Y$1,FALSE),VLOOKUP($G189,Sheet3!$H$2:$O$200,Y$1,FALSE))),$I$1),$I$1)</f>
        <v>0</v>
      </c>
      <c r="Z189" s="15">
        <f>IFERROR(IF(ISBLANK(S189),IFERROR(VLOOKUP($E189,Sheet3!$H$2:$O$200,Z$1,FALSE),IFERROR(VLOOKUP($F189,Sheet3!$H$2:$O$200,Z$1,FALSE),VLOOKUP($G189,Sheet3!$H$2:$O$200,Z$1,FALSE))),$I$1),$I$1)</f>
        <v>0</v>
      </c>
      <c r="AA189" s="15">
        <f>IFERROR(IF(ISBLANK(T189),IFERROR(VLOOKUP($E189,Sheet3!$H$2:$O$200,AA$1,FALSE),IFERROR(VLOOKUP($F189,Sheet3!$H$2:$O$200,AA$1,FALSE),VLOOKUP($G189,Sheet3!$H$2:$O$200,AA$1,FALSE))),$I$1),$I$1)</f>
        <v>0</v>
      </c>
      <c r="AB189" s="15">
        <f>IFERROR(IF(ISBLANK(U189),IFERROR(VLOOKUP($E189,Sheet3!$H$2:$O$200,AB$1,FALSE),IFERROR(VLOOKUP($F189,Sheet3!$H$2:$O$200,AB$1,FALSE),VLOOKUP($G189,Sheet3!$H$2:$O$200,AB$1,FALSE))),$I$1),$I$1)</f>
        <v>0</v>
      </c>
      <c r="AC189" s="15">
        <f>IFERROR(IF(ISBLANK(V189),IFERROR(VLOOKUP($E189,Sheet3!$H$2:$O$200,AC$1,FALSE),IFERROR(VLOOKUP($F189,Sheet3!$H$2:$O$200,AC$1,FALSE),VLOOKUP($G189,Sheet3!$H$2:$O$200,AC$1,FALSE))),$I$1),$I$1)</f>
        <v>0</v>
      </c>
      <c r="AD189" s="15">
        <f>IFERROR(IF(ISBLANK(W189),IFERROR(VLOOKUP($E189,Sheet3!$H$2:$O$200,AD$1,FALSE),IFERROR(VLOOKUP($F189,Sheet3!$H$2:$O$200,AD$1,FALSE),VLOOKUP($G189,Sheet3!$H$2:$O$200,AD$1,FALSE))),$I$1),$I$1)</f>
        <v>0</v>
      </c>
      <c r="AE189" s="15">
        <f>IFERROR(IF(ISBLANK(X189),IFERROR(VLOOKUP($F189,Sheet3!$H$2:$O$200,AE$1,FALSE),VLOOKUP($G189,Sheet3!$H$2:$O$200,AE$1,FALSE)),$I$1),$I$1)</f>
        <v>0</v>
      </c>
      <c r="AF189" s="15">
        <f>IFERROR(IF(ISBLANK(Y189),IFERROR(VLOOKUP($F189,Sheet3!$H$2:$O$200,AF$1,FALSE),VLOOKUP($G189,Sheet3!$H$2:$O$200,AF$1,FALSE)),$I$1),$I$1)</f>
        <v>0</v>
      </c>
      <c r="AG189" s="15">
        <f>IFERROR(IF(ISBLANK(Z189),IFERROR(VLOOKUP($F189,Sheet3!$H$2:$O$200,AG$1,FALSE),VLOOKUP($G189,Sheet3!$H$2:$O$200,AG$1,FALSE)),$I$1),$I$1)</f>
        <v>0</v>
      </c>
      <c r="AH189" s="15">
        <f>IFERROR(IF(ISBLANK(AA189),IFERROR(VLOOKUP($F189,Sheet3!$H$2:$O$200,AH$1,FALSE),VLOOKUP($G189,Sheet3!$H$2:$O$200,AH$1,FALSE)),$I$1),$I$1)</f>
        <v>0</v>
      </c>
      <c r="AI189" s="15">
        <f>IFERROR(IF(ISBLANK(AB189),IFERROR(VLOOKUP($F189,Sheet3!$H$2:$O$200,AI$1,FALSE),VLOOKUP($G189,Sheet3!$H$2:$O$200,AI$1,FALSE)),$I$1),$I$1)</f>
        <v>0</v>
      </c>
      <c r="AJ189" s="15">
        <f>IFERROR(IF(ISBLANK(AC189),IFERROR(VLOOKUP($F189,Sheet3!$H$2:$O$200,AJ$1,FALSE),VLOOKUP($G189,Sheet3!$H$2:$O$200,AJ$1,FALSE)),$I$1),$I$1)</f>
        <v>0</v>
      </c>
      <c r="AK189" s="15">
        <f>IFERROR(IF(ISBLANK(AD189),IFERROR(VLOOKUP($F189,Sheet3!$H$2:$O$200,AK$1,FALSE),VLOOKUP($G189,Sheet3!$H$2:$O$200,AK$1,FALSE)),$I$1),$I$1)</f>
        <v>0</v>
      </c>
      <c r="AL189" s="15">
        <f>IFERROR(IF(ISBLANK(AE189),VLOOKUP($G189,Sheet3!$H$2:$O$200,AL$1,FALSE),$I$1),$I$1)</f>
        <v>0</v>
      </c>
      <c r="AM189" s="15">
        <f>IFERROR(IF(ISBLANK(AF189),VLOOKUP($G189,Sheet3!$H$2:$O$200,AM$1,FALSE),$I$1),$I$1)</f>
        <v>0</v>
      </c>
      <c r="AN189" s="15">
        <f>IFERROR(IF(ISBLANK(AG189),VLOOKUP($G189,Sheet3!$H$2:$O$200,AN$1,FALSE),$I$1),$I$1)</f>
        <v>0</v>
      </c>
      <c r="AO189" s="15">
        <f>IFERROR(IF(ISBLANK(AH189),VLOOKUP($G189,Sheet3!$H$2:$O$200,AO$1,FALSE),$I$1),$I$1)</f>
        <v>0</v>
      </c>
      <c r="AP189" s="15">
        <f>IFERROR(IF(ISBLANK(AI189),VLOOKUP($G189,Sheet3!$H$2:$O$200,AP$1,FALSE),$I$1),$I$1)</f>
        <v>0</v>
      </c>
      <c r="AQ189" s="15">
        <f>IFERROR(IF(ISBLANK(AJ189),VLOOKUP($G189,Sheet3!$H$2:$O$200,AQ$1,FALSE),$I$1),$I$1)</f>
        <v>0</v>
      </c>
      <c r="AR189" s="15">
        <f>IFERROR(IF(ISBLANK(AK189),VLOOKUP($G189,Sheet3!$H$2:$O$200,AR$1,FALSE),$I$1),$I$1)</f>
        <v>0</v>
      </c>
      <c r="AS189" s="15">
        <f t="shared" si="1"/>
        <v>28</v>
      </c>
      <c r="AT189" s="15" t="b">
        <f t="shared" si="2"/>
        <v>0</v>
      </c>
    </row>
    <row r="190" spans="1:46" x14ac:dyDescent="0.2">
      <c r="A190" s="19" t="s">
        <v>365</v>
      </c>
      <c r="B190" s="19" t="s">
        <v>357</v>
      </c>
      <c r="C190" s="19" t="s">
        <v>158</v>
      </c>
      <c r="D190" s="19"/>
      <c r="E190" s="19"/>
      <c r="F190" s="19"/>
      <c r="G190" s="19"/>
      <c r="H190" s="19" t="s">
        <v>365</v>
      </c>
      <c r="I190" s="15">
        <f t="shared" si="0"/>
        <v>1</v>
      </c>
      <c r="J190" s="15">
        <f>IFERROR(VLOOKUP($C190,Sheet3!$H$2:$O$200,J$1,FALSE),IFERROR(VLOOKUP($D190,Sheet3!$H$2:$O$200,J$1,FALSE),VLOOKUP($E190,Sheet3!$H$2:$O$200,J$1,FALSE)))</f>
        <v>0</v>
      </c>
      <c r="K190" s="15" t="str">
        <f>IFERROR(VLOOKUP($C190,Sheet3!$H$2:$O$200,K$1,FALSE),IFERROR(VLOOKUP($D190,Sheet3!$H$2:$O$200,K$1,FALSE),VLOOKUP($E190,Sheet3!$H$2:$O$200,K$1,FALSE)))</f>
        <v>tonic water</v>
      </c>
      <c r="L190" s="15">
        <f>IFERROR(VLOOKUP($C190,Sheet3!$H$2:$O$200,L$1,FALSE),IFERROR(VLOOKUP($D190,Sheet3!$H$2:$O$200,L$1,FALSE),VLOOKUP($E190,Sheet3!$H$2:$O$200,L$1,FALSE)))</f>
        <v>0</v>
      </c>
      <c r="M190" s="15">
        <f>IFERROR(VLOOKUP($C190,Sheet3!$H$2:$O$200,M$1,FALSE),IFERROR(VLOOKUP($D190,Sheet3!$H$2:$O$200,M$1,FALSE),VLOOKUP($E190,Sheet3!$H$2:$O$200,M$1,FALSE)))</f>
        <v>0</v>
      </c>
      <c r="N190" s="15">
        <f>IFERROR(VLOOKUP($C190,Sheet3!$H$2:$O$200,N$1,FALSE),IFERROR(VLOOKUP($D190,Sheet3!$H$2:$O$200,N$1,FALSE),VLOOKUP($E190,Sheet3!$H$2:$O$200,N$1,FALSE)))</f>
        <v>0</v>
      </c>
      <c r="O190" s="15">
        <f>IFERROR(VLOOKUP($C190,Sheet3!$H$2:$O$200,O$1,FALSE),IFERROR(VLOOKUP($D190,Sheet3!$H$2:$O$200,O$1,FALSE),VLOOKUP($E190,Sheet3!$H$2:$O$200,O$1,FALSE)))</f>
        <v>0</v>
      </c>
      <c r="P190" s="15">
        <f>IFERROR(VLOOKUP($C190,Sheet3!$H$2:$O$200,P$1,FALSE),IFERROR(VLOOKUP($D190,Sheet3!$H$2:$O$200,P$1,FALSE),VLOOKUP($E190,Sheet3!$H$2:$O$200,P$1,FALSE)))</f>
        <v>0</v>
      </c>
      <c r="Q190" s="15">
        <f>IFERROR(IF(ISBLANK(J190),IFERROR(VLOOKUP($D190,Sheet3!$H$2:$O$200,Q$1,FALSE),IFERROR(VLOOKUP($E190,Sheet3!$H$2:$O$200,Q$1,FALSE),VLOOKUP($F190,Sheet3!$H$2:$O$200,Q$1,FALSE))),$I$1),$I$1)</f>
        <v>0</v>
      </c>
      <c r="R190" s="15">
        <f>IFERROR(IF(ISBLANK(K190),IFERROR(VLOOKUP($D190,Sheet3!$H$2:$O$200,R$1,FALSE),IFERROR(VLOOKUP($E190,Sheet3!$H$2:$O$200,R$1,FALSE),VLOOKUP($F190,Sheet3!$H$2:$O$200,R$1,FALSE))),$I$1),$I$1)</f>
        <v>0</v>
      </c>
      <c r="S190" s="15">
        <f>IFERROR(IF(ISBLANK(L190),IFERROR(VLOOKUP($D190,Sheet3!$H$2:$O$200,S$1,FALSE),IFERROR(VLOOKUP($E190,Sheet3!$H$2:$O$200,S$1,FALSE),VLOOKUP($F190,Sheet3!$H$2:$O$200,S$1,FALSE))),$I$1),$I$1)</f>
        <v>0</v>
      </c>
      <c r="T190" s="15">
        <f>IFERROR(IF(ISBLANK(M190),IFERROR(VLOOKUP($D190,Sheet3!$H$2:$O$200,T$1,FALSE),IFERROR(VLOOKUP($E190,Sheet3!$H$2:$O$200,T$1,FALSE),VLOOKUP($F190,Sheet3!$H$2:$O$200,T$1,FALSE))),$I$1),$I$1)</f>
        <v>0</v>
      </c>
      <c r="U190" s="15">
        <f>IFERROR(IF(ISBLANK(N190),IFERROR(VLOOKUP($D190,Sheet3!$H$2:$O$200,U$1,FALSE),IFERROR(VLOOKUP($E190,Sheet3!$H$2:$O$200,U$1,FALSE),VLOOKUP($F190,Sheet3!$H$2:$O$200,U$1,FALSE))),$I$1),$I$1)</f>
        <v>0</v>
      </c>
      <c r="V190" s="15">
        <f>IFERROR(IF(ISBLANK(O190),IFERROR(VLOOKUP($D190,Sheet3!$H$2:$O$200,V$1,FALSE),IFERROR(VLOOKUP($E190,Sheet3!$H$2:$O$200,V$1,FALSE),VLOOKUP($F190,Sheet3!$H$2:$O$200,V$1,FALSE))),$I$1),$I$1)</f>
        <v>0</v>
      </c>
      <c r="W190" s="15">
        <f>IFERROR(IF(ISBLANK(P190),IFERROR(VLOOKUP($D190,Sheet3!$H$2:$O$200,W$1,FALSE),IFERROR(VLOOKUP($E190,Sheet3!$H$2:$O$200,W$1,FALSE),VLOOKUP($F190,Sheet3!$H$2:$O$200,W$1,FALSE))),$I$1),$I$1)</f>
        <v>0</v>
      </c>
      <c r="X190" s="15">
        <f>IFERROR(IF(ISBLANK(Q190),IFERROR(VLOOKUP($E190,Sheet3!$H$2:$O$200,X$1,FALSE),IFERROR(VLOOKUP($F190,Sheet3!$H$2:$O$200,X$1,FALSE),VLOOKUP($G190,Sheet3!$H$2:$O$200,X$1,FALSE))),$I$1),$I$1)</f>
        <v>0</v>
      </c>
      <c r="Y190" s="15">
        <f>IFERROR(IF(ISBLANK(R190),IFERROR(VLOOKUP($E190,Sheet3!$H$2:$O$200,Y$1,FALSE),IFERROR(VLOOKUP($F190,Sheet3!$H$2:$O$200,Y$1,FALSE),VLOOKUP($G190,Sheet3!$H$2:$O$200,Y$1,FALSE))),$I$1),$I$1)</f>
        <v>0</v>
      </c>
      <c r="Z190" s="15">
        <f>IFERROR(IF(ISBLANK(S190),IFERROR(VLOOKUP($E190,Sheet3!$H$2:$O$200,Z$1,FALSE),IFERROR(VLOOKUP($F190,Sheet3!$H$2:$O$200,Z$1,FALSE),VLOOKUP($G190,Sheet3!$H$2:$O$200,Z$1,FALSE))),$I$1),$I$1)</f>
        <v>0</v>
      </c>
      <c r="AA190" s="15">
        <f>IFERROR(IF(ISBLANK(T190),IFERROR(VLOOKUP($E190,Sheet3!$H$2:$O$200,AA$1,FALSE),IFERROR(VLOOKUP($F190,Sheet3!$H$2:$O$200,AA$1,FALSE),VLOOKUP($G190,Sheet3!$H$2:$O$200,AA$1,FALSE))),$I$1),$I$1)</f>
        <v>0</v>
      </c>
      <c r="AB190" s="15">
        <f>IFERROR(IF(ISBLANK(U190),IFERROR(VLOOKUP($E190,Sheet3!$H$2:$O$200,AB$1,FALSE),IFERROR(VLOOKUP($F190,Sheet3!$H$2:$O$200,AB$1,FALSE),VLOOKUP($G190,Sheet3!$H$2:$O$200,AB$1,FALSE))),$I$1),$I$1)</f>
        <v>0</v>
      </c>
      <c r="AC190" s="15">
        <f>IFERROR(IF(ISBLANK(V190),IFERROR(VLOOKUP($E190,Sheet3!$H$2:$O$200,AC$1,FALSE),IFERROR(VLOOKUP($F190,Sheet3!$H$2:$O$200,AC$1,FALSE),VLOOKUP($G190,Sheet3!$H$2:$O$200,AC$1,FALSE))),$I$1),$I$1)</f>
        <v>0</v>
      </c>
      <c r="AD190" s="15">
        <f>IFERROR(IF(ISBLANK(W190),IFERROR(VLOOKUP($E190,Sheet3!$H$2:$O$200,AD$1,FALSE),IFERROR(VLOOKUP($F190,Sheet3!$H$2:$O$200,AD$1,FALSE),VLOOKUP($G190,Sheet3!$H$2:$O$200,AD$1,FALSE))),$I$1),$I$1)</f>
        <v>0</v>
      </c>
      <c r="AE190" s="15">
        <f>IFERROR(IF(ISBLANK(X190),IFERROR(VLOOKUP($F190,Sheet3!$H$2:$O$200,AE$1,FALSE),VLOOKUP($G190,Sheet3!$H$2:$O$200,AE$1,FALSE)),$I$1),$I$1)</f>
        <v>0</v>
      </c>
      <c r="AF190" s="15">
        <f>IFERROR(IF(ISBLANK(Y190),IFERROR(VLOOKUP($F190,Sheet3!$H$2:$O$200,AF$1,FALSE),VLOOKUP($G190,Sheet3!$H$2:$O$200,AF$1,FALSE)),$I$1),$I$1)</f>
        <v>0</v>
      </c>
      <c r="AG190" s="15">
        <f>IFERROR(IF(ISBLANK(Z190),IFERROR(VLOOKUP($F190,Sheet3!$H$2:$O$200,AG$1,FALSE),VLOOKUP($G190,Sheet3!$H$2:$O$200,AG$1,FALSE)),$I$1),$I$1)</f>
        <v>0</v>
      </c>
      <c r="AH190" s="15">
        <f>IFERROR(IF(ISBLANK(AA190),IFERROR(VLOOKUP($F190,Sheet3!$H$2:$O$200,AH$1,FALSE),VLOOKUP($G190,Sheet3!$H$2:$O$200,AH$1,FALSE)),$I$1),$I$1)</f>
        <v>0</v>
      </c>
      <c r="AI190" s="15">
        <f>IFERROR(IF(ISBLANK(AB190),IFERROR(VLOOKUP($F190,Sheet3!$H$2:$O$200,AI$1,FALSE),VLOOKUP($G190,Sheet3!$H$2:$O$200,AI$1,FALSE)),$I$1),$I$1)</f>
        <v>0</v>
      </c>
      <c r="AJ190" s="15">
        <f>IFERROR(IF(ISBLANK(AC190),IFERROR(VLOOKUP($F190,Sheet3!$H$2:$O$200,AJ$1,FALSE),VLOOKUP($G190,Sheet3!$H$2:$O$200,AJ$1,FALSE)),$I$1),$I$1)</f>
        <v>0</v>
      </c>
      <c r="AK190" s="15">
        <f>IFERROR(IF(ISBLANK(AD190),IFERROR(VLOOKUP($F190,Sheet3!$H$2:$O$200,AK$1,FALSE),VLOOKUP($G190,Sheet3!$H$2:$O$200,AK$1,FALSE)),$I$1),$I$1)</f>
        <v>0</v>
      </c>
      <c r="AL190" s="15">
        <f>IFERROR(IF(ISBLANK(AE190),VLOOKUP($G190,Sheet3!$H$2:$O$200,AL$1,FALSE),$I$1),$I$1)</f>
        <v>0</v>
      </c>
      <c r="AM190" s="15">
        <f>IFERROR(IF(ISBLANK(AF190),VLOOKUP($G190,Sheet3!$H$2:$O$200,AM$1,FALSE),$I$1),$I$1)</f>
        <v>0</v>
      </c>
      <c r="AN190" s="15">
        <f>IFERROR(IF(ISBLANK(AG190),VLOOKUP($G190,Sheet3!$H$2:$O$200,AN$1,FALSE),$I$1),$I$1)</f>
        <v>0</v>
      </c>
      <c r="AO190" s="15">
        <f>IFERROR(IF(ISBLANK(AH190),VLOOKUP($G190,Sheet3!$H$2:$O$200,AO$1,FALSE),$I$1),$I$1)</f>
        <v>0</v>
      </c>
      <c r="AP190" s="15">
        <f>IFERROR(IF(ISBLANK(AI190),VLOOKUP($G190,Sheet3!$H$2:$O$200,AP$1,FALSE),$I$1),$I$1)</f>
        <v>0</v>
      </c>
      <c r="AQ190" s="15">
        <f>IFERROR(IF(ISBLANK(AJ190),VLOOKUP($G190,Sheet3!$H$2:$O$200,AQ$1,FALSE),$I$1),$I$1)</f>
        <v>0</v>
      </c>
      <c r="AR190" s="15">
        <f>IFERROR(IF(ISBLANK(AK190),VLOOKUP($G190,Sheet3!$H$2:$O$200,AR$1,FALSE),$I$1),$I$1)</f>
        <v>0</v>
      </c>
      <c r="AS190" s="15">
        <f t="shared" si="1"/>
        <v>28</v>
      </c>
      <c r="AT190" s="15" t="b">
        <f t="shared" si="2"/>
        <v>0</v>
      </c>
    </row>
    <row r="191" spans="1:46" x14ac:dyDescent="0.2">
      <c r="A191" s="19" t="s">
        <v>366</v>
      </c>
      <c r="B191" s="19" t="s">
        <v>357</v>
      </c>
      <c r="C191" s="19"/>
      <c r="D191" s="19" t="s">
        <v>126</v>
      </c>
      <c r="E191" s="19"/>
      <c r="F191" s="19"/>
      <c r="G191" s="19"/>
      <c r="H191" s="19" t="s">
        <v>366</v>
      </c>
      <c r="I191" s="15">
        <f t="shared" si="0"/>
        <v>1</v>
      </c>
      <c r="J191" s="15">
        <f>IFERROR(VLOOKUP($C191,Sheet3!$H$2:$O$200,J$1,FALSE),IFERROR(VLOOKUP($D191,Sheet3!$H$2:$O$200,J$1,FALSE),VLOOKUP($E191,Sheet3!$H$2:$O$200,J$1,FALSE)))</f>
        <v>0</v>
      </c>
      <c r="K191" s="15">
        <f>IFERROR(VLOOKUP($C191,Sheet3!$H$2:$O$200,K$1,FALSE),IFERROR(VLOOKUP($D191,Sheet3!$H$2:$O$200,K$1,FALSE),VLOOKUP($E191,Sheet3!$H$2:$O$200,K$1,FALSE)))</f>
        <v>0</v>
      </c>
      <c r="L191" s="15" t="str">
        <f>IFERROR(VLOOKUP($C191,Sheet3!$H$2:$O$200,L$1,FALSE),IFERROR(VLOOKUP($D191,Sheet3!$H$2:$O$200,L$1,FALSE),VLOOKUP($E191,Sheet3!$H$2:$O$200,L$1,FALSE)))</f>
        <v>orange juice</v>
      </c>
      <c r="M191" s="15">
        <f>IFERROR(VLOOKUP($C191,Sheet3!$H$2:$O$200,M$1,FALSE),IFERROR(VLOOKUP($D191,Sheet3!$H$2:$O$200,M$1,FALSE),VLOOKUP($E191,Sheet3!$H$2:$O$200,M$1,FALSE)))</f>
        <v>0</v>
      </c>
      <c r="N191" s="15">
        <f>IFERROR(VLOOKUP($C191,Sheet3!$H$2:$O$200,N$1,FALSE),IFERROR(VLOOKUP($D191,Sheet3!$H$2:$O$200,N$1,FALSE),VLOOKUP($E191,Sheet3!$H$2:$O$200,N$1,FALSE)))</f>
        <v>0</v>
      </c>
      <c r="O191" s="15">
        <f>IFERROR(VLOOKUP($C191,Sheet3!$H$2:$O$200,O$1,FALSE),IFERROR(VLOOKUP($D191,Sheet3!$H$2:$O$200,O$1,FALSE),VLOOKUP($E191,Sheet3!$H$2:$O$200,O$1,FALSE)))</f>
        <v>0</v>
      </c>
      <c r="P191" s="15">
        <f>IFERROR(VLOOKUP($C191,Sheet3!$H$2:$O$200,P$1,FALSE),IFERROR(VLOOKUP($D191,Sheet3!$H$2:$O$200,P$1,FALSE),VLOOKUP($E191,Sheet3!$H$2:$O$200,P$1,FALSE)))</f>
        <v>0</v>
      </c>
      <c r="Q191" s="15">
        <f>IFERROR(IF(ISBLANK(J191),IFERROR(VLOOKUP($D191,Sheet3!$H$2:$O$200,Q$1,FALSE),IFERROR(VLOOKUP($E191,Sheet3!$H$2:$O$200,Q$1,FALSE),VLOOKUP($F191,Sheet3!$H$2:$O$200,Q$1,FALSE))),$I$1),$I$1)</f>
        <v>0</v>
      </c>
      <c r="R191" s="15">
        <f>IFERROR(IF(ISBLANK(K191),IFERROR(VLOOKUP($D191,Sheet3!$H$2:$O$200,R$1,FALSE),IFERROR(VLOOKUP($E191,Sheet3!$H$2:$O$200,R$1,FALSE),VLOOKUP($F191,Sheet3!$H$2:$O$200,R$1,FALSE))),$I$1),$I$1)</f>
        <v>0</v>
      </c>
      <c r="S191" s="15">
        <f>IFERROR(IF(ISBLANK(L191),IFERROR(VLOOKUP($D191,Sheet3!$H$2:$O$200,S$1,FALSE),IFERROR(VLOOKUP($E191,Sheet3!$H$2:$O$200,S$1,FALSE),VLOOKUP($F191,Sheet3!$H$2:$O$200,S$1,FALSE))),$I$1),$I$1)</f>
        <v>0</v>
      </c>
      <c r="T191" s="15">
        <f>IFERROR(IF(ISBLANK(M191),IFERROR(VLOOKUP($D191,Sheet3!$H$2:$O$200,T$1,FALSE),IFERROR(VLOOKUP($E191,Sheet3!$H$2:$O$200,T$1,FALSE),VLOOKUP($F191,Sheet3!$H$2:$O$200,T$1,FALSE))),$I$1),$I$1)</f>
        <v>0</v>
      </c>
      <c r="U191" s="15">
        <f>IFERROR(IF(ISBLANK(N191),IFERROR(VLOOKUP($D191,Sheet3!$H$2:$O$200,U$1,FALSE),IFERROR(VLOOKUP($E191,Sheet3!$H$2:$O$200,U$1,FALSE),VLOOKUP($F191,Sheet3!$H$2:$O$200,U$1,FALSE))),$I$1),$I$1)</f>
        <v>0</v>
      </c>
      <c r="V191" s="15">
        <f>IFERROR(IF(ISBLANK(O191),IFERROR(VLOOKUP($D191,Sheet3!$H$2:$O$200,V$1,FALSE),IFERROR(VLOOKUP($E191,Sheet3!$H$2:$O$200,V$1,FALSE),VLOOKUP($F191,Sheet3!$H$2:$O$200,V$1,FALSE))),$I$1),$I$1)</f>
        <v>0</v>
      </c>
      <c r="W191" s="15">
        <f>IFERROR(IF(ISBLANK(P191),IFERROR(VLOOKUP($D191,Sheet3!$H$2:$O$200,W$1,FALSE),IFERROR(VLOOKUP($E191,Sheet3!$H$2:$O$200,W$1,FALSE),VLOOKUP($F191,Sheet3!$H$2:$O$200,W$1,FALSE))),$I$1),$I$1)</f>
        <v>0</v>
      </c>
      <c r="X191" s="15">
        <f>IFERROR(IF(ISBLANK(Q191),IFERROR(VLOOKUP($E191,Sheet3!$H$2:$O$200,X$1,FALSE),IFERROR(VLOOKUP($F191,Sheet3!$H$2:$O$200,X$1,FALSE),VLOOKUP($G191,Sheet3!$H$2:$O$200,X$1,FALSE))),$I$1),$I$1)</f>
        <v>0</v>
      </c>
      <c r="Y191" s="15">
        <f>IFERROR(IF(ISBLANK(R191),IFERROR(VLOOKUP($E191,Sheet3!$H$2:$O$200,Y$1,FALSE),IFERROR(VLOOKUP($F191,Sheet3!$H$2:$O$200,Y$1,FALSE),VLOOKUP($G191,Sheet3!$H$2:$O$200,Y$1,FALSE))),$I$1),$I$1)</f>
        <v>0</v>
      </c>
      <c r="Z191" s="15">
        <f>IFERROR(IF(ISBLANK(S191),IFERROR(VLOOKUP($E191,Sheet3!$H$2:$O$200,Z$1,FALSE),IFERROR(VLOOKUP($F191,Sheet3!$H$2:$O$200,Z$1,FALSE),VLOOKUP($G191,Sheet3!$H$2:$O$200,Z$1,FALSE))),$I$1),$I$1)</f>
        <v>0</v>
      </c>
      <c r="AA191" s="15">
        <f>IFERROR(IF(ISBLANK(T191),IFERROR(VLOOKUP($E191,Sheet3!$H$2:$O$200,AA$1,FALSE),IFERROR(VLOOKUP($F191,Sheet3!$H$2:$O$200,AA$1,FALSE),VLOOKUP($G191,Sheet3!$H$2:$O$200,AA$1,FALSE))),$I$1),$I$1)</f>
        <v>0</v>
      </c>
      <c r="AB191" s="15">
        <f>IFERROR(IF(ISBLANK(U191),IFERROR(VLOOKUP($E191,Sheet3!$H$2:$O$200,AB$1,FALSE),IFERROR(VLOOKUP($F191,Sheet3!$H$2:$O$200,AB$1,FALSE),VLOOKUP($G191,Sheet3!$H$2:$O$200,AB$1,FALSE))),$I$1),$I$1)</f>
        <v>0</v>
      </c>
      <c r="AC191" s="15">
        <f>IFERROR(IF(ISBLANK(V191),IFERROR(VLOOKUP($E191,Sheet3!$H$2:$O$200,AC$1,FALSE),IFERROR(VLOOKUP($F191,Sheet3!$H$2:$O$200,AC$1,FALSE),VLOOKUP($G191,Sheet3!$H$2:$O$200,AC$1,FALSE))),$I$1),$I$1)</f>
        <v>0</v>
      </c>
      <c r="AD191" s="15">
        <f>IFERROR(IF(ISBLANK(W191),IFERROR(VLOOKUP($E191,Sheet3!$H$2:$O$200,AD$1,FALSE),IFERROR(VLOOKUP($F191,Sheet3!$H$2:$O$200,AD$1,FALSE),VLOOKUP($G191,Sheet3!$H$2:$O$200,AD$1,FALSE))),$I$1),$I$1)</f>
        <v>0</v>
      </c>
      <c r="AE191" s="15">
        <f>IFERROR(IF(ISBLANK(X191),IFERROR(VLOOKUP($F191,Sheet3!$H$2:$O$200,AE$1,FALSE),VLOOKUP($G191,Sheet3!$H$2:$O$200,AE$1,FALSE)),$I$1),$I$1)</f>
        <v>0</v>
      </c>
      <c r="AF191" s="15">
        <f>IFERROR(IF(ISBLANK(Y191),IFERROR(VLOOKUP($F191,Sheet3!$H$2:$O$200,AF$1,FALSE),VLOOKUP($G191,Sheet3!$H$2:$O$200,AF$1,FALSE)),$I$1),$I$1)</f>
        <v>0</v>
      </c>
      <c r="AG191" s="15">
        <f>IFERROR(IF(ISBLANK(Z191),IFERROR(VLOOKUP($F191,Sheet3!$H$2:$O$200,AG$1,FALSE),VLOOKUP($G191,Sheet3!$H$2:$O$200,AG$1,FALSE)),$I$1),$I$1)</f>
        <v>0</v>
      </c>
      <c r="AH191" s="15">
        <f>IFERROR(IF(ISBLANK(AA191),IFERROR(VLOOKUP($F191,Sheet3!$H$2:$O$200,AH$1,FALSE),VLOOKUP($G191,Sheet3!$H$2:$O$200,AH$1,FALSE)),$I$1),$I$1)</f>
        <v>0</v>
      </c>
      <c r="AI191" s="15">
        <f>IFERROR(IF(ISBLANK(AB191),IFERROR(VLOOKUP($F191,Sheet3!$H$2:$O$200,AI$1,FALSE),VLOOKUP($G191,Sheet3!$H$2:$O$200,AI$1,FALSE)),$I$1),$I$1)</f>
        <v>0</v>
      </c>
      <c r="AJ191" s="15">
        <f>IFERROR(IF(ISBLANK(AC191),IFERROR(VLOOKUP($F191,Sheet3!$H$2:$O$200,AJ$1,FALSE),VLOOKUP($G191,Sheet3!$H$2:$O$200,AJ$1,FALSE)),$I$1),$I$1)</f>
        <v>0</v>
      </c>
      <c r="AK191" s="15">
        <f>IFERROR(IF(ISBLANK(AD191),IFERROR(VLOOKUP($F191,Sheet3!$H$2:$O$200,AK$1,FALSE),VLOOKUP($G191,Sheet3!$H$2:$O$200,AK$1,FALSE)),$I$1),$I$1)</f>
        <v>0</v>
      </c>
      <c r="AL191" s="15">
        <f>IFERROR(IF(ISBLANK(AE191),VLOOKUP($G191,Sheet3!$H$2:$O$200,AL$1,FALSE),$I$1),$I$1)</f>
        <v>0</v>
      </c>
      <c r="AM191" s="15">
        <f>IFERROR(IF(ISBLANK(AF191),VLOOKUP($G191,Sheet3!$H$2:$O$200,AM$1,FALSE),$I$1),$I$1)</f>
        <v>0</v>
      </c>
      <c r="AN191" s="15">
        <f>IFERROR(IF(ISBLANK(AG191),VLOOKUP($G191,Sheet3!$H$2:$O$200,AN$1,FALSE),$I$1),$I$1)</f>
        <v>0</v>
      </c>
      <c r="AO191" s="15">
        <f>IFERROR(IF(ISBLANK(AH191),VLOOKUP($G191,Sheet3!$H$2:$O$200,AO$1,FALSE),$I$1),$I$1)</f>
        <v>0</v>
      </c>
      <c r="AP191" s="15">
        <f>IFERROR(IF(ISBLANK(AI191),VLOOKUP($G191,Sheet3!$H$2:$O$200,AP$1,FALSE),$I$1),$I$1)</f>
        <v>0</v>
      </c>
      <c r="AQ191" s="15">
        <f>IFERROR(IF(ISBLANK(AJ191),VLOOKUP($G191,Sheet3!$H$2:$O$200,AQ$1,FALSE),$I$1),$I$1)</f>
        <v>0</v>
      </c>
      <c r="AR191" s="15">
        <f>IFERROR(IF(ISBLANK(AK191),VLOOKUP($G191,Sheet3!$H$2:$O$200,AR$1,FALSE),$I$1),$I$1)</f>
        <v>0</v>
      </c>
      <c r="AS191" s="15">
        <f t="shared" si="1"/>
        <v>28</v>
      </c>
      <c r="AT191" s="15" t="b">
        <f t="shared" si="2"/>
        <v>0</v>
      </c>
    </row>
    <row r="192" spans="1:46" x14ac:dyDescent="0.2">
      <c r="A192" s="19" t="s">
        <v>367</v>
      </c>
      <c r="B192" s="19" t="s">
        <v>357</v>
      </c>
      <c r="C192" s="19" t="s">
        <v>76</v>
      </c>
      <c r="D192" s="19" t="s">
        <v>126</v>
      </c>
      <c r="E192" s="19"/>
      <c r="F192" s="19"/>
      <c r="G192" s="19"/>
      <c r="H192" s="19" t="s">
        <v>367</v>
      </c>
      <c r="I192" s="15">
        <f t="shared" si="0"/>
        <v>2</v>
      </c>
      <c r="J192" s="15">
        <f>IFERROR(VLOOKUP($C192,Sheet3!$H$2:$O$200,J$1,FALSE),IFERROR(VLOOKUP($D192,Sheet3!$H$2:$O$200,J$1,FALSE),VLOOKUP($E192,Sheet3!$H$2:$O$200,J$1,FALSE)))</f>
        <v>0</v>
      </c>
      <c r="K192" s="15">
        <f>IFERROR(VLOOKUP($C192,Sheet3!$H$2:$O$200,K$1,FALSE),IFERROR(VLOOKUP($D192,Sheet3!$H$2:$O$200,K$1,FALSE),VLOOKUP($E192,Sheet3!$H$2:$O$200,K$1,FALSE)))</f>
        <v>0</v>
      </c>
      <c r="L192" s="15">
        <f>IFERROR(VLOOKUP($C192,Sheet3!$H$2:$O$200,L$1,FALSE),IFERROR(VLOOKUP($D192,Sheet3!$H$2:$O$200,L$1,FALSE),VLOOKUP($E192,Sheet3!$H$2:$O$200,L$1,FALSE)))</f>
        <v>0</v>
      </c>
      <c r="M192" s="15" t="str">
        <f>IFERROR(VLOOKUP($C192,Sheet3!$H$2:$O$200,M$1,FALSE),IFERROR(VLOOKUP($D192,Sheet3!$H$2:$O$200,M$1,FALSE),VLOOKUP($E192,Sheet3!$H$2:$O$200,M$1,FALSE)))</f>
        <v>peach schnapps</v>
      </c>
      <c r="N192" s="15">
        <f>IFERROR(VLOOKUP($C192,Sheet3!$H$2:$O$200,N$1,FALSE),IFERROR(VLOOKUP($D192,Sheet3!$H$2:$O$200,N$1,FALSE),VLOOKUP($E192,Sheet3!$H$2:$O$200,N$1,FALSE)))</f>
        <v>0</v>
      </c>
      <c r="O192" s="15">
        <f>IFERROR(VLOOKUP($C192,Sheet3!$H$2:$O$200,O$1,FALSE),IFERROR(VLOOKUP($D192,Sheet3!$H$2:$O$200,O$1,FALSE),VLOOKUP($E192,Sheet3!$H$2:$O$200,O$1,FALSE)))</f>
        <v>0</v>
      </c>
      <c r="P192" s="15">
        <f>IFERROR(VLOOKUP($C192,Sheet3!$H$2:$O$200,P$1,FALSE),IFERROR(VLOOKUP($D192,Sheet3!$H$2:$O$200,P$1,FALSE),VLOOKUP($E192,Sheet3!$H$2:$O$200,P$1,FALSE)))</f>
        <v>0</v>
      </c>
      <c r="Q192" s="15">
        <f>IFERROR(IF(ISBLANK(J192),IFERROR(VLOOKUP($D192,Sheet3!$H$2:$O$200,Q$1,FALSE),IFERROR(VLOOKUP($E192,Sheet3!$H$2:$O$200,Q$1,FALSE),VLOOKUP($F192,Sheet3!$H$2:$O$200,Q$1,FALSE))),$I$1),$I$1)</f>
        <v>0</v>
      </c>
      <c r="R192" s="15">
        <f>IFERROR(IF(ISBLANK(K192),IFERROR(VLOOKUP($D192,Sheet3!$H$2:$O$200,R$1,FALSE),IFERROR(VLOOKUP($E192,Sheet3!$H$2:$O$200,R$1,FALSE),VLOOKUP($F192,Sheet3!$H$2:$O$200,R$1,FALSE))),$I$1),$I$1)</f>
        <v>0</v>
      </c>
      <c r="S192" s="15">
        <f>IFERROR(IF(ISBLANK(L192),IFERROR(VLOOKUP($D192,Sheet3!$H$2:$O$200,S$1,FALSE),IFERROR(VLOOKUP($E192,Sheet3!$H$2:$O$200,S$1,FALSE),VLOOKUP($F192,Sheet3!$H$2:$O$200,S$1,FALSE))),$I$1),$I$1)</f>
        <v>0</v>
      </c>
      <c r="T192" s="15">
        <f>IFERROR(IF(ISBLANK(M192),IFERROR(VLOOKUP($D192,Sheet3!$H$2:$O$200,T$1,FALSE),IFERROR(VLOOKUP($E192,Sheet3!$H$2:$O$200,T$1,FALSE),VLOOKUP($F192,Sheet3!$H$2:$O$200,T$1,FALSE))),$I$1),$I$1)</f>
        <v>0</v>
      </c>
      <c r="U192" s="15">
        <f>IFERROR(IF(ISBLANK(N192),IFERROR(VLOOKUP($D192,Sheet3!$H$2:$O$200,U$1,FALSE),IFERROR(VLOOKUP($E192,Sheet3!$H$2:$O$200,U$1,FALSE),VLOOKUP($F192,Sheet3!$H$2:$O$200,U$1,FALSE))),$I$1),$I$1)</f>
        <v>0</v>
      </c>
      <c r="V192" s="15">
        <f>IFERROR(IF(ISBLANK(O192),IFERROR(VLOOKUP($D192,Sheet3!$H$2:$O$200,V$1,FALSE),IFERROR(VLOOKUP($E192,Sheet3!$H$2:$O$200,V$1,FALSE),VLOOKUP($F192,Sheet3!$H$2:$O$200,V$1,FALSE))),$I$1),$I$1)</f>
        <v>0</v>
      </c>
      <c r="W192" s="15">
        <f>IFERROR(IF(ISBLANK(P192),IFERROR(VLOOKUP($D192,Sheet3!$H$2:$O$200,W$1,FALSE),IFERROR(VLOOKUP($E192,Sheet3!$H$2:$O$200,W$1,FALSE),VLOOKUP($F192,Sheet3!$H$2:$O$200,W$1,FALSE))),$I$1),$I$1)</f>
        <v>0</v>
      </c>
      <c r="X192" s="15">
        <f>IFERROR(IF(ISBLANK(Q192),IFERROR(VLOOKUP($E192,Sheet3!$H$2:$O$200,X$1,FALSE),IFERROR(VLOOKUP($F192,Sheet3!$H$2:$O$200,X$1,FALSE),VLOOKUP($G192,Sheet3!$H$2:$O$200,X$1,FALSE))),$I$1),$I$1)</f>
        <v>0</v>
      </c>
      <c r="Y192" s="15">
        <f>IFERROR(IF(ISBLANK(R192),IFERROR(VLOOKUP($E192,Sheet3!$H$2:$O$200,Y$1,FALSE),IFERROR(VLOOKUP($F192,Sheet3!$H$2:$O$200,Y$1,FALSE),VLOOKUP($G192,Sheet3!$H$2:$O$200,Y$1,FALSE))),$I$1),$I$1)</f>
        <v>0</v>
      </c>
      <c r="Z192" s="15">
        <f>IFERROR(IF(ISBLANK(S192),IFERROR(VLOOKUP($E192,Sheet3!$H$2:$O$200,Z$1,FALSE),IFERROR(VLOOKUP($F192,Sheet3!$H$2:$O$200,Z$1,FALSE),VLOOKUP($G192,Sheet3!$H$2:$O$200,Z$1,FALSE))),$I$1),$I$1)</f>
        <v>0</v>
      </c>
      <c r="AA192" s="15">
        <f>IFERROR(IF(ISBLANK(T192),IFERROR(VLOOKUP($E192,Sheet3!$H$2:$O$200,AA$1,FALSE),IFERROR(VLOOKUP($F192,Sheet3!$H$2:$O$200,AA$1,FALSE),VLOOKUP($G192,Sheet3!$H$2:$O$200,AA$1,FALSE))),$I$1),$I$1)</f>
        <v>0</v>
      </c>
      <c r="AB192" s="15">
        <f>IFERROR(IF(ISBLANK(U192),IFERROR(VLOOKUP($E192,Sheet3!$H$2:$O$200,AB$1,FALSE),IFERROR(VLOOKUP($F192,Sheet3!$H$2:$O$200,AB$1,FALSE),VLOOKUP($G192,Sheet3!$H$2:$O$200,AB$1,FALSE))),$I$1),$I$1)</f>
        <v>0</v>
      </c>
      <c r="AC192" s="15">
        <f>IFERROR(IF(ISBLANK(V192),IFERROR(VLOOKUP($E192,Sheet3!$H$2:$O$200,AC$1,FALSE),IFERROR(VLOOKUP($F192,Sheet3!$H$2:$O$200,AC$1,FALSE),VLOOKUP($G192,Sheet3!$H$2:$O$200,AC$1,FALSE))),$I$1),$I$1)</f>
        <v>0</v>
      </c>
      <c r="AD192" s="15">
        <f>IFERROR(IF(ISBLANK(W192),IFERROR(VLOOKUP($E192,Sheet3!$H$2:$O$200,AD$1,FALSE),IFERROR(VLOOKUP($F192,Sheet3!$H$2:$O$200,AD$1,FALSE),VLOOKUP($G192,Sheet3!$H$2:$O$200,AD$1,FALSE))),$I$1),$I$1)</f>
        <v>0</v>
      </c>
      <c r="AE192" s="15">
        <f>IFERROR(IF(ISBLANK(X192),IFERROR(VLOOKUP($F192,Sheet3!$H$2:$O$200,AE$1,FALSE),VLOOKUP($G192,Sheet3!$H$2:$O$200,AE$1,FALSE)),$I$1),$I$1)</f>
        <v>0</v>
      </c>
      <c r="AF192" s="15">
        <f>IFERROR(IF(ISBLANK(Y192),IFERROR(VLOOKUP($F192,Sheet3!$H$2:$O$200,AF$1,FALSE),VLOOKUP($G192,Sheet3!$H$2:$O$200,AF$1,FALSE)),$I$1),$I$1)</f>
        <v>0</v>
      </c>
      <c r="AG192" s="15">
        <f>IFERROR(IF(ISBLANK(Z192),IFERROR(VLOOKUP($F192,Sheet3!$H$2:$O$200,AG$1,FALSE),VLOOKUP($G192,Sheet3!$H$2:$O$200,AG$1,FALSE)),$I$1),$I$1)</f>
        <v>0</v>
      </c>
      <c r="AH192" s="15">
        <f>IFERROR(IF(ISBLANK(AA192),IFERROR(VLOOKUP($F192,Sheet3!$H$2:$O$200,AH$1,FALSE),VLOOKUP($G192,Sheet3!$H$2:$O$200,AH$1,FALSE)),$I$1),$I$1)</f>
        <v>0</v>
      </c>
      <c r="AI192" s="15">
        <f>IFERROR(IF(ISBLANK(AB192),IFERROR(VLOOKUP($F192,Sheet3!$H$2:$O$200,AI$1,FALSE),VLOOKUP($G192,Sheet3!$H$2:$O$200,AI$1,FALSE)),$I$1),$I$1)</f>
        <v>0</v>
      </c>
      <c r="AJ192" s="15">
        <f>IFERROR(IF(ISBLANK(AC192),IFERROR(VLOOKUP($F192,Sheet3!$H$2:$O$200,AJ$1,FALSE),VLOOKUP($G192,Sheet3!$H$2:$O$200,AJ$1,FALSE)),$I$1),$I$1)</f>
        <v>0</v>
      </c>
      <c r="AK192" s="15">
        <f>IFERROR(IF(ISBLANK(AD192),IFERROR(VLOOKUP($F192,Sheet3!$H$2:$O$200,AK$1,FALSE),VLOOKUP($G192,Sheet3!$H$2:$O$200,AK$1,FALSE)),$I$1),$I$1)</f>
        <v>0</v>
      </c>
      <c r="AL192" s="15">
        <f>IFERROR(IF(ISBLANK(AE192),VLOOKUP($G192,Sheet3!$H$2:$O$200,AL$1,FALSE),$I$1),$I$1)</f>
        <v>0</v>
      </c>
      <c r="AM192" s="15">
        <f>IFERROR(IF(ISBLANK(AF192),VLOOKUP($G192,Sheet3!$H$2:$O$200,AM$1,FALSE),$I$1),$I$1)</f>
        <v>0</v>
      </c>
      <c r="AN192" s="15">
        <f>IFERROR(IF(ISBLANK(AG192),VLOOKUP($G192,Sheet3!$H$2:$O$200,AN$1,FALSE),$I$1),$I$1)</f>
        <v>0</v>
      </c>
      <c r="AO192" s="15">
        <f>IFERROR(IF(ISBLANK(AH192),VLOOKUP($G192,Sheet3!$H$2:$O$200,AO$1,FALSE),$I$1),$I$1)</f>
        <v>0</v>
      </c>
      <c r="AP192" s="15">
        <f>IFERROR(IF(ISBLANK(AI192),VLOOKUP($G192,Sheet3!$H$2:$O$200,AP$1,FALSE),$I$1),$I$1)</f>
        <v>0</v>
      </c>
      <c r="AQ192" s="15">
        <f>IFERROR(IF(ISBLANK(AJ192),VLOOKUP($G192,Sheet3!$H$2:$O$200,AQ$1,FALSE),$I$1),$I$1)</f>
        <v>0</v>
      </c>
      <c r="AR192" s="15">
        <f>IFERROR(IF(ISBLANK(AK192),VLOOKUP($G192,Sheet3!$H$2:$O$200,AR$1,FALSE),$I$1),$I$1)</f>
        <v>0</v>
      </c>
      <c r="AS192" s="15">
        <f t="shared" si="1"/>
        <v>28</v>
      </c>
      <c r="AT192" s="15" t="b">
        <f t="shared" si="2"/>
        <v>0</v>
      </c>
    </row>
    <row r="193" spans="1:46" x14ac:dyDescent="0.2">
      <c r="A193" s="19" t="s">
        <v>368</v>
      </c>
      <c r="B193" s="19" t="s">
        <v>357</v>
      </c>
      <c r="C193" s="19" t="s">
        <v>345</v>
      </c>
      <c r="D193" s="19" t="s">
        <v>126</v>
      </c>
      <c r="E193" s="19"/>
      <c r="F193" s="19"/>
      <c r="G193" s="19"/>
      <c r="H193" s="19" t="s">
        <v>368</v>
      </c>
      <c r="I193" s="15">
        <f t="shared" si="0"/>
        <v>2</v>
      </c>
      <c r="J193" s="15">
        <f>IFERROR(VLOOKUP($C193,Sheet3!$H$2:$O$200,J$1,FALSE),IFERROR(VLOOKUP($D193,Sheet3!$H$2:$O$200,J$1,FALSE),VLOOKUP($E193,Sheet3!$H$2:$O$200,J$1,FALSE)))</f>
        <v>0</v>
      </c>
      <c r="K193" s="15">
        <f>IFERROR(VLOOKUP($C193,Sheet3!$H$2:$O$200,K$1,FALSE),IFERROR(VLOOKUP($D193,Sheet3!$H$2:$O$200,K$1,FALSE),VLOOKUP($E193,Sheet3!$H$2:$O$200,K$1,FALSE)))</f>
        <v>0</v>
      </c>
      <c r="L193" s="15">
        <f>IFERROR(VLOOKUP($C193,Sheet3!$H$2:$O$200,L$1,FALSE),IFERROR(VLOOKUP($D193,Sheet3!$H$2:$O$200,L$1,FALSE),VLOOKUP($E193,Sheet3!$H$2:$O$200,L$1,FALSE)))</f>
        <v>0</v>
      </c>
      <c r="M193" s="15" t="str">
        <f>IFERROR(VLOOKUP($C193,Sheet3!$H$2:$O$200,M$1,FALSE),IFERROR(VLOOKUP($D193,Sheet3!$H$2:$O$200,M$1,FALSE),VLOOKUP($E193,Sheet3!$H$2:$O$200,M$1,FALSE)))</f>
        <v>galliano</v>
      </c>
      <c r="N193" s="15">
        <f>IFERROR(VLOOKUP($C193,Sheet3!$H$2:$O$200,N$1,FALSE),IFERROR(VLOOKUP($D193,Sheet3!$H$2:$O$200,N$1,FALSE),VLOOKUP($E193,Sheet3!$H$2:$O$200,N$1,FALSE)))</f>
        <v>0</v>
      </c>
      <c r="O193" s="15">
        <f>IFERROR(VLOOKUP($C193,Sheet3!$H$2:$O$200,O$1,FALSE),IFERROR(VLOOKUP($D193,Sheet3!$H$2:$O$200,O$1,FALSE),VLOOKUP($E193,Sheet3!$H$2:$O$200,O$1,FALSE)))</f>
        <v>0</v>
      </c>
      <c r="P193" s="15">
        <f>IFERROR(VLOOKUP($C193,Sheet3!$H$2:$O$200,P$1,FALSE),IFERROR(VLOOKUP($D193,Sheet3!$H$2:$O$200,P$1,FALSE),VLOOKUP($E193,Sheet3!$H$2:$O$200,P$1,FALSE)))</f>
        <v>0</v>
      </c>
      <c r="Q193" s="15">
        <f>IFERROR(IF(ISBLANK(J193),IFERROR(VLOOKUP($D193,Sheet3!$H$2:$O$200,Q$1,FALSE),IFERROR(VLOOKUP($E193,Sheet3!$H$2:$O$200,Q$1,FALSE),VLOOKUP($F193,Sheet3!$H$2:$O$200,Q$1,FALSE))),$I$1),$I$1)</f>
        <v>0</v>
      </c>
      <c r="R193" s="15">
        <f>IFERROR(IF(ISBLANK(K193),IFERROR(VLOOKUP($D193,Sheet3!$H$2:$O$200,R$1,FALSE),IFERROR(VLOOKUP($E193,Sheet3!$H$2:$O$200,R$1,FALSE),VLOOKUP($F193,Sheet3!$H$2:$O$200,R$1,FALSE))),$I$1),$I$1)</f>
        <v>0</v>
      </c>
      <c r="S193" s="15">
        <f>IFERROR(IF(ISBLANK(L193),IFERROR(VLOOKUP($D193,Sheet3!$H$2:$O$200,S$1,FALSE),IFERROR(VLOOKUP($E193,Sheet3!$H$2:$O$200,S$1,FALSE),VLOOKUP($F193,Sheet3!$H$2:$O$200,S$1,FALSE))),$I$1),$I$1)</f>
        <v>0</v>
      </c>
      <c r="T193" s="15">
        <f>IFERROR(IF(ISBLANK(M193),IFERROR(VLOOKUP($D193,Sheet3!$H$2:$O$200,T$1,FALSE),IFERROR(VLOOKUP($E193,Sheet3!$H$2:$O$200,T$1,FALSE),VLOOKUP($F193,Sheet3!$H$2:$O$200,T$1,FALSE))),$I$1),$I$1)</f>
        <v>0</v>
      </c>
      <c r="U193" s="15">
        <f>IFERROR(IF(ISBLANK(N193),IFERROR(VLOOKUP($D193,Sheet3!$H$2:$O$200,U$1,FALSE),IFERROR(VLOOKUP($E193,Sheet3!$H$2:$O$200,U$1,FALSE),VLOOKUP($F193,Sheet3!$H$2:$O$200,U$1,FALSE))),$I$1),$I$1)</f>
        <v>0</v>
      </c>
      <c r="V193" s="15">
        <f>IFERROR(IF(ISBLANK(O193),IFERROR(VLOOKUP($D193,Sheet3!$H$2:$O$200,V$1,FALSE),IFERROR(VLOOKUP($E193,Sheet3!$H$2:$O$200,V$1,FALSE),VLOOKUP($F193,Sheet3!$H$2:$O$200,V$1,FALSE))),$I$1),$I$1)</f>
        <v>0</v>
      </c>
      <c r="W193" s="15">
        <f>IFERROR(IF(ISBLANK(P193),IFERROR(VLOOKUP($D193,Sheet3!$H$2:$O$200,W$1,FALSE),IFERROR(VLOOKUP($E193,Sheet3!$H$2:$O$200,W$1,FALSE),VLOOKUP($F193,Sheet3!$H$2:$O$200,W$1,FALSE))),$I$1),$I$1)</f>
        <v>0</v>
      </c>
      <c r="X193" s="15">
        <f>IFERROR(IF(ISBLANK(Q193),IFERROR(VLOOKUP($E193,Sheet3!$H$2:$O$200,X$1,FALSE),IFERROR(VLOOKUP($F193,Sheet3!$H$2:$O$200,X$1,FALSE),VLOOKUP($G193,Sheet3!$H$2:$O$200,X$1,FALSE))),$I$1),$I$1)</f>
        <v>0</v>
      </c>
      <c r="Y193" s="15">
        <f>IFERROR(IF(ISBLANK(R193),IFERROR(VLOOKUP($E193,Sheet3!$H$2:$O$200,Y$1,FALSE),IFERROR(VLOOKUP($F193,Sheet3!$H$2:$O$200,Y$1,FALSE),VLOOKUP($G193,Sheet3!$H$2:$O$200,Y$1,FALSE))),$I$1),$I$1)</f>
        <v>0</v>
      </c>
      <c r="Z193" s="15">
        <f>IFERROR(IF(ISBLANK(S193),IFERROR(VLOOKUP($E193,Sheet3!$H$2:$O$200,Z$1,FALSE),IFERROR(VLOOKUP($F193,Sheet3!$H$2:$O$200,Z$1,FALSE),VLOOKUP($G193,Sheet3!$H$2:$O$200,Z$1,FALSE))),$I$1),$I$1)</f>
        <v>0</v>
      </c>
      <c r="AA193" s="15">
        <f>IFERROR(IF(ISBLANK(T193),IFERROR(VLOOKUP($E193,Sheet3!$H$2:$O$200,AA$1,FALSE),IFERROR(VLOOKUP($F193,Sheet3!$H$2:$O$200,AA$1,FALSE),VLOOKUP($G193,Sheet3!$H$2:$O$200,AA$1,FALSE))),$I$1),$I$1)</f>
        <v>0</v>
      </c>
      <c r="AB193" s="15">
        <f>IFERROR(IF(ISBLANK(U193),IFERROR(VLOOKUP($E193,Sheet3!$H$2:$O$200,AB$1,FALSE),IFERROR(VLOOKUP($F193,Sheet3!$H$2:$O$200,AB$1,FALSE),VLOOKUP($G193,Sheet3!$H$2:$O$200,AB$1,FALSE))),$I$1),$I$1)</f>
        <v>0</v>
      </c>
      <c r="AC193" s="15">
        <f>IFERROR(IF(ISBLANK(V193),IFERROR(VLOOKUP($E193,Sheet3!$H$2:$O$200,AC$1,FALSE),IFERROR(VLOOKUP($F193,Sheet3!$H$2:$O$200,AC$1,FALSE),VLOOKUP($G193,Sheet3!$H$2:$O$200,AC$1,FALSE))),$I$1),$I$1)</f>
        <v>0</v>
      </c>
      <c r="AD193" s="15">
        <f>IFERROR(IF(ISBLANK(W193),IFERROR(VLOOKUP($E193,Sheet3!$H$2:$O$200,AD$1,FALSE),IFERROR(VLOOKUP($F193,Sheet3!$H$2:$O$200,AD$1,FALSE),VLOOKUP($G193,Sheet3!$H$2:$O$200,AD$1,FALSE))),$I$1),$I$1)</f>
        <v>0</v>
      </c>
      <c r="AE193" s="15">
        <f>IFERROR(IF(ISBLANK(X193),IFERROR(VLOOKUP($F193,Sheet3!$H$2:$O$200,AE$1,FALSE),VLOOKUP($G193,Sheet3!$H$2:$O$200,AE$1,FALSE)),$I$1),$I$1)</f>
        <v>0</v>
      </c>
      <c r="AF193" s="15">
        <f>IFERROR(IF(ISBLANK(Y193),IFERROR(VLOOKUP($F193,Sheet3!$H$2:$O$200,AF$1,FALSE),VLOOKUP($G193,Sheet3!$H$2:$O$200,AF$1,FALSE)),$I$1),$I$1)</f>
        <v>0</v>
      </c>
      <c r="AG193" s="15">
        <f>IFERROR(IF(ISBLANK(Z193),IFERROR(VLOOKUP($F193,Sheet3!$H$2:$O$200,AG$1,FALSE),VLOOKUP($G193,Sheet3!$H$2:$O$200,AG$1,FALSE)),$I$1),$I$1)</f>
        <v>0</v>
      </c>
      <c r="AH193" s="15">
        <f>IFERROR(IF(ISBLANK(AA193),IFERROR(VLOOKUP($F193,Sheet3!$H$2:$O$200,AH$1,FALSE),VLOOKUP($G193,Sheet3!$H$2:$O$200,AH$1,FALSE)),$I$1),$I$1)</f>
        <v>0</v>
      </c>
      <c r="AI193" s="15">
        <f>IFERROR(IF(ISBLANK(AB193),IFERROR(VLOOKUP($F193,Sheet3!$H$2:$O$200,AI$1,FALSE),VLOOKUP($G193,Sheet3!$H$2:$O$200,AI$1,FALSE)),$I$1),$I$1)</f>
        <v>0</v>
      </c>
      <c r="AJ193" s="15">
        <f>IFERROR(IF(ISBLANK(AC193),IFERROR(VLOOKUP($F193,Sheet3!$H$2:$O$200,AJ$1,FALSE),VLOOKUP($G193,Sheet3!$H$2:$O$200,AJ$1,FALSE)),$I$1),$I$1)</f>
        <v>0</v>
      </c>
      <c r="AK193" s="15">
        <f>IFERROR(IF(ISBLANK(AD193),IFERROR(VLOOKUP($F193,Sheet3!$H$2:$O$200,AK$1,FALSE),VLOOKUP($G193,Sheet3!$H$2:$O$200,AK$1,FALSE)),$I$1),$I$1)</f>
        <v>0</v>
      </c>
      <c r="AL193" s="15">
        <f>IFERROR(IF(ISBLANK(AE193),VLOOKUP($G193,Sheet3!$H$2:$O$200,AL$1,FALSE),$I$1),$I$1)</f>
        <v>0</v>
      </c>
      <c r="AM193" s="15">
        <f>IFERROR(IF(ISBLANK(AF193),VLOOKUP($G193,Sheet3!$H$2:$O$200,AM$1,FALSE),$I$1),$I$1)</f>
        <v>0</v>
      </c>
      <c r="AN193" s="15">
        <f>IFERROR(IF(ISBLANK(AG193),VLOOKUP($G193,Sheet3!$H$2:$O$200,AN$1,FALSE),$I$1),$I$1)</f>
        <v>0</v>
      </c>
      <c r="AO193" s="15">
        <f>IFERROR(IF(ISBLANK(AH193),VLOOKUP($G193,Sheet3!$H$2:$O$200,AO$1,FALSE),$I$1),$I$1)</f>
        <v>0</v>
      </c>
      <c r="AP193" s="15">
        <f>IFERROR(IF(ISBLANK(AI193),VLOOKUP($G193,Sheet3!$H$2:$O$200,AP$1,FALSE),$I$1),$I$1)</f>
        <v>0</v>
      </c>
      <c r="AQ193" s="15">
        <f>IFERROR(IF(ISBLANK(AJ193),VLOOKUP($G193,Sheet3!$H$2:$O$200,AQ$1,FALSE),$I$1),$I$1)</f>
        <v>0</v>
      </c>
      <c r="AR193" s="15">
        <f>IFERROR(IF(ISBLANK(AK193),VLOOKUP($G193,Sheet3!$H$2:$O$200,AR$1,FALSE),$I$1),$I$1)</f>
        <v>0</v>
      </c>
      <c r="AS193" s="15">
        <f t="shared" si="1"/>
        <v>28</v>
      </c>
      <c r="AT193" s="15" t="b">
        <f t="shared" si="2"/>
        <v>0</v>
      </c>
    </row>
    <row r="194" spans="1:46" x14ac:dyDescent="0.2">
      <c r="A194" s="19" t="s">
        <v>369</v>
      </c>
      <c r="B194" s="19" t="s">
        <v>357</v>
      </c>
      <c r="C194" s="19" t="s">
        <v>282</v>
      </c>
      <c r="D194" s="19" t="s">
        <v>126</v>
      </c>
      <c r="E194" s="19" t="s">
        <v>30</v>
      </c>
      <c r="F194" s="19"/>
      <c r="G194" s="19"/>
      <c r="H194" s="19" t="s">
        <v>369</v>
      </c>
      <c r="I194" s="15">
        <f t="shared" si="0"/>
        <v>3</v>
      </c>
      <c r="J194" s="15" t="str">
        <f>IFERROR(VLOOKUP($C194,Sheet3!$H$2:$O$200,J$1,FALSE),IFERROR(VLOOKUP($D194,Sheet3!$H$2:$O$200,J$1,FALSE),VLOOKUP($E194,Sheet3!$H$2:$O$200,J$1,FALSE)))</f>
        <v>sloe gin</v>
      </c>
      <c r="K194" s="15">
        <f>IFERROR(VLOOKUP($C194,Sheet3!$H$2:$O$200,K$1,FALSE),IFERROR(VLOOKUP($D194,Sheet3!$H$2:$O$200,K$1,FALSE),VLOOKUP($E194,Sheet3!$H$2:$O$200,K$1,FALSE)))</f>
        <v>0</v>
      </c>
      <c r="L194" s="15">
        <f>IFERROR(VLOOKUP($C194,Sheet3!$H$2:$O$200,L$1,FALSE),IFERROR(VLOOKUP($D194,Sheet3!$H$2:$O$200,L$1,FALSE),VLOOKUP($E194,Sheet3!$H$2:$O$200,L$1,FALSE)))</f>
        <v>0</v>
      </c>
      <c r="M194" s="15">
        <f>IFERROR(VLOOKUP($C194,Sheet3!$H$2:$O$200,M$1,FALSE),IFERROR(VLOOKUP($D194,Sheet3!$H$2:$O$200,M$1,FALSE),VLOOKUP($E194,Sheet3!$H$2:$O$200,M$1,FALSE)))</f>
        <v>0</v>
      </c>
      <c r="N194" s="15">
        <f>IFERROR(VLOOKUP($C194,Sheet3!$H$2:$O$200,N$1,FALSE),IFERROR(VLOOKUP($D194,Sheet3!$H$2:$O$200,N$1,FALSE),VLOOKUP($E194,Sheet3!$H$2:$O$200,N$1,FALSE)))</f>
        <v>0</v>
      </c>
      <c r="O194" s="15">
        <f>IFERROR(VLOOKUP($C194,Sheet3!$H$2:$O$200,O$1,FALSE),IFERROR(VLOOKUP($D194,Sheet3!$H$2:$O$200,O$1,FALSE),VLOOKUP($E194,Sheet3!$H$2:$O$200,O$1,FALSE)))</f>
        <v>0</v>
      </c>
      <c r="P194" s="15">
        <f>IFERROR(VLOOKUP($C194,Sheet3!$H$2:$O$200,P$1,FALSE),IFERROR(VLOOKUP($D194,Sheet3!$H$2:$O$200,P$1,FALSE),VLOOKUP($E194,Sheet3!$H$2:$O$200,P$1,FALSE)))</f>
        <v>0</v>
      </c>
      <c r="Q194" s="15">
        <f>IFERROR(IF(ISBLANK(J194),IFERROR(VLOOKUP($D194,Sheet3!$H$2:$O$200,Q$1,FALSE),IFERROR(VLOOKUP($E194,Sheet3!$H$2:$O$200,Q$1,FALSE),VLOOKUP($F194,Sheet3!$H$2:$O$200,Q$1,FALSE))),$I$1),$I$1)</f>
        <v>0</v>
      </c>
      <c r="R194" s="15">
        <f>IFERROR(IF(ISBLANK(K194),IFERROR(VLOOKUP($D194,Sheet3!$H$2:$O$200,R$1,FALSE),IFERROR(VLOOKUP($E194,Sheet3!$H$2:$O$200,R$1,FALSE),VLOOKUP($F194,Sheet3!$H$2:$O$200,R$1,FALSE))),$I$1),$I$1)</f>
        <v>0</v>
      </c>
      <c r="S194" s="15">
        <f>IFERROR(IF(ISBLANK(L194),IFERROR(VLOOKUP($D194,Sheet3!$H$2:$O$200,S$1,FALSE),IFERROR(VLOOKUP($E194,Sheet3!$H$2:$O$200,S$1,FALSE),VLOOKUP($F194,Sheet3!$H$2:$O$200,S$1,FALSE))),$I$1),$I$1)</f>
        <v>0</v>
      </c>
      <c r="T194" s="15">
        <f>IFERROR(IF(ISBLANK(M194),IFERROR(VLOOKUP($D194,Sheet3!$H$2:$O$200,T$1,FALSE),IFERROR(VLOOKUP($E194,Sheet3!$H$2:$O$200,T$1,FALSE),VLOOKUP($F194,Sheet3!$H$2:$O$200,T$1,FALSE))),$I$1),$I$1)</f>
        <v>0</v>
      </c>
      <c r="U194" s="15">
        <f>IFERROR(IF(ISBLANK(N194),IFERROR(VLOOKUP($D194,Sheet3!$H$2:$O$200,U$1,FALSE),IFERROR(VLOOKUP($E194,Sheet3!$H$2:$O$200,U$1,FALSE),VLOOKUP($F194,Sheet3!$H$2:$O$200,U$1,FALSE))),$I$1),$I$1)</f>
        <v>0</v>
      </c>
      <c r="V194" s="15">
        <f>IFERROR(IF(ISBLANK(O194),IFERROR(VLOOKUP($D194,Sheet3!$H$2:$O$200,V$1,FALSE),IFERROR(VLOOKUP($E194,Sheet3!$H$2:$O$200,V$1,FALSE),VLOOKUP($F194,Sheet3!$H$2:$O$200,V$1,FALSE))),$I$1),$I$1)</f>
        <v>0</v>
      </c>
      <c r="W194" s="15">
        <f>IFERROR(IF(ISBLANK(P194),IFERROR(VLOOKUP($D194,Sheet3!$H$2:$O$200,W$1,FALSE),IFERROR(VLOOKUP($E194,Sheet3!$H$2:$O$200,W$1,FALSE),VLOOKUP($F194,Sheet3!$H$2:$O$200,W$1,FALSE))),$I$1),$I$1)</f>
        <v>0</v>
      </c>
      <c r="X194" s="15">
        <f>IFERROR(IF(ISBLANK(Q194),IFERROR(VLOOKUP($E194,Sheet3!$H$2:$O$200,X$1,FALSE),IFERROR(VLOOKUP($F194,Sheet3!$H$2:$O$200,X$1,FALSE),VLOOKUP($G194,Sheet3!$H$2:$O$200,X$1,FALSE))),$I$1),$I$1)</f>
        <v>0</v>
      </c>
      <c r="Y194" s="15">
        <f>IFERROR(IF(ISBLANK(R194),IFERROR(VLOOKUP($E194,Sheet3!$H$2:$O$200,Y$1,FALSE),IFERROR(VLOOKUP($F194,Sheet3!$H$2:$O$200,Y$1,FALSE),VLOOKUP($G194,Sheet3!$H$2:$O$200,Y$1,FALSE))),$I$1),$I$1)</f>
        <v>0</v>
      </c>
      <c r="Z194" s="15">
        <f>IFERROR(IF(ISBLANK(S194),IFERROR(VLOOKUP($E194,Sheet3!$H$2:$O$200,Z$1,FALSE),IFERROR(VLOOKUP($F194,Sheet3!$H$2:$O$200,Z$1,FALSE),VLOOKUP($G194,Sheet3!$H$2:$O$200,Z$1,FALSE))),$I$1),$I$1)</f>
        <v>0</v>
      </c>
      <c r="AA194" s="15">
        <f>IFERROR(IF(ISBLANK(T194),IFERROR(VLOOKUP($E194,Sheet3!$H$2:$O$200,AA$1,FALSE),IFERROR(VLOOKUP($F194,Sheet3!$H$2:$O$200,AA$1,FALSE),VLOOKUP($G194,Sheet3!$H$2:$O$200,AA$1,FALSE))),$I$1),$I$1)</f>
        <v>0</v>
      </c>
      <c r="AB194" s="15">
        <f>IFERROR(IF(ISBLANK(U194),IFERROR(VLOOKUP($E194,Sheet3!$H$2:$O$200,AB$1,FALSE),IFERROR(VLOOKUP($F194,Sheet3!$H$2:$O$200,AB$1,FALSE),VLOOKUP($G194,Sheet3!$H$2:$O$200,AB$1,FALSE))),$I$1),$I$1)</f>
        <v>0</v>
      </c>
      <c r="AC194" s="15">
        <f>IFERROR(IF(ISBLANK(V194),IFERROR(VLOOKUP($E194,Sheet3!$H$2:$O$200,AC$1,FALSE),IFERROR(VLOOKUP($F194,Sheet3!$H$2:$O$200,AC$1,FALSE),VLOOKUP($G194,Sheet3!$H$2:$O$200,AC$1,FALSE))),$I$1),$I$1)</f>
        <v>0</v>
      </c>
      <c r="AD194" s="15">
        <f>IFERROR(IF(ISBLANK(W194),IFERROR(VLOOKUP($E194,Sheet3!$H$2:$O$200,AD$1,FALSE),IFERROR(VLOOKUP($F194,Sheet3!$H$2:$O$200,AD$1,FALSE),VLOOKUP($G194,Sheet3!$H$2:$O$200,AD$1,FALSE))),$I$1),$I$1)</f>
        <v>0</v>
      </c>
      <c r="AE194" s="15">
        <f>IFERROR(IF(ISBLANK(X194),IFERROR(VLOOKUP($F194,Sheet3!$H$2:$O$200,AE$1,FALSE),VLOOKUP($G194,Sheet3!$H$2:$O$200,AE$1,FALSE)),$I$1),$I$1)</f>
        <v>0</v>
      </c>
      <c r="AF194" s="15">
        <f>IFERROR(IF(ISBLANK(Y194),IFERROR(VLOOKUP($F194,Sheet3!$H$2:$O$200,AF$1,FALSE),VLOOKUP($G194,Sheet3!$H$2:$O$200,AF$1,FALSE)),$I$1),$I$1)</f>
        <v>0</v>
      </c>
      <c r="AG194" s="15">
        <f>IFERROR(IF(ISBLANK(Z194),IFERROR(VLOOKUP($F194,Sheet3!$H$2:$O$200,AG$1,FALSE),VLOOKUP($G194,Sheet3!$H$2:$O$200,AG$1,FALSE)),$I$1),$I$1)</f>
        <v>0</v>
      </c>
      <c r="AH194" s="15">
        <f>IFERROR(IF(ISBLANK(AA194),IFERROR(VLOOKUP($F194,Sheet3!$H$2:$O$200,AH$1,FALSE),VLOOKUP($G194,Sheet3!$H$2:$O$200,AH$1,FALSE)),$I$1),$I$1)</f>
        <v>0</v>
      </c>
      <c r="AI194" s="15">
        <f>IFERROR(IF(ISBLANK(AB194),IFERROR(VLOOKUP($F194,Sheet3!$H$2:$O$200,AI$1,FALSE),VLOOKUP($G194,Sheet3!$H$2:$O$200,AI$1,FALSE)),$I$1),$I$1)</f>
        <v>0</v>
      </c>
      <c r="AJ194" s="15">
        <f>IFERROR(IF(ISBLANK(AC194),IFERROR(VLOOKUP($F194,Sheet3!$H$2:$O$200,AJ$1,FALSE),VLOOKUP($G194,Sheet3!$H$2:$O$200,AJ$1,FALSE)),$I$1),$I$1)</f>
        <v>0</v>
      </c>
      <c r="AK194" s="15">
        <f>IFERROR(IF(ISBLANK(AD194),IFERROR(VLOOKUP($F194,Sheet3!$H$2:$O$200,AK$1,FALSE),VLOOKUP($G194,Sheet3!$H$2:$O$200,AK$1,FALSE)),$I$1),$I$1)</f>
        <v>0</v>
      </c>
      <c r="AL194" s="15">
        <f>IFERROR(IF(ISBLANK(AE194),VLOOKUP($G194,Sheet3!$H$2:$O$200,AL$1,FALSE),$I$1),$I$1)</f>
        <v>0</v>
      </c>
      <c r="AM194" s="15">
        <f>IFERROR(IF(ISBLANK(AF194),VLOOKUP($G194,Sheet3!$H$2:$O$200,AM$1,FALSE),$I$1),$I$1)</f>
        <v>0</v>
      </c>
      <c r="AN194" s="15">
        <f>IFERROR(IF(ISBLANK(AG194),VLOOKUP($G194,Sheet3!$H$2:$O$200,AN$1,FALSE),$I$1),$I$1)</f>
        <v>0</v>
      </c>
      <c r="AO194" s="15">
        <f>IFERROR(IF(ISBLANK(AH194),VLOOKUP($G194,Sheet3!$H$2:$O$200,AO$1,FALSE),$I$1),$I$1)</f>
        <v>0</v>
      </c>
      <c r="AP194" s="15">
        <f>IFERROR(IF(ISBLANK(AI194),VLOOKUP($G194,Sheet3!$H$2:$O$200,AP$1,FALSE),$I$1),$I$1)</f>
        <v>0</v>
      </c>
      <c r="AQ194" s="15">
        <f>IFERROR(IF(ISBLANK(AJ194),VLOOKUP($G194,Sheet3!$H$2:$O$200,AQ$1,FALSE),$I$1),$I$1)</f>
        <v>0</v>
      </c>
      <c r="AR194" s="15">
        <f>IFERROR(IF(ISBLANK(AK194),VLOOKUP($G194,Sheet3!$H$2:$O$200,AR$1,FALSE),$I$1),$I$1)</f>
        <v>0</v>
      </c>
      <c r="AS194" s="15">
        <f t="shared" si="1"/>
        <v>28</v>
      </c>
      <c r="AT194" s="15" t="b">
        <f t="shared" si="2"/>
        <v>0</v>
      </c>
    </row>
    <row r="195" spans="1:46" x14ac:dyDescent="0.2">
      <c r="A195" s="19" t="s">
        <v>370</v>
      </c>
      <c r="B195" s="19" t="s">
        <v>357</v>
      </c>
      <c r="C195" s="19" t="s">
        <v>265</v>
      </c>
      <c r="D195" s="18" t="s">
        <v>126</v>
      </c>
      <c r="E195" s="19" t="s">
        <v>100</v>
      </c>
      <c r="F195" s="21" t="s">
        <v>78</v>
      </c>
      <c r="G195" s="19"/>
      <c r="H195" s="19" t="s">
        <v>370</v>
      </c>
      <c r="I195" s="15">
        <f t="shared" si="0"/>
        <v>4</v>
      </c>
      <c r="J195" s="15" t="str">
        <f>IFERROR(VLOOKUP($C195,Sheet3!$H$2:$O$200,J$1,FALSE),IFERROR(VLOOKUP($D195,Sheet3!$H$2:$O$200,J$1,FALSE),VLOOKUP($E195,Sheet3!$H$2:$O$200,J$1,FALSE)))</f>
        <v>rum</v>
      </c>
      <c r="K195" s="15">
        <f>IFERROR(VLOOKUP($C195,Sheet3!$H$2:$O$200,K$1,FALSE),IFERROR(VLOOKUP($D195,Sheet3!$H$2:$O$200,K$1,FALSE),VLOOKUP($E195,Sheet3!$H$2:$O$200,K$1,FALSE)))</f>
        <v>0</v>
      </c>
      <c r="L195" s="15">
        <f>IFERROR(VLOOKUP($C195,Sheet3!$H$2:$O$200,L$1,FALSE),IFERROR(VLOOKUP($D195,Sheet3!$H$2:$O$200,L$1,FALSE),VLOOKUP($E195,Sheet3!$H$2:$O$200,L$1,FALSE)))</f>
        <v>0</v>
      </c>
      <c r="M195" s="15">
        <f>IFERROR(VLOOKUP($C195,Sheet3!$H$2:$O$200,M$1,FALSE),IFERROR(VLOOKUP($D195,Sheet3!$H$2:$O$200,M$1,FALSE),VLOOKUP($E195,Sheet3!$H$2:$O$200,M$1,FALSE)))</f>
        <v>0</v>
      </c>
      <c r="N195" s="15">
        <f>IFERROR(VLOOKUP($C195,Sheet3!$H$2:$O$200,N$1,FALSE),IFERROR(VLOOKUP($D195,Sheet3!$H$2:$O$200,N$1,FALSE),VLOOKUP($E195,Sheet3!$H$2:$O$200,N$1,FALSE)))</f>
        <v>0</v>
      </c>
      <c r="O195" s="15">
        <f>IFERROR(VLOOKUP($C195,Sheet3!$H$2:$O$200,O$1,FALSE),IFERROR(VLOOKUP($D195,Sheet3!$H$2:$O$200,O$1,FALSE),VLOOKUP($E195,Sheet3!$H$2:$O$200,O$1,FALSE)))</f>
        <v>0</v>
      </c>
      <c r="P195" s="15">
        <f>IFERROR(VLOOKUP($C195,Sheet3!$H$2:$O$200,P$1,FALSE),IFERROR(VLOOKUP($D195,Sheet3!$H$2:$O$200,P$1,FALSE),VLOOKUP($E195,Sheet3!$H$2:$O$200,P$1,FALSE)))</f>
        <v>0</v>
      </c>
      <c r="Q195" s="15">
        <f>IFERROR(IF(ISBLANK(J195),IFERROR(VLOOKUP($D195,Sheet3!$H$2:$O$200,Q$1,FALSE),IFERROR(VLOOKUP($E195,Sheet3!$H$2:$O$200,Q$1,FALSE),VLOOKUP($F195,Sheet3!$H$2:$O$200,Q$1,FALSE))),$I$1),$I$1)</f>
        <v>0</v>
      </c>
      <c r="R195" s="15">
        <f>IFERROR(IF(ISBLANK(K195),IFERROR(VLOOKUP($D195,Sheet3!$H$2:$O$200,R$1,FALSE),IFERROR(VLOOKUP($E195,Sheet3!$H$2:$O$200,R$1,FALSE),VLOOKUP($F195,Sheet3!$H$2:$O$200,R$1,FALSE))),$I$1),$I$1)</f>
        <v>0</v>
      </c>
      <c r="S195" s="15">
        <f>IFERROR(IF(ISBLANK(L195),IFERROR(VLOOKUP($D195,Sheet3!$H$2:$O$200,S$1,FALSE),IFERROR(VLOOKUP($E195,Sheet3!$H$2:$O$200,S$1,FALSE),VLOOKUP($F195,Sheet3!$H$2:$O$200,S$1,FALSE))),$I$1),$I$1)</f>
        <v>0</v>
      </c>
      <c r="T195" s="15">
        <f>IFERROR(IF(ISBLANK(M195),IFERROR(VLOOKUP($D195,Sheet3!$H$2:$O$200,T$1,FALSE),IFERROR(VLOOKUP($E195,Sheet3!$H$2:$O$200,T$1,FALSE),VLOOKUP($F195,Sheet3!$H$2:$O$200,T$1,FALSE))),$I$1),$I$1)</f>
        <v>0</v>
      </c>
      <c r="U195" s="15">
        <f>IFERROR(IF(ISBLANK(N195),IFERROR(VLOOKUP($D195,Sheet3!$H$2:$O$200,U$1,FALSE),IFERROR(VLOOKUP($E195,Sheet3!$H$2:$O$200,U$1,FALSE),VLOOKUP($F195,Sheet3!$H$2:$O$200,U$1,FALSE))),$I$1),$I$1)</f>
        <v>0</v>
      </c>
      <c r="V195" s="15">
        <f>IFERROR(IF(ISBLANK(O195),IFERROR(VLOOKUP($D195,Sheet3!$H$2:$O$200,V$1,FALSE),IFERROR(VLOOKUP($E195,Sheet3!$H$2:$O$200,V$1,FALSE),VLOOKUP($F195,Sheet3!$H$2:$O$200,V$1,FALSE))),$I$1),$I$1)</f>
        <v>0</v>
      </c>
      <c r="W195" s="15">
        <f>IFERROR(IF(ISBLANK(P195),IFERROR(VLOOKUP($D195,Sheet3!$H$2:$O$200,W$1,FALSE),IFERROR(VLOOKUP($E195,Sheet3!$H$2:$O$200,W$1,FALSE),VLOOKUP($F195,Sheet3!$H$2:$O$200,W$1,FALSE))),$I$1),$I$1)</f>
        <v>0</v>
      </c>
      <c r="X195" s="15">
        <f>IFERROR(IF(ISBLANK(Q195),IFERROR(VLOOKUP($E195,Sheet3!$H$2:$O$200,X$1,FALSE),IFERROR(VLOOKUP($F195,Sheet3!$H$2:$O$200,X$1,FALSE),VLOOKUP($G195,Sheet3!$H$2:$O$200,X$1,FALSE))),$I$1),$I$1)</f>
        <v>0</v>
      </c>
      <c r="Y195" s="15">
        <f>IFERROR(IF(ISBLANK(R195),IFERROR(VLOOKUP($E195,Sheet3!$H$2:$O$200,Y$1,FALSE),IFERROR(VLOOKUP($F195,Sheet3!$H$2:$O$200,Y$1,FALSE),VLOOKUP($G195,Sheet3!$H$2:$O$200,Y$1,FALSE))),$I$1),$I$1)</f>
        <v>0</v>
      </c>
      <c r="Z195" s="15">
        <f>IFERROR(IF(ISBLANK(S195),IFERROR(VLOOKUP($E195,Sheet3!$H$2:$O$200,Z$1,FALSE),IFERROR(VLOOKUP($F195,Sheet3!$H$2:$O$200,Z$1,FALSE),VLOOKUP($G195,Sheet3!$H$2:$O$200,Z$1,FALSE))),$I$1),$I$1)</f>
        <v>0</v>
      </c>
      <c r="AA195" s="15">
        <f>IFERROR(IF(ISBLANK(T195),IFERROR(VLOOKUP($E195,Sheet3!$H$2:$O$200,AA$1,FALSE),IFERROR(VLOOKUP($F195,Sheet3!$H$2:$O$200,AA$1,FALSE),VLOOKUP($G195,Sheet3!$H$2:$O$200,AA$1,FALSE))),$I$1),$I$1)</f>
        <v>0</v>
      </c>
      <c r="AB195" s="15">
        <f>IFERROR(IF(ISBLANK(U195),IFERROR(VLOOKUP($E195,Sheet3!$H$2:$O$200,AB$1,FALSE),IFERROR(VLOOKUP($F195,Sheet3!$H$2:$O$200,AB$1,FALSE),VLOOKUP($G195,Sheet3!$H$2:$O$200,AB$1,FALSE))),$I$1),$I$1)</f>
        <v>0</v>
      </c>
      <c r="AC195" s="15">
        <f>IFERROR(IF(ISBLANK(V195),IFERROR(VLOOKUP($E195,Sheet3!$H$2:$O$200,AC$1,FALSE),IFERROR(VLOOKUP($F195,Sheet3!$H$2:$O$200,AC$1,FALSE),VLOOKUP($G195,Sheet3!$H$2:$O$200,AC$1,FALSE))),$I$1),$I$1)</f>
        <v>0</v>
      </c>
      <c r="AD195" s="15">
        <f>IFERROR(IF(ISBLANK(W195),IFERROR(VLOOKUP($E195,Sheet3!$H$2:$O$200,AD$1,FALSE),IFERROR(VLOOKUP($F195,Sheet3!$H$2:$O$200,AD$1,FALSE),VLOOKUP($G195,Sheet3!$H$2:$O$200,AD$1,FALSE))),$I$1),$I$1)</f>
        <v>0</v>
      </c>
      <c r="AE195" s="15">
        <f>IFERROR(IF(ISBLANK(X195),IFERROR(VLOOKUP($F195,Sheet3!$H$2:$O$200,AE$1,FALSE),VLOOKUP($G195,Sheet3!$H$2:$O$200,AE$1,FALSE)),$I$1),$I$1)</f>
        <v>0</v>
      </c>
      <c r="AF195" s="15">
        <f>IFERROR(IF(ISBLANK(Y195),IFERROR(VLOOKUP($F195,Sheet3!$H$2:$O$200,AF$1,FALSE),VLOOKUP($G195,Sheet3!$H$2:$O$200,AF$1,FALSE)),$I$1),$I$1)</f>
        <v>0</v>
      </c>
      <c r="AG195" s="15">
        <f>IFERROR(IF(ISBLANK(Z195),IFERROR(VLOOKUP($F195,Sheet3!$H$2:$O$200,AG$1,FALSE),VLOOKUP($G195,Sheet3!$H$2:$O$200,AG$1,FALSE)),$I$1),$I$1)</f>
        <v>0</v>
      </c>
      <c r="AH195" s="15">
        <f>IFERROR(IF(ISBLANK(AA195),IFERROR(VLOOKUP($F195,Sheet3!$H$2:$O$200,AH$1,FALSE),VLOOKUP($G195,Sheet3!$H$2:$O$200,AH$1,FALSE)),$I$1),$I$1)</f>
        <v>0</v>
      </c>
      <c r="AI195" s="15">
        <f>IFERROR(IF(ISBLANK(AB195),IFERROR(VLOOKUP($F195,Sheet3!$H$2:$O$200,AI$1,FALSE),VLOOKUP($G195,Sheet3!$H$2:$O$200,AI$1,FALSE)),$I$1),$I$1)</f>
        <v>0</v>
      </c>
      <c r="AJ195" s="15">
        <f>IFERROR(IF(ISBLANK(AC195),IFERROR(VLOOKUP($F195,Sheet3!$H$2:$O$200,AJ$1,FALSE),VLOOKUP($G195,Sheet3!$H$2:$O$200,AJ$1,FALSE)),$I$1),$I$1)</f>
        <v>0</v>
      </c>
      <c r="AK195" s="15">
        <f>IFERROR(IF(ISBLANK(AD195),IFERROR(VLOOKUP($F195,Sheet3!$H$2:$O$200,AK$1,FALSE),VLOOKUP($G195,Sheet3!$H$2:$O$200,AK$1,FALSE)),$I$1),$I$1)</f>
        <v>0</v>
      </c>
      <c r="AL195" s="15">
        <f>IFERROR(IF(ISBLANK(AE195),VLOOKUP($G195,Sheet3!$H$2:$O$200,AL$1,FALSE),$I$1),$I$1)</f>
        <v>0</v>
      </c>
      <c r="AM195" s="15">
        <f>IFERROR(IF(ISBLANK(AF195),VLOOKUP($G195,Sheet3!$H$2:$O$200,AM$1,FALSE),$I$1),$I$1)</f>
        <v>0</v>
      </c>
      <c r="AN195" s="15">
        <f>IFERROR(IF(ISBLANK(AG195),VLOOKUP($G195,Sheet3!$H$2:$O$200,AN$1,FALSE),$I$1),$I$1)</f>
        <v>0</v>
      </c>
      <c r="AO195" s="15">
        <f>IFERROR(IF(ISBLANK(AH195),VLOOKUP($G195,Sheet3!$H$2:$O$200,AO$1,FALSE),$I$1),$I$1)</f>
        <v>0</v>
      </c>
      <c r="AP195" s="15">
        <f>IFERROR(IF(ISBLANK(AI195),VLOOKUP($G195,Sheet3!$H$2:$O$200,AP$1,FALSE),$I$1),$I$1)</f>
        <v>0</v>
      </c>
      <c r="AQ195" s="15">
        <f>IFERROR(IF(ISBLANK(AJ195),VLOOKUP($G195,Sheet3!$H$2:$O$200,AQ$1,FALSE),$I$1),$I$1)</f>
        <v>0</v>
      </c>
      <c r="AR195" s="15">
        <f>IFERROR(IF(ISBLANK(AK195),VLOOKUP($G195,Sheet3!$H$2:$O$200,AR$1,FALSE),$I$1),$I$1)</f>
        <v>0</v>
      </c>
      <c r="AS195" s="15">
        <f t="shared" si="1"/>
        <v>28</v>
      </c>
      <c r="AT195" s="15" t="b">
        <f t="shared" si="2"/>
        <v>0</v>
      </c>
    </row>
    <row r="196" spans="1:46" x14ac:dyDescent="0.2">
      <c r="A196" s="19" t="s">
        <v>371</v>
      </c>
      <c r="B196" s="19" t="s">
        <v>357</v>
      </c>
      <c r="C196" s="19"/>
      <c r="D196" s="19" t="s">
        <v>134</v>
      </c>
      <c r="E196" s="19"/>
      <c r="F196" s="19"/>
      <c r="G196" s="19"/>
      <c r="H196" s="19" t="s">
        <v>371</v>
      </c>
      <c r="I196" s="15">
        <f t="shared" si="0"/>
        <v>1</v>
      </c>
      <c r="J196" s="15">
        <f>IFERROR(VLOOKUP($C196,Sheet3!$H$2:$O$200,J$1,FALSE),IFERROR(VLOOKUP($D196,Sheet3!$H$2:$O$200,J$1,FALSE),VLOOKUP($E196,Sheet3!$H$2:$O$200,J$1,FALSE)))</f>
        <v>0</v>
      </c>
      <c r="K196" s="15">
        <f>IFERROR(VLOOKUP($C196,Sheet3!$H$2:$O$200,K$1,FALSE),IFERROR(VLOOKUP($D196,Sheet3!$H$2:$O$200,K$1,FALSE),VLOOKUP($E196,Sheet3!$H$2:$O$200,K$1,FALSE)))</f>
        <v>0</v>
      </c>
      <c r="L196" s="15" t="str">
        <f>IFERROR(VLOOKUP($C196,Sheet3!$H$2:$O$200,L$1,FALSE),IFERROR(VLOOKUP($D196,Sheet3!$H$2:$O$200,L$1,FALSE),VLOOKUP($E196,Sheet3!$H$2:$O$200,L$1,FALSE)))</f>
        <v>grapefruit juice</v>
      </c>
      <c r="M196" s="15">
        <f>IFERROR(VLOOKUP($C196,Sheet3!$H$2:$O$200,M$1,FALSE),IFERROR(VLOOKUP($D196,Sheet3!$H$2:$O$200,M$1,FALSE),VLOOKUP($E196,Sheet3!$H$2:$O$200,M$1,FALSE)))</f>
        <v>0</v>
      </c>
      <c r="N196" s="15">
        <f>IFERROR(VLOOKUP($C196,Sheet3!$H$2:$O$200,N$1,FALSE),IFERROR(VLOOKUP($D196,Sheet3!$H$2:$O$200,N$1,FALSE),VLOOKUP($E196,Sheet3!$H$2:$O$200,N$1,FALSE)))</f>
        <v>0</v>
      </c>
      <c r="O196" s="15">
        <f>IFERROR(VLOOKUP($C196,Sheet3!$H$2:$O$200,O$1,FALSE),IFERROR(VLOOKUP($D196,Sheet3!$H$2:$O$200,O$1,FALSE),VLOOKUP($E196,Sheet3!$H$2:$O$200,O$1,FALSE)))</f>
        <v>0</v>
      </c>
      <c r="P196" s="15">
        <f>IFERROR(VLOOKUP($C196,Sheet3!$H$2:$O$200,P$1,FALSE),IFERROR(VLOOKUP($D196,Sheet3!$H$2:$O$200,P$1,FALSE),VLOOKUP($E196,Sheet3!$H$2:$O$200,P$1,FALSE)))</f>
        <v>0</v>
      </c>
      <c r="Q196" s="15">
        <f>IFERROR(IF(ISBLANK(J196),IFERROR(VLOOKUP($D196,Sheet3!$H$2:$O$200,Q$1,FALSE),IFERROR(VLOOKUP($E196,Sheet3!$H$2:$O$200,Q$1,FALSE),VLOOKUP($F196,Sheet3!$H$2:$O$200,Q$1,FALSE))),$I$1),$I$1)</f>
        <v>0</v>
      </c>
      <c r="R196" s="15">
        <f>IFERROR(IF(ISBLANK(K196),IFERROR(VLOOKUP($D196,Sheet3!$H$2:$O$200,R$1,FALSE),IFERROR(VLOOKUP($E196,Sheet3!$H$2:$O$200,R$1,FALSE),VLOOKUP($F196,Sheet3!$H$2:$O$200,R$1,FALSE))),$I$1),$I$1)</f>
        <v>0</v>
      </c>
      <c r="S196" s="15">
        <f>IFERROR(IF(ISBLANK(L196),IFERROR(VLOOKUP($D196,Sheet3!$H$2:$O$200,S$1,FALSE),IFERROR(VLOOKUP($E196,Sheet3!$H$2:$O$200,S$1,FALSE),VLOOKUP($F196,Sheet3!$H$2:$O$200,S$1,FALSE))),$I$1),$I$1)</f>
        <v>0</v>
      </c>
      <c r="T196" s="15">
        <f>IFERROR(IF(ISBLANK(M196),IFERROR(VLOOKUP($D196,Sheet3!$H$2:$O$200,T$1,FALSE),IFERROR(VLOOKUP($E196,Sheet3!$H$2:$O$200,T$1,FALSE),VLOOKUP($F196,Sheet3!$H$2:$O$200,T$1,FALSE))),$I$1),$I$1)</f>
        <v>0</v>
      </c>
      <c r="U196" s="15">
        <f>IFERROR(IF(ISBLANK(N196),IFERROR(VLOOKUP($D196,Sheet3!$H$2:$O$200,U$1,FALSE),IFERROR(VLOOKUP($E196,Sheet3!$H$2:$O$200,U$1,FALSE),VLOOKUP($F196,Sheet3!$H$2:$O$200,U$1,FALSE))),$I$1),$I$1)</f>
        <v>0</v>
      </c>
      <c r="V196" s="15">
        <f>IFERROR(IF(ISBLANK(O196),IFERROR(VLOOKUP($D196,Sheet3!$H$2:$O$200,V$1,FALSE),IFERROR(VLOOKUP($E196,Sheet3!$H$2:$O$200,V$1,FALSE),VLOOKUP($F196,Sheet3!$H$2:$O$200,V$1,FALSE))),$I$1),$I$1)</f>
        <v>0</v>
      </c>
      <c r="W196" s="15">
        <f>IFERROR(IF(ISBLANK(P196),IFERROR(VLOOKUP($D196,Sheet3!$H$2:$O$200,W$1,FALSE),IFERROR(VLOOKUP($E196,Sheet3!$H$2:$O$200,W$1,FALSE),VLOOKUP($F196,Sheet3!$H$2:$O$200,W$1,FALSE))),$I$1),$I$1)</f>
        <v>0</v>
      </c>
      <c r="X196" s="15">
        <f>IFERROR(IF(ISBLANK(Q196),IFERROR(VLOOKUP($E196,Sheet3!$H$2:$O$200,X$1,FALSE),IFERROR(VLOOKUP($F196,Sheet3!$H$2:$O$200,X$1,FALSE),VLOOKUP($G196,Sheet3!$H$2:$O$200,X$1,FALSE))),$I$1),$I$1)</f>
        <v>0</v>
      </c>
      <c r="Y196" s="15">
        <f>IFERROR(IF(ISBLANK(R196),IFERROR(VLOOKUP($E196,Sheet3!$H$2:$O$200,Y$1,FALSE),IFERROR(VLOOKUP($F196,Sheet3!$H$2:$O$200,Y$1,FALSE),VLOOKUP($G196,Sheet3!$H$2:$O$200,Y$1,FALSE))),$I$1),$I$1)</f>
        <v>0</v>
      </c>
      <c r="Z196" s="15">
        <f>IFERROR(IF(ISBLANK(S196),IFERROR(VLOOKUP($E196,Sheet3!$H$2:$O$200,Z$1,FALSE),IFERROR(VLOOKUP($F196,Sheet3!$H$2:$O$200,Z$1,FALSE),VLOOKUP($G196,Sheet3!$H$2:$O$200,Z$1,FALSE))),$I$1),$I$1)</f>
        <v>0</v>
      </c>
      <c r="AA196" s="15">
        <f>IFERROR(IF(ISBLANK(T196),IFERROR(VLOOKUP($E196,Sheet3!$H$2:$O$200,AA$1,FALSE),IFERROR(VLOOKUP($F196,Sheet3!$H$2:$O$200,AA$1,FALSE),VLOOKUP($G196,Sheet3!$H$2:$O$200,AA$1,FALSE))),$I$1),$I$1)</f>
        <v>0</v>
      </c>
      <c r="AB196" s="15">
        <f>IFERROR(IF(ISBLANK(U196),IFERROR(VLOOKUP($E196,Sheet3!$H$2:$O$200,AB$1,FALSE),IFERROR(VLOOKUP($F196,Sheet3!$H$2:$O$200,AB$1,FALSE),VLOOKUP($G196,Sheet3!$H$2:$O$200,AB$1,FALSE))),$I$1),$I$1)</f>
        <v>0</v>
      </c>
      <c r="AC196" s="15">
        <f>IFERROR(IF(ISBLANK(V196),IFERROR(VLOOKUP($E196,Sheet3!$H$2:$O$200,AC$1,FALSE),IFERROR(VLOOKUP($F196,Sheet3!$H$2:$O$200,AC$1,FALSE),VLOOKUP($G196,Sheet3!$H$2:$O$200,AC$1,FALSE))),$I$1),$I$1)</f>
        <v>0</v>
      </c>
      <c r="AD196" s="15">
        <f>IFERROR(IF(ISBLANK(W196),IFERROR(VLOOKUP($E196,Sheet3!$H$2:$O$200,AD$1,FALSE),IFERROR(VLOOKUP($F196,Sheet3!$H$2:$O$200,AD$1,FALSE),VLOOKUP($G196,Sheet3!$H$2:$O$200,AD$1,FALSE))),$I$1),$I$1)</f>
        <v>0</v>
      </c>
      <c r="AE196" s="15">
        <f>IFERROR(IF(ISBLANK(X196),IFERROR(VLOOKUP($F196,Sheet3!$H$2:$O$200,AE$1,FALSE),VLOOKUP($G196,Sheet3!$H$2:$O$200,AE$1,FALSE)),$I$1),$I$1)</f>
        <v>0</v>
      </c>
      <c r="AF196" s="15">
        <f>IFERROR(IF(ISBLANK(Y196),IFERROR(VLOOKUP($F196,Sheet3!$H$2:$O$200,AF$1,FALSE),VLOOKUP($G196,Sheet3!$H$2:$O$200,AF$1,FALSE)),$I$1),$I$1)</f>
        <v>0</v>
      </c>
      <c r="AG196" s="15">
        <f>IFERROR(IF(ISBLANK(Z196),IFERROR(VLOOKUP($F196,Sheet3!$H$2:$O$200,AG$1,FALSE),VLOOKUP($G196,Sheet3!$H$2:$O$200,AG$1,FALSE)),$I$1),$I$1)</f>
        <v>0</v>
      </c>
      <c r="AH196" s="15">
        <f>IFERROR(IF(ISBLANK(AA196),IFERROR(VLOOKUP($F196,Sheet3!$H$2:$O$200,AH$1,FALSE),VLOOKUP($G196,Sheet3!$H$2:$O$200,AH$1,FALSE)),$I$1),$I$1)</f>
        <v>0</v>
      </c>
      <c r="AI196" s="15">
        <f>IFERROR(IF(ISBLANK(AB196),IFERROR(VLOOKUP($F196,Sheet3!$H$2:$O$200,AI$1,FALSE),VLOOKUP($G196,Sheet3!$H$2:$O$200,AI$1,FALSE)),$I$1),$I$1)</f>
        <v>0</v>
      </c>
      <c r="AJ196" s="15">
        <f>IFERROR(IF(ISBLANK(AC196),IFERROR(VLOOKUP($F196,Sheet3!$H$2:$O$200,AJ$1,FALSE),VLOOKUP($G196,Sheet3!$H$2:$O$200,AJ$1,FALSE)),$I$1),$I$1)</f>
        <v>0</v>
      </c>
      <c r="AK196" s="15">
        <f>IFERROR(IF(ISBLANK(AD196),IFERROR(VLOOKUP($F196,Sheet3!$H$2:$O$200,AK$1,FALSE),VLOOKUP($G196,Sheet3!$H$2:$O$200,AK$1,FALSE)),$I$1),$I$1)</f>
        <v>0</v>
      </c>
      <c r="AL196" s="15">
        <f>IFERROR(IF(ISBLANK(AE196),VLOOKUP($G196,Sheet3!$H$2:$O$200,AL$1,FALSE),$I$1),$I$1)</f>
        <v>0</v>
      </c>
      <c r="AM196" s="15">
        <f>IFERROR(IF(ISBLANK(AF196),VLOOKUP($G196,Sheet3!$H$2:$O$200,AM$1,FALSE),$I$1),$I$1)</f>
        <v>0</v>
      </c>
      <c r="AN196" s="15">
        <f>IFERROR(IF(ISBLANK(AG196),VLOOKUP($G196,Sheet3!$H$2:$O$200,AN$1,FALSE),$I$1),$I$1)</f>
        <v>0</v>
      </c>
      <c r="AO196" s="15">
        <f>IFERROR(IF(ISBLANK(AH196),VLOOKUP($G196,Sheet3!$H$2:$O$200,AO$1,FALSE),$I$1),$I$1)</f>
        <v>0</v>
      </c>
      <c r="AP196" s="15">
        <f>IFERROR(IF(ISBLANK(AI196),VLOOKUP($G196,Sheet3!$H$2:$O$200,AP$1,FALSE),$I$1),$I$1)</f>
        <v>0</v>
      </c>
      <c r="AQ196" s="15">
        <f>IFERROR(IF(ISBLANK(AJ196),VLOOKUP($G196,Sheet3!$H$2:$O$200,AQ$1,FALSE),$I$1),$I$1)</f>
        <v>0</v>
      </c>
      <c r="AR196" s="15">
        <f>IFERROR(IF(ISBLANK(AK196),VLOOKUP($G196,Sheet3!$H$2:$O$200,AR$1,FALSE),$I$1),$I$1)</f>
        <v>0</v>
      </c>
      <c r="AS196" s="15">
        <f t="shared" si="1"/>
        <v>28</v>
      </c>
      <c r="AT196" s="15" t="b">
        <f t="shared" si="2"/>
        <v>0</v>
      </c>
    </row>
    <row r="197" spans="1:46" x14ac:dyDescent="0.2">
      <c r="A197" s="19" t="s">
        <v>372</v>
      </c>
      <c r="B197" s="19" t="s">
        <v>357</v>
      </c>
      <c r="C197" s="19"/>
      <c r="D197" s="19" t="s">
        <v>134</v>
      </c>
      <c r="E197" s="19" t="s">
        <v>348</v>
      </c>
      <c r="F197" s="19"/>
      <c r="G197" s="19"/>
      <c r="H197" s="19" t="s">
        <v>372</v>
      </c>
      <c r="I197" s="15">
        <f t="shared" si="0"/>
        <v>2</v>
      </c>
      <c r="J197" s="15">
        <f>IFERROR(VLOOKUP($C197,Sheet3!$H$2:$O$200,J$1,FALSE),IFERROR(VLOOKUP($D197,Sheet3!$H$2:$O$200,J$1,FALSE),VLOOKUP($E197,Sheet3!$H$2:$O$200,J$1,FALSE)))</f>
        <v>0</v>
      </c>
      <c r="K197" s="15">
        <f>IFERROR(VLOOKUP($C197,Sheet3!$H$2:$O$200,K$1,FALSE),IFERROR(VLOOKUP($D197,Sheet3!$H$2:$O$200,K$1,FALSE),VLOOKUP($E197,Sheet3!$H$2:$O$200,K$1,FALSE)))</f>
        <v>0</v>
      </c>
      <c r="L197" s="15" t="str">
        <f>IFERROR(VLOOKUP($C197,Sheet3!$H$2:$O$200,L$1,FALSE),IFERROR(VLOOKUP($D197,Sheet3!$H$2:$O$200,L$1,FALSE),VLOOKUP($E197,Sheet3!$H$2:$O$200,L$1,FALSE)))</f>
        <v>grapefruit juice</v>
      </c>
      <c r="M197" s="15">
        <f>IFERROR(VLOOKUP($C197,Sheet3!$H$2:$O$200,M$1,FALSE),IFERROR(VLOOKUP($D197,Sheet3!$H$2:$O$200,M$1,FALSE),VLOOKUP($E197,Sheet3!$H$2:$O$200,M$1,FALSE)))</f>
        <v>0</v>
      </c>
      <c r="N197" s="15">
        <f>IFERROR(VLOOKUP($C197,Sheet3!$H$2:$O$200,N$1,FALSE),IFERROR(VLOOKUP($D197,Sheet3!$H$2:$O$200,N$1,FALSE),VLOOKUP($E197,Sheet3!$H$2:$O$200,N$1,FALSE)))</f>
        <v>0</v>
      </c>
      <c r="O197" s="15">
        <f>IFERROR(VLOOKUP($C197,Sheet3!$H$2:$O$200,O$1,FALSE),IFERROR(VLOOKUP($D197,Sheet3!$H$2:$O$200,O$1,FALSE),VLOOKUP($E197,Sheet3!$H$2:$O$200,O$1,FALSE)))</f>
        <v>0</v>
      </c>
      <c r="P197" s="15">
        <f>IFERROR(VLOOKUP($C197,Sheet3!$H$2:$O$200,P$1,FALSE),IFERROR(VLOOKUP($D197,Sheet3!$H$2:$O$200,P$1,FALSE),VLOOKUP($E197,Sheet3!$H$2:$O$200,P$1,FALSE)))</f>
        <v>0</v>
      </c>
      <c r="Q197" s="15">
        <f>IFERROR(IF(ISBLANK(J197),IFERROR(VLOOKUP($D197,Sheet3!$H$2:$O$200,Q$1,FALSE),IFERROR(VLOOKUP($E197,Sheet3!$H$2:$O$200,Q$1,FALSE),VLOOKUP($F197,Sheet3!$H$2:$O$200,Q$1,FALSE))),$I$1),$I$1)</f>
        <v>0</v>
      </c>
      <c r="R197" s="15">
        <f>IFERROR(IF(ISBLANK(K197),IFERROR(VLOOKUP($D197,Sheet3!$H$2:$O$200,R$1,FALSE),IFERROR(VLOOKUP($E197,Sheet3!$H$2:$O$200,R$1,FALSE),VLOOKUP($F197,Sheet3!$H$2:$O$200,R$1,FALSE))),$I$1),$I$1)</f>
        <v>0</v>
      </c>
      <c r="S197" s="15">
        <f>IFERROR(IF(ISBLANK(L197),IFERROR(VLOOKUP($D197,Sheet3!$H$2:$O$200,S$1,FALSE),IFERROR(VLOOKUP($E197,Sheet3!$H$2:$O$200,S$1,FALSE),VLOOKUP($F197,Sheet3!$H$2:$O$200,S$1,FALSE))),$I$1),$I$1)</f>
        <v>0</v>
      </c>
      <c r="T197" s="15">
        <f>IFERROR(IF(ISBLANK(M197),IFERROR(VLOOKUP($D197,Sheet3!$H$2:$O$200,T$1,FALSE),IFERROR(VLOOKUP($E197,Sheet3!$H$2:$O$200,T$1,FALSE),VLOOKUP($F197,Sheet3!$H$2:$O$200,T$1,FALSE))),$I$1),$I$1)</f>
        <v>0</v>
      </c>
      <c r="U197" s="15">
        <f>IFERROR(IF(ISBLANK(N197),IFERROR(VLOOKUP($D197,Sheet3!$H$2:$O$200,U$1,FALSE),IFERROR(VLOOKUP($E197,Sheet3!$H$2:$O$200,U$1,FALSE),VLOOKUP($F197,Sheet3!$H$2:$O$200,U$1,FALSE))),$I$1),$I$1)</f>
        <v>0</v>
      </c>
      <c r="V197" s="15">
        <f>IFERROR(IF(ISBLANK(O197),IFERROR(VLOOKUP($D197,Sheet3!$H$2:$O$200,V$1,FALSE),IFERROR(VLOOKUP($E197,Sheet3!$H$2:$O$200,V$1,FALSE),VLOOKUP($F197,Sheet3!$H$2:$O$200,V$1,FALSE))),$I$1),$I$1)</f>
        <v>0</v>
      </c>
      <c r="W197" s="15">
        <f>IFERROR(IF(ISBLANK(P197),IFERROR(VLOOKUP($D197,Sheet3!$H$2:$O$200,W$1,FALSE),IFERROR(VLOOKUP($E197,Sheet3!$H$2:$O$200,W$1,FALSE),VLOOKUP($F197,Sheet3!$H$2:$O$200,W$1,FALSE))),$I$1),$I$1)</f>
        <v>0</v>
      </c>
      <c r="X197" s="15">
        <f>IFERROR(IF(ISBLANK(Q197),IFERROR(VLOOKUP($E197,Sheet3!$H$2:$O$200,X$1,FALSE),IFERROR(VLOOKUP($F197,Sheet3!$H$2:$O$200,X$1,FALSE),VLOOKUP($G197,Sheet3!$H$2:$O$200,X$1,FALSE))),$I$1),$I$1)</f>
        <v>0</v>
      </c>
      <c r="Y197" s="15">
        <f>IFERROR(IF(ISBLANK(R197),IFERROR(VLOOKUP($E197,Sheet3!$H$2:$O$200,Y$1,FALSE),IFERROR(VLOOKUP($F197,Sheet3!$H$2:$O$200,Y$1,FALSE),VLOOKUP($G197,Sheet3!$H$2:$O$200,Y$1,FALSE))),$I$1),$I$1)</f>
        <v>0</v>
      </c>
      <c r="Z197" s="15">
        <f>IFERROR(IF(ISBLANK(S197),IFERROR(VLOOKUP($E197,Sheet3!$H$2:$O$200,Z$1,FALSE),IFERROR(VLOOKUP($F197,Sheet3!$H$2:$O$200,Z$1,FALSE),VLOOKUP($G197,Sheet3!$H$2:$O$200,Z$1,FALSE))),$I$1),$I$1)</f>
        <v>0</v>
      </c>
      <c r="AA197" s="15">
        <f>IFERROR(IF(ISBLANK(T197),IFERROR(VLOOKUP($E197,Sheet3!$H$2:$O$200,AA$1,FALSE),IFERROR(VLOOKUP($F197,Sheet3!$H$2:$O$200,AA$1,FALSE),VLOOKUP($G197,Sheet3!$H$2:$O$200,AA$1,FALSE))),$I$1),$I$1)</f>
        <v>0</v>
      </c>
      <c r="AB197" s="15">
        <f>IFERROR(IF(ISBLANK(U197),IFERROR(VLOOKUP($E197,Sheet3!$H$2:$O$200,AB$1,FALSE),IFERROR(VLOOKUP($F197,Sheet3!$H$2:$O$200,AB$1,FALSE),VLOOKUP($G197,Sheet3!$H$2:$O$200,AB$1,FALSE))),$I$1),$I$1)</f>
        <v>0</v>
      </c>
      <c r="AC197" s="15">
        <f>IFERROR(IF(ISBLANK(V197),IFERROR(VLOOKUP($E197,Sheet3!$H$2:$O$200,AC$1,FALSE),IFERROR(VLOOKUP($F197,Sheet3!$H$2:$O$200,AC$1,FALSE),VLOOKUP($G197,Sheet3!$H$2:$O$200,AC$1,FALSE))),$I$1),$I$1)</f>
        <v>0</v>
      </c>
      <c r="AD197" s="15">
        <f>IFERROR(IF(ISBLANK(W197),IFERROR(VLOOKUP($E197,Sheet3!$H$2:$O$200,AD$1,FALSE),IFERROR(VLOOKUP($F197,Sheet3!$H$2:$O$200,AD$1,FALSE),VLOOKUP($G197,Sheet3!$H$2:$O$200,AD$1,FALSE))),$I$1),$I$1)</f>
        <v>0</v>
      </c>
      <c r="AE197" s="15">
        <f>IFERROR(IF(ISBLANK(X197),IFERROR(VLOOKUP($F197,Sheet3!$H$2:$O$200,AE$1,FALSE),VLOOKUP($G197,Sheet3!$H$2:$O$200,AE$1,FALSE)),$I$1),$I$1)</f>
        <v>0</v>
      </c>
      <c r="AF197" s="15">
        <f>IFERROR(IF(ISBLANK(Y197),IFERROR(VLOOKUP($F197,Sheet3!$H$2:$O$200,AF$1,FALSE),VLOOKUP($G197,Sheet3!$H$2:$O$200,AF$1,FALSE)),$I$1),$I$1)</f>
        <v>0</v>
      </c>
      <c r="AG197" s="15">
        <f>IFERROR(IF(ISBLANK(Z197),IFERROR(VLOOKUP($F197,Sheet3!$H$2:$O$200,AG$1,FALSE),VLOOKUP($G197,Sheet3!$H$2:$O$200,AG$1,FALSE)),$I$1),$I$1)</f>
        <v>0</v>
      </c>
      <c r="AH197" s="15">
        <f>IFERROR(IF(ISBLANK(AA197),IFERROR(VLOOKUP($F197,Sheet3!$H$2:$O$200,AH$1,FALSE),VLOOKUP($G197,Sheet3!$H$2:$O$200,AH$1,FALSE)),$I$1),$I$1)</f>
        <v>0</v>
      </c>
      <c r="AI197" s="15">
        <f>IFERROR(IF(ISBLANK(AB197),IFERROR(VLOOKUP($F197,Sheet3!$H$2:$O$200,AI$1,FALSE),VLOOKUP($G197,Sheet3!$H$2:$O$200,AI$1,FALSE)),$I$1),$I$1)</f>
        <v>0</v>
      </c>
      <c r="AJ197" s="15">
        <f>IFERROR(IF(ISBLANK(AC197),IFERROR(VLOOKUP($F197,Sheet3!$H$2:$O$200,AJ$1,FALSE),VLOOKUP($G197,Sheet3!$H$2:$O$200,AJ$1,FALSE)),$I$1),$I$1)</f>
        <v>0</v>
      </c>
      <c r="AK197" s="15">
        <f>IFERROR(IF(ISBLANK(AD197),IFERROR(VLOOKUP($F197,Sheet3!$H$2:$O$200,AK$1,FALSE),VLOOKUP($G197,Sheet3!$H$2:$O$200,AK$1,FALSE)),$I$1),$I$1)</f>
        <v>0</v>
      </c>
      <c r="AL197" s="15">
        <f>IFERROR(IF(ISBLANK(AE197),VLOOKUP($G197,Sheet3!$H$2:$O$200,AL$1,FALSE),$I$1),$I$1)</f>
        <v>0</v>
      </c>
      <c r="AM197" s="15">
        <f>IFERROR(IF(ISBLANK(AF197),VLOOKUP($G197,Sheet3!$H$2:$O$200,AM$1,FALSE),$I$1),$I$1)</f>
        <v>0</v>
      </c>
      <c r="AN197" s="15">
        <f>IFERROR(IF(ISBLANK(AG197),VLOOKUP($G197,Sheet3!$H$2:$O$200,AN$1,FALSE),$I$1),$I$1)</f>
        <v>0</v>
      </c>
      <c r="AO197" s="15">
        <f>IFERROR(IF(ISBLANK(AH197),VLOOKUP($G197,Sheet3!$H$2:$O$200,AO$1,FALSE),$I$1),$I$1)</f>
        <v>0</v>
      </c>
      <c r="AP197" s="15">
        <f>IFERROR(IF(ISBLANK(AI197),VLOOKUP($G197,Sheet3!$H$2:$O$200,AP$1,FALSE),$I$1),$I$1)</f>
        <v>0</v>
      </c>
      <c r="AQ197" s="15">
        <f>IFERROR(IF(ISBLANK(AJ197),VLOOKUP($G197,Sheet3!$H$2:$O$200,AQ$1,FALSE),$I$1),$I$1)</f>
        <v>0</v>
      </c>
      <c r="AR197" s="15">
        <f>IFERROR(IF(ISBLANK(AK197),VLOOKUP($G197,Sheet3!$H$2:$O$200,AR$1,FALSE),$I$1),$I$1)</f>
        <v>0</v>
      </c>
      <c r="AS197" s="15">
        <f t="shared" si="1"/>
        <v>28</v>
      </c>
      <c r="AT197" s="15" t="b">
        <f t="shared" si="2"/>
        <v>0</v>
      </c>
    </row>
    <row r="198" spans="1:46" x14ac:dyDescent="0.2">
      <c r="A198" s="19" t="s">
        <v>373</v>
      </c>
      <c r="B198" s="19" t="s">
        <v>357</v>
      </c>
      <c r="C198" s="19"/>
      <c r="D198" s="19" t="s">
        <v>45</v>
      </c>
      <c r="E198" s="19"/>
      <c r="F198" s="19"/>
      <c r="G198" s="19"/>
      <c r="H198" s="19" t="s">
        <v>373</v>
      </c>
      <c r="I198" s="15">
        <f t="shared" si="0"/>
        <v>1</v>
      </c>
      <c r="J198" s="15">
        <f>IFERROR(VLOOKUP($C198,Sheet3!$H$2:$O$200,J$1,FALSE),IFERROR(VLOOKUP($D198,Sheet3!$H$2:$O$200,J$1,FALSE),VLOOKUP($E198,Sheet3!$H$2:$O$200,J$1,FALSE)))</f>
        <v>0</v>
      </c>
      <c r="K198" s="15">
        <f>IFERROR(VLOOKUP($C198,Sheet3!$H$2:$O$200,K$1,FALSE),IFERROR(VLOOKUP($D198,Sheet3!$H$2:$O$200,K$1,FALSE),VLOOKUP($E198,Sheet3!$H$2:$O$200,K$1,FALSE)))</f>
        <v>0</v>
      </c>
      <c r="L198" s="15" t="str">
        <f>IFERROR(VLOOKUP($C198,Sheet3!$H$2:$O$200,L$1,FALSE),IFERROR(VLOOKUP($D198,Sheet3!$H$2:$O$200,L$1,FALSE),VLOOKUP($E198,Sheet3!$H$2:$O$200,L$1,FALSE)))</f>
        <v>cranberry juice</v>
      </c>
      <c r="M198" s="15">
        <f>IFERROR(VLOOKUP($C198,Sheet3!$H$2:$O$200,M$1,FALSE),IFERROR(VLOOKUP($D198,Sheet3!$H$2:$O$200,M$1,FALSE),VLOOKUP($E198,Sheet3!$H$2:$O$200,M$1,FALSE)))</f>
        <v>0</v>
      </c>
      <c r="N198" s="15">
        <f>IFERROR(VLOOKUP($C198,Sheet3!$H$2:$O$200,N$1,FALSE),IFERROR(VLOOKUP($D198,Sheet3!$H$2:$O$200,N$1,FALSE),VLOOKUP($E198,Sheet3!$H$2:$O$200,N$1,FALSE)))</f>
        <v>0</v>
      </c>
      <c r="O198" s="15">
        <f>IFERROR(VLOOKUP($C198,Sheet3!$H$2:$O$200,O$1,FALSE),IFERROR(VLOOKUP($D198,Sheet3!$H$2:$O$200,O$1,FALSE),VLOOKUP($E198,Sheet3!$H$2:$O$200,O$1,FALSE)))</f>
        <v>0</v>
      </c>
      <c r="P198" s="15">
        <f>IFERROR(VLOOKUP($C198,Sheet3!$H$2:$O$200,P$1,FALSE),IFERROR(VLOOKUP($D198,Sheet3!$H$2:$O$200,P$1,FALSE),VLOOKUP($E198,Sheet3!$H$2:$O$200,P$1,FALSE)))</f>
        <v>0</v>
      </c>
      <c r="Q198" s="15">
        <f>IFERROR(IF(ISBLANK(J198),IFERROR(VLOOKUP($D198,Sheet3!$H$2:$O$200,Q$1,FALSE),IFERROR(VLOOKUP($E198,Sheet3!$H$2:$O$200,Q$1,FALSE),VLOOKUP($F198,Sheet3!$H$2:$O$200,Q$1,FALSE))),$I$1),$I$1)</f>
        <v>0</v>
      </c>
      <c r="R198" s="15">
        <f>IFERROR(IF(ISBLANK(K198),IFERROR(VLOOKUP($D198,Sheet3!$H$2:$O$200,R$1,FALSE),IFERROR(VLOOKUP($E198,Sheet3!$H$2:$O$200,R$1,FALSE),VLOOKUP($F198,Sheet3!$H$2:$O$200,R$1,FALSE))),$I$1),$I$1)</f>
        <v>0</v>
      </c>
      <c r="S198" s="15">
        <f>IFERROR(IF(ISBLANK(L198),IFERROR(VLOOKUP($D198,Sheet3!$H$2:$O$200,S$1,FALSE),IFERROR(VLOOKUP($E198,Sheet3!$H$2:$O$200,S$1,FALSE),VLOOKUP($F198,Sheet3!$H$2:$O$200,S$1,FALSE))),$I$1),$I$1)</f>
        <v>0</v>
      </c>
      <c r="T198" s="15">
        <f>IFERROR(IF(ISBLANK(M198),IFERROR(VLOOKUP($D198,Sheet3!$H$2:$O$200,T$1,FALSE),IFERROR(VLOOKUP($E198,Sheet3!$H$2:$O$200,T$1,FALSE),VLOOKUP($F198,Sheet3!$H$2:$O$200,T$1,FALSE))),$I$1),$I$1)</f>
        <v>0</v>
      </c>
      <c r="U198" s="15">
        <f>IFERROR(IF(ISBLANK(N198),IFERROR(VLOOKUP($D198,Sheet3!$H$2:$O$200,U$1,FALSE),IFERROR(VLOOKUP($E198,Sheet3!$H$2:$O$200,U$1,FALSE),VLOOKUP($F198,Sheet3!$H$2:$O$200,U$1,FALSE))),$I$1),$I$1)</f>
        <v>0</v>
      </c>
      <c r="V198" s="15">
        <f>IFERROR(IF(ISBLANK(O198),IFERROR(VLOOKUP($D198,Sheet3!$H$2:$O$200,V$1,FALSE),IFERROR(VLOOKUP($E198,Sheet3!$H$2:$O$200,V$1,FALSE),VLOOKUP($F198,Sheet3!$H$2:$O$200,V$1,FALSE))),$I$1),$I$1)</f>
        <v>0</v>
      </c>
      <c r="W198" s="15">
        <f>IFERROR(IF(ISBLANK(P198),IFERROR(VLOOKUP($D198,Sheet3!$H$2:$O$200,W$1,FALSE),IFERROR(VLOOKUP($E198,Sheet3!$H$2:$O$200,W$1,FALSE),VLOOKUP($F198,Sheet3!$H$2:$O$200,W$1,FALSE))),$I$1),$I$1)</f>
        <v>0</v>
      </c>
      <c r="X198" s="15">
        <f>IFERROR(IF(ISBLANK(Q198),IFERROR(VLOOKUP($E198,Sheet3!$H$2:$O$200,X$1,FALSE),IFERROR(VLOOKUP($F198,Sheet3!$H$2:$O$200,X$1,FALSE),VLOOKUP($G198,Sheet3!$H$2:$O$200,X$1,FALSE))),$I$1),$I$1)</f>
        <v>0</v>
      </c>
      <c r="Y198" s="15">
        <f>IFERROR(IF(ISBLANK(R198),IFERROR(VLOOKUP($E198,Sheet3!$H$2:$O$200,Y$1,FALSE),IFERROR(VLOOKUP($F198,Sheet3!$H$2:$O$200,Y$1,FALSE),VLOOKUP($G198,Sheet3!$H$2:$O$200,Y$1,FALSE))),$I$1),$I$1)</f>
        <v>0</v>
      </c>
      <c r="Z198" s="15">
        <f>IFERROR(IF(ISBLANK(S198),IFERROR(VLOOKUP($E198,Sheet3!$H$2:$O$200,Z$1,FALSE),IFERROR(VLOOKUP($F198,Sheet3!$H$2:$O$200,Z$1,FALSE),VLOOKUP($G198,Sheet3!$H$2:$O$200,Z$1,FALSE))),$I$1),$I$1)</f>
        <v>0</v>
      </c>
      <c r="AA198" s="15">
        <f>IFERROR(IF(ISBLANK(T198),IFERROR(VLOOKUP($E198,Sheet3!$H$2:$O$200,AA$1,FALSE),IFERROR(VLOOKUP($F198,Sheet3!$H$2:$O$200,AA$1,FALSE),VLOOKUP($G198,Sheet3!$H$2:$O$200,AA$1,FALSE))),$I$1),$I$1)</f>
        <v>0</v>
      </c>
      <c r="AB198" s="15">
        <f>IFERROR(IF(ISBLANK(U198),IFERROR(VLOOKUP($E198,Sheet3!$H$2:$O$200,AB$1,FALSE),IFERROR(VLOOKUP($F198,Sheet3!$H$2:$O$200,AB$1,FALSE),VLOOKUP($G198,Sheet3!$H$2:$O$200,AB$1,FALSE))),$I$1),$I$1)</f>
        <v>0</v>
      </c>
      <c r="AC198" s="15">
        <f>IFERROR(IF(ISBLANK(V198),IFERROR(VLOOKUP($E198,Sheet3!$H$2:$O$200,AC$1,FALSE),IFERROR(VLOOKUP($F198,Sheet3!$H$2:$O$200,AC$1,FALSE),VLOOKUP($G198,Sheet3!$H$2:$O$200,AC$1,FALSE))),$I$1),$I$1)</f>
        <v>0</v>
      </c>
      <c r="AD198" s="15">
        <f>IFERROR(IF(ISBLANK(W198),IFERROR(VLOOKUP($E198,Sheet3!$H$2:$O$200,AD$1,FALSE),IFERROR(VLOOKUP($F198,Sheet3!$H$2:$O$200,AD$1,FALSE),VLOOKUP($G198,Sheet3!$H$2:$O$200,AD$1,FALSE))),$I$1),$I$1)</f>
        <v>0</v>
      </c>
      <c r="AE198" s="15">
        <f>IFERROR(IF(ISBLANK(X198),IFERROR(VLOOKUP($F198,Sheet3!$H$2:$O$200,AE$1,FALSE),VLOOKUP($G198,Sheet3!$H$2:$O$200,AE$1,FALSE)),$I$1),$I$1)</f>
        <v>0</v>
      </c>
      <c r="AF198" s="15">
        <f>IFERROR(IF(ISBLANK(Y198),IFERROR(VLOOKUP($F198,Sheet3!$H$2:$O$200,AF$1,FALSE),VLOOKUP($G198,Sheet3!$H$2:$O$200,AF$1,FALSE)),$I$1),$I$1)</f>
        <v>0</v>
      </c>
      <c r="AG198" s="15">
        <f>IFERROR(IF(ISBLANK(Z198),IFERROR(VLOOKUP($F198,Sheet3!$H$2:$O$200,AG$1,FALSE),VLOOKUP($G198,Sheet3!$H$2:$O$200,AG$1,FALSE)),$I$1),$I$1)</f>
        <v>0</v>
      </c>
      <c r="AH198" s="15">
        <f>IFERROR(IF(ISBLANK(AA198),IFERROR(VLOOKUP($F198,Sheet3!$H$2:$O$200,AH$1,FALSE),VLOOKUP($G198,Sheet3!$H$2:$O$200,AH$1,FALSE)),$I$1),$I$1)</f>
        <v>0</v>
      </c>
      <c r="AI198" s="15">
        <f>IFERROR(IF(ISBLANK(AB198),IFERROR(VLOOKUP($F198,Sheet3!$H$2:$O$200,AI$1,FALSE),VLOOKUP($G198,Sheet3!$H$2:$O$200,AI$1,FALSE)),$I$1),$I$1)</f>
        <v>0</v>
      </c>
      <c r="AJ198" s="15">
        <f>IFERROR(IF(ISBLANK(AC198),IFERROR(VLOOKUP($F198,Sheet3!$H$2:$O$200,AJ$1,FALSE),VLOOKUP($G198,Sheet3!$H$2:$O$200,AJ$1,FALSE)),$I$1),$I$1)</f>
        <v>0</v>
      </c>
      <c r="AK198" s="15">
        <f>IFERROR(IF(ISBLANK(AD198),IFERROR(VLOOKUP($F198,Sheet3!$H$2:$O$200,AK$1,FALSE),VLOOKUP($G198,Sheet3!$H$2:$O$200,AK$1,FALSE)),$I$1),$I$1)</f>
        <v>0</v>
      </c>
      <c r="AL198" s="15">
        <f>IFERROR(IF(ISBLANK(AE198),VLOOKUP($G198,Sheet3!$H$2:$O$200,AL$1,FALSE),$I$1),$I$1)</f>
        <v>0</v>
      </c>
      <c r="AM198" s="15">
        <f>IFERROR(IF(ISBLANK(AF198),VLOOKUP($G198,Sheet3!$H$2:$O$200,AM$1,FALSE),$I$1),$I$1)</f>
        <v>0</v>
      </c>
      <c r="AN198" s="15">
        <f>IFERROR(IF(ISBLANK(AG198),VLOOKUP($G198,Sheet3!$H$2:$O$200,AN$1,FALSE),$I$1),$I$1)</f>
        <v>0</v>
      </c>
      <c r="AO198" s="15">
        <f>IFERROR(IF(ISBLANK(AH198),VLOOKUP($G198,Sheet3!$H$2:$O$200,AO$1,FALSE),$I$1),$I$1)</f>
        <v>0</v>
      </c>
      <c r="AP198" s="15">
        <f>IFERROR(IF(ISBLANK(AI198),VLOOKUP($G198,Sheet3!$H$2:$O$200,AP$1,FALSE),$I$1),$I$1)</f>
        <v>0</v>
      </c>
      <c r="AQ198" s="15">
        <f>IFERROR(IF(ISBLANK(AJ198),VLOOKUP($G198,Sheet3!$H$2:$O$200,AQ$1,FALSE),$I$1),$I$1)</f>
        <v>0</v>
      </c>
      <c r="AR198" s="15">
        <f>IFERROR(IF(ISBLANK(AK198),VLOOKUP($G198,Sheet3!$H$2:$O$200,AR$1,FALSE),$I$1),$I$1)</f>
        <v>0</v>
      </c>
      <c r="AS198" s="15">
        <f t="shared" si="1"/>
        <v>28</v>
      </c>
      <c r="AT198" s="15" t="b">
        <f t="shared" si="2"/>
        <v>0</v>
      </c>
    </row>
    <row r="199" spans="1:46" x14ac:dyDescent="0.2">
      <c r="A199" s="19" t="s">
        <v>374</v>
      </c>
      <c r="B199" s="19" t="s">
        <v>357</v>
      </c>
      <c r="C199" s="19"/>
      <c r="D199" s="19" t="s">
        <v>45</v>
      </c>
      <c r="E199" s="19" t="s">
        <v>134</v>
      </c>
      <c r="F199" s="19"/>
      <c r="G199" s="19"/>
      <c r="H199" s="19" t="s">
        <v>374</v>
      </c>
      <c r="I199" s="15">
        <f t="shared" si="0"/>
        <v>2</v>
      </c>
      <c r="J199" s="15">
        <f>IFERROR(VLOOKUP($C199,Sheet3!$H$2:$O$200,J$1,FALSE),IFERROR(VLOOKUP($D199,Sheet3!$H$2:$O$200,J$1,FALSE),VLOOKUP($E199,Sheet3!$H$2:$O$200,J$1,FALSE)))</f>
        <v>0</v>
      </c>
      <c r="K199" s="15">
        <f>IFERROR(VLOOKUP($C199,Sheet3!$H$2:$O$200,K$1,FALSE),IFERROR(VLOOKUP($D199,Sheet3!$H$2:$O$200,K$1,FALSE),VLOOKUP($E199,Sheet3!$H$2:$O$200,K$1,FALSE)))</f>
        <v>0</v>
      </c>
      <c r="L199" s="15" t="str">
        <f>IFERROR(VLOOKUP($C199,Sheet3!$H$2:$O$200,L$1,FALSE),IFERROR(VLOOKUP($D199,Sheet3!$H$2:$O$200,L$1,FALSE),VLOOKUP($E199,Sheet3!$H$2:$O$200,L$1,FALSE)))</f>
        <v>cranberry juice</v>
      </c>
      <c r="M199" s="15">
        <f>IFERROR(VLOOKUP($C199,Sheet3!$H$2:$O$200,M$1,FALSE),IFERROR(VLOOKUP($D199,Sheet3!$H$2:$O$200,M$1,FALSE),VLOOKUP($E199,Sheet3!$H$2:$O$200,M$1,FALSE)))</f>
        <v>0</v>
      </c>
      <c r="N199" s="15">
        <f>IFERROR(VLOOKUP($C199,Sheet3!$H$2:$O$200,N$1,FALSE),IFERROR(VLOOKUP($D199,Sheet3!$H$2:$O$200,N$1,FALSE),VLOOKUP($E199,Sheet3!$H$2:$O$200,N$1,FALSE)))</f>
        <v>0</v>
      </c>
      <c r="O199" s="15">
        <f>IFERROR(VLOOKUP($C199,Sheet3!$H$2:$O$200,O$1,FALSE),IFERROR(VLOOKUP($D199,Sheet3!$H$2:$O$200,O$1,FALSE),VLOOKUP($E199,Sheet3!$H$2:$O$200,O$1,FALSE)))</f>
        <v>0</v>
      </c>
      <c r="P199" s="15">
        <f>IFERROR(VLOOKUP($C199,Sheet3!$H$2:$O$200,P$1,FALSE),IFERROR(VLOOKUP($D199,Sheet3!$H$2:$O$200,P$1,FALSE),VLOOKUP($E199,Sheet3!$H$2:$O$200,P$1,FALSE)))</f>
        <v>0</v>
      </c>
      <c r="Q199" s="15">
        <f>IFERROR(IF(ISBLANK(J199),IFERROR(VLOOKUP($D199,Sheet3!$H$2:$O$200,Q$1,FALSE),IFERROR(VLOOKUP($E199,Sheet3!$H$2:$O$200,Q$1,FALSE),VLOOKUP($F199,Sheet3!$H$2:$O$200,Q$1,FALSE))),$I$1),$I$1)</f>
        <v>0</v>
      </c>
      <c r="R199" s="15">
        <f>IFERROR(IF(ISBLANK(K199),IFERROR(VLOOKUP($D199,Sheet3!$H$2:$O$200,R$1,FALSE),IFERROR(VLOOKUP($E199,Sheet3!$H$2:$O$200,R$1,FALSE),VLOOKUP($F199,Sheet3!$H$2:$O$200,R$1,FALSE))),$I$1),$I$1)</f>
        <v>0</v>
      </c>
      <c r="S199" s="15">
        <f>IFERROR(IF(ISBLANK(L199),IFERROR(VLOOKUP($D199,Sheet3!$H$2:$O$200,S$1,FALSE),IFERROR(VLOOKUP($E199,Sheet3!$H$2:$O$200,S$1,FALSE),VLOOKUP($F199,Sheet3!$H$2:$O$200,S$1,FALSE))),$I$1),$I$1)</f>
        <v>0</v>
      </c>
      <c r="T199" s="15">
        <f>IFERROR(IF(ISBLANK(M199),IFERROR(VLOOKUP($D199,Sheet3!$H$2:$O$200,T$1,FALSE),IFERROR(VLOOKUP($E199,Sheet3!$H$2:$O$200,T$1,FALSE),VLOOKUP($F199,Sheet3!$H$2:$O$200,T$1,FALSE))),$I$1),$I$1)</f>
        <v>0</v>
      </c>
      <c r="U199" s="15">
        <f>IFERROR(IF(ISBLANK(N199),IFERROR(VLOOKUP($D199,Sheet3!$H$2:$O$200,U$1,FALSE),IFERROR(VLOOKUP($E199,Sheet3!$H$2:$O$200,U$1,FALSE),VLOOKUP($F199,Sheet3!$H$2:$O$200,U$1,FALSE))),$I$1),$I$1)</f>
        <v>0</v>
      </c>
      <c r="V199" s="15">
        <f>IFERROR(IF(ISBLANK(O199),IFERROR(VLOOKUP($D199,Sheet3!$H$2:$O$200,V$1,FALSE),IFERROR(VLOOKUP($E199,Sheet3!$H$2:$O$200,V$1,FALSE),VLOOKUP($F199,Sheet3!$H$2:$O$200,V$1,FALSE))),$I$1),$I$1)</f>
        <v>0</v>
      </c>
      <c r="W199" s="15">
        <f>IFERROR(IF(ISBLANK(P199),IFERROR(VLOOKUP($D199,Sheet3!$H$2:$O$200,W$1,FALSE),IFERROR(VLOOKUP($E199,Sheet3!$H$2:$O$200,W$1,FALSE),VLOOKUP($F199,Sheet3!$H$2:$O$200,W$1,FALSE))),$I$1),$I$1)</f>
        <v>0</v>
      </c>
      <c r="X199" s="15">
        <f>IFERROR(IF(ISBLANK(Q199),IFERROR(VLOOKUP($E199,Sheet3!$H$2:$O$200,X$1,FALSE),IFERROR(VLOOKUP($F199,Sheet3!$H$2:$O$200,X$1,FALSE),VLOOKUP($G199,Sheet3!$H$2:$O$200,X$1,FALSE))),$I$1),$I$1)</f>
        <v>0</v>
      </c>
      <c r="Y199" s="15">
        <f>IFERROR(IF(ISBLANK(R199),IFERROR(VLOOKUP($E199,Sheet3!$H$2:$O$200,Y$1,FALSE),IFERROR(VLOOKUP($F199,Sheet3!$H$2:$O$200,Y$1,FALSE),VLOOKUP($G199,Sheet3!$H$2:$O$200,Y$1,FALSE))),$I$1),$I$1)</f>
        <v>0</v>
      </c>
      <c r="Z199" s="15">
        <f>IFERROR(IF(ISBLANK(S199),IFERROR(VLOOKUP($E199,Sheet3!$H$2:$O$200,Z$1,FALSE),IFERROR(VLOOKUP($F199,Sheet3!$H$2:$O$200,Z$1,FALSE),VLOOKUP($G199,Sheet3!$H$2:$O$200,Z$1,FALSE))),$I$1),$I$1)</f>
        <v>0</v>
      </c>
      <c r="AA199" s="15">
        <f>IFERROR(IF(ISBLANK(T199),IFERROR(VLOOKUP($E199,Sheet3!$H$2:$O$200,AA$1,FALSE),IFERROR(VLOOKUP($F199,Sheet3!$H$2:$O$200,AA$1,FALSE),VLOOKUP($G199,Sheet3!$H$2:$O$200,AA$1,FALSE))),$I$1),$I$1)</f>
        <v>0</v>
      </c>
      <c r="AB199" s="15">
        <f>IFERROR(IF(ISBLANK(U199),IFERROR(VLOOKUP($E199,Sheet3!$H$2:$O$200,AB$1,FALSE),IFERROR(VLOOKUP($F199,Sheet3!$H$2:$O$200,AB$1,FALSE),VLOOKUP($G199,Sheet3!$H$2:$O$200,AB$1,FALSE))),$I$1),$I$1)</f>
        <v>0</v>
      </c>
      <c r="AC199" s="15">
        <f>IFERROR(IF(ISBLANK(V199),IFERROR(VLOOKUP($E199,Sheet3!$H$2:$O$200,AC$1,FALSE),IFERROR(VLOOKUP($F199,Sheet3!$H$2:$O$200,AC$1,FALSE),VLOOKUP($G199,Sheet3!$H$2:$O$200,AC$1,FALSE))),$I$1),$I$1)</f>
        <v>0</v>
      </c>
      <c r="AD199" s="15">
        <f>IFERROR(IF(ISBLANK(W199),IFERROR(VLOOKUP($E199,Sheet3!$H$2:$O$200,AD$1,FALSE),IFERROR(VLOOKUP($F199,Sheet3!$H$2:$O$200,AD$1,FALSE),VLOOKUP($G199,Sheet3!$H$2:$O$200,AD$1,FALSE))),$I$1),$I$1)</f>
        <v>0</v>
      </c>
      <c r="AE199" s="15">
        <f>IFERROR(IF(ISBLANK(X199),IFERROR(VLOOKUP($F199,Sheet3!$H$2:$O$200,AE$1,FALSE),VLOOKUP($G199,Sheet3!$H$2:$O$200,AE$1,FALSE)),$I$1),$I$1)</f>
        <v>0</v>
      </c>
      <c r="AF199" s="15">
        <f>IFERROR(IF(ISBLANK(Y199),IFERROR(VLOOKUP($F199,Sheet3!$H$2:$O$200,AF$1,FALSE),VLOOKUP($G199,Sheet3!$H$2:$O$200,AF$1,FALSE)),$I$1),$I$1)</f>
        <v>0</v>
      </c>
      <c r="AG199" s="15">
        <f>IFERROR(IF(ISBLANK(Z199),IFERROR(VLOOKUP($F199,Sheet3!$H$2:$O$200,AG$1,FALSE),VLOOKUP($G199,Sheet3!$H$2:$O$200,AG$1,FALSE)),$I$1),$I$1)</f>
        <v>0</v>
      </c>
      <c r="AH199" s="15">
        <f>IFERROR(IF(ISBLANK(AA199),IFERROR(VLOOKUP($F199,Sheet3!$H$2:$O$200,AH$1,FALSE),VLOOKUP($G199,Sheet3!$H$2:$O$200,AH$1,FALSE)),$I$1),$I$1)</f>
        <v>0</v>
      </c>
      <c r="AI199" s="15">
        <f>IFERROR(IF(ISBLANK(AB199),IFERROR(VLOOKUP($F199,Sheet3!$H$2:$O$200,AI$1,FALSE),VLOOKUP($G199,Sheet3!$H$2:$O$200,AI$1,FALSE)),$I$1),$I$1)</f>
        <v>0</v>
      </c>
      <c r="AJ199" s="15">
        <f>IFERROR(IF(ISBLANK(AC199),IFERROR(VLOOKUP($F199,Sheet3!$H$2:$O$200,AJ$1,FALSE),VLOOKUP($G199,Sheet3!$H$2:$O$200,AJ$1,FALSE)),$I$1),$I$1)</f>
        <v>0</v>
      </c>
      <c r="AK199" s="15">
        <f>IFERROR(IF(ISBLANK(AD199),IFERROR(VLOOKUP($F199,Sheet3!$H$2:$O$200,AK$1,FALSE),VLOOKUP($G199,Sheet3!$H$2:$O$200,AK$1,FALSE)),$I$1),$I$1)</f>
        <v>0</v>
      </c>
      <c r="AL199" s="15">
        <f>IFERROR(IF(ISBLANK(AE199),VLOOKUP($G199,Sheet3!$H$2:$O$200,AL$1,FALSE),$I$1),$I$1)</f>
        <v>0</v>
      </c>
      <c r="AM199" s="15">
        <f>IFERROR(IF(ISBLANK(AF199),VLOOKUP($G199,Sheet3!$H$2:$O$200,AM$1,FALSE),$I$1),$I$1)</f>
        <v>0</v>
      </c>
      <c r="AN199" s="15">
        <f>IFERROR(IF(ISBLANK(AG199),VLOOKUP($G199,Sheet3!$H$2:$O$200,AN$1,FALSE),$I$1),$I$1)</f>
        <v>0</v>
      </c>
      <c r="AO199" s="15">
        <f>IFERROR(IF(ISBLANK(AH199),VLOOKUP($G199,Sheet3!$H$2:$O$200,AO$1,FALSE),$I$1),$I$1)</f>
        <v>0</v>
      </c>
      <c r="AP199" s="15">
        <f>IFERROR(IF(ISBLANK(AI199),VLOOKUP($G199,Sheet3!$H$2:$O$200,AP$1,FALSE),$I$1),$I$1)</f>
        <v>0</v>
      </c>
      <c r="AQ199" s="15">
        <f>IFERROR(IF(ISBLANK(AJ199),VLOOKUP($G199,Sheet3!$H$2:$O$200,AQ$1,FALSE),$I$1),$I$1)</f>
        <v>0</v>
      </c>
      <c r="AR199" s="15">
        <f>IFERROR(IF(ISBLANK(AK199),VLOOKUP($G199,Sheet3!$H$2:$O$200,AR$1,FALSE),$I$1),$I$1)</f>
        <v>0</v>
      </c>
      <c r="AS199" s="15">
        <f t="shared" si="1"/>
        <v>28</v>
      </c>
      <c r="AT199" s="15" t="b">
        <f t="shared" si="2"/>
        <v>0</v>
      </c>
    </row>
    <row r="200" spans="1:46" x14ac:dyDescent="0.2">
      <c r="A200" s="19" t="s">
        <v>375</v>
      </c>
      <c r="B200" s="19" t="s">
        <v>357</v>
      </c>
      <c r="C200" s="19"/>
      <c r="D200" s="19" t="s">
        <v>45</v>
      </c>
      <c r="E200" s="19" t="s">
        <v>126</v>
      </c>
      <c r="F200" s="19"/>
      <c r="G200" s="19"/>
      <c r="H200" s="19" t="s">
        <v>375</v>
      </c>
      <c r="I200" s="15">
        <f t="shared" si="0"/>
        <v>2</v>
      </c>
      <c r="J200" s="15">
        <f>IFERROR(VLOOKUP($C200,Sheet3!$H$2:$O$200,J$1,FALSE),IFERROR(VLOOKUP($D200,Sheet3!$H$2:$O$200,J$1,FALSE),VLOOKUP($E200,Sheet3!$H$2:$O$200,J$1,FALSE)))</f>
        <v>0</v>
      </c>
      <c r="K200" s="15">
        <f>IFERROR(VLOOKUP($C200,Sheet3!$H$2:$O$200,K$1,FALSE),IFERROR(VLOOKUP($D200,Sheet3!$H$2:$O$200,K$1,FALSE),VLOOKUP($E200,Sheet3!$H$2:$O$200,K$1,FALSE)))</f>
        <v>0</v>
      </c>
      <c r="L200" s="15" t="str">
        <f>IFERROR(VLOOKUP($C200,Sheet3!$H$2:$O$200,L$1,FALSE),IFERROR(VLOOKUP($D200,Sheet3!$H$2:$O$200,L$1,FALSE),VLOOKUP($E200,Sheet3!$H$2:$O$200,L$1,FALSE)))</f>
        <v>cranberry juice</v>
      </c>
      <c r="M200" s="15">
        <f>IFERROR(VLOOKUP($C200,Sheet3!$H$2:$O$200,M$1,FALSE),IFERROR(VLOOKUP($D200,Sheet3!$H$2:$O$200,M$1,FALSE),VLOOKUP($E200,Sheet3!$H$2:$O$200,M$1,FALSE)))</f>
        <v>0</v>
      </c>
      <c r="N200" s="15">
        <f>IFERROR(VLOOKUP($C200,Sheet3!$H$2:$O$200,N$1,FALSE),IFERROR(VLOOKUP($D200,Sheet3!$H$2:$O$200,N$1,FALSE),VLOOKUP($E200,Sheet3!$H$2:$O$200,N$1,FALSE)))</f>
        <v>0</v>
      </c>
      <c r="O200" s="15">
        <f>IFERROR(VLOOKUP($C200,Sheet3!$H$2:$O$200,O$1,FALSE),IFERROR(VLOOKUP($D200,Sheet3!$H$2:$O$200,O$1,FALSE),VLOOKUP($E200,Sheet3!$H$2:$O$200,O$1,FALSE)))</f>
        <v>0</v>
      </c>
      <c r="P200" s="15">
        <f>IFERROR(VLOOKUP($C200,Sheet3!$H$2:$O$200,P$1,FALSE),IFERROR(VLOOKUP($D200,Sheet3!$H$2:$O$200,P$1,FALSE),VLOOKUP($E200,Sheet3!$H$2:$O$200,P$1,FALSE)))</f>
        <v>0</v>
      </c>
      <c r="Q200" s="15">
        <f>IFERROR(IF(ISBLANK(J200),IFERROR(VLOOKUP($D200,Sheet3!$H$2:$O$200,Q$1,FALSE),IFERROR(VLOOKUP($E200,Sheet3!$H$2:$O$200,Q$1,FALSE),VLOOKUP($F200,Sheet3!$H$2:$O$200,Q$1,FALSE))),$I$1),$I$1)</f>
        <v>0</v>
      </c>
      <c r="R200" s="15">
        <f>IFERROR(IF(ISBLANK(K200),IFERROR(VLOOKUP($D200,Sheet3!$H$2:$O$200,R$1,FALSE),IFERROR(VLOOKUP($E200,Sheet3!$H$2:$O$200,R$1,FALSE),VLOOKUP($F200,Sheet3!$H$2:$O$200,R$1,FALSE))),$I$1),$I$1)</f>
        <v>0</v>
      </c>
      <c r="S200" s="15">
        <f>IFERROR(IF(ISBLANK(L200),IFERROR(VLOOKUP($D200,Sheet3!$H$2:$O$200,S$1,FALSE),IFERROR(VLOOKUP($E200,Sheet3!$H$2:$O$200,S$1,FALSE),VLOOKUP($F200,Sheet3!$H$2:$O$200,S$1,FALSE))),$I$1),$I$1)</f>
        <v>0</v>
      </c>
      <c r="T200" s="15">
        <f>IFERROR(IF(ISBLANK(M200),IFERROR(VLOOKUP($D200,Sheet3!$H$2:$O$200,T$1,FALSE),IFERROR(VLOOKUP($E200,Sheet3!$H$2:$O$200,T$1,FALSE),VLOOKUP($F200,Sheet3!$H$2:$O$200,T$1,FALSE))),$I$1),$I$1)</f>
        <v>0</v>
      </c>
      <c r="U200" s="15">
        <f>IFERROR(IF(ISBLANK(N200),IFERROR(VLOOKUP($D200,Sheet3!$H$2:$O$200,U$1,FALSE),IFERROR(VLOOKUP($E200,Sheet3!$H$2:$O$200,U$1,FALSE),VLOOKUP($F200,Sheet3!$H$2:$O$200,U$1,FALSE))),$I$1),$I$1)</f>
        <v>0</v>
      </c>
      <c r="V200" s="15">
        <f>IFERROR(IF(ISBLANK(O200),IFERROR(VLOOKUP($D200,Sheet3!$H$2:$O$200,V$1,FALSE),IFERROR(VLOOKUP($E200,Sheet3!$H$2:$O$200,V$1,FALSE),VLOOKUP($F200,Sheet3!$H$2:$O$200,V$1,FALSE))),$I$1),$I$1)</f>
        <v>0</v>
      </c>
      <c r="W200" s="15">
        <f>IFERROR(IF(ISBLANK(P200),IFERROR(VLOOKUP($D200,Sheet3!$H$2:$O$200,W$1,FALSE),IFERROR(VLOOKUP($E200,Sheet3!$H$2:$O$200,W$1,FALSE),VLOOKUP($F200,Sheet3!$H$2:$O$200,W$1,FALSE))),$I$1),$I$1)</f>
        <v>0</v>
      </c>
      <c r="X200" s="15">
        <f>IFERROR(IF(ISBLANK(Q200),IFERROR(VLOOKUP($E200,Sheet3!$H$2:$O$200,X$1,FALSE),IFERROR(VLOOKUP($F200,Sheet3!$H$2:$O$200,X$1,FALSE),VLOOKUP($G200,Sheet3!$H$2:$O$200,X$1,FALSE))),$I$1),$I$1)</f>
        <v>0</v>
      </c>
      <c r="Y200" s="15">
        <f>IFERROR(IF(ISBLANK(R200),IFERROR(VLOOKUP($E200,Sheet3!$H$2:$O$200,Y$1,FALSE),IFERROR(VLOOKUP($F200,Sheet3!$H$2:$O$200,Y$1,FALSE),VLOOKUP($G200,Sheet3!$H$2:$O$200,Y$1,FALSE))),$I$1),$I$1)</f>
        <v>0</v>
      </c>
      <c r="Z200" s="15">
        <f>IFERROR(IF(ISBLANK(S200),IFERROR(VLOOKUP($E200,Sheet3!$H$2:$O$200,Z$1,FALSE),IFERROR(VLOOKUP($F200,Sheet3!$H$2:$O$200,Z$1,FALSE),VLOOKUP($G200,Sheet3!$H$2:$O$200,Z$1,FALSE))),$I$1),$I$1)</f>
        <v>0</v>
      </c>
      <c r="AA200" s="15">
        <f>IFERROR(IF(ISBLANK(T200),IFERROR(VLOOKUP($E200,Sheet3!$H$2:$O$200,AA$1,FALSE),IFERROR(VLOOKUP($F200,Sheet3!$H$2:$O$200,AA$1,FALSE),VLOOKUP($G200,Sheet3!$H$2:$O$200,AA$1,FALSE))),$I$1),$I$1)</f>
        <v>0</v>
      </c>
      <c r="AB200" s="15">
        <f>IFERROR(IF(ISBLANK(U200),IFERROR(VLOOKUP($E200,Sheet3!$H$2:$O$200,AB$1,FALSE),IFERROR(VLOOKUP($F200,Sheet3!$H$2:$O$200,AB$1,FALSE),VLOOKUP($G200,Sheet3!$H$2:$O$200,AB$1,FALSE))),$I$1),$I$1)</f>
        <v>0</v>
      </c>
      <c r="AC200" s="15">
        <f>IFERROR(IF(ISBLANK(V200),IFERROR(VLOOKUP($E200,Sheet3!$H$2:$O$200,AC$1,FALSE),IFERROR(VLOOKUP($F200,Sheet3!$H$2:$O$200,AC$1,FALSE),VLOOKUP($G200,Sheet3!$H$2:$O$200,AC$1,FALSE))),$I$1),$I$1)</f>
        <v>0</v>
      </c>
      <c r="AD200" s="15">
        <f>IFERROR(IF(ISBLANK(W200),IFERROR(VLOOKUP($E200,Sheet3!$H$2:$O$200,AD$1,FALSE),IFERROR(VLOOKUP($F200,Sheet3!$H$2:$O$200,AD$1,FALSE),VLOOKUP($G200,Sheet3!$H$2:$O$200,AD$1,FALSE))),$I$1),$I$1)</f>
        <v>0</v>
      </c>
      <c r="AE200" s="15">
        <f>IFERROR(IF(ISBLANK(X200),IFERROR(VLOOKUP($F200,Sheet3!$H$2:$O$200,AE$1,FALSE),VLOOKUP($G200,Sheet3!$H$2:$O$200,AE$1,FALSE)),$I$1),$I$1)</f>
        <v>0</v>
      </c>
      <c r="AF200" s="15">
        <f>IFERROR(IF(ISBLANK(Y200),IFERROR(VLOOKUP($F200,Sheet3!$H$2:$O$200,AF$1,FALSE),VLOOKUP($G200,Sheet3!$H$2:$O$200,AF$1,FALSE)),$I$1),$I$1)</f>
        <v>0</v>
      </c>
      <c r="AG200" s="15">
        <f>IFERROR(IF(ISBLANK(Z200),IFERROR(VLOOKUP($F200,Sheet3!$H$2:$O$200,AG$1,FALSE),VLOOKUP($G200,Sheet3!$H$2:$O$200,AG$1,FALSE)),$I$1),$I$1)</f>
        <v>0</v>
      </c>
      <c r="AH200" s="15">
        <f>IFERROR(IF(ISBLANK(AA200),IFERROR(VLOOKUP($F200,Sheet3!$H$2:$O$200,AH$1,FALSE),VLOOKUP($G200,Sheet3!$H$2:$O$200,AH$1,FALSE)),$I$1),$I$1)</f>
        <v>0</v>
      </c>
      <c r="AI200" s="15">
        <f>IFERROR(IF(ISBLANK(AB200),IFERROR(VLOOKUP($F200,Sheet3!$H$2:$O$200,AI$1,FALSE),VLOOKUP($G200,Sheet3!$H$2:$O$200,AI$1,FALSE)),$I$1),$I$1)</f>
        <v>0</v>
      </c>
      <c r="AJ200" s="15">
        <f>IFERROR(IF(ISBLANK(AC200),IFERROR(VLOOKUP($F200,Sheet3!$H$2:$O$200,AJ$1,FALSE),VLOOKUP($G200,Sheet3!$H$2:$O$200,AJ$1,FALSE)),$I$1),$I$1)</f>
        <v>0</v>
      </c>
      <c r="AK200" s="15">
        <f>IFERROR(IF(ISBLANK(AD200),IFERROR(VLOOKUP($F200,Sheet3!$H$2:$O$200,AK$1,FALSE),VLOOKUP($G200,Sheet3!$H$2:$O$200,AK$1,FALSE)),$I$1),$I$1)</f>
        <v>0</v>
      </c>
      <c r="AL200" s="15">
        <f>IFERROR(IF(ISBLANK(AE200),VLOOKUP($G200,Sheet3!$H$2:$O$200,AL$1,FALSE),$I$1),$I$1)</f>
        <v>0</v>
      </c>
      <c r="AM200" s="15">
        <f>IFERROR(IF(ISBLANK(AF200),VLOOKUP($G200,Sheet3!$H$2:$O$200,AM$1,FALSE),$I$1),$I$1)</f>
        <v>0</v>
      </c>
      <c r="AN200" s="15">
        <f>IFERROR(IF(ISBLANK(AG200),VLOOKUP($G200,Sheet3!$H$2:$O$200,AN$1,FALSE),$I$1),$I$1)</f>
        <v>0</v>
      </c>
      <c r="AO200" s="15">
        <f>IFERROR(IF(ISBLANK(AH200),VLOOKUP($G200,Sheet3!$H$2:$O$200,AO$1,FALSE),$I$1),$I$1)</f>
        <v>0</v>
      </c>
      <c r="AP200" s="15">
        <f>IFERROR(IF(ISBLANK(AI200),VLOOKUP($G200,Sheet3!$H$2:$O$200,AP$1,FALSE),$I$1),$I$1)</f>
        <v>0</v>
      </c>
      <c r="AQ200" s="15">
        <f>IFERROR(IF(ISBLANK(AJ200),VLOOKUP($G200,Sheet3!$H$2:$O$200,AQ$1,FALSE),$I$1),$I$1)</f>
        <v>0</v>
      </c>
      <c r="AR200" s="15">
        <f>IFERROR(IF(ISBLANK(AK200),VLOOKUP($G200,Sheet3!$H$2:$O$200,AR$1,FALSE),$I$1),$I$1)</f>
        <v>0</v>
      </c>
      <c r="AS200" s="15">
        <f t="shared" si="1"/>
        <v>28</v>
      </c>
      <c r="AT200" s="15" t="b">
        <f t="shared" si="2"/>
        <v>0</v>
      </c>
    </row>
    <row r="201" spans="1:46" x14ac:dyDescent="0.2">
      <c r="A201" s="19" t="s">
        <v>376</v>
      </c>
      <c r="B201" s="19" t="s">
        <v>357</v>
      </c>
      <c r="C201" s="19" t="s">
        <v>76</v>
      </c>
      <c r="D201" s="19" t="s">
        <v>45</v>
      </c>
      <c r="E201" s="19" t="s">
        <v>126</v>
      </c>
      <c r="F201" s="19"/>
      <c r="G201" s="19"/>
      <c r="H201" s="19" t="s">
        <v>376</v>
      </c>
      <c r="I201" s="15">
        <f t="shared" si="0"/>
        <v>3</v>
      </c>
      <c r="J201" s="15">
        <f>IFERROR(VLOOKUP($C201,Sheet3!$H$2:$O$200,J$1,FALSE),IFERROR(VLOOKUP($D201,Sheet3!$H$2:$O$200,J$1,FALSE),VLOOKUP($E201,Sheet3!$H$2:$O$200,J$1,FALSE)))</f>
        <v>0</v>
      </c>
      <c r="K201" s="15">
        <f>IFERROR(VLOOKUP($C201,Sheet3!$H$2:$O$200,K$1,FALSE),IFERROR(VLOOKUP($D201,Sheet3!$H$2:$O$200,K$1,FALSE),VLOOKUP($E201,Sheet3!$H$2:$O$200,K$1,FALSE)))</f>
        <v>0</v>
      </c>
      <c r="L201" s="15">
        <f>IFERROR(VLOOKUP($C201,Sheet3!$H$2:$O$200,L$1,FALSE),IFERROR(VLOOKUP($D201,Sheet3!$H$2:$O$200,L$1,FALSE),VLOOKUP($E201,Sheet3!$H$2:$O$200,L$1,FALSE)))</f>
        <v>0</v>
      </c>
      <c r="M201" s="15" t="str">
        <f>IFERROR(VLOOKUP($C201,Sheet3!$H$2:$O$200,M$1,FALSE),IFERROR(VLOOKUP($D201,Sheet3!$H$2:$O$200,M$1,FALSE),VLOOKUP($E201,Sheet3!$H$2:$O$200,M$1,FALSE)))</f>
        <v>peach schnapps</v>
      </c>
      <c r="N201" s="15">
        <f>IFERROR(VLOOKUP($C201,Sheet3!$H$2:$O$200,N$1,FALSE),IFERROR(VLOOKUP($D201,Sheet3!$H$2:$O$200,N$1,FALSE),VLOOKUP($E201,Sheet3!$H$2:$O$200,N$1,FALSE)))</f>
        <v>0</v>
      </c>
      <c r="O201" s="15">
        <f>IFERROR(VLOOKUP($C201,Sheet3!$H$2:$O$200,O$1,FALSE),IFERROR(VLOOKUP($D201,Sheet3!$H$2:$O$200,O$1,FALSE),VLOOKUP($E201,Sheet3!$H$2:$O$200,O$1,FALSE)))</f>
        <v>0</v>
      </c>
      <c r="P201" s="15">
        <f>IFERROR(VLOOKUP($C201,Sheet3!$H$2:$O$200,P$1,FALSE),IFERROR(VLOOKUP($D201,Sheet3!$H$2:$O$200,P$1,FALSE),VLOOKUP($E201,Sheet3!$H$2:$O$200,P$1,FALSE)))</f>
        <v>0</v>
      </c>
      <c r="Q201" s="15">
        <f>IFERROR(IF(ISBLANK(J201),IFERROR(VLOOKUP($D201,Sheet3!$H$2:$O$200,Q$1,FALSE),IFERROR(VLOOKUP($E201,Sheet3!$H$2:$O$200,Q$1,FALSE),VLOOKUP($F201,Sheet3!$H$2:$O$200,Q$1,FALSE))),$I$1),$I$1)</f>
        <v>0</v>
      </c>
      <c r="R201" s="15">
        <f>IFERROR(IF(ISBLANK(K201),IFERROR(VLOOKUP($D201,Sheet3!$H$2:$O$200,R$1,FALSE),IFERROR(VLOOKUP($E201,Sheet3!$H$2:$O$200,R$1,FALSE),VLOOKUP($F201,Sheet3!$H$2:$O$200,R$1,FALSE))),$I$1),$I$1)</f>
        <v>0</v>
      </c>
      <c r="S201" s="15">
        <f>IFERROR(IF(ISBLANK(L201),IFERROR(VLOOKUP($D201,Sheet3!$H$2:$O$200,S$1,FALSE),IFERROR(VLOOKUP($E201,Sheet3!$H$2:$O$200,S$1,FALSE),VLOOKUP($F201,Sheet3!$H$2:$O$200,S$1,FALSE))),$I$1),$I$1)</f>
        <v>0</v>
      </c>
      <c r="T201" s="15">
        <f>IFERROR(IF(ISBLANK(M201),IFERROR(VLOOKUP($D201,Sheet3!$H$2:$O$200,T$1,FALSE),IFERROR(VLOOKUP($E201,Sheet3!$H$2:$O$200,T$1,FALSE),VLOOKUP($F201,Sheet3!$H$2:$O$200,T$1,FALSE))),$I$1),$I$1)</f>
        <v>0</v>
      </c>
      <c r="U201" s="15">
        <f>IFERROR(IF(ISBLANK(N201),IFERROR(VLOOKUP($D201,Sheet3!$H$2:$O$200,U$1,FALSE),IFERROR(VLOOKUP($E201,Sheet3!$H$2:$O$200,U$1,FALSE),VLOOKUP($F201,Sheet3!$H$2:$O$200,U$1,FALSE))),$I$1),$I$1)</f>
        <v>0</v>
      </c>
      <c r="V201" s="15">
        <f>IFERROR(IF(ISBLANK(O201),IFERROR(VLOOKUP($D201,Sheet3!$H$2:$O$200,V$1,FALSE),IFERROR(VLOOKUP($E201,Sheet3!$H$2:$O$200,V$1,FALSE),VLOOKUP($F201,Sheet3!$H$2:$O$200,V$1,FALSE))),$I$1),$I$1)</f>
        <v>0</v>
      </c>
      <c r="W201" s="15">
        <f>IFERROR(IF(ISBLANK(P201),IFERROR(VLOOKUP($D201,Sheet3!$H$2:$O$200,W$1,FALSE),IFERROR(VLOOKUP($E201,Sheet3!$H$2:$O$200,W$1,FALSE),VLOOKUP($F201,Sheet3!$H$2:$O$200,W$1,FALSE))),$I$1),$I$1)</f>
        <v>0</v>
      </c>
      <c r="X201" s="15">
        <f>IFERROR(IF(ISBLANK(Q201),IFERROR(VLOOKUP($E201,Sheet3!$H$2:$O$200,X$1,FALSE),IFERROR(VLOOKUP($F201,Sheet3!$H$2:$O$200,X$1,FALSE),VLOOKUP($G201,Sheet3!$H$2:$O$200,X$1,FALSE))),$I$1),$I$1)</f>
        <v>0</v>
      </c>
      <c r="Y201" s="15">
        <f>IFERROR(IF(ISBLANK(R201),IFERROR(VLOOKUP($E201,Sheet3!$H$2:$O$200,Y$1,FALSE),IFERROR(VLOOKUP($F201,Sheet3!$H$2:$O$200,Y$1,FALSE),VLOOKUP($G201,Sheet3!$H$2:$O$200,Y$1,FALSE))),$I$1),$I$1)</f>
        <v>0</v>
      </c>
      <c r="Z201" s="15">
        <f>IFERROR(IF(ISBLANK(S201),IFERROR(VLOOKUP($E201,Sheet3!$H$2:$O$200,Z$1,FALSE),IFERROR(VLOOKUP($F201,Sheet3!$H$2:$O$200,Z$1,FALSE),VLOOKUP($G201,Sheet3!$H$2:$O$200,Z$1,FALSE))),$I$1),$I$1)</f>
        <v>0</v>
      </c>
      <c r="AA201" s="15">
        <f>IFERROR(IF(ISBLANK(T201),IFERROR(VLOOKUP($E201,Sheet3!$H$2:$O$200,AA$1,FALSE),IFERROR(VLOOKUP($F201,Sheet3!$H$2:$O$200,AA$1,FALSE),VLOOKUP($G201,Sheet3!$H$2:$O$200,AA$1,FALSE))),$I$1),$I$1)</f>
        <v>0</v>
      </c>
      <c r="AB201" s="15">
        <f>IFERROR(IF(ISBLANK(U201),IFERROR(VLOOKUP($E201,Sheet3!$H$2:$O$200,AB$1,FALSE),IFERROR(VLOOKUP($F201,Sheet3!$H$2:$O$200,AB$1,FALSE),VLOOKUP($G201,Sheet3!$H$2:$O$200,AB$1,FALSE))),$I$1),$I$1)</f>
        <v>0</v>
      </c>
      <c r="AC201" s="15">
        <f>IFERROR(IF(ISBLANK(V201),IFERROR(VLOOKUP($E201,Sheet3!$H$2:$O$200,AC$1,FALSE),IFERROR(VLOOKUP($F201,Sheet3!$H$2:$O$200,AC$1,FALSE),VLOOKUP($G201,Sheet3!$H$2:$O$200,AC$1,FALSE))),$I$1),$I$1)</f>
        <v>0</v>
      </c>
      <c r="AD201" s="15">
        <f>IFERROR(IF(ISBLANK(W201),IFERROR(VLOOKUP($E201,Sheet3!$H$2:$O$200,AD$1,FALSE),IFERROR(VLOOKUP($F201,Sheet3!$H$2:$O$200,AD$1,FALSE),VLOOKUP($G201,Sheet3!$H$2:$O$200,AD$1,FALSE))),$I$1),$I$1)</f>
        <v>0</v>
      </c>
      <c r="AE201" s="15">
        <f>IFERROR(IF(ISBLANK(X201),IFERROR(VLOOKUP($F201,Sheet3!$H$2:$O$200,AE$1,FALSE),VLOOKUP($G201,Sheet3!$H$2:$O$200,AE$1,FALSE)),$I$1),$I$1)</f>
        <v>0</v>
      </c>
      <c r="AF201" s="15">
        <f>IFERROR(IF(ISBLANK(Y201),IFERROR(VLOOKUP($F201,Sheet3!$H$2:$O$200,AF$1,FALSE),VLOOKUP($G201,Sheet3!$H$2:$O$200,AF$1,FALSE)),$I$1),$I$1)</f>
        <v>0</v>
      </c>
      <c r="AG201" s="15">
        <f>IFERROR(IF(ISBLANK(Z201),IFERROR(VLOOKUP($F201,Sheet3!$H$2:$O$200,AG$1,FALSE),VLOOKUP($G201,Sheet3!$H$2:$O$200,AG$1,FALSE)),$I$1),$I$1)</f>
        <v>0</v>
      </c>
      <c r="AH201" s="15">
        <f>IFERROR(IF(ISBLANK(AA201),IFERROR(VLOOKUP($F201,Sheet3!$H$2:$O$200,AH$1,FALSE),VLOOKUP($G201,Sheet3!$H$2:$O$200,AH$1,FALSE)),$I$1),$I$1)</f>
        <v>0</v>
      </c>
      <c r="AI201" s="15">
        <f>IFERROR(IF(ISBLANK(AB201),IFERROR(VLOOKUP($F201,Sheet3!$H$2:$O$200,AI$1,FALSE),VLOOKUP($G201,Sheet3!$H$2:$O$200,AI$1,FALSE)),$I$1),$I$1)</f>
        <v>0</v>
      </c>
      <c r="AJ201" s="15">
        <f>IFERROR(IF(ISBLANK(AC201),IFERROR(VLOOKUP($F201,Sheet3!$H$2:$O$200,AJ$1,FALSE),VLOOKUP($G201,Sheet3!$H$2:$O$200,AJ$1,FALSE)),$I$1),$I$1)</f>
        <v>0</v>
      </c>
      <c r="AK201" s="15">
        <f>IFERROR(IF(ISBLANK(AD201),IFERROR(VLOOKUP($F201,Sheet3!$H$2:$O$200,AK$1,FALSE),VLOOKUP($G201,Sheet3!$H$2:$O$200,AK$1,FALSE)),$I$1),$I$1)</f>
        <v>0</v>
      </c>
      <c r="AL201" s="15">
        <f>IFERROR(IF(ISBLANK(AE201),VLOOKUP($G201,Sheet3!$H$2:$O$200,AL$1,FALSE),$I$1),$I$1)</f>
        <v>0</v>
      </c>
      <c r="AM201" s="15">
        <f>IFERROR(IF(ISBLANK(AF201),VLOOKUP($G201,Sheet3!$H$2:$O$200,AM$1,FALSE),$I$1),$I$1)</f>
        <v>0</v>
      </c>
      <c r="AN201" s="15">
        <f>IFERROR(IF(ISBLANK(AG201),VLOOKUP($G201,Sheet3!$H$2:$O$200,AN$1,FALSE),$I$1),$I$1)</f>
        <v>0</v>
      </c>
      <c r="AO201" s="15">
        <f>IFERROR(IF(ISBLANK(AH201),VLOOKUP($G201,Sheet3!$H$2:$O$200,AO$1,FALSE),$I$1),$I$1)</f>
        <v>0</v>
      </c>
      <c r="AP201" s="15">
        <f>IFERROR(IF(ISBLANK(AI201),VLOOKUP($G201,Sheet3!$H$2:$O$200,AP$1,FALSE),$I$1),$I$1)</f>
        <v>0</v>
      </c>
      <c r="AQ201" s="15">
        <f>IFERROR(IF(ISBLANK(AJ201),VLOOKUP($G201,Sheet3!$H$2:$O$200,AQ$1,FALSE),$I$1),$I$1)</f>
        <v>0</v>
      </c>
      <c r="AR201" s="15">
        <f>IFERROR(IF(ISBLANK(AK201),VLOOKUP($G201,Sheet3!$H$2:$O$200,AR$1,FALSE),$I$1),$I$1)</f>
        <v>0</v>
      </c>
      <c r="AS201" s="15">
        <f t="shared" si="1"/>
        <v>28</v>
      </c>
      <c r="AT201" s="15" t="b">
        <f t="shared" si="2"/>
        <v>0</v>
      </c>
    </row>
    <row r="202" spans="1:46" x14ac:dyDescent="0.2">
      <c r="A202" s="19" t="s">
        <v>377</v>
      </c>
      <c r="B202" s="19" t="s">
        <v>357</v>
      </c>
      <c r="C202" s="19" t="s">
        <v>76</v>
      </c>
      <c r="D202" s="19" t="s">
        <v>45</v>
      </c>
      <c r="E202" s="19"/>
      <c r="F202" s="19"/>
      <c r="G202" s="19"/>
      <c r="H202" s="19" t="s">
        <v>377</v>
      </c>
      <c r="I202" s="15">
        <f t="shared" si="0"/>
        <v>2</v>
      </c>
      <c r="J202" s="15">
        <f>IFERROR(VLOOKUP($C202,Sheet3!$H$2:$O$200,J$1,FALSE),IFERROR(VLOOKUP($D202,Sheet3!$H$2:$O$200,J$1,FALSE),VLOOKUP($E202,Sheet3!$H$2:$O$200,J$1,FALSE)))</f>
        <v>0</v>
      </c>
      <c r="K202" s="15">
        <f>IFERROR(VLOOKUP($C202,Sheet3!$H$2:$O$200,K$1,FALSE),IFERROR(VLOOKUP($D202,Sheet3!$H$2:$O$200,K$1,FALSE),VLOOKUP($E202,Sheet3!$H$2:$O$200,K$1,FALSE)))</f>
        <v>0</v>
      </c>
      <c r="L202" s="15">
        <f>IFERROR(VLOOKUP($C202,Sheet3!$H$2:$O$200,L$1,FALSE),IFERROR(VLOOKUP($D202,Sheet3!$H$2:$O$200,L$1,FALSE),VLOOKUP($E202,Sheet3!$H$2:$O$200,L$1,FALSE)))</f>
        <v>0</v>
      </c>
      <c r="M202" s="15" t="str">
        <f>IFERROR(VLOOKUP($C202,Sheet3!$H$2:$O$200,M$1,FALSE),IFERROR(VLOOKUP($D202,Sheet3!$H$2:$O$200,M$1,FALSE),VLOOKUP($E202,Sheet3!$H$2:$O$200,M$1,FALSE)))</f>
        <v>peach schnapps</v>
      </c>
      <c r="N202" s="15">
        <f>IFERROR(VLOOKUP($C202,Sheet3!$H$2:$O$200,N$1,FALSE),IFERROR(VLOOKUP($D202,Sheet3!$H$2:$O$200,N$1,FALSE),VLOOKUP($E202,Sheet3!$H$2:$O$200,N$1,FALSE)))</f>
        <v>0</v>
      </c>
      <c r="O202" s="15">
        <f>IFERROR(VLOOKUP($C202,Sheet3!$H$2:$O$200,O$1,FALSE),IFERROR(VLOOKUP($D202,Sheet3!$H$2:$O$200,O$1,FALSE),VLOOKUP($E202,Sheet3!$H$2:$O$200,O$1,FALSE)))</f>
        <v>0</v>
      </c>
      <c r="P202" s="15">
        <f>IFERROR(VLOOKUP($C202,Sheet3!$H$2:$O$200,P$1,FALSE),IFERROR(VLOOKUP($D202,Sheet3!$H$2:$O$200,P$1,FALSE),VLOOKUP($E202,Sheet3!$H$2:$O$200,P$1,FALSE)))</f>
        <v>0</v>
      </c>
      <c r="Q202" s="15">
        <f>IFERROR(IF(ISBLANK(J202),IFERROR(VLOOKUP($D202,Sheet3!$H$2:$O$200,Q$1,FALSE),IFERROR(VLOOKUP($E202,Sheet3!$H$2:$O$200,Q$1,FALSE),VLOOKUP($F202,Sheet3!$H$2:$O$200,Q$1,FALSE))),$I$1),$I$1)</f>
        <v>0</v>
      </c>
      <c r="R202" s="15">
        <f>IFERROR(IF(ISBLANK(K202),IFERROR(VLOOKUP($D202,Sheet3!$H$2:$O$200,R$1,FALSE),IFERROR(VLOOKUP($E202,Sheet3!$H$2:$O$200,R$1,FALSE),VLOOKUP($F202,Sheet3!$H$2:$O$200,R$1,FALSE))),$I$1),$I$1)</f>
        <v>0</v>
      </c>
      <c r="S202" s="15">
        <f>IFERROR(IF(ISBLANK(L202),IFERROR(VLOOKUP($D202,Sheet3!$H$2:$O$200,S$1,FALSE),IFERROR(VLOOKUP($E202,Sheet3!$H$2:$O$200,S$1,FALSE),VLOOKUP($F202,Sheet3!$H$2:$O$200,S$1,FALSE))),$I$1),$I$1)</f>
        <v>0</v>
      </c>
      <c r="T202" s="15">
        <f>IFERROR(IF(ISBLANK(M202),IFERROR(VLOOKUP($D202,Sheet3!$H$2:$O$200,T$1,FALSE),IFERROR(VLOOKUP($E202,Sheet3!$H$2:$O$200,T$1,FALSE),VLOOKUP($F202,Sheet3!$H$2:$O$200,T$1,FALSE))),$I$1),$I$1)</f>
        <v>0</v>
      </c>
      <c r="U202" s="15">
        <f>IFERROR(IF(ISBLANK(N202),IFERROR(VLOOKUP($D202,Sheet3!$H$2:$O$200,U$1,FALSE),IFERROR(VLOOKUP($E202,Sheet3!$H$2:$O$200,U$1,FALSE),VLOOKUP($F202,Sheet3!$H$2:$O$200,U$1,FALSE))),$I$1),$I$1)</f>
        <v>0</v>
      </c>
      <c r="V202" s="15">
        <f>IFERROR(IF(ISBLANK(O202),IFERROR(VLOOKUP($D202,Sheet3!$H$2:$O$200,V$1,FALSE),IFERROR(VLOOKUP($E202,Sheet3!$H$2:$O$200,V$1,FALSE),VLOOKUP($F202,Sheet3!$H$2:$O$200,V$1,FALSE))),$I$1),$I$1)</f>
        <v>0</v>
      </c>
      <c r="W202" s="15">
        <f>IFERROR(IF(ISBLANK(P202),IFERROR(VLOOKUP($D202,Sheet3!$H$2:$O$200,W$1,FALSE),IFERROR(VLOOKUP($E202,Sheet3!$H$2:$O$200,W$1,FALSE),VLOOKUP($F202,Sheet3!$H$2:$O$200,W$1,FALSE))),$I$1),$I$1)</f>
        <v>0</v>
      </c>
      <c r="X202" s="15">
        <f>IFERROR(IF(ISBLANK(Q202),IFERROR(VLOOKUP($E202,Sheet3!$H$2:$O$200,X$1,FALSE),IFERROR(VLOOKUP($F202,Sheet3!$H$2:$O$200,X$1,FALSE),VLOOKUP($G202,Sheet3!$H$2:$O$200,X$1,FALSE))),$I$1),$I$1)</f>
        <v>0</v>
      </c>
      <c r="Y202" s="15">
        <f>IFERROR(IF(ISBLANK(R202),IFERROR(VLOOKUP($E202,Sheet3!$H$2:$O$200,Y$1,FALSE),IFERROR(VLOOKUP($F202,Sheet3!$H$2:$O$200,Y$1,FALSE),VLOOKUP($G202,Sheet3!$H$2:$O$200,Y$1,FALSE))),$I$1),$I$1)</f>
        <v>0</v>
      </c>
      <c r="Z202" s="15">
        <f>IFERROR(IF(ISBLANK(S202),IFERROR(VLOOKUP($E202,Sheet3!$H$2:$O$200,Z$1,FALSE),IFERROR(VLOOKUP($F202,Sheet3!$H$2:$O$200,Z$1,FALSE),VLOOKUP($G202,Sheet3!$H$2:$O$200,Z$1,FALSE))),$I$1),$I$1)</f>
        <v>0</v>
      </c>
      <c r="AA202" s="15">
        <f>IFERROR(IF(ISBLANK(T202),IFERROR(VLOOKUP($E202,Sheet3!$H$2:$O$200,AA$1,FALSE),IFERROR(VLOOKUP($F202,Sheet3!$H$2:$O$200,AA$1,FALSE),VLOOKUP($G202,Sheet3!$H$2:$O$200,AA$1,FALSE))),$I$1),$I$1)</f>
        <v>0</v>
      </c>
      <c r="AB202" s="15">
        <f>IFERROR(IF(ISBLANK(U202),IFERROR(VLOOKUP($E202,Sheet3!$H$2:$O$200,AB$1,FALSE),IFERROR(VLOOKUP($F202,Sheet3!$H$2:$O$200,AB$1,FALSE),VLOOKUP($G202,Sheet3!$H$2:$O$200,AB$1,FALSE))),$I$1),$I$1)</f>
        <v>0</v>
      </c>
      <c r="AC202" s="15">
        <f>IFERROR(IF(ISBLANK(V202),IFERROR(VLOOKUP($E202,Sheet3!$H$2:$O$200,AC$1,FALSE),IFERROR(VLOOKUP($F202,Sheet3!$H$2:$O$200,AC$1,FALSE),VLOOKUP($G202,Sheet3!$H$2:$O$200,AC$1,FALSE))),$I$1),$I$1)</f>
        <v>0</v>
      </c>
      <c r="AD202" s="15">
        <f>IFERROR(IF(ISBLANK(W202),IFERROR(VLOOKUP($E202,Sheet3!$H$2:$O$200,AD$1,FALSE),IFERROR(VLOOKUP($F202,Sheet3!$H$2:$O$200,AD$1,FALSE),VLOOKUP($G202,Sheet3!$H$2:$O$200,AD$1,FALSE))),$I$1),$I$1)</f>
        <v>0</v>
      </c>
      <c r="AE202" s="15">
        <f>IFERROR(IF(ISBLANK(X202),IFERROR(VLOOKUP($F202,Sheet3!$H$2:$O$200,AE$1,FALSE),VLOOKUP($G202,Sheet3!$H$2:$O$200,AE$1,FALSE)),$I$1),$I$1)</f>
        <v>0</v>
      </c>
      <c r="AF202" s="15">
        <f>IFERROR(IF(ISBLANK(Y202),IFERROR(VLOOKUP($F202,Sheet3!$H$2:$O$200,AF$1,FALSE),VLOOKUP($G202,Sheet3!$H$2:$O$200,AF$1,FALSE)),$I$1),$I$1)</f>
        <v>0</v>
      </c>
      <c r="AG202" s="15">
        <f>IFERROR(IF(ISBLANK(Z202),IFERROR(VLOOKUP($F202,Sheet3!$H$2:$O$200,AG$1,FALSE),VLOOKUP($G202,Sheet3!$H$2:$O$200,AG$1,FALSE)),$I$1),$I$1)</f>
        <v>0</v>
      </c>
      <c r="AH202" s="15">
        <f>IFERROR(IF(ISBLANK(AA202),IFERROR(VLOOKUP($F202,Sheet3!$H$2:$O$200,AH$1,FALSE),VLOOKUP($G202,Sheet3!$H$2:$O$200,AH$1,FALSE)),$I$1),$I$1)</f>
        <v>0</v>
      </c>
      <c r="AI202" s="15">
        <f>IFERROR(IF(ISBLANK(AB202),IFERROR(VLOOKUP($F202,Sheet3!$H$2:$O$200,AI$1,FALSE),VLOOKUP($G202,Sheet3!$H$2:$O$200,AI$1,FALSE)),$I$1),$I$1)</f>
        <v>0</v>
      </c>
      <c r="AJ202" s="15">
        <f>IFERROR(IF(ISBLANK(AC202),IFERROR(VLOOKUP($F202,Sheet3!$H$2:$O$200,AJ$1,FALSE),VLOOKUP($G202,Sheet3!$H$2:$O$200,AJ$1,FALSE)),$I$1),$I$1)</f>
        <v>0</v>
      </c>
      <c r="AK202" s="15">
        <f>IFERROR(IF(ISBLANK(AD202),IFERROR(VLOOKUP($F202,Sheet3!$H$2:$O$200,AK$1,FALSE),VLOOKUP($G202,Sheet3!$H$2:$O$200,AK$1,FALSE)),$I$1),$I$1)</f>
        <v>0</v>
      </c>
      <c r="AL202" s="15">
        <f>IFERROR(IF(ISBLANK(AE202),VLOOKUP($G202,Sheet3!$H$2:$O$200,AL$1,FALSE),$I$1),$I$1)</f>
        <v>0</v>
      </c>
      <c r="AM202" s="15">
        <f>IFERROR(IF(ISBLANK(AF202),VLOOKUP($G202,Sheet3!$H$2:$O$200,AM$1,FALSE),$I$1),$I$1)</f>
        <v>0</v>
      </c>
      <c r="AN202" s="15">
        <f>IFERROR(IF(ISBLANK(AG202),VLOOKUP($G202,Sheet3!$H$2:$O$200,AN$1,FALSE),$I$1),$I$1)</f>
        <v>0</v>
      </c>
      <c r="AO202" s="15">
        <f>IFERROR(IF(ISBLANK(AH202),VLOOKUP($G202,Sheet3!$H$2:$O$200,AO$1,FALSE),$I$1),$I$1)</f>
        <v>0</v>
      </c>
      <c r="AP202" s="15">
        <f>IFERROR(IF(ISBLANK(AI202),VLOOKUP($G202,Sheet3!$H$2:$O$200,AP$1,FALSE),$I$1),$I$1)</f>
        <v>0</v>
      </c>
      <c r="AQ202" s="15">
        <f>IFERROR(IF(ISBLANK(AJ202),VLOOKUP($G202,Sheet3!$H$2:$O$200,AQ$1,FALSE),$I$1),$I$1)</f>
        <v>0</v>
      </c>
      <c r="AR202" s="15">
        <f>IFERROR(IF(ISBLANK(AK202),VLOOKUP($G202,Sheet3!$H$2:$O$200,AR$1,FALSE),$I$1),$I$1)</f>
        <v>0</v>
      </c>
      <c r="AS202" s="15">
        <f t="shared" si="1"/>
        <v>28</v>
      </c>
      <c r="AT202" s="15" t="b">
        <f t="shared" si="2"/>
        <v>0</v>
      </c>
    </row>
    <row r="203" spans="1:46" x14ac:dyDescent="0.2">
      <c r="A203" s="19" t="s">
        <v>378</v>
      </c>
      <c r="B203" s="19" t="s">
        <v>357</v>
      </c>
      <c r="C203" s="19"/>
      <c r="D203" s="19" t="s">
        <v>38</v>
      </c>
      <c r="E203" s="19" t="s">
        <v>115</v>
      </c>
      <c r="F203" s="19" t="s">
        <v>379</v>
      </c>
      <c r="G203" s="19"/>
      <c r="H203" s="19" t="s">
        <v>378</v>
      </c>
      <c r="I203" s="15">
        <f t="shared" si="0"/>
        <v>3</v>
      </c>
      <c r="J203" s="15">
        <f>IFERROR(VLOOKUP($C203,Sheet3!$H$2:$O$200,J$1,FALSE),IFERROR(VLOOKUP($D203,Sheet3!$H$2:$O$200,J$1,FALSE),VLOOKUP($E203,Sheet3!$H$2:$O$200,J$1,FALSE)))</f>
        <v>0</v>
      </c>
      <c r="K203" s="15">
        <f>IFERROR(VLOOKUP($C203,Sheet3!$H$2:$O$200,K$1,FALSE),IFERROR(VLOOKUP($D203,Sheet3!$H$2:$O$200,K$1,FALSE),VLOOKUP($E203,Sheet3!$H$2:$O$200,K$1,FALSE)))</f>
        <v>0</v>
      </c>
      <c r="L203" s="15" t="str">
        <f>IFERROR(VLOOKUP($C203,Sheet3!$H$2:$O$200,L$1,FALSE),IFERROR(VLOOKUP($D203,Sheet3!$H$2:$O$200,L$1,FALSE),VLOOKUP($E203,Sheet3!$H$2:$O$200,L$1,FALSE)))</f>
        <v>lemon juice</v>
      </c>
      <c r="M203" s="15">
        <f>IFERROR(VLOOKUP($C203,Sheet3!$H$2:$O$200,M$1,FALSE),IFERROR(VLOOKUP($D203,Sheet3!$H$2:$O$200,M$1,FALSE),VLOOKUP($E203,Sheet3!$H$2:$O$200,M$1,FALSE)))</f>
        <v>0</v>
      </c>
      <c r="N203" s="15">
        <f>IFERROR(VLOOKUP($C203,Sheet3!$H$2:$O$200,N$1,FALSE),IFERROR(VLOOKUP($D203,Sheet3!$H$2:$O$200,N$1,FALSE),VLOOKUP($E203,Sheet3!$H$2:$O$200,N$1,FALSE)))</f>
        <v>0</v>
      </c>
      <c r="O203" s="15">
        <f>IFERROR(VLOOKUP($C203,Sheet3!$H$2:$O$200,O$1,FALSE),IFERROR(VLOOKUP($D203,Sheet3!$H$2:$O$200,O$1,FALSE),VLOOKUP($E203,Sheet3!$H$2:$O$200,O$1,FALSE)))</f>
        <v>0</v>
      </c>
      <c r="P203" s="15">
        <f>IFERROR(VLOOKUP($C203,Sheet3!$H$2:$O$200,P$1,FALSE),IFERROR(VLOOKUP($D203,Sheet3!$H$2:$O$200,P$1,FALSE),VLOOKUP($E203,Sheet3!$H$2:$O$200,P$1,FALSE)))</f>
        <v>0</v>
      </c>
      <c r="Q203" s="15">
        <f>IFERROR(IF(ISBLANK(J203),IFERROR(VLOOKUP($D203,Sheet3!$H$2:$O$200,Q$1,FALSE),IFERROR(VLOOKUP($E203,Sheet3!$H$2:$O$200,Q$1,FALSE),VLOOKUP($F203,Sheet3!$H$2:$O$200,Q$1,FALSE))),$I$1),$I$1)</f>
        <v>0</v>
      </c>
      <c r="R203" s="15">
        <f>IFERROR(IF(ISBLANK(K203),IFERROR(VLOOKUP($D203,Sheet3!$H$2:$O$200,R$1,FALSE),IFERROR(VLOOKUP($E203,Sheet3!$H$2:$O$200,R$1,FALSE),VLOOKUP($F203,Sheet3!$H$2:$O$200,R$1,FALSE))),$I$1),$I$1)</f>
        <v>0</v>
      </c>
      <c r="S203" s="15">
        <f>IFERROR(IF(ISBLANK(L203),IFERROR(VLOOKUP($D203,Sheet3!$H$2:$O$200,S$1,FALSE),IFERROR(VLOOKUP($E203,Sheet3!$H$2:$O$200,S$1,FALSE),VLOOKUP($F203,Sheet3!$H$2:$O$200,S$1,FALSE))),$I$1),$I$1)</f>
        <v>0</v>
      </c>
      <c r="T203" s="15">
        <f>IFERROR(IF(ISBLANK(M203),IFERROR(VLOOKUP($D203,Sheet3!$H$2:$O$200,T$1,FALSE),IFERROR(VLOOKUP($E203,Sheet3!$H$2:$O$200,T$1,FALSE),VLOOKUP($F203,Sheet3!$H$2:$O$200,T$1,FALSE))),$I$1),$I$1)</f>
        <v>0</v>
      </c>
      <c r="U203" s="15">
        <f>IFERROR(IF(ISBLANK(N203),IFERROR(VLOOKUP($D203,Sheet3!$H$2:$O$200,U$1,FALSE),IFERROR(VLOOKUP($E203,Sheet3!$H$2:$O$200,U$1,FALSE),VLOOKUP($F203,Sheet3!$H$2:$O$200,U$1,FALSE))),$I$1),$I$1)</f>
        <v>0</v>
      </c>
      <c r="V203" s="15">
        <f>IFERROR(IF(ISBLANK(O203),IFERROR(VLOOKUP($D203,Sheet3!$H$2:$O$200,V$1,FALSE),IFERROR(VLOOKUP($E203,Sheet3!$H$2:$O$200,V$1,FALSE),VLOOKUP($F203,Sheet3!$H$2:$O$200,V$1,FALSE))),$I$1),$I$1)</f>
        <v>0</v>
      </c>
      <c r="W203" s="15">
        <f>IFERROR(IF(ISBLANK(P203),IFERROR(VLOOKUP($D203,Sheet3!$H$2:$O$200,W$1,FALSE),IFERROR(VLOOKUP($E203,Sheet3!$H$2:$O$200,W$1,FALSE),VLOOKUP($F203,Sheet3!$H$2:$O$200,W$1,FALSE))),$I$1),$I$1)</f>
        <v>0</v>
      </c>
      <c r="X203" s="15">
        <f>IFERROR(IF(ISBLANK(Q203),IFERROR(VLOOKUP($E203,Sheet3!$H$2:$O$200,X$1,FALSE),IFERROR(VLOOKUP($F203,Sheet3!$H$2:$O$200,X$1,FALSE),VLOOKUP($G203,Sheet3!$H$2:$O$200,X$1,FALSE))),$I$1),$I$1)</f>
        <v>0</v>
      </c>
      <c r="Y203" s="15">
        <f>IFERROR(IF(ISBLANK(R203),IFERROR(VLOOKUP($E203,Sheet3!$H$2:$O$200,Y$1,FALSE),IFERROR(VLOOKUP($F203,Sheet3!$H$2:$O$200,Y$1,FALSE),VLOOKUP($G203,Sheet3!$H$2:$O$200,Y$1,FALSE))),$I$1),$I$1)</f>
        <v>0</v>
      </c>
      <c r="Z203" s="15">
        <f>IFERROR(IF(ISBLANK(S203),IFERROR(VLOOKUP($E203,Sheet3!$H$2:$O$200,Z$1,FALSE),IFERROR(VLOOKUP($F203,Sheet3!$H$2:$O$200,Z$1,FALSE),VLOOKUP($G203,Sheet3!$H$2:$O$200,Z$1,FALSE))),$I$1),$I$1)</f>
        <v>0</v>
      </c>
      <c r="AA203" s="15">
        <f>IFERROR(IF(ISBLANK(T203),IFERROR(VLOOKUP($E203,Sheet3!$H$2:$O$200,AA$1,FALSE),IFERROR(VLOOKUP($F203,Sheet3!$H$2:$O$200,AA$1,FALSE),VLOOKUP($G203,Sheet3!$H$2:$O$200,AA$1,FALSE))),$I$1),$I$1)</f>
        <v>0</v>
      </c>
      <c r="AB203" s="15">
        <f>IFERROR(IF(ISBLANK(U203),IFERROR(VLOOKUP($E203,Sheet3!$H$2:$O$200,AB$1,FALSE),IFERROR(VLOOKUP($F203,Sheet3!$H$2:$O$200,AB$1,FALSE),VLOOKUP($G203,Sheet3!$H$2:$O$200,AB$1,FALSE))),$I$1),$I$1)</f>
        <v>0</v>
      </c>
      <c r="AC203" s="15">
        <f>IFERROR(IF(ISBLANK(V203),IFERROR(VLOOKUP($E203,Sheet3!$H$2:$O$200,AC$1,FALSE),IFERROR(VLOOKUP($F203,Sheet3!$H$2:$O$200,AC$1,FALSE),VLOOKUP($G203,Sheet3!$H$2:$O$200,AC$1,FALSE))),$I$1),$I$1)</f>
        <v>0</v>
      </c>
      <c r="AD203" s="15">
        <f>IFERROR(IF(ISBLANK(W203),IFERROR(VLOOKUP($E203,Sheet3!$H$2:$O$200,AD$1,FALSE),IFERROR(VLOOKUP($F203,Sheet3!$H$2:$O$200,AD$1,FALSE),VLOOKUP($G203,Sheet3!$H$2:$O$200,AD$1,FALSE))),$I$1),$I$1)</f>
        <v>0</v>
      </c>
      <c r="AE203" s="15">
        <f>IFERROR(IF(ISBLANK(X203),IFERROR(VLOOKUP($F203,Sheet3!$H$2:$O$200,AE$1,FALSE),VLOOKUP($G203,Sheet3!$H$2:$O$200,AE$1,FALSE)),$I$1),$I$1)</f>
        <v>0</v>
      </c>
      <c r="AF203" s="15">
        <f>IFERROR(IF(ISBLANK(Y203),IFERROR(VLOOKUP($F203,Sheet3!$H$2:$O$200,AF$1,FALSE),VLOOKUP($G203,Sheet3!$H$2:$O$200,AF$1,FALSE)),$I$1),$I$1)</f>
        <v>0</v>
      </c>
      <c r="AG203" s="15">
        <f>IFERROR(IF(ISBLANK(Z203),IFERROR(VLOOKUP($F203,Sheet3!$H$2:$O$200,AG$1,FALSE),VLOOKUP($G203,Sheet3!$H$2:$O$200,AG$1,FALSE)),$I$1),$I$1)</f>
        <v>0</v>
      </c>
      <c r="AH203" s="15">
        <f>IFERROR(IF(ISBLANK(AA203),IFERROR(VLOOKUP($F203,Sheet3!$H$2:$O$200,AH$1,FALSE),VLOOKUP($G203,Sheet3!$H$2:$O$200,AH$1,FALSE)),$I$1),$I$1)</f>
        <v>0</v>
      </c>
      <c r="AI203" s="15">
        <f>IFERROR(IF(ISBLANK(AB203),IFERROR(VLOOKUP($F203,Sheet3!$H$2:$O$200,AI$1,FALSE),VLOOKUP($G203,Sheet3!$H$2:$O$200,AI$1,FALSE)),$I$1),$I$1)</f>
        <v>0</v>
      </c>
      <c r="AJ203" s="15">
        <f>IFERROR(IF(ISBLANK(AC203),IFERROR(VLOOKUP($F203,Sheet3!$H$2:$O$200,AJ$1,FALSE),VLOOKUP($G203,Sheet3!$H$2:$O$200,AJ$1,FALSE)),$I$1),$I$1)</f>
        <v>0</v>
      </c>
      <c r="AK203" s="15">
        <f>IFERROR(IF(ISBLANK(AD203),IFERROR(VLOOKUP($F203,Sheet3!$H$2:$O$200,AK$1,FALSE),VLOOKUP($G203,Sheet3!$H$2:$O$200,AK$1,FALSE)),$I$1),$I$1)</f>
        <v>0</v>
      </c>
      <c r="AL203" s="15">
        <f>IFERROR(IF(ISBLANK(AE203),VLOOKUP($G203,Sheet3!$H$2:$O$200,AL$1,FALSE),$I$1),$I$1)</f>
        <v>0</v>
      </c>
      <c r="AM203" s="15">
        <f>IFERROR(IF(ISBLANK(AF203),VLOOKUP($G203,Sheet3!$H$2:$O$200,AM$1,FALSE),$I$1),$I$1)</f>
        <v>0</v>
      </c>
      <c r="AN203" s="15">
        <f>IFERROR(IF(ISBLANK(AG203),VLOOKUP($G203,Sheet3!$H$2:$O$200,AN$1,FALSE),$I$1),$I$1)</f>
        <v>0</v>
      </c>
      <c r="AO203" s="15">
        <f>IFERROR(IF(ISBLANK(AH203),VLOOKUP($G203,Sheet3!$H$2:$O$200,AO$1,FALSE),$I$1),$I$1)</f>
        <v>0</v>
      </c>
      <c r="AP203" s="15">
        <f>IFERROR(IF(ISBLANK(AI203),VLOOKUP($G203,Sheet3!$H$2:$O$200,AP$1,FALSE),$I$1),$I$1)</f>
        <v>0</v>
      </c>
      <c r="AQ203" s="15">
        <f>IFERROR(IF(ISBLANK(AJ203),VLOOKUP($G203,Sheet3!$H$2:$O$200,AQ$1,FALSE),$I$1),$I$1)</f>
        <v>0</v>
      </c>
      <c r="AR203" s="15">
        <f>IFERROR(IF(ISBLANK(AK203),VLOOKUP($G203,Sheet3!$H$2:$O$200,AR$1,FALSE),$I$1),$I$1)</f>
        <v>0</v>
      </c>
      <c r="AS203" s="15">
        <f t="shared" si="1"/>
        <v>28</v>
      </c>
      <c r="AT203" s="15" t="b">
        <f t="shared" si="2"/>
        <v>0</v>
      </c>
    </row>
    <row r="204" spans="1:46" x14ac:dyDescent="0.2">
      <c r="A204" s="19" t="s">
        <v>380</v>
      </c>
      <c r="B204" s="19" t="s">
        <v>357</v>
      </c>
      <c r="C204" s="19" t="s">
        <v>31</v>
      </c>
      <c r="D204" s="19" t="s">
        <v>38</v>
      </c>
      <c r="E204" s="19" t="s">
        <v>55</v>
      </c>
      <c r="F204" s="19"/>
      <c r="G204" s="19"/>
      <c r="H204" s="19" t="s">
        <v>380</v>
      </c>
      <c r="I204" s="15">
        <f t="shared" si="0"/>
        <v>3</v>
      </c>
      <c r="J204" s="15">
        <f>IFERROR(VLOOKUP($C204,Sheet3!$H$2:$O$200,J$1,FALSE),IFERROR(VLOOKUP($D204,Sheet3!$H$2:$O$200,J$1,FALSE),VLOOKUP($E204,Sheet3!$H$2:$O$200,J$1,FALSE)))</f>
        <v>0</v>
      </c>
      <c r="K204" s="15">
        <f>IFERROR(VLOOKUP($C204,Sheet3!$H$2:$O$200,K$1,FALSE),IFERROR(VLOOKUP($D204,Sheet3!$H$2:$O$200,K$1,FALSE),VLOOKUP($E204,Sheet3!$H$2:$O$200,K$1,FALSE)))</f>
        <v>0</v>
      </c>
      <c r="L204" s="15">
        <f>IFERROR(VLOOKUP($C204,Sheet3!$H$2:$O$200,L$1,FALSE),IFERROR(VLOOKUP($D204,Sheet3!$H$2:$O$200,L$1,FALSE),VLOOKUP($E204,Sheet3!$H$2:$O$200,L$1,FALSE)))</f>
        <v>0</v>
      </c>
      <c r="M204" s="15" t="str">
        <f>IFERROR(VLOOKUP($C204,Sheet3!$H$2:$O$200,M$1,FALSE),IFERROR(VLOOKUP($D204,Sheet3!$H$2:$O$200,M$1,FALSE),VLOOKUP($E204,Sheet3!$H$2:$O$200,M$1,FALSE)))</f>
        <v>white crème de cacao</v>
      </c>
      <c r="N204" s="15">
        <f>IFERROR(VLOOKUP($C204,Sheet3!$H$2:$O$200,N$1,FALSE),IFERROR(VLOOKUP($D204,Sheet3!$H$2:$O$200,N$1,FALSE),VLOOKUP($E204,Sheet3!$H$2:$O$200,N$1,FALSE)))</f>
        <v>0</v>
      </c>
      <c r="O204" s="15">
        <f>IFERROR(VLOOKUP($C204,Sheet3!$H$2:$O$200,O$1,FALSE),IFERROR(VLOOKUP($D204,Sheet3!$H$2:$O$200,O$1,FALSE),VLOOKUP($E204,Sheet3!$H$2:$O$200,O$1,FALSE)))</f>
        <v>0</v>
      </c>
      <c r="P204" s="15">
        <f>IFERROR(VLOOKUP($C204,Sheet3!$H$2:$O$200,P$1,FALSE),IFERROR(VLOOKUP($D204,Sheet3!$H$2:$O$200,P$1,FALSE),VLOOKUP($E204,Sheet3!$H$2:$O$200,P$1,FALSE)))</f>
        <v>0</v>
      </c>
      <c r="Q204" s="15">
        <f>IFERROR(IF(ISBLANK(J204),IFERROR(VLOOKUP($D204,Sheet3!$H$2:$O$200,Q$1,FALSE),IFERROR(VLOOKUP($E204,Sheet3!$H$2:$O$200,Q$1,FALSE),VLOOKUP($F204,Sheet3!$H$2:$O$200,Q$1,FALSE))),$I$1),$I$1)</f>
        <v>0</v>
      </c>
      <c r="R204" s="15">
        <f>IFERROR(IF(ISBLANK(K204),IFERROR(VLOOKUP($D204,Sheet3!$H$2:$O$200,R$1,FALSE),IFERROR(VLOOKUP($E204,Sheet3!$H$2:$O$200,R$1,FALSE),VLOOKUP($F204,Sheet3!$H$2:$O$200,R$1,FALSE))),$I$1),$I$1)</f>
        <v>0</v>
      </c>
      <c r="S204" s="15">
        <f>IFERROR(IF(ISBLANK(L204),IFERROR(VLOOKUP($D204,Sheet3!$H$2:$O$200,S$1,FALSE),IFERROR(VLOOKUP($E204,Sheet3!$H$2:$O$200,S$1,FALSE),VLOOKUP($F204,Sheet3!$H$2:$O$200,S$1,FALSE))),$I$1),$I$1)</f>
        <v>0</v>
      </c>
      <c r="T204" s="15">
        <f>IFERROR(IF(ISBLANK(M204),IFERROR(VLOOKUP($D204,Sheet3!$H$2:$O$200,T$1,FALSE),IFERROR(VLOOKUP($E204,Sheet3!$H$2:$O$200,T$1,FALSE),VLOOKUP($F204,Sheet3!$H$2:$O$200,T$1,FALSE))),$I$1),$I$1)</f>
        <v>0</v>
      </c>
      <c r="U204" s="15">
        <f>IFERROR(IF(ISBLANK(N204),IFERROR(VLOOKUP($D204,Sheet3!$H$2:$O$200,U$1,FALSE),IFERROR(VLOOKUP($E204,Sheet3!$H$2:$O$200,U$1,FALSE),VLOOKUP($F204,Sheet3!$H$2:$O$200,U$1,FALSE))),$I$1),$I$1)</f>
        <v>0</v>
      </c>
      <c r="V204" s="15">
        <f>IFERROR(IF(ISBLANK(O204),IFERROR(VLOOKUP($D204,Sheet3!$H$2:$O$200,V$1,FALSE),IFERROR(VLOOKUP($E204,Sheet3!$H$2:$O$200,V$1,FALSE),VLOOKUP($F204,Sheet3!$H$2:$O$200,V$1,FALSE))),$I$1),$I$1)</f>
        <v>0</v>
      </c>
      <c r="W204" s="15">
        <f>IFERROR(IF(ISBLANK(P204),IFERROR(VLOOKUP($D204,Sheet3!$H$2:$O$200,W$1,FALSE),IFERROR(VLOOKUP($E204,Sheet3!$H$2:$O$200,W$1,FALSE),VLOOKUP($F204,Sheet3!$H$2:$O$200,W$1,FALSE))),$I$1),$I$1)</f>
        <v>0</v>
      </c>
      <c r="X204" s="15">
        <f>IFERROR(IF(ISBLANK(Q204),IFERROR(VLOOKUP($E204,Sheet3!$H$2:$O$200,X$1,FALSE),IFERROR(VLOOKUP($F204,Sheet3!$H$2:$O$200,X$1,FALSE),VLOOKUP($G204,Sheet3!$H$2:$O$200,X$1,FALSE))),$I$1),$I$1)</f>
        <v>0</v>
      </c>
      <c r="Y204" s="15">
        <f>IFERROR(IF(ISBLANK(R204),IFERROR(VLOOKUP($E204,Sheet3!$H$2:$O$200,Y$1,FALSE),IFERROR(VLOOKUP($F204,Sheet3!$H$2:$O$200,Y$1,FALSE),VLOOKUP($G204,Sheet3!$H$2:$O$200,Y$1,FALSE))),$I$1),$I$1)</f>
        <v>0</v>
      </c>
      <c r="Z204" s="15">
        <f>IFERROR(IF(ISBLANK(S204),IFERROR(VLOOKUP($E204,Sheet3!$H$2:$O$200,Z$1,FALSE),IFERROR(VLOOKUP($F204,Sheet3!$H$2:$O$200,Z$1,FALSE),VLOOKUP($G204,Sheet3!$H$2:$O$200,Z$1,FALSE))),$I$1),$I$1)</f>
        <v>0</v>
      </c>
      <c r="AA204" s="15">
        <f>IFERROR(IF(ISBLANK(T204),IFERROR(VLOOKUP($E204,Sheet3!$H$2:$O$200,AA$1,FALSE),IFERROR(VLOOKUP($F204,Sheet3!$H$2:$O$200,AA$1,FALSE),VLOOKUP($G204,Sheet3!$H$2:$O$200,AA$1,FALSE))),$I$1),$I$1)</f>
        <v>0</v>
      </c>
      <c r="AB204" s="15">
        <f>IFERROR(IF(ISBLANK(U204),IFERROR(VLOOKUP($E204,Sheet3!$H$2:$O$200,AB$1,FALSE),IFERROR(VLOOKUP($F204,Sheet3!$H$2:$O$200,AB$1,FALSE),VLOOKUP($G204,Sheet3!$H$2:$O$200,AB$1,FALSE))),$I$1),$I$1)</f>
        <v>0</v>
      </c>
      <c r="AC204" s="15">
        <f>IFERROR(IF(ISBLANK(V204),IFERROR(VLOOKUP($E204,Sheet3!$H$2:$O$200,AC$1,FALSE),IFERROR(VLOOKUP($F204,Sheet3!$H$2:$O$200,AC$1,FALSE),VLOOKUP($G204,Sheet3!$H$2:$O$200,AC$1,FALSE))),$I$1),$I$1)</f>
        <v>0</v>
      </c>
      <c r="AD204" s="15">
        <f>IFERROR(IF(ISBLANK(W204),IFERROR(VLOOKUP($E204,Sheet3!$H$2:$O$200,AD$1,FALSE),IFERROR(VLOOKUP($F204,Sheet3!$H$2:$O$200,AD$1,FALSE),VLOOKUP($G204,Sheet3!$H$2:$O$200,AD$1,FALSE))),$I$1),$I$1)</f>
        <v>0</v>
      </c>
      <c r="AE204" s="15">
        <f>IFERROR(IF(ISBLANK(X204),IFERROR(VLOOKUP($F204,Sheet3!$H$2:$O$200,AE$1,FALSE),VLOOKUP($G204,Sheet3!$H$2:$O$200,AE$1,FALSE)),$I$1),$I$1)</f>
        <v>0</v>
      </c>
      <c r="AF204" s="15">
        <f>IFERROR(IF(ISBLANK(Y204),IFERROR(VLOOKUP($F204,Sheet3!$H$2:$O$200,AF$1,FALSE),VLOOKUP($G204,Sheet3!$H$2:$O$200,AF$1,FALSE)),$I$1),$I$1)</f>
        <v>0</v>
      </c>
      <c r="AG204" s="15">
        <f>IFERROR(IF(ISBLANK(Z204),IFERROR(VLOOKUP($F204,Sheet3!$H$2:$O$200,AG$1,FALSE),VLOOKUP($G204,Sheet3!$H$2:$O$200,AG$1,FALSE)),$I$1),$I$1)</f>
        <v>0</v>
      </c>
      <c r="AH204" s="15">
        <f>IFERROR(IF(ISBLANK(AA204),IFERROR(VLOOKUP($F204,Sheet3!$H$2:$O$200,AH$1,FALSE),VLOOKUP($G204,Sheet3!$H$2:$O$200,AH$1,FALSE)),$I$1),$I$1)</f>
        <v>0</v>
      </c>
      <c r="AI204" s="15">
        <f>IFERROR(IF(ISBLANK(AB204),IFERROR(VLOOKUP($F204,Sheet3!$H$2:$O$200,AI$1,FALSE),VLOOKUP($G204,Sheet3!$H$2:$O$200,AI$1,FALSE)),$I$1),$I$1)</f>
        <v>0</v>
      </c>
      <c r="AJ204" s="15">
        <f>IFERROR(IF(ISBLANK(AC204),IFERROR(VLOOKUP($F204,Sheet3!$H$2:$O$200,AJ$1,FALSE),VLOOKUP($G204,Sheet3!$H$2:$O$200,AJ$1,FALSE)),$I$1),$I$1)</f>
        <v>0</v>
      </c>
      <c r="AK204" s="15">
        <f>IFERROR(IF(ISBLANK(AD204),IFERROR(VLOOKUP($F204,Sheet3!$H$2:$O$200,AK$1,FALSE),VLOOKUP($G204,Sheet3!$H$2:$O$200,AK$1,FALSE)),$I$1),$I$1)</f>
        <v>0</v>
      </c>
      <c r="AL204" s="15">
        <f>IFERROR(IF(ISBLANK(AE204),VLOOKUP($G204,Sheet3!$H$2:$O$200,AL$1,FALSE),$I$1),$I$1)</f>
        <v>0</v>
      </c>
      <c r="AM204" s="15">
        <f>IFERROR(IF(ISBLANK(AF204),VLOOKUP($G204,Sheet3!$H$2:$O$200,AM$1,FALSE),$I$1),$I$1)</f>
        <v>0</v>
      </c>
      <c r="AN204" s="15">
        <f>IFERROR(IF(ISBLANK(AG204),VLOOKUP($G204,Sheet3!$H$2:$O$200,AN$1,FALSE),$I$1),$I$1)</f>
        <v>0</v>
      </c>
      <c r="AO204" s="15">
        <f>IFERROR(IF(ISBLANK(AH204),VLOOKUP($G204,Sheet3!$H$2:$O$200,AO$1,FALSE),$I$1),$I$1)</f>
        <v>0</v>
      </c>
      <c r="AP204" s="15">
        <f>IFERROR(IF(ISBLANK(AI204),VLOOKUP($G204,Sheet3!$H$2:$O$200,AP$1,FALSE),$I$1),$I$1)</f>
        <v>0</v>
      </c>
      <c r="AQ204" s="15">
        <f>IFERROR(IF(ISBLANK(AJ204),VLOOKUP($G204,Sheet3!$H$2:$O$200,AQ$1,FALSE),$I$1),$I$1)</f>
        <v>0</v>
      </c>
      <c r="AR204" s="15">
        <f>IFERROR(IF(ISBLANK(AK204),VLOOKUP($G204,Sheet3!$H$2:$O$200,AR$1,FALSE),$I$1),$I$1)</f>
        <v>0</v>
      </c>
      <c r="AS204" s="15">
        <f t="shared" si="1"/>
        <v>28</v>
      </c>
      <c r="AT204" s="15" t="b">
        <f t="shared" si="2"/>
        <v>0</v>
      </c>
    </row>
    <row r="205" spans="1:46" x14ac:dyDescent="0.2">
      <c r="A205" s="19" t="s">
        <v>381</v>
      </c>
      <c r="B205" s="19" t="s">
        <v>357</v>
      </c>
      <c r="C205" s="19" t="s">
        <v>100</v>
      </c>
      <c r="D205" s="19" t="s">
        <v>90</v>
      </c>
      <c r="E205" s="19"/>
      <c r="F205" s="19"/>
      <c r="G205" s="19"/>
      <c r="H205" s="19" t="s">
        <v>381</v>
      </c>
      <c r="I205" s="15">
        <f t="shared" si="0"/>
        <v>2</v>
      </c>
      <c r="J205" s="15">
        <f>IFERROR(VLOOKUP($C205,Sheet3!$H$2:$O$200,J$1,FALSE),IFERROR(VLOOKUP($D205,Sheet3!$H$2:$O$200,J$1,FALSE),VLOOKUP($E205,Sheet3!$H$2:$O$200,J$1,FALSE)))</f>
        <v>0</v>
      </c>
      <c r="K205" s="15">
        <f>IFERROR(VLOOKUP($C205,Sheet3!$H$2:$O$200,K$1,FALSE),IFERROR(VLOOKUP($D205,Sheet3!$H$2:$O$200,K$1,FALSE),VLOOKUP($E205,Sheet3!$H$2:$O$200,K$1,FALSE)))</f>
        <v>0</v>
      </c>
      <c r="L205" s="15">
        <f>IFERROR(VLOOKUP($C205,Sheet3!$H$2:$O$200,L$1,FALSE),IFERROR(VLOOKUP($D205,Sheet3!$H$2:$O$200,L$1,FALSE),VLOOKUP($E205,Sheet3!$H$2:$O$200,L$1,FALSE)))</f>
        <v>0</v>
      </c>
      <c r="M205" s="15" t="str">
        <f>IFERROR(VLOOKUP($C205,Sheet3!$H$2:$O$200,M$1,FALSE),IFERROR(VLOOKUP($D205,Sheet3!$H$2:$O$200,M$1,FALSE),VLOOKUP($E205,Sheet3!$H$2:$O$200,M$1,FALSE)))</f>
        <v>triple sec</v>
      </c>
      <c r="N205" s="15">
        <f>IFERROR(VLOOKUP($C205,Sheet3!$H$2:$O$200,N$1,FALSE),IFERROR(VLOOKUP($D205,Sheet3!$H$2:$O$200,N$1,FALSE),VLOOKUP($E205,Sheet3!$H$2:$O$200,N$1,FALSE)))</f>
        <v>0</v>
      </c>
      <c r="O205" s="15">
        <f>IFERROR(VLOOKUP($C205,Sheet3!$H$2:$O$200,O$1,FALSE),IFERROR(VLOOKUP($D205,Sheet3!$H$2:$O$200,O$1,FALSE),VLOOKUP($E205,Sheet3!$H$2:$O$200,O$1,FALSE)))</f>
        <v>0</v>
      </c>
      <c r="P205" s="15">
        <f>IFERROR(VLOOKUP($C205,Sheet3!$H$2:$O$200,P$1,FALSE),IFERROR(VLOOKUP($D205,Sheet3!$H$2:$O$200,P$1,FALSE),VLOOKUP($E205,Sheet3!$H$2:$O$200,P$1,FALSE)))</f>
        <v>0</v>
      </c>
      <c r="Q205" s="15">
        <f>IFERROR(IF(ISBLANK(J205),IFERROR(VLOOKUP($D205,Sheet3!$H$2:$O$200,Q$1,FALSE),IFERROR(VLOOKUP($E205,Sheet3!$H$2:$O$200,Q$1,FALSE),VLOOKUP($F205,Sheet3!$H$2:$O$200,Q$1,FALSE))),$I$1),$I$1)</f>
        <v>0</v>
      </c>
      <c r="R205" s="15">
        <f>IFERROR(IF(ISBLANK(K205),IFERROR(VLOOKUP($D205,Sheet3!$H$2:$O$200,R$1,FALSE),IFERROR(VLOOKUP($E205,Sheet3!$H$2:$O$200,R$1,FALSE),VLOOKUP($F205,Sheet3!$H$2:$O$200,R$1,FALSE))),$I$1),$I$1)</f>
        <v>0</v>
      </c>
      <c r="S205" s="15">
        <f>IFERROR(IF(ISBLANK(L205),IFERROR(VLOOKUP($D205,Sheet3!$H$2:$O$200,S$1,FALSE),IFERROR(VLOOKUP($E205,Sheet3!$H$2:$O$200,S$1,FALSE),VLOOKUP($F205,Sheet3!$H$2:$O$200,S$1,FALSE))),$I$1),$I$1)</f>
        <v>0</v>
      </c>
      <c r="T205" s="15">
        <f>IFERROR(IF(ISBLANK(M205),IFERROR(VLOOKUP($D205,Sheet3!$H$2:$O$200,T$1,FALSE),IFERROR(VLOOKUP($E205,Sheet3!$H$2:$O$200,T$1,FALSE),VLOOKUP($F205,Sheet3!$H$2:$O$200,T$1,FALSE))),$I$1),$I$1)</f>
        <v>0</v>
      </c>
      <c r="U205" s="15">
        <f>IFERROR(IF(ISBLANK(N205),IFERROR(VLOOKUP($D205,Sheet3!$H$2:$O$200,U$1,FALSE),IFERROR(VLOOKUP($E205,Sheet3!$H$2:$O$200,U$1,FALSE),VLOOKUP($F205,Sheet3!$H$2:$O$200,U$1,FALSE))),$I$1),$I$1)</f>
        <v>0</v>
      </c>
      <c r="V205" s="15">
        <f>IFERROR(IF(ISBLANK(O205),IFERROR(VLOOKUP($D205,Sheet3!$H$2:$O$200,V$1,FALSE),IFERROR(VLOOKUP($E205,Sheet3!$H$2:$O$200,V$1,FALSE),VLOOKUP($F205,Sheet3!$H$2:$O$200,V$1,FALSE))),$I$1),$I$1)</f>
        <v>0</v>
      </c>
      <c r="W205" s="15">
        <f>IFERROR(IF(ISBLANK(P205),IFERROR(VLOOKUP($D205,Sheet3!$H$2:$O$200,W$1,FALSE),IFERROR(VLOOKUP($E205,Sheet3!$H$2:$O$200,W$1,FALSE),VLOOKUP($F205,Sheet3!$H$2:$O$200,W$1,FALSE))),$I$1),$I$1)</f>
        <v>0</v>
      </c>
      <c r="X205" s="15">
        <f>IFERROR(IF(ISBLANK(Q205),IFERROR(VLOOKUP($E205,Sheet3!$H$2:$O$200,X$1,FALSE),IFERROR(VLOOKUP($F205,Sheet3!$H$2:$O$200,X$1,FALSE),VLOOKUP($G205,Sheet3!$H$2:$O$200,X$1,FALSE))),$I$1),$I$1)</f>
        <v>0</v>
      </c>
      <c r="Y205" s="15">
        <f>IFERROR(IF(ISBLANK(R205),IFERROR(VLOOKUP($E205,Sheet3!$H$2:$O$200,Y$1,FALSE),IFERROR(VLOOKUP($F205,Sheet3!$H$2:$O$200,Y$1,FALSE),VLOOKUP($G205,Sheet3!$H$2:$O$200,Y$1,FALSE))),$I$1),$I$1)</f>
        <v>0</v>
      </c>
      <c r="Z205" s="15">
        <f>IFERROR(IF(ISBLANK(S205),IFERROR(VLOOKUP($E205,Sheet3!$H$2:$O$200,Z$1,FALSE),IFERROR(VLOOKUP($F205,Sheet3!$H$2:$O$200,Z$1,FALSE),VLOOKUP($G205,Sheet3!$H$2:$O$200,Z$1,FALSE))),$I$1),$I$1)</f>
        <v>0</v>
      </c>
      <c r="AA205" s="15">
        <f>IFERROR(IF(ISBLANK(T205),IFERROR(VLOOKUP($E205,Sheet3!$H$2:$O$200,AA$1,FALSE),IFERROR(VLOOKUP($F205,Sheet3!$H$2:$O$200,AA$1,FALSE),VLOOKUP($G205,Sheet3!$H$2:$O$200,AA$1,FALSE))),$I$1),$I$1)</f>
        <v>0</v>
      </c>
      <c r="AB205" s="15">
        <f>IFERROR(IF(ISBLANK(U205),IFERROR(VLOOKUP($E205,Sheet3!$H$2:$O$200,AB$1,FALSE),IFERROR(VLOOKUP($F205,Sheet3!$H$2:$O$200,AB$1,FALSE),VLOOKUP($G205,Sheet3!$H$2:$O$200,AB$1,FALSE))),$I$1),$I$1)</f>
        <v>0</v>
      </c>
      <c r="AC205" s="15">
        <f>IFERROR(IF(ISBLANK(V205),IFERROR(VLOOKUP($E205,Sheet3!$H$2:$O$200,AC$1,FALSE),IFERROR(VLOOKUP($F205,Sheet3!$H$2:$O$200,AC$1,FALSE),VLOOKUP($G205,Sheet3!$H$2:$O$200,AC$1,FALSE))),$I$1),$I$1)</f>
        <v>0</v>
      </c>
      <c r="AD205" s="15">
        <f>IFERROR(IF(ISBLANK(W205),IFERROR(VLOOKUP($E205,Sheet3!$H$2:$O$200,AD$1,FALSE),IFERROR(VLOOKUP($F205,Sheet3!$H$2:$O$200,AD$1,FALSE),VLOOKUP($G205,Sheet3!$H$2:$O$200,AD$1,FALSE))),$I$1),$I$1)</f>
        <v>0</v>
      </c>
      <c r="AE205" s="15">
        <f>IFERROR(IF(ISBLANK(X205),IFERROR(VLOOKUP($F205,Sheet3!$H$2:$O$200,AE$1,FALSE),VLOOKUP($G205,Sheet3!$H$2:$O$200,AE$1,FALSE)),$I$1),$I$1)</f>
        <v>0</v>
      </c>
      <c r="AF205" s="15">
        <f>IFERROR(IF(ISBLANK(Y205),IFERROR(VLOOKUP($F205,Sheet3!$H$2:$O$200,AF$1,FALSE),VLOOKUP($G205,Sheet3!$H$2:$O$200,AF$1,FALSE)),$I$1),$I$1)</f>
        <v>0</v>
      </c>
      <c r="AG205" s="15">
        <f>IFERROR(IF(ISBLANK(Z205),IFERROR(VLOOKUP($F205,Sheet3!$H$2:$O$200,AG$1,FALSE),VLOOKUP($G205,Sheet3!$H$2:$O$200,AG$1,FALSE)),$I$1),$I$1)</f>
        <v>0</v>
      </c>
      <c r="AH205" s="15">
        <f>IFERROR(IF(ISBLANK(AA205),IFERROR(VLOOKUP($F205,Sheet3!$H$2:$O$200,AH$1,FALSE),VLOOKUP($G205,Sheet3!$H$2:$O$200,AH$1,FALSE)),$I$1),$I$1)</f>
        <v>0</v>
      </c>
      <c r="AI205" s="15">
        <f>IFERROR(IF(ISBLANK(AB205),IFERROR(VLOOKUP($F205,Sheet3!$H$2:$O$200,AI$1,FALSE),VLOOKUP($G205,Sheet3!$H$2:$O$200,AI$1,FALSE)),$I$1),$I$1)</f>
        <v>0</v>
      </c>
      <c r="AJ205" s="15">
        <f>IFERROR(IF(ISBLANK(AC205),IFERROR(VLOOKUP($F205,Sheet3!$H$2:$O$200,AJ$1,FALSE),VLOOKUP($G205,Sheet3!$H$2:$O$200,AJ$1,FALSE)),$I$1),$I$1)</f>
        <v>0</v>
      </c>
      <c r="AK205" s="15">
        <f>IFERROR(IF(ISBLANK(AD205),IFERROR(VLOOKUP($F205,Sheet3!$H$2:$O$200,AK$1,FALSE),VLOOKUP($G205,Sheet3!$H$2:$O$200,AK$1,FALSE)),$I$1),$I$1)</f>
        <v>0</v>
      </c>
      <c r="AL205" s="15">
        <f>IFERROR(IF(ISBLANK(AE205),VLOOKUP($G205,Sheet3!$H$2:$O$200,AL$1,FALSE),$I$1),$I$1)</f>
        <v>0</v>
      </c>
      <c r="AM205" s="15">
        <f>IFERROR(IF(ISBLANK(AF205),VLOOKUP($G205,Sheet3!$H$2:$O$200,AM$1,FALSE),$I$1),$I$1)</f>
        <v>0</v>
      </c>
      <c r="AN205" s="15">
        <f>IFERROR(IF(ISBLANK(AG205),VLOOKUP($G205,Sheet3!$H$2:$O$200,AN$1,FALSE),$I$1),$I$1)</f>
        <v>0</v>
      </c>
      <c r="AO205" s="15">
        <f>IFERROR(IF(ISBLANK(AH205),VLOOKUP($G205,Sheet3!$H$2:$O$200,AO$1,FALSE),$I$1),$I$1)</f>
        <v>0</v>
      </c>
      <c r="AP205" s="15">
        <f>IFERROR(IF(ISBLANK(AI205),VLOOKUP($G205,Sheet3!$H$2:$O$200,AP$1,FALSE),$I$1),$I$1)</f>
        <v>0</v>
      </c>
      <c r="AQ205" s="15">
        <f>IFERROR(IF(ISBLANK(AJ205),VLOOKUP($G205,Sheet3!$H$2:$O$200,AQ$1,FALSE),$I$1),$I$1)</f>
        <v>0</v>
      </c>
      <c r="AR205" s="15">
        <f>IFERROR(IF(ISBLANK(AK205),VLOOKUP($G205,Sheet3!$H$2:$O$200,AR$1,FALSE),$I$1),$I$1)</f>
        <v>0</v>
      </c>
      <c r="AS205" s="15">
        <f t="shared" si="1"/>
        <v>28</v>
      </c>
      <c r="AT205" s="15" t="b">
        <f t="shared" si="2"/>
        <v>0</v>
      </c>
    </row>
    <row r="206" spans="1:46" x14ac:dyDescent="0.2">
      <c r="A206" s="19" t="s">
        <v>382</v>
      </c>
      <c r="B206" s="19" t="s">
        <v>357</v>
      </c>
      <c r="C206" s="19" t="s">
        <v>100</v>
      </c>
      <c r="D206" s="19" t="s">
        <v>90</v>
      </c>
      <c r="E206" s="19" t="s">
        <v>383</v>
      </c>
      <c r="F206" s="19" t="s">
        <v>76</v>
      </c>
      <c r="G206" s="19"/>
      <c r="H206" s="19" t="s">
        <v>382</v>
      </c>
      <c r="I206" s="15">
        <f t="shared" si="0"/>
        <v>4</v>
      </c>
      <c r="J206" s="15">
        <f>IFERROR(VLOOKUP($C206,Sheet3!$H$2:$O$200,J$1,FALSE),IFERROR(VLOOKUP($D206,Sheet3!$H$2:$O$200,J$1,FALSE),VLOOKUP($E206,Sheet3!$H$2:$O$200,J$1,FALSE)))</f>
        <v>0</v>
      </c>
      <c r="K206" s="15">
        <f>IFERROR(VLOOKUP($C206,Sheet3!$H$2:$O$200,K$1,FALSE),IFERROR(VLOOKUP($D206,Sheet3!$H$2:$O$200,K$1,FALSE),VLOOKUP($E206,Sheet3!$H$2:$O$200,K$1,FALSE)))</f>
        <v>0</v>
      </c>
      <c r="L206" s="15">
        <f>IFERROR(VLOOKUP($C206,Sheet3!$H$2:$O$200,L$1,FALSE),IFERROR(VLOOKUP($D206,Sheet3!$H$2:$O$200,L$1,FALSE),VLOOKUP($E206,Sheet3!$H$2:$O$200,L$1,FALSE)))</f>
        <v>0</v>
      </c>
      <c r="M206" s="15" t="str">
        <f>IFERROR(VLOOKUP($C206,Sheet3!$H$2:$O$200,M$1,FALSE),IFERROR(VLOOKUP($D206,Sheet3!$H$2:$O$200,M$1,FALSE),VLOOKUP($E206,Sheet3!$H$2:$O$200,M$1,FALSE)))</f>
        <v>triple sec</v>
      </c>
      <c r="N206" s="15">
        <f>IFERROR(VLOOKUP($C206,Sheet3!$H$2:$O$200,N$1,FALSE),IFERROR(VLOOKUP($D206,Sheet3!$H$2:$O$200,N$1,FALSE),VLOOKUP($E206,Sheet3!$H$2:$O$200,N$1,FALSE)))</f>
        <v>0</v>
      </c>
      <c r="O206" s="15">
        <f>IFERROR(VLOOKUP($C206,Sheet3!$H$2:$O$200,O$1,FALSE),IFERROR(VLOOKUP($D206,Sheet3!$H$2:$O$200,O$1,FALSE),VLOOKUP($E206,Sheet3!$H$2:$O$200,O$1,FALSE)))</f>
        <v>0</v>
      </c>
      <c r="P206" s="15">
        <f>IFERROR(VLOOKUP($C206,Sheet3!$H$2:$O$200,P$1,FALSE),IFERROR(VLOOKUP($D206,Sheet3!$H$2:$O$200,P$1,FALSE),VLOOKUP($E206,Sheet3!$H$2:$O$200,P$1,FALSE)))</f>
        <v>0</v>
      </c>
      <c r="Q206" s="15">
        <f>IFERROR(IF(ISBLANK(J206),IFERROR(VLOOKUP($D206,Sheet3!$H$2:$O$200,Q$1,FALSE),IFERROR(VLOOKUP($E206,Sheet3!$H$2:$O$200,Q$1,FALSE),VLOOKUP($F206,Sheet3!$H$2:$O$200,Q$1,FALSE))),$I$1),$I$1)</f>
        <v>0</v>
      </c>
      <c r="R206" s="15">
        <f>IFERROR(IF(ISBLANK(K206),IFERROR(VLOOKUP($D206,Sheet3!$H$2:$O$200,R$1,FALSE),IFERROR(VLOOKUP($E206,Sheet3!$H$2:$O$200,R$1,FALSE),VLOOKUP($F206,Sheet3!$H$2:$O$200,R$1,FALSE))),$I$1),$I$1)</f>
        <v>0</v>
      </c>
      <c r="S206" s="15">
        <f>IFERROR(IF(ISBLANK(L206),IFERROR(VLOOKUP($D206,Sheet3!$H$2:$O$200,S$1,FALSE),IFERROR(VLOOKUP($E206,Sheet3!$H$2:$O$200,S$1,FALSE),VLOOKUP($F206,Sheet3!$H$2:$O$200,S$1,FALSE))),$I$1),$I$1)</f>
        <v>0</v>
      </c>
      <c r="T206" s="15">
        <f>IFERROR(IF(ISBLANK(M206),IFERROR(VLOOKUP($D206,Sheet3!$H$2:$O$200,T$1,FALSE),IFERROR(VLOOKUP($E206,Sheet3!$H$2:$O$200,T$1,FALSE),VLOOKUP($F206,Sheet3!$H$2:$O$200,T$1,FALSE))),$I$1),$I$1)</f>
        <v>0</v>
      </c>
      <c r="U206" s="15">
        <f>IFERROR(IF(ISBLANK(N206),IFERROR(VLOOKUP($D206,Sheet3!$H$2:$O$200,U$1,FALSE),IFERROR(VLOOKUP($E206,Sheet3!$H$2:$O$200,U$1,FALSE),VLOOKUP($F206,Sheet3!$H$2:$O$200,U$1,FALSE))),$I$1),$I$1)</f>
        <v>0</v>
      </c>
      <c r="V206" s="15">
        <f>IFERROR(IF(ISBLANK(O206),IFERROR(VLOOKUP($D206,Sheet3!$H$2:$O$200,V$1,FALSE),IFERROR(VLOOKUP($E206,Sheet3!$H$2:$O$200,V$1,FALSE),VLOOKUP($F206,Sheet3!$H$2:$O$200,V$1,FALSE))),$I$1),$I$1)</f>
        <v>0</v>
      </c>
      <c r="W206" s="15">
        <f>IFERROR(IF(ISBLANK(P206),IFERROR(VLOOKUP($D206,Sheet3!$H$2:$O$200,W$1,FALSE),IFERROR(VLOOKUP($E206,Sheet3!$H$2:$O$200,W$1,FALSE),VLOOKUP($F206,Sheet3!$H$2:$O$200,W$1,FALSE))),$I$1),$I$1)</f>
        <v>0</v>
      </c>
      <c r="X206" s="15">
        <f>IFERROR(IF(ISBLANK(Q206),IFERROR(VLOOKUP($E206,Sheet3!$H$2:$O$200,X$1,FALSE),IFERROR(VLOOKUP($F206,Sheet3!$H$2:$O$200,X$1,FALSE),VLOOKUP($G206,Sheet3!$H$2:$O$200,X$1,FALSE))),$I$1),$I$1)</f>
        <v>0</v>
      </c>
      <c r="Y206" s="15">
        <f>IFERROR(IF(ISBLANK(R206),IFERROR(VLOOKUP($E206,Sheet3!$H$2:$O$200,Y$1,FALSE),IFERROR(VLOOKUP($F206,Sheet3!$H$2:$O$200,Y$1,FALSE),VLOOKUP($G206,Sheet3!$H$2:$O$200,Y$1,FALSE))),$I$1),$I$1)</f>
        <v>0</v>
      </c>
      <c r="Z206" s="15">
        <f>IFERROR(IF(ISBLANK(S206),IFERROR(VLOOKUP($E206,Sheet3!$H$2:$O$200,Z$1,FALSE),IFERROR(VLOOKUP($F206,Sheet3!$H$2:$O$200,Z$1,FALSE),VLOOKUP($G206,Sheet3!$H$2:$O$200,Z$1,FALSE))),$I$1),$I$1)</f>
        <v>0</v>
      </c>
      <c r="AA206" s="15">
        <f>IFERROR(IF(ISBLANK(T206),IFERROR(VLOOKUP($E206,Sheet3!$H$2:$O$200,AA$1,FALSE),IFERROR(VLOOKUP($F206,Sheet3!$H$2:$O$200,AA$1,FALSE),VLOOKUP($G206,Sheet3!$H$2:$O$200,AA$1,FALSE))),$I$1),$I$1)</f>
        <v>0</v>
      </c>
      <c r="AB206" s="15">
        <f>IFERROR(IF(ISBLANK(U206),IFERROR(VLOOKUP($E206,Sheet3!$H$2:$O$200,AB$1,FALSE),IFERROR(VLOOKUP($F206,Sheet3!$H$2:$O$200,AB$1,FALSE),VLOOKUP($G206,Sheet3!$H$2:$O$200,AB$1,FALSE))),$I$1),$I$1)</f>
        <v>0</v>
      </c>
      <c r="AC206" s="15">
        <f>IFERROR(IF(ISBLANK(V206),IFERROR(VLOOKUP($E206,Sheet3!$H$2:$O$200,AC$1,FALSE),IFERROR(VLOOKUP($F206,Sheet3!$H$2:$O$200,AC$1,FALSE),VLOOKUP($G206,Sheet3!$H$2:$O$200,AC$1,FALSE))),$I$1),$I$1)</f>
        <v>0</v>
      </c>
      <c r="AD206" s="15">
        <f>IFERROR(IF(ISBLANK(W206),IFERROR(VLOOKUP($E206,Sheet3!$H$2:$O$200,AD$1,FALSE),IFERROR(VLOOKUP($F206,Sheet3!$H$2:$O$200,AD$1,FALSE),VLOOKUP($G206,Sheet3!$H$2:$O$200,AD$1,FALSE))),$I$1),$I$1)</f>
        <v>0</v>
      </c>
      <c r="AE206" s="15">
        <f>IFERROR(IF(ISBLANK(X206),IFERROR(VLOOKUP($F206,Sheet3!$H$2:$O$200,AE$1,FALSE),VLOOKUP($G206,Sheet3!$H$2:$O$200,AE$1,FALSE)),$I$1),$I$1)</f>
        <v>0</v>
      </c>
      <c r="AF206" s="15">
        <f>IFERROR(IF(ISBLANK(Y206),IFERROR(VLOOKUP($F206,Sheet3!$H$2:$O$200,AF$1,FALSE),VLOOKUP($G206,Sheet3!$H$2:$O$200,AF$1,FALSE)),$I$1),$I$1)</f>
        <v>0</v>
      </c>
      <c r="AG206" s="15">
        <f>IFERROR(IF(ISBLANK(Z206),IFERROR(VLOOKUP($F206,Sheet3!$H$2:$O$200,AG$1,FALSE),VLOOKUP($G206,Sheet3!$H$2:$O$200,AG$1,FALSE)),$I$1),$I$1)</f>
        <v>0</v>
      </c>
      <c r="AH206" s="15">
        <f>IFERROR(IF(ISBLANK(AA206),IFERROR(VLOOKUP($F206,Sheet3!$H$2:$O$200,AH$1,FALSE),VLOOKUP($G206,Sheet3!$H$2:$O$200,AH$1,FALSE)),$I$1),$I$1)</f>
        <v>0</v>
      </c>
      <c r="AI206" s="15">
        <f>IFERROR(IF(ISBLANK(AB206),IFERROR(VLOOKUP($F206,Sheet3!$H$2:$O$200,AI$1,FALSE),VLOOKUP($G206,Sheet3!$H$2:$O$200,AI$1,FALSE)),$I$1),$I$1)</f>
        <v>0</v>
      </c>
      <c r="AJ206" s="15">
        <f>IFERROR(IF(ISBLANK(AC206),IFERROR(VLOOKUP($F206,Sheet3!$H$2:$O$200,AJ$1,FALSE),VLOOKUP($G206,Sheet3!$H$2:$O$200,AJ$1,FALSE)),$I$1),$I$1)</f>
        <v>0</v>
      </c>
      <c r="AK206" s="15">
        <f>IFERROR(IF(ISBLANK(AD206),IFERROR(VLOOKUP($F206,Sheet3!$H$2:$O$200,AK$1,FALSE),VLOOKUP($G206,Sheet3!$H$2:$O$200,AK$1,FALSE)),$I$1),$I$1)</f>
        <v>0</v>
      </c>
      <c r="AL206" s="15">
        <f>IFERROR(IF(ISBLANK(AE206),VLOOKUP($G206,Sheet3!$H$2:$O$200,AL$1,FALSE),$I$1),$I$1)</f>
        <v>0</v>
      </c>
      <c r="AM206" s="15">
        <f>IFERROR(IF(ISBLANK(AF206),VLOOKUP($G206,Sheet3!$H$2:$O$200,AM$1,FALSE),$I$1),$I$1)</f>
        <v>0</v>
      </c>
      <c r="AN206" s="15">
        <f>IFERROR(IF(ISBLANK(AG206),VLOOKUP($G206,Sheet3!$H$2:$O$200,AN$1,FALSE),$I$1),$I$1)</f>
        <v>0</v>
      </c>
      <c r="AO206" s="15">
        <f>IFERROR(IF(ISBLANK(AH206),VLOOKUP($G206,Sheet3!$H$2:$O$200,AO$1,FALSE),$I$1),$I$1)</f>
        <v>0</v>
      </c>
      <c r="AP206" s="15">
        <f>IFERROR(IF(ISBLANK(AI206),VLOOKUP($G206,Sheet3!$H$2:$O$200,AP$1,FALSE),$I$1),$I$1)</f>
        <v>0</v>
      </c>
      <c r="AQ206" s="15">
        <f>IFERROR(IF(ISBLANK(AJ206),VLOOKUP($G206,Sheet3!$H$2:$O$200,AQ$1,FALSE),$I$1),$I$1)</f>
        <v>0</v>
      </c>
      <c r="AR206" s="15">
        <f>IFERROR(IF(ISBLANK(AK206),VLOOKUP($G206,Sheet3!$H$2:$O$200,AR$1,FALSE),$I$1),$I$1)</f>
        <v>0</v>
      </c>
      <c r="AS206" s="15">
        <f t="shared" si="1"/>
        <v>28</v>
      </c>
      <c r="AT206" s="15" t="b">
        <f t="shared" si="2"/>
        <v>0</v>
      </c>
    </row>
    <row r="207" spans="1:46" x14ac:dyDescent="0.2">
      <c r="A207" s="19" t="s">
        <v>384</v>
      </c>
      <c r="B207" s="19" t="s">
        <v>357</v>
      </c>
      <c r="C207" s="19" t="s">
        <v>57</v>
      </c>
      <c r="D207" s="19" t="s">
        <v>90</v>
      </c>
      <c r="E207" s="19"/>
      <c r="F207" s="19"/>
      <c r="G207" s="19"/>
      <c r="H207" s="19" t="s">
        <v>384</v>
      </c>
      <c r="I207" s="15">
        <f t="shared" si="0"/>
        <v>2</v>
      </c>
      <c r="J207" s="15">
        <f>IFERROR(VLOOKUP($C207,Sheet3!$H$2:$O$200,J$1,FALSE),IFERROR(VLOOKUP($D207,Sheet3!$H$2:$O$200,J$1,FALSE),VLOOKUP($E207,Sheet3!$H$2:$O$200,J$1,FALSE)))</f>
        <v>0</v>
      </c>
      <c r="K207" s="15">
        <f>IFERROR(VLOOKUP($C207,Sheet3!$H$2:$O$200,K$1,FALSE),IFERROR(VLOOKUP($D207,Sheet3!$H$2:$O$200,K$1,FALSE),VLOOKUP($E207,Sheet3!$H$2:$O$200,K$1,FALSE)))</f>
        <v>0</v>
      </c>
      <c r="L207" s="15">
        <f>IFERROR(VLOOKUP($C207,Sheet3!$H$2:$O$200,L$1,FALSE),IFERROR(VLOOKUP($D207,Sheet3!$H$2:$O$200,L$1,FALSE),VLOOKUP($E207,Sheet3!$H$2:$O$200,L$1,FALSE)))</f>
        <v>0</v>
      </c>
      <c r="M207" s="15" t="str">
        <f>IFERROR(VLOOKUP($C207,Sheet3!$H$2:$O$200,M$1,FALSE),IFERROR(VLOOKUP($D207,Sheet3!$H$2:$O$200,M$1,FALSE),VLOOKUP($E207,Sheet3!$H$2:$O$200,M$1,FALSE)))</f>
        <v>crème de noyau</v>
      </c>
      <c r="N207" s="15">
        <f>IFERROR(VLOOKUP($C207,Sheet3!$H$2:$O$200,N$1,FALSE),IFERROR(VLOOKUP($D207,Sheet3!$H$2:$O$200,N$1,FALSE),VLOOKUP($E207,Sheet3!$H$2:$O$200,N$1,FALSE)))</f>
        <v>0</v>
      </c>
      <c r="O207" s="15">
        <f>IFERROR(VLOOKUP($C207,Sheet3!$H$2:$O$200,O$1,FALSE),IFERROR(VLOOKUP($D207,Sheet3!$H$2:$O$200,O$1,FALSE),VLOOKUP($E207,Sheet3!$H$2:$O$200,O$1,FALSE)))</f>
        <v>0</v>
      </c>
      <c r="P207" s="15">
        <f>IFERROR(VLOOKUP($C207,Sheet3!$H$2:$O$200,P$1,FALSE),IFERROR(VLOOKUP($D207,Sheet3!$H$2:$O$200,P$1,FALSE),VLOOKUP($E207,Sheet3!$H$2:$O$200,P$1,FALSE)))</f>
        <v>0</v>
      </c>
      <c r="Q207" s="15">
        <f>IFERROR(IF(ISBLANK(J207),IFERROR(VLOOKUP($D207,Sheet3!$H$2:$O$200,Q$1,FALSE),IFERROR(VLOOKUP($E207,Sheet3!$H$2:$O$200,Q$1,FALSE),VLOOKUP($F207,Sheet3!$H$2:$O$200,Q$1,FALSE))),$I$1),$I$1)</f>
        <v>0</v>
      </c>
      <c r="R207" s="15">
        <f>IFERROR(IF(ISBLANK(K207),IFERROR(VLOOKUP($D207,Sheet3!$H$2:$O$200,R$1,FALSE),IFERROR(VLOOKUP($E207,Sheet3!$H$2:$O$200,R$1,FALSE),VLOOKUP($F207,Sheet3!$H$2:$O$200,R$1,FALSE))),$I$1),$I$1)</f>
        <v>0</v>
      </c>
      <c r="S207" s="15">
        <f>IFERROR(IF(ISBLANK(L207),IFERROR(VLOOKUP($D207,Sheet3!$H$2:$O$200,S$1,FALSE),IFERROR(VLOOKUP($E207,Sheet3!$H$2:$O$200,S$1,FALSE),VLOOKUP($F207,Sheet3!$H$2:$O$200,S$1,FALSE))),$I$1),$I$1)</f>
        <v>0</v>
      </c>
      <c r="T207" s="15">
        <f>IFERROR(IF(ISBLANK(M207),IFERROR(VLOOKUP($D207,Sheet3!$H$2:$O$200,T$1,FALSE),IFERROR(VLOOKUP($E207,Sheet3!$H$2:$O$200,T$1,FALSE),VLOOKUP($F207,Sheet3!$H$2:$O$200,T$1,FALSE))),$I$1),$I$1)</f>
        <v>0</v>
      </c>
      <c r="U207" s="15">
        <f>IFERROR(IF(ISBLANK(N207),IFERROR(VLOOKUP($D207,Sheet3!$H$2:$O$200,U$1,FALSE),IFERROR(VLOOKUP($E207,Sheet3!$H$2:$O$200,U$1,FALSE),VLOOKUP($F207,Sheet3!$H$2:$O$200,U$1,FALSE))),$I$1),$I$1)</f>
        <v>0</v>
      </c>
      <c r="V207" s="15">
        <f>IFERROR(IF(ISBLANK(O207),IFERROR(VLOOKUP($D207,Sheet3!$H$2:$O$200,V$1,FALSE),IFERROR(VLOOKUP($E207,Sheet3!$H$2:$O$200,V$1,FALSE),VLOOKUP($F207,Sheet3!$H$2:$O$200,V$1,FALSE))),$I$1),$I$1)</f>
        <v>0</v>
      </c>
      <c r="W207" s="15">
        <f>IFERROR(IF(ISBLANK(P207),IFERROR(VLOOKUP($D207,Sheet3!$H$2:$O$200,W$1,FALSE),IFERROR(VLOOKUP($E207,Sheet3!$H$2:$O$200,W$1,FALSE),VLOOKUP($F207,Sheet3!$H$2:$O$200,W$1,FALSE))),$I$1),$I$1)</f>
        <v>0</v>
      </c>
      <c r="X207" s="15">
        <f>IFERROR(IF(ISBLANK(Q207),IFERROR(VLOOKUP($E207,Sheet3!$H$2:$O$200,X$1,FALSE),IFERROR(VLOOKUP($F207,Sheet3!$H$2:$O$200,X$1,FALSE),VLOOKUP($G207,Sheet3!$H$2:$O$200,X$1,FALSE))),$I$1),$I$1)</f>
        <v>0</v>
      </c>
      <c r="Y207" s="15">
        <f>IFERROR(IF(ISBLANK(R207),IFERROR(VLOOKUP($E207,Sheet3!$H$2:$O$200,Y$1,FALSE),IFERROR(VLOOKUP($F207,Sheet3!$H$2:$O$200,Y$1,FALSE),VLOOKUP($G207,Sheet3!$H$2:$O$200,Y$1,FALSE))),$I$1),$I$1)</f>
        <v>0</v>
      </c>
      <c r="Z207" s="15">
        <f>IFERROR(IF(ISBLANK(S207),IFERROR(VLOOKUP($E207,Sheet3!$H$2:$O$200,Z$1,FALSE),IFERROR(VLOOKUP($F207,Sheet3!$H$2:$O$200,Z$1,FALSE),VLOOKUP($G207,Sheet3!$H$2:$O$200,Z$1,FALSE))),$I$1),$I$1)</f>
        <v>0</v>
      </c>
      <c r="AA207" s="15">
        <f>IFERROR(IF(ISBLANK(T207),IFERROR(VLOOKUP($E207,Sheet3!$H$2:$O$200,AA$1,FALSE),IFERROR(VLOOKUP($F207,Sheet3!$H$2:$O$200,AA$1,FALSE),VLOOKUP($G207,Sheet3!$H$2:$O$200,AA$1,FALSE))),$I$1),$I$1)</f>
        <v>0</v>
      </c>
      <c r="AB207" s="15">
        <f>IFERROR(IF(ISBLANK(U207),IFERROR(VLOOKUP($E207,Sheet3!$H$2:$O$200,AB$1,FALSE),IFERROR(VLOOKUP($F207,Sheet3!$H$2:$O$200,AB$1,FALSE),VLOOKUP($G207,Sheet3!$H$2:$O$200,AB$1,FALSE))),$I$1),$I$1)</f>
        <v>0</v>
      </c>
      <c r="AC207" s="15">
        <f>IFERROR(IF(ISBLANK(V207),IFERROR(VLOOKUP($E207,Sheet3!$H$2:$O$200,AC$1,FALSE),IFERROR(VLOOKUP($F207,Sheet3!$H$2:$O$200,AC$1,FALSE),VLOOKUP($G207,Sheet3!$H$2:$O$200,AC$1,FALSE))),$I$1),$I$1)</f>
        <v>0</v>
      </c>
      <c r="AD207" s="15">
        <f>IFERROR(IF(ISBLANK(W207),IFERROR(VLOOKUP($E207,Sheet3!$H$2:$O$200,AD$1,FALSE),IFERROR(VLOOKUP($F207,Sheet3!$H$2:$O$200,AD$1,FALSE),VLOOKUP($G207,Sheet3!$H$2:$O$200,AD$1,FALSE))),$I$1),$I$1)</f>
        <v>0</v>
      </c>
      <c r="AE207" s="15">
        <f>IFERROR(IF(ISBLANK(X207),IFERROR(VLOOKUP($F207,Sheet3!$H$2:$O$200,AE$1,FALSE),VLOOKUP($G207,Sheet3!$H$2:$O$200,AE$1,FALSE)),$I$1),$I$1)</f>
        <v>0</v>
      </c>
      <c r="AF207" s="15">
        <f>IFERROR(IF(ISBLANK(Y207),IFERROR(VLOOKUP($F207,Sheet3!$H$2:$O$200,AF$1,FALSE),VLOOKUP($G207,Sheet3!$H$2:$O$200,AF$1,FALSE)),$I$1),$I$1)</f>
        <v>0</v>
      </c>
      <c r="AG207" s="15">
        <f>IFERROR(IF(ISBLANK(Z207),IFERROR(VLOOKUP($F207,Sheet3!$H$2:$O$200,AG$1,FALSE),VLOOKUP($G207,Sheet3!$H$2:$O$200,AG$1,FALSE)),$I$1),$I$1)</f>
        <v>0</v>
      </c>
      <c r="AH207" s="15">
        <f>IFERROR(IF(ISBLANK(AA207),IFERROR(VLOOKUP($F207,Sheet3!$H$2:$O$200,AH$1,FALSE),VLOOKUP($G207,Sheet3!$H$2:$O$200,AH$1,FALSE)),$I$1),$I$1)</f>
        <v>0</v>
      </c>
      <c r="AI207" s="15">
        <f>IFERROR(IF(ISBLANK(AB207),IFERROR(VLOOKUP($F207,Sheet3!$H$2:$O$200,AI$1,FALSE),VLOOKUP($G207,Sheet3!$H$2:$O$200,AI$1,FALSE)),$I$1),$I$1)</f>
        <v>0</v>
      </c>
      <c r="AJ207" s="15">
        <f>IFERROR(IF(ISBLANK(AC207),IFERROR(VLOOKUP($F207,Sheet3!$H$2:$O$200,AJ$1,FALSE),VLOOKUP($G207,Sheet3!$H$2:$O$200,AJ$1,FALSE)),$I$1),$I$1)</f>
        <v>0</v>
      </c>
      <c r="AK207" s="15">
        <f>IFERROR(IF(ISBLANK(AD207),IFERROR(VLOOKUP($F207,Sheet3!$H$2:$O$200,AK$1,FALSE),VLOOKUP($G207,Sheet3!$H$2:$O$200,AK$1,FALSE)),$I$1),$I$1)</f>
        <v>0</v>
      </c>
      <c r="AL207" s="15">
        <f>IFERROR(IF(ISBLANK(AE207),VLOOKUP($G207,Sheet3!$H$2:$O$200,AL$1,FALSE),$I$1),$I$1)</f>
        <v>0</v>
      </c>
      <c r="AM207" s="15">
        <f>IFERROR(IF(ISBLANK(AF207),VLOOKUP($G207,Sheet3!$H$2:$O$200,AM$1,FALSE),$I$1),$I$1)</f>
        <v>0</v>
      </c>
      <c r="AN207" s="15">
        <f>IFERROR(IF(ISBLANK(AG207),VLOOKUP($G207,Sheet3!$H$2:$O$200,AN$1,FALSE),$I$1),$I$1)</f>
        <v>0</v>
      </c>
      <c r="AO207" s="15">
        <f>IFERROR(IF(ISBLANK(AH207),VLOOKUP($G207,Sheet3!$H$2:$O$200,AO$1,FALSE),$I$1),$I$1)</f>
        <v>0</v>
      </c>
      <c r="AP207" s="15">
        <f>IFERROR(IF(ISBLANK(AI207),VLOOKUP($G207,Sheet3!$H$2:$O$200,AP$1,FALSE),$I$1),$I$1)</f>
        <v>0</v>
      </c>
      <c r="AQ207" s="15">
        <f>IFERROR(IF(ISBLANK(AJ207),VLOOKUP($G207,Sheet3!$H$2:$O$200,AQ$1,FALSE),$I$1),$I$1)</f>
        <v>0</v>
      </c>
      <c r="AR207" s="15">
        <f>IFERROR(IF(ISBLANK(AK207),VLOOKUP($G207,Sheet3!$H$2:$O$200,AR$1,FALSE),$I$1),$I$1)</f>
        <v>0</v>
      </c>
      <c r="AS207" s="15">
        <f t="shared" si="1"/>
        <v>28</v>
      </c>
      <c r="AT207" s="15" t="b">
        <f t="shared" si="2"/>
        <v>0</v>
      </c>
    </row>
    <row r="208" spans="1:46" x14ac:dyDescent="0.2">
      <c r="A208" s="19" t="s">
        <v>385</v>
      </c>
      <c r="B208" s="19" t="s">
        <v>386</v>
      </c>
      <c r="C208" s="19" t="s">
        <v>100</v>
      </c>
      <c r="D208" s="19" t="s">
        <v>38</v>
      </c>
      <c r="E208" s="19" t="s">
        <v>268</v>
      </c>
      <c r="F208" s="19"/>
      <c r="G208" s="19"/>
      <c r="H208" s="19" t="s">
        <v>385</v>
      </c>
      <c r="I208" s="15">
        <f t="shared" si="0"/>
        <v>3</v>
      </c>
      <c r="J208" s="15">
        <f>IFERROR(VLOOKUP($C208,Sheet3!$H$2:$O$200,J$1,FALSE),IFERROR(VLOOKUP($D208,Sheet3!$H$2:$O$200,J$1,FALSE),VLOOKUP($E208,Sheet3!$H$2:$O$200,J$1,FALSE)))</f>
        <v>0</v>
      </c>
      <c r="K208" s="15">
        <f>IFERROR(VLOOKUP($C208,Sheet3!$H$2:$O$200,K$1,FALSE),IFERROR(VLOOKUP($D208,Sheet3!$H$2:$O$200,K$1,FALSE),VLOOKUP($E208,Sheet3!$H$2:$O$200,K$1,FALSE)))</f>
        <v>0</v>
      </c>
      <c r="L208" s="15">
        <f>IFERROR(VLOOKUP($C208,Sheet3!$H$2:$O$200,L$1,FALSE),IFERROR(VLOOKUP($D208,Sheet3!$H$2:$O$200,L$1,FALSE),VLOOKUP($E208,Sheet3!$H$2:$O$200,L$1,FALSE)))</f>
        <v>0</v>
      </c>
      <c r="M208" s="15" t="str">
        <f>IFERROR(VLOOKUP($C208,Sheet3!$H$2:$O$200,M$1,FALSE),IFERROR(VLOOKUP($D208,Sheet3!$H$2:$O$200,M$1,FALSE),VLOOKUP($E208,Sheet3!$H$2:$O$200,M$1,FALSE)))</f>
        <v>triple sec</v>
      </c>
      <c r="N208" s="15">
        <f>IFERROR(VLOOKUP($C208,Sheet3!$H$2:$O$200,N$1,FALSE),IFERROR(VLOOKUP($D208,Sheet3!$H$2:$O$200,N$1,FALSE),VLOOKUP($E208,Sheet3!$H$2:$O$200,N$1,FALSE)))</f>
        <v>0</v>
      </c>
      <c r="O208" s="15">
        <f>IFERROR(VLOOKUP($C208,Sheet3!$H$2:$O$200,O$1,FALSE),IFERROR(VLOOKUP($D208,Sheet3!$H$2:$O$200,O$1,FALSE),VLOOKUP($E208,Sheet3!$H$2:$O$200,O$1,FALSE)))</f>
        <v>0</v>
      </c>
      <c r="P208" s="15">
        <f>IFERROR(VLOOKUP($C208,Sheet3!$H$2:$O$200,P$1,FALSE),IFERROR(VLOOKUP($D208,Sheet3!$H$2:$O$200,P$1,FALSE),VLOOKUP($E208,Sheet3!$H$2:$O$200,P$1,FALSE)))</f>
        <v>0</v>
      </c>
      <c r="Q208" s="15">
        <f>IFERROR(IF(ISBLANK(J208),IFERROR(VLOOKUP($D208,Sheet3!$H$2:$O$200,Q$1,FALSE),IFERROR(VLOOKUP($E208,Sheet3!$H$2:$O$200,Q$1,FALSE),VLOOKUP($F208,Sheet3!$H$2:$O$200,Q$1,FALSE))),$I$1),$I$1)</f>
        <v>0</v>
      </c>
      <c r="R208" s="15">
        <f>IFERROR(IF(ISBLANK(K208),IFERROR(VLOOKUP($D208,Sheet3!$H$2:$O$200,R$1,FALSE),IFERROR(VLOOKUP($E208,Sheet3!$H$2:$O$200,R$1,FALSE),VLOOKUP($F208,Sheet3!$H$2:$O$200,R$1,FALSE))),$I$1),$I$1)</f>
        <v>0</v>
      </c>
      <c r="S208" s="15">
        <f>IFERROR(IF(ISBLANK(L208),IFERROR(VLOOKUP($D208,Sheet3!$H$2:$O$200,S$1,FALSE),IFERROR(VLOOKUP($E208,Sheet3!$H$2:$O$200,S$1,FALSE),VLOOKUP($F208,Sheet3!$H$2:$O$200,S$1,FALSE))),$I$1),$I$1)</f>
        <v>0</v>
      </c>
      <c r="T208" s="15">
        <f>IFERROR(IF(ISBLANK(M208),IFERROR(VLOOKUP($D208,Sheet3!$H$2:$O$200,T$1,FALSE),IFERROR(VLOOKUP($E208,Sheet3!$H$2:$O$200,T$1,FALSE),VLOOKUP($F208,Sheet3!$H$2:$O$200,T$1,FALSE))),$I$1),$I$1)</f>
        <v>0</v>
      </c>
      <c r="U208" s="15">
        <f>IFERROR(IF(ISBLANK(N208),IFERROR(VLOOKUP($D208,Sheet3!$H$2:$O$200,U$1,FALSE),IFERROR(VLOOKUP($E208,Sheet3!$H$2:$O$200,U$1,FALSE),VLOOKUP($F208,Sheet3!$H$2:$O$200,U$1,FALSE))),$I$1),$I$1)</f>
        <v>0</v>
      </c>
      <c r="V208" s="15">
        <f>IFERROR(IF(ISBLANK(O208),IFERROR(VLOOKUP($D208,Sheet3!$H$2:$O$200,V$1,FALSE),IFERROR(VLOOKUP($E208,Sheet3!$H$2:$O$200,V$1,FALSE),VLOOKUP($F208,Sheet3!$H$2:$O$200,V$1,FALSE))),$I$1),$I$1)</f>
        <v>0</v>
      </c>
      <c r="W208" s="15">
        <f>IFERROR(IF(ISBLANK(P208),IFERROR(VLOOKUP($D208,Sheet3!$H$2:$O$200,W$1,FALSE),IFERROR(VLOOKUP($E208,Sheet3!$H$2:$O$200,W$1,FALSE),VLOOKUP($F208,Sheet3!$H$2:$O$200,W$1,FALSE))),$I$1),$I$1)</f>
        <v>0</v>
      </c>
      <c r="X208" s="15">
        <f>IFERROR(IF(ISBLANK(Q208),IFERROR(VLOOKUP($E208,Sheet3!$H$2:$O$200,X$1,FALSE),IFERROR(VLOOKUP($F208,Sheet3!$H$2:$O$200,X$1,FALSE),VLOOKUP($G208,Sheet3!$H$2:$O$200,X$1,FALSE))),$I$1),$I$1)</f>
        <v>0</v>
      </c>
      <c r="Y208" s="15">
        <f>IFERROR(IF(ISBLANK(R208),IFERROR(VLOOKUP($E208,Sheet3!$H$2:$O$200,Y$1,FALSE),IFERROR(VLOOKUP($F208,Sheet3!$H$2:$O$200,Y$1,FALSE),VLOOKUP($G208,Sheet3!$H$2:$O$200,Y$1,FALSE))),$I$1),$I$1)</f>
        <v>0</v>
      </c>
      <c r="Z208" s="15">
        <f>IFERROR(IF(ISBLANK(S208),IFERROR(VLOOKUP($E208,Sheet3!$H$2:$O$200,Z$1,FALSE),IFERROR(VLOOKUP($F208,Sheet3!$H$2:$O$200,Z$1,FALSE),VLOOKUP($G208,Sheet3!$H$2:$O$200,Z$1,FALSE))),$I$1),$I$1)</f>
        <v>0</v>
      </c>
      <c r="AA208" s="15">
        <f>IFERROR(IF(ISBLANK(T208),IFERROR(VLOOKUP($E208,Sheet3!$H$2:$O$200,AA$1,FALSE),IFERROR(VLOOKUP($F208,Sheet3!$H$2:$O$200,AA$1,FALSE),VLOOKUP($G208,Sheet3!$H$2:$O$200,AA$1,FALSE))),$I$1),$I$1)</f>
        <v>0</v>
      </c>
      <c r="AB208" s="15">
        <f>IFERROR(IF(ISBLANK(U208),IFERROR(VLOOKUP($E208,Sheet3!$H$2:$O$200,AB$1,FALSE),IFERROR(VLOOKUP($F208,Sheet3!$H$2:$O$200,AB$1,FALSE),VLOOKUP($G208,Sheet3!$H$2:$O$200,AB$1,FALSE))),$I$1),$I$1)</f>
        <v>0</v>
      </c>
      <c r="AC208" s="15">
        <f>IFERROR(IF(ISBLANK(V208),IFERROR(VLOOKUP($E208,Sheet3!$H$2:$O$200,AC$1,FALSE),IFERROR(VLOOKUP($F208,Sheet3!$H$2:$O$200,AC$1,FALSE),VLOOKUP($G208,Sheet3!$H$2:$O$200,AC$1,FALSE))),$I$1),$I$1)</f>
        <v>0</v>
      </c>
      <c r="AD208" s="15">
        <f>IFERROR(IF(ISBLANK(W208),IFERROR(VLOOKUP($E208,Sheet3!$H$2:$O$200,AD$1,FALSE),IFERROR(VLOOKUP($F208,Sheet3!$H$2:$O$200,AD$1,FALSE),VLOOKUP($G208,Sheet3!$H$2:$O$200,AD$1,FALSE))),$I$1),$I$1)</f>
        <v>0</v>
      </c>
      <c r="AE208" s="15">
        <f>IFERROR(IF(ISBLANK(X208),IFERROR(VLOOKUP($F208,Sheet3!$H$2:$O$200,AE$1,FALSE),VLOOKUP($G208,Sheet3!$H$2:$O$200,AE$1,FALSE)),$I$1),$I$1)</f>
        <v>0</v>
      </c>
      <c r="AF208" s="15">
        <f>IFERROR(IF(ISBLANK(Y208),IFERROR(VLOOKUP($F208,Sheet3!$H$2:$O$200,AF$1,FALSE),VLOOKUP($G208,Sheet3!$H$2:$O$200,AF$1,FALSE)),$I$1),$I$1)</f>
        <v>0</v>
      </c>
      <c r="AG208" s="15">
        <f>IFERROR(IF(ISBLANK(Z208),IFERROR(VLOOKUP($F208,Sheet3!$H$2:$O$200,AG$1,FALSE),VLOOKUP($G208,Sheet3!$H$2:$O$200,AG$1,FALSE)),$I$1),$I$1)</f>
        <v>0</v>
      </c>
      <c r="AH208" s="15">
        <f>IFERROR(IF(ISBLANK(AA208),IFERROR(VLOOKUP($F208,Sheet3!$H$2:$O$200,AH$1,FALSE),VLOOKUP($G208,Sheet3!$H$2:$O$200,AH$1,FALSE)),$I$1),$I$1)</f>
        <v>0</v>
      </c>
      <c r="AI208" s="15">
        <f>IFERROR(IF(ISBLANK(AB208),IFERROR(VLOOKUP($F208,Sheet3!$H$2:$O$200,AI$1,FALSE),VLOOKUP($G208,Sheet3!$H$2:$O$200,AI$1,FALSE)),$I$1),$I$1)</f>
        <v>0</v>
      </c>
      <c r="AJ208" s="15">
        <f>IFERROR(IF(ISBLANK(AC208),IFERROR(VLOOKUP($F208,Sheet3!$H$2:$O$200,AJ$1,FALSE),VLOOKUP($G208,Sheet3!$H$2:$O$200,AJ$1,FALSE)),$I$1),$I$1)</f>
        <v>0</v>
      </c>
      <c r="AK208" s="15">
        <f>IFERROR(IF(ISBLANK(AD208),IFERROR(VLOOKUP($F208,Sheet3!$H$2:$O$200,AK$1,FALSE),VLOOKUP($G208,Sheet3!$H$2:$O$200,AK$1,FALSE)),$I$1),$I$1)</f>
        <v>0</v>
      </c>
      <c r="AL208" s="15">
        <f>IFERROR(IF(ISBLANK(AE208),VLOOKUP($G208,Sheet3!$H$2:$O$200,AL$1,FALSE),$I$1),$I$1)</f>
        <v>0</v>
      </c>
      <c r="AM208" s="15">
        <f>IFERROR(IF(ISBLANK(AF208),VLOOKUP($G208,Sheet3!$H$2:$O$200,AM$1,FALSE),$I$1),$I$1)</f>
        <v>0</v>
      </c>
      <c r="AN208" s="15">
        <f>IFERROR(IF(ISBLANK(AG208),VLOOKUP($G208,Sheet3!$H$2:$O$200,AN$1,FALSE),$I$1),$I$1)</f>
        <v>0</v>
      </c>
      <c r="AO208" s="15">
        <f>IFERROR(IF(ISBLANK(AH208),VLOOKUP($G208,Sheet3!$H$2:$O$200,AO$1,FALSE),$I$1),$I$1)</f>
        <v>0</v>
      </c>
      <c r="AP208" s="15">
        <f>IFERROR(IF(ISBLANK(AI208),VLOOKUP($G208,Sheet3!$H$2:$O$200,AP$1,FALSE),$I$1),$I$1)</f>
        <v>0</v>
      </c>
      <c r="AQ208" s="15">
        <f>IFERROR(IF(ISBLANK(AJ208),VLOOKUP($G208,Sheet3!$H$2:$O$200,AQ$1,FALSE),$I$1),$I$1)</f>
        <v>0</v>
      </c>
      <c r="AR208" s="15">
        <f>IFERROR(IF(ISBLANK(AK208),VLOOKUP($G208,Sheet3!$H$2:$O$200,AR$1,FALSE),$I$1),$I$1)</f>
        <v>0</v>
      </c>
      <c r="AS208" s="15">
        <f t="shared" si="1"/>
        <v>28</v>
      </c>
      <c r="AT208" s="15" t="b">
        <f t="shared" si="2"/>
        <v>0</v>
      </c>
    </row>
    <row r="209" spans="1:46" x14ac:dyDescent="0.2">
      <c r="A209" s="19" t="s">
        <v>387</v>
      </c>
      <c r="B209" s="19" t="s">
        <v>31</v>
      </c>
      <c r="C209" s="19" t="s">
        <v>388</v>
      </c>
      <c r="D209" s="19"/>
      <c r="E209" s="19" t="s">
        <v>32</v>
      </c>
      <c r="F209" s="19"/>
      <c r="G209" s="19"/>
      <c r="H209" s="19" t="s">
        <v>387</v>
      </c>
      <c r="I209" s="15">
        <f t="shared" si="0"/>
        <v>2</v>
      </c>
      <c r="J209" s="15">
        <f>IFERROR(VLOOKUP($C209,Sheet3!$H$2:$O$200,J$1,FALSE),IFERROR(VLOOKUP($D209,Sheet3!$H$2:$O$200,J$1,FALSE),VLOOKUP($E209,Sheet3!$H$2:$O$200,J$1,FALSE)))</f>
        <v>0</v>
      </c>
      <c r="K209" s="15">
        <f>IFERROR(VLOOKUP($C209,Sheet3!$H$2:$O$200,K$1,FALSE),IFERROR(VLOOKUP($D209,Sheet3!$H$2:$O$200,K$1,FALSE),VLOOKUP($E209,Sheet3!$H$2:$O$200,K$1,FALSE)))</f>
        <v>0</v>
      </c>
      <c r="L209" s="15">
        <f>IFERROR(VLOOKUP($C209,Sheet3!$H$2:$O$200,L$1,FALSE),IFERROR(VLOOKUP($D209,Sheet3!$H$2:$O$200,L$1,FALSE),VLOOKUP($E209,Sheet3!$H$2:$O$200,L$1,FALSE)))</f>
        <v>0</v>
      </c>
      <c r="M209" s="15" t="str">
        <f>IFERROR(VLOOKUP($C209,Sheet3!$H$2:$O$200,M$1,FALSE),IFERROR(VLOOKUP($D209,Sheet3!$H$2:$O$200,M$1,FALSE),VLOOKUP($E209,Sheet3!$H$2:$O$200,M$1,FALSE)))</f>
        <v>green crème de cacao</v>
      </c>
      <c r="N209" s="15">
        <f>IFERROR(VLOOKUP($C209,Sheet3!$H$2:$O$200,N$1,FALSE),IFERROR(VLOOKUP($D209,Sheet3!$H$2:$O$200,N$1,FALSE),VLOOKUP($E209,Sheet3!$H$2:$O$200,N$1,FALSE)))</f>
        <v>0</v>
      </c>
      <c r="O209" s="15">
        <f>IFERROR(VLOOKUP($C209,Sheet3!$H$2:$O$200,O$1,FALSE),IFERROR(VLOOKUP($D209,Sheet3!$H$2:$O$200,O$1,FALSE),VLOOKUP($E209,Sheet3!$H$2:$O$200,O$1,FALSE)))</f>
        <v>0</v>
      </c>
      <c r="P209" s="15">
        <f>IFERROR(VLOOKUP($C209,Sheet3!$H$2:$O$200,P$1,FALSE),IFERROR(VLOOKUP($D209,Sheet3!$H$2:$O$200,P$1,FALSE),VLOOKUP($E209,Sheet3!$H$2:$O$200,P$1,FALSE)))</f>
        <v>0</v>
      </c>
      <c r="Q209" s="15">
        <f>IFERROR(IF(ISBLANK(J209),IFERROR(VLOOKUP($D209,Sheet3!$H$2:$O$200,Q$1,FALSE),IFERROR(VLOOKUP($E209,Sheet3!$H$2:$O$200,Q$1,FALSE),VLOOKUP($F209,Sheet3!$H$2:$O$200,Q$1,FALSE))),$I$1),$I$1)</f>
        <v>0</v>
      </c>
      <c r="R209" s="15">
        <f>IFERROR(IF(ISBLANK(K209),IFERROR(VLOOKUP($D209,Sheet3!$H$2:$O$200,R$1,FALSE),IFERROR(VLOOKUP($E209,Sheet3!$H$2:$O$200,R$1,FALSE),VLOOKUP($F209,Sheet3!$H$2:$O$200,R$1,FALSE))),$I$1),$I$1)</f>
        <v>0</v>
      </c>
      <c r="S209" s="15">
        <f>IFERROR(IF(ISBLANK(L209),IFERROR(VLOOKUP($D209,Sheet3!$H$2:$O$200,S$1,FALSE),IFERROR(VLOOKUP($E209,Sheet3!$H$2:$O$200,S$1,FALSE),VLOOKUP($F209,Sheet3!$H$2:$O$200,S$1,FALSE))),$I$1),$I$1)</f>
        <v>0</v>
      </c>
      <c r="T209" s="15">
        <f>IFERROR(IF(ISBLANK(M209),IFERROR(VLOOKUP($D209,Sheet3!$H$2:$O$200,T$1,FALSE),IFERROR(VLOOKUP($E209,Sheet3!$H$2:$O$200,T$1,FALSE),VLOOKUP($F209,Sheet3!$H$2:$O$200,T$1,FALSE))),$I$1),$I$1)</f>
        <v>0</v>
      </c>
      <c r="U209" s="15">
        <f>IFERROR(IF(ISBLANK(N209),IFERROR(VLOOKUP($D209,Sheet3!$H$2:$O$200,U$1,FALSE),IFERROR(VLOOKUP($E209,Sheet3!$H$2:$O$200,U$1,FALSE),VLOOKUP($F209,Sheet3!$H$2:$O$200,U$1,FALSE))),$I$1),$I$1)</f>
        <v>0</v>
      </c>
      <c r="V209" s="15">
        <f>IFERROR(IF(ISBLANK(O209),IFERROR(VLOOKUP($D209,Sheet3!$H$2:$O$200,V$1,FALSE),IFERROR(VLOOKUP($E209,Sheet3!$H$2:$O$200,V$1,FALSE),VLOOKUP($F209,Sheet3!$H$2:$O$200,V$1,FALSE))),$I$1),$I$1)</f>
        <v>0</v>
      </c>
      <c r="W209" s="15">
        <f>IFERROR(IF(ISBLANK(P209),IFERROR(VLOOKUP($D209,Sheet3!$H$2:$O$200,W$1,FALSE),IFERROR(VLOOKUP($E209,Sheet3!$H$2:$O$200,W$1,FALSE),VLOOKUP($F209,Sheet3!$H$2:$O$200,W$1,FALSE))),$I$1),$I$1)</f>
        <v>0</v>
      </c>
      <c r="X209" s="15">
        <f>IFERROR(IF(ISBLANK(Q209),IFERROR(VLOOKUP($E209,Sheet3!$H$2:$O$200,X$1,FALSE),IFERROR(VLOOKUP($F209,Sheet3!$H$2:$O$200,X$1,FALSE),VLOOKUP($G209,Sheet3!$H$2:$O$200,X$1,FALSE))),$I$1),$I$1)</f>
        <v>0</v>
      </c>
      <c r="Y209" s="15">
        <f>IFERROR(IF(ISBLANK(R209),IFERROR(VLOOKUP($E209,Sheet3!$H$2:$O$200,Y$1,FALSE),IFERROR(VLOOKUP($F209,Sheet3!$H$2:$O$200,Y$1,FALSE),VLOOKUP($G209,Sheet3!$H$2:$O$200,Y$1,FALSE))),$I$1),$I$1)</f>
        <v>0</v>
      </c>
      <c r="Z209" s="15">
        <f>IFERROR(IF(ISBLANK(S209),IFERROR(VLOOKUP($E209,Sheet3!$H$2:$O$200,Z$1,FALSE),IFERROR(VLOOKUP($F209,Sheet3!$H$2:$O$200,Z$1,FALSE),VLOOKUP($G209,Sheet3!$H$2:$O$200,Z$1,FALSE))),$I$1),$I$1)</f>
        <v>0</v>
      </c>
      <c r="AA209" s="15">
        <f>IFERROR(IF(ISBLANK(T209),IFERROR(VLOOKUP($E209,Sheet3!$H$2:$O$200,AA$1,FALSE),IFERROR(VLOOKUP($F209,Sheet3!$H$2:$O$200,AA$1,FALSE),VLOOKUP($G209,Sheet3!$H$2:$O$200,AA$1,FALSE))),$I$1),$I$1)</f>
        <v>0</v>
      </c>
      <c r="AB209" s="15">
        <f>IFERROR(IF(ISBLANK(U209),IFERROR(VLOOKUP($E209,Sheet3!$H$2:$O$200,AB$1,FALSE),IFERROR(VLOOKUP($F209,Sheet3!$H$2:$O$200,AB$1,FALSE),VLOOKUP($G209,Sheet3!$H$2:$O$200,AB$1,FALSE))),$I$1),$I$1)</f>
        <v>0</v>
      </c>
      <c r="AC209" s="15">
        <f>IFERROR(IF(ISBLANK(V209),IFERROR(VLOOKUP($E209,Sheet3!$H$2:$O$200,AC$1,FALSE),IFERROR(VLOOKUP($F209,Sheet3!$H$2:$O$200,AC$1,FALSE),VLOOKUP($G209,Sheet3!$H$2:$O$200,AC$1,FALSE))),$I$1),$I$1)</f>
        <v>0</v>
      </c>
      <c r="AD209" s="15">
        <f>IFERROR(IF(ISBLANK(W209),IFERROR(VLOOKUP($E209,Sheet3!$H$2:$O$200,AD$1,FALSE),IFERROR(VLOOKUP($F209,Sheet3!$H$2:$O$200,AD$1,FALSE),VLOOKUP($G209,Sheet3!$H$2:$O$200,AD$1,FALSE))),$I$1),$I$1)</f>
        <v>0</v>
      </c>
      <c r="AE209" s="15">
        <f>IFERROR(IF(ISBLANK(X209),IFERROR(VLOOKUP($F209,Sheet3!$H$2:$O$200,AE$1,FALSE),VLOOKUP($G209,Sheet3!$H$2:$O$200,AE$1,FALSE)),$I$1),$I$1)</f>
        <v>0</v>
      </c>
      <c r="AF209" s="15">
        <f>IFERROR(IF(ISBLANK(Y209),IFERROR(VLOOKUP($F209,Sheet3!$H$2:$O$200,AF$1,FALSE),VLOOKUP($G209,Sheet3!$H$2:$O$200,AF$1,FALSE)),$I$1),$I$1)</f>
        <v>0</v>
      </c>
      <c r="AG209" s="15">
        <f>IFERROR(IF(ISBLANK(Z209),IFERROR(VLOOKUP($F209,Sheet3!$H$2:$O$200,AG$1,FALSE),VLOOKUP($G209,Sheet3!$H$2:$O$200,AG$1,FALSE)),$I$1),$I$1)</f>
        <v>0</v>
      </c>
      <c r="AH209" s="15">
        <f>IFERROR(IF(ISBLANK(AA209),IFERROR(VLOOKUP($F209,Sheet3!$H$2:$O$200,AH$1,FALSE),VLOOKUP($G209,Sheet3!$H$2:$O$200,AH$1,FALSE)),$I$1),$I$1)</f>
        <v>0</v>
      </c>
      <c r="AI209" s="15">
        <f>IFERROR(IF(ISBLANK(AB209),IFERROR(VLOOKUP($F209,Sheet3!$H$2:$O$200,AI$1,FALSE),VLOOKUP($G209,Sheet3!$H$2:$O$200,AI$1,FALSE)),$I$1),$I$1)</f>
        <v>0</v>
      </c>
      <c r="AJ209" s="15">
        <f>IFERROR(IF(ISBLANK(AC209),IFERROR(VLOOKUP($F209,Sheet3!$H$2:$O$200,AJ$1,FALSE),VLOOKUP($G209,Sheet3!$H$2:$O$200,AJ$1,FALSE)),$I$1),$I$1)</f>
        <v>0</v>
      </c>
      <c r="AK209" s="15">
        <f>IFERROR(IF(ISBLANK(AD209),IFERROR(VLOOKUP($F209,Sheet3!$H$2:$O$200,AK$1,FALSE),VLOOKUP($G209,Sheet3!$H$2:$O$200,AK$1,FALSE)),$I$1),$I$1)</f>
        <v>0</v>
      </c>
      <c r="AL209" s="15">
        <f>IFERROR(IF(ISBLANK(AE209),VLOOKUP($G209,Sheet3!$H$2:$O$200,AL$1,FALSE),$I$1),$I$1)</f>
        <v>0</v>
      </c>
      <c r="AM209" s="15">
        <f>IFERROR(IF(ISBLANK(AF209),VLOOKUP($G209,Sheet3!$H$2:$O$200,AM$1,FALSE),$I$1),$I$1)</f>
        <v>0</v>
      </c>
      <c r="AN209" s="15">
        <f>IFERROR(IF(ISBLANK(AG209),VLOOKUP($G209,Sheet3!$H$2:$O$200,AN$1,FALSE),$I$1),$I$1)</f>
        <v>0</v>
      </c>
      <c r="AO209" s="15">
        <f>IFERROR(IF(ISBLANK(AH209),VLOOKUP($G209,Sheet3!$H$2:$O$200,AO$1,FALSE),$I$1),$I$1)</f>
        <v>0</v>
      </c>
      <c r="AP209" s="15">
        <f>IFERROR(IF(ISBLANK(AI209),VLOOKUP($G209,Sheet3!$H$2:$O$200,AP$1,FALSE),$I$1),$I$1)</f>
        <v>0</v>
      </c>
      <c r="AQ209" s="15">
        <f>IFERROR(IF(ISBLANK(AJ209),VLOOKUP($G209,Sheet3!$H$2:$O$200,AQ$1,FALSE),$I$1),$I$1)</f>
        <v>0</v>
      </c>
      <c r="AR209" s="15">
        <f>IFERROR(IF(ISBLANK(AK209),VLOOKUP($G209,Sheet3!$H$2:$O$200,AR$1,FALSE),$I$1),$I$1)</f>
        <v>0</v>
      </c>
      <c r="AS209" s="15">
        <f t="shared" si="1"/>
        <v>28</v>
      </c>
      <c r="AT209" s="15" t="b">
        <f t="shared" si="2"/>
        <v>0</v>
      </c>
    </row>
    <row r="210" spans="1:46" x14ac:dyDescent="0.2">
      <c r="A210" s="19" t="s">
        <v>389</v>
      </c>
      <c r="B210" s="19"/>
      <c r="C210" s="19"/>
      <c r="D210" s="19" t="s">
        <v>126</v>
      </c>
      <c r="E210" s="19" t="s">
        <v>30</v>
      </c>
      <c r="F210" s="19"/>
      <c r="G210" s="19"/>
      <c r="H210" s="19" t="s">
        <v>389</v>
      </c>
      <c r="I210" s="15">
        <f t="shared" si="0"/>
        <v>2</v>
      </c>
      <c r="J210" s="15">
        <f>IFERROR(VLOOKUP($C210,Sheet3!$H$2:$O$200,J$1,FALSE),IFERROR(VLOOKUP($D210,Sheet3!$H$2:$O$200,J$1,FALSE),VLOOKUP($E210,Sheet3!$H$2:$O$200,J$1,FALSE)))</f>
        <v>0</v>
      </c>
      <c r="K210" s="15">
        <f>IFERROR(VLOOKUP($C210,Sheet3!$H$2:$O$200,K$1,FALSE),IFERROR(VLOOKUP($D210,Sheet3!$H$2:$O$200,K$1,FALSE),VLOOKUP($E210,Sheet3!$H$2:$O$200,K$1,FALSE)))</f>
        <v>0</v>
      </c>
      <c r="L210" s="15" t="str">
        <f>IFERROR(VLOOKUP($C210,Sheet3!$H$2:$O$200,L$1,FALSE),IFERROR(VLOOKUP($D210,Sheet3!$H$2:$O$200,L$1,FALSE),VLOOKUP($E210,Sheet3!$H$2:$O$200,L$1,FALSE)))</f>
        <v>orange juice</v>
      </c>
      <c r="M210" s="15">
        <f>IFERROR(VLOOKUP($C210,Sheet3!$H$2:$O$200,M$1,FALSE),IFERROR(VLOOKUP($D210,Sheet3!$H$2:$O$200,M$1,FALSE),VLOOKUP($E210,Sheet3!$H$2:$O$200,M$1,FALSE)))</f>
        <v>0</v>
      </c>
      <c r="N210" s="15">
        <f>IFERROR(VLOOKUP($C210,Sheet3!$H$2:$O$200,N$1,FALSE),IFERROR(VLOOKUP($D210,Sheet3!$H$2:$O$200,N$1,FALSE),VLOOKUP($E210,Sheet3!$H$2:$O$200,N$1,FALSE)))</f>
        <v>0</v>
      </c>
      <c r="O210" s="15">
        <f>IFERROR(VLOOKUP($C210,Sheet3!$H$2:$O$200,O$1,FALSE),IFERROR(VLOOKUP($D210,Sheet3!$H$2:$O$200,O$1,FALSE),VLOOKUP($E210,Sheet3!$H$2:$O$200,O$1,FALSE)))</f>
        <v>0</v>
      </c>
      <c r="P210" s="15">
        <f>IFERROR(VLOOKUP($C210,Sheet3!$H$2:$O$200,P$1,FALSE),IFERROR(VLOOKUP($D210,Sheet3!$H$2:$O$200,P$1,FALSE),VLOOKUP($E210,Sheet3!$H$2:$O$200,P$1,FALSE)))</f>
        <v>0</v>
      </c>
      <c r="Q210" s="15">
        <f>IFERROR(IF(ISBLANK(J210),IFERROR(VLOOKUP($D210,Sheet3!$H$2:$O$200,Q$1,FALSE),IFERROR(VLOOKUP($E210,Sheet3!$H$2:$O$200,Q$1,FALSE),VLOOKUP($F210,Sheet3!$H$2:$O$200,Q$1,FALSE))),$I$1),$I$1)</f>
        <v>0</v>
      </c>
      <c r="R210" s="15">
        <f>IFERROR(IF(ISBLANK(K210),IFERROR(VLOOKUP($D210,Sheet3!$H$2:$O$200,R$1,FALSE),IFERROR(VLOOKUP($E210,Sheet3!$H$2:$O$200,R$1,FALSE),VLOOKUP($F210,Sheet3!$H$2:$O$200,R$1,FALSE))),$I$1),$I$1)</f>
        <v>0</v>
      </c>
      <c r="S210" s="15">
        <f>IFERROR(IF(ISBLANK(L210),IFERROR(VLOOKUP($D210,Sheet3!$H$2:$O$200,S$1,FALSE),IFERROR(VLOOKUP($E210,Sheet3!$H$2:$O$200,S$1,FALSE),VLOOKUP($F210,Sheet3!$H$2:$O$200,S$1,FALSE))),$I$1),$I$1)</f>
        <v>0</v>
      </c>
      <c r="T210" s="15">
        <f>IFERROR(IF(ISBLANK(M210),IFERROR(VLOOKUP($D210,Sheet3!$H$2:$O$200,T$1,FALSE),IFERROR(VLOOKUP($E210,Sheet3!$H$2:$O$200,T$1,FALSE),VLOOKUP($F210,Sheet3!$H$2:$O$200,T$1,FALSE))),$I$1),$I$1)</f>
        <v>0</v>
      </c>
      <c r="U210" s="15">
        <f>IFERROR(IF(ISBLANK(N210),IFERROR(VLOOKUP($D210,Sheet3!$H$2:$O$200,U$1,FALSE),IFERROR(VLOOKUP($E210,Sheet3!$H$2:$O$200,U$1,FALSE),VLOOKUP($F210,Sheet3!$H$2:$O$200,U$1,FALSE))),$I$1),$I$1)</f>
        <v>0</v>
      </c>
      <c r="V210" s="15">
        <f>IFERROR(IF(ISBLANK(O210),IFERROR(VLOOKUP($D210,Sheet3!$H$2:$O$200,V$1,FALSE),IFERROR(VLOOKUP($E210,Sheet3!$H$2:$O$200,V$1,FALSE),VLOOKUP($F210,Sheet3!$H$2:$O$200,V$1,FALSE))),$I$1),$I$1)</f>
        <v>0</v>
      </c>
      <c r="W210" s="15">
        <f>IFERROR(IF(ISBLANK(P210),IFERROR(VLOOKUP($D210,Sheet3!$H$2:$O$200,W$1,FALSE),IFERROR(VLOOKUP($E210,Sheet3!$H$2:$O$200,W$1,FALSE),VLOOKUP($F210,Sheet3!$H$2:$O$200,W$1,FALSE))),$I$1),$I$1)</f>
        <v>0</v>
      </c>
      <c r="X210" s="15">
        <f>IFERROR(IF(ISBLANK(Q210),IFERROR(VLOOKUP($E210,Sheet3!$H$2:$O$200,X$1,FALSE),IFERROR(VLOOKUP($F210,Sheet3!$H$2:$O$200,X$1,FALSE),VLOOKUP($G210,Sheet3!$H$2:$O$200,X$1,FALSE))),$I$1),$I$1)</f>
        <v>0</v>
      </c>
      <c r="Y210" s="15">
        <f>IFERROR(IF(ISBLANK(R210),IFERROR(VLOOKUP($E210,Sheet3!$H$2:$O$200,Y$1,FALSE),IFERROR(VLOOKUP($F210,Sheet3!$H$2:$O$200,Y$1,FALSE),VLOOKUP($G210,Sheet3!$H$2:$O$200,Y$1,FALSE))),$I$1),$I$1)</f>
        <v>0</v>
      </c>
      <c r="Z210" s="15">
        <f>IFERROR(IF(ISBLANK(S210),IFERROR(VLOOKUP($E210,Sheet3!$H$2:$O$200,Z$1,FALSE),IFERROR(VLOOKUP($F210,Sheet3!$H$2:$O$200,Z$1,FALSE),VLOOKUP($G210,Sheet3!$H$2:$O$200,Z$1,FALSE))),$I$1),$I$1)</f>
        <v>0</v>
      </c>
      <c r="AA210" s="15">
        <f>IFERROR(IF(ISBLANK(T210),IFERROR(VLOOKUP($E210,Sheet3!$H$2:$O$200,AA$1,FALSE),IFERROR(VLOOKUP($F210,Sheet3!$H$2:$O$200,AA$1,FALSE),VLOOKUP($G210,Sheet3!$H$2:$O$200,AA$1,FALSE))),$I$1),$I$1)</f>
        <v>0</v>
      </c>
      <c r="AB210" s="15">
        <f>IFERROR(IF(ISBLANK(U210),IFERROR(VLOOKUP($E210,Sheet3!$H$2:$O$200,AB$1,FALSE),IFERROR(VLOOKUP($F210,Sheet3!$H$2:$O$200,AB$1,FALSE),VLOOKUP($G210,Sheet3!$H$2:$O$200,AB$1,FALSE))),$I$1),$I$1)</f>
        <v>0</v>
      </c>
      <c r="AC210" s="15">
        <f>IFERROR(IF(ISBLANK(V210),IFERROR(VLOOKUP($E210,Sheet3!$H$2:$O$200,AC$1,FALSE),IFERROR(VLOOKUP($F210,Sheet3!$H$2:$O$200,AC$1,FALSE),VLOOKUP($G210,Sheet3!$H$2:$O$200,AC$1,FALSE))),$I$1),$I$1)</f>
        <v>0</v>
      </c>
      <c r="AD210" s="15">
        <f>IFERROR(IF(ISBLANK(W210),IFERROR(VLOOKUP($E210,Sheet3!$H$2:$O$200,AD$1,FALSE),IFERROR(VLOOKUP($F210,Sheet3!$H$2:$O$200,AD$1,FALSE),VLOOKUP($G210,Sheet3!$H$2:$O$200,AD$1,FALSE))),$I$1),$I$1)</f>
        <v>0</v>
      </c>
      <c r="AE210" s="15">
        <f>IFERROR(IF(ISBLANK(X210),IFERROR(VLOOKUP($F210,Sheet3!$H$2:$O$200,AE$1,FALSE),VLOOKUP($G210,Sheet3!$H$2:$O$200,AE$1,FALSE)),$I$1),$I$1)</f>
        <v>0</v>
      </c>
      <c r="AF210" s="15">
        <f>IFERROR(IF(ISBLANK(Y210),IFERROR(VLOOKUP($F210,Sheet3!$H$2:$O$200,AF$1,FALSE),VLOOKUP($G210,Sheet3!$H$2:$O$200,AF$1,FALSE)),$I$1),$I$1)</f>
        <v>0</v>
      </c>
      <c r="AG210" s="15">
        <f>IFERROR(IF(ISBLANK(Z210),IFERROR(VLOOKUP($F210,Sheet3!$H$2:$O$200,AG$1,FALSE),VLOOKUP($G210,Sheet3!$H$2:$O$200,AG$1,FALSE)),$I$1),$I$1)</f>
        <v>0</v>
      </c>
      <c r="AH210" s="15">
        <f>IFERROR(IF(ISBLANK(AA210),IFERROR(VLOOKUP($F210,Sheet3!$H$2:$O$200,AH$1,FALSE),VLOOKUP($G210,Sheet3!$H$2:$O$200,AH$1,FALSE)),$I$1),$I$1)</f>
        <v>0</v>
      </c>
      <c r="AI210" s="15">
        <f>IFERROR(IF(ISBLANK(AB210),IFERROR(VLOOKUP($F210,Sheet3!$H$2:$O$200,AI$1,FALSE),VLOOKUP($G210,Sheet3!$H$2:$O$200,AI$1,FALSE)),$I$1),$I$1)</f>
        <v>0</v>
      </c>
      <c r="AJ210" s="15">
        <f>IFERROR(IF(ISBLANK(AC210),IFERROR(VLOOKUP($F210,Sheet3!$H$2:$O$200,AJ$1,FALSE),VLOOKUP($G210,Sheet3!$H$2:$O$200,AJ$1,FALSE)),$I$1),$I$1)</f>
        <v>0</v>
      </c>
      <c r="AK210" s="15">
        <f>IFERROR(IF(ISBLANK(AD210),IFERROR(VLOOKUP($F210,Sheet3!$H$2:$O$200,AK$1,FALSE),VLOOKUP($G210,Sheet3!$H$2:$O$200,AK$1,FALSE)),$I$1),$I$1)</f>
        <v>0</v>
      </c>
      <c r="AL210" s="15">
        <f>IFERROR(IF(ISBLANK(AE210),VLOOKUP($G210,Sheet3!$H$2:$O$200,AL$1,FALSE),$I$1),$I$1)</f>
        <v>0</v>
      </c>
      <c r="AM210" s="15">
        <f>IFERROR(IF(ISBLANK(AF210),VLOOKUP($G210,Sheet3!$H$2:$O$200,AM$1,FALSE),$I$1),$I$1)</f>
        <v>0</v>
      </c>
      <c r="AN210" s="15">
        <f>IFERROR(IF(ISBLANK(AG210),VLOOKUP($G210,Sheet3!$H$2:$O$200,AN$1,FALSE),$I$1),$I$1)</f>
        <v>0</v>
      </c>
      <c r="AO210" s="15">
        <f>IFERROR(IF(ISBLANK(AH210),VLOOKUP($G210,Sheet3!$H$2:$O$200,AO$1,FALSE),$I$1),$I$1)</f>
        <v>0</v>
      </c>
      <c r="AP210" s="15">
        <f>IFERROR(IF(ISBLANK(AI210),VLOOKUP($G210,Sheet3!$H$2:$O$200,AP$1,FALSE),$I$1),$I$1)</f>
        <v>0</v>
      </c>
      <c r="AQ210" s="15">
        <f>IFERROR(IF(ISBLANK(AJ210),VLOOKUP($G210,Sheet3!$H$2:$O$200,AQ$1,FALSE),$I$1),$I$1)</f>
        <v>0</v>
      </c>
      <c r="AR210" s="15">
        <f>IFERROR(IF(ISBLANK(AK210),VLOOKUP($G210,Sheet3!$H$2:$O$200,AR$1,FALSE),$I$1),$I$1)</f>
        <v>0</v>
      </c>
      <c r="AS210" s="15">
        <f t="shared" si="1"/>
        <v>28</v>
      </c>
      <c r="AT210" s="15" t="b">
        <f t="shared" si="2"/>
        <v>0</v>
      </c>
    </row>
    <row r="211" spans="1:46" x14ac:dyDescent="0.2">
      <c r="A211" s="19" t="s">
        <v>390</v>
      </c>
      <c r="B211" s="19"/>
      <c r="C211" s="19" t="s">
        <v>60</v>
      </c>
      <c r="D211" s="19" t="s">
        <v>90</v>
      </c>
      <c r="E211" s="19" t="s">
        <v>282</v>
      </c>
      <c r="F211" s="19"/>
      <c r="G211" s="19"/>
      <c r="H211" s="19" t="s">
        <v>390</v>
      </c>
      <c r="I211" s="15">
        <f t="shared" si="0"/>
        <v>3</v>
      </c>
      <c r="J211" s="15">
        <f>IFERROR(VLOOKUP($C211,Sheet3!$H$2:$O$200,J$1,FALSE),IFERROR(VLOOKUP($D211,Sheet3!$H$2:$O$200,J$1,FALSE),VLOOKUP($E211,Sheet3!$H$2:$O$200,J$1,FALSE)))</f>
        <v>0</v>
      </c>
      <c r="K211" s="15">
        <f>IFERROR(VLOOKUP($C211,Sheet3!$H$2:$O$200,K$1,FALSE),IFERROR(VLOOKUP($D211,Sheet3!$H$2:$O$200,K$1,FALSE),VLOOKUP($E211,Sheet3!$H$2:$O$200,K$1,FALSE)))</f>
        <v>0</v>
      </c>
      <c r="L211" s="15">
        <f>IFERROR(VLOOKUP($C211,Sheet3!$H$2:$O$200,L$1,FALSE),IFERROR(VLOOKUP($D211,Sheet3!$H$2:$O$200,L$1,FALSE),VLOOKUP($E211,Sheet3!$H$2:$O$200,L$1,FALSE)))</f>
        <v>0</v>
      </c>
      <c r="M211" s="15" t="str">
        <f>IFERROR(VLOOKUP($C211,Sheet3!$H$2:$O$200,M$1,FALSE),IFERROR(VLOOKUP($D211,Sheet3!$H$2:$O$200,M$1,FALSE),VLOOKUP($E211,Sheet3!$H$2:$O$200,M$1,FALSE)))</f>
        <v>apricot brandy</v>
      </c>
      <c r="N211" s="15">
        <f>IFERROR(VLOOKUP($C211,Sheet3!$H$2:$O$200,N$1,FALSE),IFERROR(VLOOKUP($D211,Sheet3!$H$2:$O$200,N$1,FALSE),VLOOKUP($E211,Sheet3!$H$2:$O$200,N$1,FALSE)))</f>
        <v>0</v>
      </c>
      <c r="O211" s="15">
        <f>IFERROR(VLOOKUP($C211,Sheet3!$H$2:$O$200,O$1,FALSE),IFERROR(VLOOKUP($D211,Sheet3!$H$2:$O$200,O$1,FALSE),VLOOKUP($E211,Sheet3!$H$2:$O$200,O$1,FALSE)))</f>
        <v>0</v>
      </c>
      <c r="P211" s="15">
        <f>IFERROR(VLOOKUP($C211,Sheet3!$H$2:$O$200,P$1,FALSE),IFERROR(VLOOKUP($D211,Sheet3!$H$2:$O$200,P$1,FALSE),VLOOKUP($E211,Sheet3!$H$2:$O$200,P$1,FALSE)))</f>
        <v>0</v>
      </c>
      <c r="Q211" s="15">
        <f>IFERROR(IF(ISBLANK(J211),IFERROR(VLOOKUP($D211,Sheet3!$H$2:$O$200,Q$1,FALSE),IFERROR(VLOOKUP($E211,Sheet3!$H$2:$O$200,Q$1,FALSE),VLOOKUP($F211,Sheet3!$H$2:$O$200,Q$1,FALSE))),$I$1),$I$1)</f>
        <v>0</v>
      </c>
      <c r="R211" s="15">
        <f>IFERROR(IF(ISBLANK(K211),IFERROR(VLOOKUP($D211,Sheet3!$H$2:$O$200,R$1,FALSE),IFERROR(VLOOKUP($E211,Sheet3!$H$2:$O$200,R$1,FALSE),VLOOKUP($F211,Sheet3!$H$2:$O$200,R$1,FALSE))),$I$1),$I$1)</f>
        <v>0</v>
      </c>
      <c r="S211" s="15">
        <f>IFERROR(IF(ISBLANK(L211),IFERROR(VLOOKUP($D211,Sheet3!$H$2:$O$200,S$1,FALSE),IFERROR(VLOOKUP($E211,Sheet3!$H$2:$O$200,S$1,FALSE),VLOOKUP($F211,Sheet3!$H$2:$O$200,S$1,FALSE))),$I$1),$I$1)</f>
        <v>0</v>
      </c>
      <c r="T211" s="15">
        <f>IFERROR(IF(ISBLANK(M211),IFERROR(VLOOKUP($D211,Sheet3!$H$2:$O$200,T$1,FALSE),IFERROR(VLOOKUP($E211,Sheet3!$H$2:$O$200,T$1,FALSE),VLOOKUP($F211,Sheet3!$H$2:$O$200,T$1,FALSE))),$I$1),$I$1)</f>
        <v>0</v>
      </c>
      <c r="U211" s="15">
        <f>IFERROR(IF(ISBLANK(N211),IFERROR(VLOOKUP($D211,Sheet3!$H$2:$O$200,U$1,FALSE),IFERROR(VLOOKUP($E211,Sheet3!$H$2:$O$200,U$1,FALSE),VLOOKUP($F211,Sheet3!$H$2:$O$200,U$1,FALSE))),$I$1),$I$1)</f>
        <v>0</v>
      </c>
      <c r="V211" s="15">
        <f>IFERROR(IF(ISBLANK(O211),IFERROR(VLOOKUP($D211,Sheet3!$H$2:$O$200,V$1,FALSE),IFERROR(VLOOKUP($E211,Sheet3!$H$2:$O$200,V$1,FALSE),VLOOKUP($F211,Sheet3!$H$2:$O$200,V$1,FALSE))),$I$1),$I$1)</f>
        <v>0</v>
      </c>
      <c r="W211" s="15">
        <f>IFERROR(IF(ISBLANK(P211),IFERROR(VLOOKUP($D211,Sheet3!$H$2:$O$200,W$1,FALSE),IFERROR(VLOOKUP($E211,Sheet3!$H$2:$O$200,W$1,FALSE),VLOOKUP($F211,Sheet3!$H$2:$O$200,W$1,FALSE))),$I$1),$I$1)</f>
        <v>0</v>
      </c>
      <c r="X211" s="15">
        <f>IFERROR(IF(ISBLANK(Q211),IFERROR(VLOOKUP($E211,Sheet3!$H$2:$O$200,X$1,FALSE),IFERROR(VLOOKUP($F211,Sheet3!$H$2:$O$200,X$1,FALSE),VLOOKUP($G211,Sheet3!$H$2:$O$200,X$1,FALSE))),$I$1),$I$1)</f>
        <v>0</v>
      </c>
      <c r="Y211" s="15">
        <f>IFERROR(IF(ISBLANK(R211),IFERROR(VLOOKUP($E211,Sheet3!$H$2:$O$200,Y$1,FALSE),IFERROR(VLOOKUP($F211,Sheet3!$H$2:$O$200,Y$1,FALSE),VLOOKUP($G211,Sheet3!$H$2:$O$200,Y$1,FALSE))),$I$1),$I$1)</f>
        <v>0</v>
      </c>
      <c r="Z211" s="15">
        <f>IFERROR(IF(ISBLANK(S211),IFERROR(VLOOKUP($E211,Sheet3!$H$2:$O$200,Z$1,FALSE),IFERROR(VLOOKUP($F211,Sheet3!$H$2:$O$200,Z$1,FALSE),VLOOKUP($G211,Sheet3!$H$2:$O$200,Z$1,FALSE))),$I$1),$I$1)</f>
        <v>0</v>
      </c>
      <c r="AA211" s="15">
        <f>IFERROR(IF(ISBLANK(T211),IFERROR(VLOOKUP($E211,Sheet3!$H$2:$O$200,AA$1,FALSE),IFERROR(VLOOKUP($F211,Sheet3!$H$2:$O$200,AA$1,FALSE),VLOOKUP($G211,Sheet3!$H$2:$O$200,AA$1,FALSE))),$I$1),$I$1)</f>
        <v>0</v>
      </c>
      <c r="AB211" s="15">
        <f>IFERROR(IF(ISBLANK(U211),IFERROR(VLOOKUP($E211,Sheet3!$H$2:$O$200,AB$1,FALSE),IFERROR(VLOOKUP($F211,Sheet3!$H$2:$O$200,AB$1,FALSE),VLOOKUP($G211,Sheet3!$H$2:$O$200,AB$1,FALSE))),$I$1),$I$1)</f>
        <v>0</v>
      </c>
      <c r="AC211" s="15">
        <f>IFERROR(IF(ISBLANK(V211),IFERROR(VLOOKUP($E211,Sheet3!$H$2:$O$200,AC$1,FALSE),IFERROR(VLOOKUP($F211,Sheet3!$H$2:$O$200,AC$1,FALSE),VLOOKUP($G211,Sheet3!$H$2:$O$200,AC$1,FALSE))),$I$1),$I$1)</f>
        <v>0</v>
      </c>
      <c r="AD211" s="15">
        <f>IFERROR(IF(ISBLANK(W211),IFERROR(VLOOKUP($E211,Sheet3!$H$2:$O$200,AD$1,FALSE),IFERROR(VLOOKUP($F211,Sheet3!$H$2:$O$200,AD$1,FALSE),VLOOKUP($G211,Sheet3!$H$2:$O$200,AD$1,FALSE))),$I$1),$I$1)</f>
        <v>0</v>
      </c>
      <c r="AE211" s="15">
        <f>IFERROR(IF(ISBLANK(X211),IFERROR(VLOOKUP($F211,Sheet3!$H$2:$O$200,AE$1,FALSE),VLOOKUP($G211,Sheet3!$H$2:$O$200,AE$1,FALSE)),$I$1),$I$1)</f>
        <v>0</v>
      </c>
      <c r="AF211" s="15">
        <f>IFERROR(IF(ISBLANK(Y211),IFERROR(VLOOKUP($F211,Sheet3!$H$2:$O$200,AF$1,FALSE),VLOOKUP($G211,Sheet3!$H$2:$O$200,AF$1,FALSE)),$I$1),$I$1)</f>
        <v>0</v>
      </c>
      <c r="AG211" s="15">
        <f>IFERROR(IF(ISBLANK(Z211),IFERROR(VLOOKUP($F211,Sheet3!$H$2:$O$200,AG$1,FALSE),VLOOKUP($G211,Sheet3!$H$2:$O$200,AG$1,FALSE)),$I$1),$I$1)</f>
        <v>0</v>
      </c>
      <c r="AH211" s="15">
        <f>IFERROR(IF(ISBLANK(AA211),IFERROR(VLOOKUP($F211,Sheet3!$H$2:$O$200,AH$1,FALSE),VLOOKUP($G211,Sheet3!$H$2:$O$200,AH$1,FALSE)),$I$1),$I$1)</f>
        <v>0</v>
      </c>
      <c r="AI211" s="15">
        <f>IFERROR(IF(ISBLANK(AB211),IFERROR(VLOOKUP($F211,Sheet3!$H$2:$O$200,AI$1,FALSE),VLOOKUP($G211,Sheet3!$H$2:$O$200,AI$1,FALSE)),$I$1),$I$1)</f>
        <v>0</v>
      </c>
      <c r="AJ211" s="15">
        <f>IFERROR(IF(ISBLANK(AC211),IFERROR(VLOOKUP($F211,Sheet3!$H$2:$O$200,AJ$1,FALSE),VLOOKUP($G211,Sheet3!$H$2:$O$200,AJ$1,FALSE)),$I$1),$I$1)</f>
        <v>0</v>
      </c>
      <c r="AK211" s="15">
        <f>IFERROR(IF(ISBLANK(AD211),IFERROR(VLOOKUP($F211,Sheet3!$H$2:$O$200,AK$1,FALSE),VLOOKUP($G211,Sheet3!$H$2:$O$200,AK$1,FALSE)),$I$1),$I$1)</f>
        <v>0</v>
      </c>
      <c r="AL211" s="15">
        <f>IFERROR(IF(ISBLANK(AE211),VLOOKUP($G211,Sheet3!$H$2:$O$200,AL$1,FALSE),$I$1),$I$1)</f>
        <v>0</v>
      </c>
      <c r="AM211" s="15">
        <f>IFERROR(IF(ISBLANK(AF211),VLOOKUP($G211,Sheet3!$H$2:$O$200,AM$1,FALSE),$I$1),$I$1)</f>
        <v>0</v>
      </c>
      <c r="AN211" s="15">
        <f>IFERROR(IF(ISBLANK(AG211),VLOOKUP($G211,Sheet3!$H$2:$O$200,AN$1,FALSE),$I$1),$I$1)</f>
        <v>0</v>
      </c>
      <c r="AO211" s="15">
        <f>IFERROR(IF(ISBLANK(AH211),VLOOKUP($G211,Sheet3!$H$2:$O$200,AO$1,FALSE),$I$1),$I$1)</f>
        <v>0</v>
      </c>
      <c r="AP211" s="15">
        <f>IFERROR(IF(ISBLANK(AI211),VLOOKUP($G211,Sheet3!$H$2:$O$200,AP$1,FALSE),$I$1),$I$1)</f>
        <v>0</v>
      </c>
      <c r="AQ211" s="15">
        <f>IFERROR(IF(ISBLANK(AJ211),VLOOKUP($G211,Sheet3!$H$2:$O$200,AQ$1,FALSE),$I$1),$I$1)</f>
        <v>0</v>
      </c>
      <c r="AR211" s="15">
        <f>IFERROR(IF(ISBLANK(AK211),VLOOKUP($G211,Sheet3!$H$2:$O$200,AR$1,FALSE),$I$1),$I$1)</f>
        <v>0</v>
      </c>
      <c r="AS211" s="15">
        <f t="shared" si="1"/>
        <v>28</v>
      </c>
      <c r="AT211" s="15" t="b">
        <f t="shared" si="2"/>
        <v>0</v>
      </c>
    </row>
  </sheetData>
  <autoFilter ref="AT2:AT21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B253"/>
  <sheetViews>
    <sheetView workbookViewId="0"/>
  </sheetViews>
  <sheetFormatPr baseColWidth="10" defaultColWidth="14.5" defaultRowHeight="15" customHeight="1" x14ac:dyDescent="0.2"/>
  <cols>
    <col min="10" max="44" width="14.5" hidden="1"/>
  </cols>
  <sheetData>
    <row r="1" spans="1:54" x14ac:dyDescent="0.2">
      <c r="A1" s="31"/>
      <c r="B1" s="31"/>
      <c r="C1" s="32"/>
      <c r="D1" s="32"/>
      <c r="E1" s="32"/>
      <c r="F1" s="32"/>
      <c r="G1" s="32"/>
      <c r="H1" s="31"/>
      <c r="J1" s="11">
        <v>2</v>
      </c>
      <c r="K1" s="11">
        <v>3</v>
      </c>
      <c r="L1" s="11">
        <v>4</v>
      </c>
      <c r="M1" s="11">
        <v>5</v>
      </c>
      <c r="N1" s="11">
        <v>6</v>
      </c>
      <c r="O1" s="11">
        <v>7</v>
      </c>
      <c r="P1" s="11">
        <v>8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2</v>
      </c>
      <c r="Y1" s="11">
        <v>3</v>
      </c>
      <c r="Z1" s="11">
        <v>4</v>
      </c>
      <c r="AA1" s="11">
        <v>5</v>
      </c>
      <c r="AB1" s="11">
        <v>6</v>
      </c>
      <c r="AC1" s="11">
        <v>7</v>
      </c>
      <c r="AD1" s="11">
        <v>8</v>
      </c>
      <c r="AE1" s="11">
        <v>2</v>
      </c>
      <c r="AF1" s="11">
        <v>3</v>
      </c>
      <c r="AG1" s="11">
        <v>4</v>
      </c>
      <c r="AH1" s="11">
        <v>5</v>
      </c>
      <c r="AI1" s="11">
        <v>6</v>
      </c>
      <c r="AJ1" s="11">
        <v>7</v>
      </c>
      <c r="AK1" s="11">
        <v>8</v>
      </c>
      <c r="AL1" s="11">
        <v>2</v>
      </c>
      <c r="AM1" s="11">
        <v>3</v>
      </c>
      <c r="AN1" s="11">
        <v>4</v>
      </c>
      <c r="AO1" s="11">
        <v>5</v>
      </c>
      <c r="AP1" s="11">
        <v>6</v>
      </c>
      <c r="AQ1" s="11">
        <v>7</v>
      </c>
      <c r="AR1" s="11">
        <v>8</v>
      </c>
      <c r="AS1" s="11"/>
      <c r="AT1" s="11"/>
      <c r="AU1" s="11"/>
      <c r="AV1" s="11"/>
      <c r="AW1" s="11"/>
      <c r="AX1" s="11"/>
      <c r="AY1" s="11"/>
      <c r="AZ1" s="11"/>
    </row>
    <row r="2" spans="1:54" x14ac:dyDescent="0.2">
      <c r="A2" s="16" t="s">
        <v>11</v>
      </c>
      <c r="B2" s="16" t="s">
        <v>1</v>
      </c>
      <c r="C2" s="17" t="s">
        <v>12</v>
      </c>
      <c r="D2" s="17" t="s">
        <v>13</v>
      </c>
      <c r="E2" s="17" t="s">
        <v>14</v>
      </c>
      <c r="F2" s="17" t="s">
        <v>15</v>
      </c>
      <c r="G2" s="17" t="s">
        <v>16</v>
      </c>
      <c r="H2" s="16" t="s">
        <v>11</v>
      </c>
      <c r="I2" s="11"/>
      <c r="J2" s="11" t="s">
        <v>6</v>
      </c>
      <c r="K2" s="11" t="s">
        <v>4</v>
      </c>
      <c r="L2" s="11" t="s">
        <v>3</v>
      </c>
      <c r="M2" s="11" t="s">
        <v>2</v>
      </c>
      <c r="N2" s="11" t="s">
        <v>5</v>
      </c>
      <c r="O2" s="11" t="s">
        <v>7</v>
      </c>
      <c r="P2" s="11" t="s">
        <v>8</v>
      </c>
      <c r="Q2" s="11" t="s">
        <v>6</v>
      </c>
      <c r="R2" s="11" t="s">
        <v>4</v>
      </c>
      <c r="S2" s="11" t="s">
        <v>3</v>
      </c>
      <c r="T2" s="11" t="s">
        <v>2</v>
      </c>
      <c r="U2" s="11" t="s">
        <v>5</v>
      </c>
      <c r="V2" s="11" t="s">
        <v>7</v>
      </c>
      <c r="W2" s="11" t="s">
        <v>8</v>
      </c>
      <c r="X2" s="11" t="s">
        <v>6</v>
      </c>
      <c r="Y2" s="11" t="s">
        <v>4</v>
      </c>
      <c r="Z2" s="11" t="s">
        <v>3</v>
      </c>
      <c r="AA2" s="11" t="s">
        <v>2</v>
      </c>
      <c r="AB2" s="11" t="s">
        <v>5</v>
      </c>
      <c r="AC2" s="11" t="s">
        <v>7</v>
      </c>
      <c r="AD2" s="11" t="s">
        <v>8</v>
      </c>
      <c r="AE2" s="11" t="s">
        <v>6</v>
      </c>
      <c r="AF2" s="11" t="s">
        <v>4</v>
      </c>
      <c r="AG2" s="11" t="s">
        <v>3</v>
      </c>
      <c r="AH2" s="11" t="s">
        <v>2</v>
      </c>
      <c r="AI2" s="11" t="s">
        <v>5</v>
      </c>
      <c r="AJ2" s="11" t="s">
        <v>7</v>
      </c>
      <c r="AK2" s="11" t="s">
        <v>8</v>
      </c>
      <c r="AL2" s="11" t="s">
        <v>6</v>
      </c>
      <c r="AM2" s="11" t="s">
        <v>4</v>
      </c>
      <c r="AN2" s="11" t="s">
        <v>3</v>
      </c>
      <c r="AO2" s="11" t="s">
        <v>2</v>
      </c>
      <c r="AP2" s="11" t="s">
        <v>5</v>
      </c>
      <c r="AQ2" s="11" t="s">
        <v>7</v>
      </c>
      <c r="AR2" s="11" t="s">
        <v>8</v>
      </c>
      <c r="AS2" s="11" t="s">
        <v>6</v>
      </c>
      <c r="AT2" s="11" t="s">
        <v>4</v>
      </c>
      <c r="AU2" s="11" t="s">
        <v>3</v>
      </c>
      <c r="AV2" s="11" t="s">
        <v>2</v>
      </c>
      <c r="AW2" s="11" t="s">
        <v>5</v>
      </c>
      <c r="AX2" s="11" t="s">
        <v>7</v>
      </c>
      <c r="AY2" s="11" t="s">
        <v>8</v>
      </c>
      <c r="AZ2" s="11" t="s">
        <v>9</v>
      </c>
      <c r="BB2" s="11" t="s">
        <v>517</v>
      </c>
    </row>
    <row r="3" spans="1:54" x14ac:dyDescent="0.2">
      <c r="A3" s="19" t="s">
        <v>29</v>
      </c>
      <c r="B3" s="19" t="s">
        <v>30</v>
      </c>
      <c r="C3" s="19" t="s">
        <v>31</v>
      </c>
      <c r="D3" s="19"/>
      <c r="E3" s="19" t="s">
        <v>32</v>
      </c>
      <c r="F3" s="19"/>
      <c r="G3" s="19"/>
      <c r="H3" s="19" t="s">
        <v>29</v>
      </c>
      <c r="I3" s="15">
        <v>2</v>
      </c>
      <c r="M3" s="15" t="str">
        <f>IFERROR(VLOOKUP($C3,Sheet3!$H$2:$O$200,M$1,FALSE),IFERROR(VLOOKUP($D3,Sheet3!$H$2:$O$200,M$1,FALSE),VLOOKUP($E3,Sheet3!$H$2:$O$200,M$1,FALSE)))</f>
        <v>white crème de cacao</v>
      </c>
      <c r="N3" s="15">
        <f>IFERROR(VLOOKUP($C3,Sheet3!$H$2:$O$200,N$1,FALSE),IFERROR(VLOOKUP($D3,Sheet3!$H$2:$O$200,N$1,FALSE),VLOOKUP($E3,Sheet3!$H$2:$O$200,N$1,FALSE)))</f>
        <v>0</v>
      </c>
      <c r="O3" s="15">
        <f>IFERROR(VLOOKUP($C3,Sheet3!$H$2:$O$200,O$1,FALSE),IFERROR(VLOOKUP($D3,Sheet3!$H$2:$O$200,O$1,FALSE),VLOOKUP($E3,Sheet3!$H$2:$O$200,O$1,FALSE)))</f>
        <v>0</v>
      </c>
      <c r="P3" s="15">
        <f>IFERROR(VLOOKUP($C3,Sheet3!$H$2:$O$200,P$1,FALSE),IFERROR(VLOOKUP($D3,Sheet3!$H$2:$O$200,P$1,FALSE),VLOOKUP($E3,Sheet3!$H$2:$O$200,P$1,FALSE)))</f>
        <v>0</v>
      </c>
      <c r="Q3" s="15">
        <f>IFERROR(IF(ISBLANK(J3),IFERROR(VLOOKUP($D3,Sheet3!$H$2:$O$200,Q$1,FALSE),IFERROR(VLOOKUP($E3,Sheet3!$H$2:$O$200,Q$1,FALSE),VLOOKUP($F3,Sheet3!$H$2:$O$200,Q$1,FALSE))),$I$1),$I$1)</f>
        <v>0</v>
      </c>
      <c r="R3" s="15" t="str">
        <f>IFERROR(IF(ISBLANK(K3),IFERROR(VLOOKUP($D3,Sheet3!$H$2:$O$200,R$1,FALSE),IFERROR(VLOOKUP($E3,Sheet3!$H$2:$O$200,R$1,FALSE),VLOOKUP($F3,Sheet3!$H$2:$O$200,R$1,FALSE))),$I$1),$I$1)</f>
        <v>cream</v>
      </c>
      <c r="S3" s="15">
        <f>IFERROR(IF(ISBLANK(L3),IFERROR(VLOOKUP($D3,Sheet3!$H$2:$O$200,S$1,FALSE),IFERROR(VLOOKUP($E3,Sheet3!$H$2:$O$200,S$1,FALSE),VLOOKUP($F3,Sheet3!$H$2:$O$200,S$1,FALSE))),$I$1),$I$1)</f>
        <v>0</v>
      </c>
      <c r="T3" s="15">
        <f>IFERROR(IF(ISBLANK(M3),IFERROR(VLOOKUP($D3,Sheet3!$H$2:$O$200,T$1,FALSE),IFERROR(VLOOKUP($E3,Sheet3!$H$2:$O$200,T$1,FALSE),VLOOKUP($F3,Sheet3!$H$2:$O$200,T$1,FALSE))),$I$1),$I$1)</f>
        <v>0</v>
      </c>
      <c r="U3" s="15">
        <f>IFERROR(IF(ISBLANK(N3),IFERROR(VLOOKUP($D3,Sheet3!$H$2:$O$200,U$1,FALSE),IFERROR(VLOOKUP($E3,Sheet3!$H$2:$O$200,U$1,FALSE),VLOOKUP($F3,Sheet3!$H$2:$O$200,U$1,FALSE))),$I$1),$I$1)</f>
        <v>0</v>
      </c>
      <c r="V3" s="15">
        <f>IFERROR(IF(ISBLANK(O3),IFERROR(VLOOKUP($D3,Sheet3!$H$2:$O$200,V$1,FALSE),IFERROR(VLOOKUP($E3,Sheet3!$H$2:$O$200,V$1,FALSE),VLOOKUP($F3,Sheet3!$H$2:$O$200,V$1,FALSE))),$I$1),$I$1)</f>
        <v>0</v>
      </c>
      <c r="W3" s="15">
        <f>IFERROR(IF(ISBLANK(P3),IFERROR(VLOOKUP($D3,Sheet3!$H$2:$O$200,W$1,FALSE),IFERROR(VLOOKUP($E3,Sheet3!$H$2:$O$200,W$1,FALSE),VLOOKUP($F3,Sheet3!$H$2:$O$200,W$1,FALSE))),$I$1),$I$1)</f>
        <v>0</v>
      </c>
      <c r="X3" s="15">
        <f>IFERROR(IF(ISBLANK(Q3),IFERROR(VLOOKUP($E3,Sheet3!$H$2:$O$200,X$1,FALSE),IFERROR(VLOOKUP($F3,Sheet3!$H$2:$O$200,X$1,FALSE),VLOOKUP($G3,Sheet3!$H$2:$O$200,X$1,FALSE))),$I$1),$I$1)</f>
        <v>0</v>
      </c>
      <c r="Y3" s="15">
        <f>IFERROR(IF(ISBLANK(R3),IFERROR(VLOOKUP($E3,Sheet3!$H$2:$O$200,Y$1,FALSE),IFERROR(VLOOKUP($F3,Sheet3!$H$2:$O$200,Y$1,FALSE),VLOOKUP($G3,Sheet3!$H$2:$O$200,Y$1,FALSE))),$I$1),$I$1)</f>
        <v>0</v>
      </c>
      <c r="Z3" s="15">
        <f>IFERROR(IF(ISBLANK(S3),IFERROR(VLOOKUP($E3,Sheet3!$H$2:$O$200,Z$1,FALSE),IFERROR(VLOOKUP($F3,Sheet3!$H$2:$O$200,Z$1,FALSE),VLOOKUP($G3,Sheet3!$H$2:$O$200,Z$1,FALSE))),$I$1),$I$1)</f>
        <v>0</v>
      </c>
      <c r="AA3" s="15">
        <f>IFERROR(IF(ISBLANK(T3),IFERROR(VLOOKUP($E3,Sheet3!$H$2:$O$200,AA$1,FALSE),IFERROR(VLOOKUP($F3,Sheet3!$H$2:$O$200,AA$1,FALSE),VLOOKUP($G3,Sheet3!$H$2:$O$200,AA$1,FALSE))),$I$1),$I$1)</f>
        <v>0</v>
      </c>
      <c r="AB3" s="15">
        <f>IFERROR(IF(ISBLANK(U3),IFERROR(VLOOKUP($E3,Sheet3!$H$2:$O$200,AB$1,FALSE),IFERROR(VLOOKUP($F3,Sheet3!$H$2:$O$200,AB$1,FALSE),VLOOKUP($G3,Sheet3!$H$2:$O$200,AB$1,FALSE))),$I$1),$I$1)</f>
        <v>0</v>
      </c>
      <c r="AC3" s="15">
        <f>IFERROR(IF(ISBLANK(V3),IFERROR(VLOOKUP($E3,Sheet3!$H$2:$O$200,AC$1,FALSE),IFERROR(VLOOKUP($F3,Sheet3!$H$2:$O$200,AC$1,FALSE),VLOOKUP($G3,Sheet3!$H$2:$O$200,AC$1,FALSE))),$I$1),$I$1)</f>
        <v>0</v>
      </c>
      <c r="AD3" s="15">
        <f>IFERROR(IF(ISBLANK(W3),IFERROR(VLOOKUP($E3,Sheet3!$H$2:$O$200,AD$1,FALSE),IFERROR(VLOOKUP($F3,Sheet3!$H$2:$O$200,AD$1,FALSE),VLOOKUP($G3,Sheet3!$H$2:$O$200,AD$1,FALSE))),$I$1),$I$1)</f>
        <v>0</v>
      </c>
      <c r="AE3" s="15">
        <f>IFERROR(IF(ISBLANK(X3),IFERROR(VLOOKUP($F3,Sheet3!$H$2:$O$200,AE$1,FALSE),VLOOKUP($G3,Sheet3!$H$2:$O$200,AE$1,FALSE)),$I$1),$I$1)</f>
        <v>0</v>
      </c>
      <c r="AF3" s="15">
        <f>IFERROR(IF(ISBLANK(Y3),IFERROR(VLOOKUP($F3,Sheet3!$H$2:$O$200,AF$1,FALSE),VLOOKUP($G3,Sheet3!$H$2:$O$200,AF$1,FALSE)),$I$1),$I$1)</f>
        <v>0</v>
      </c>
      <c r="AG3" s="15">
        <f>IFERROR(IF(ISBLANK(Z3),IFERROR(VLOOKUP($F3,Sheet3!$H$2:$O$200,AG$1,FALSE),VLOOKUP($G3,Sheet3!$H$2:$O$200,AG$1,FALSE)),$I$1),$I$1)</f>
        <v>0</v>
      </c>
      <c r="AH3" s="15">
        <f>IFERROR(IF(ISBLANK(AA3),IFERROR(VLOOKUP($F3,Sheet3!$H$2:$O$200,AH$1,FALSE),VLOOKUP($G3,Sheet3!$H$2:$O$200,AH$1,FALSE)),$I$1),$I$1)</f>
        <v>0</v>
      </c>
      <c r="AI3" s="15">
        <f>IFERROR(IF(ISBLANK(AB3),IFERROR(VLOOKUP($F3,Sheet3!$H$2:$O$200,AI$1,FALSE),VLOOKUP($G3,Sheet3!$H$2:$O$200,AI$1,FALSE)),$I$1),$I$1)</f>
        <v>0</v>
      </c>
      <c r="AJ3" s="15">
        <f>IFERROR(IF(ISBLANK(AC3),IFERROR(VLOOKUP($F3,Sheet3!$H$2:$O$200,AJ$1,FALSE),VLOOKUP($G3,Sheet3!$H$2:$O$200,AJ$1,FALSE)),$I$1),$I$1)</f>
        <v>0</v>
      </c>
      <c r="AK3" s="15">
        <f>IFERROR(IF(ISBLANK(AD3),IFERROR(VLOOKUP($F3,Sheet3!$H$2:$O$200,AK$1,FALSE),VLOOKUP($G3,Sheet3!$H$2:$O$200,AK$1,FALSE)),$I$1),$I$1)</f>
        <v>0</v>
      </c>
      <c r="AL3" s="15">
        <f>IFERROR(IF(ISBLANK(AE3),VLOOKUP($G3,Sheet3!$H$2:$O$200,AL$1,FALSE),$I$1),$I$1)</f>
        <v>0</v>
      </c>
      <c r="AM3" s="15">
        <f>IFERROR(IF(ISBLANK(AF3),VLOOKUP($G3,Sheet3!$H$2:$O$200,AM$1,FALSE),$I$1),$I$1)</f>
        <v>0</v>
      </c>
      <c r="AN3" s="15">
        <f>IFERROR(IF(ISBLANK(AG3),VLOOKUP($G3,Sheet3!$H$2:$O$200,AN$1,FALSE),$I$1),$I$1)</f>
        <v>0</v>
      </c>
      <c r="AO3" s="15">
        <f>IFERROR(IF(ISBLANK(AH3),VLOOKUP($G3,Sheet3!$H$2:$O$200,AO$1,FALSE),$I$1),$I$1)</f>
        <v>0</v>
      </c>
      <c r="AP3" s="15">
        <f>IFERROR(IF(ISBLANK(AI3),VLOOKUP($G3,Sheet3!$H$2:$O$200,AP$1,FALSE),$I$1),$I$1)</f>
        <v>0</v>
      </c>
      <c r="AQ3" s="15">
        <f>IFERROR(IF(ISBLANK(AJ3),VLOOKUP($G3,Sheet3!$H$2:$O$200,AQ$1,FALSE),$I$1),$I$1)</f>
        <v>0</v>
      </c>
      <c r="AR3" s="15">
        <f>IFERROR(IF(ISBLANK(AK3),VLOOKUP($G3,Sheet3!$H$2:$O$200,AR$1,FALSE),$I$1),$I$1)</f>
        <v>0</v>
      </c>
      <c r="AS3" s="15">
        <f t="shared" ref="AS3:AY3" si="0">IFERROR(IF(ISBLANK(J3),IF(ISBLANK(Q3),IF(ISBLANK(X3),IF(ISBLANK(AE3),IF(ISBLANK(AL3),$BB$1,AL3),AE3),X3),Q3),J3),$BB$1)</f>
        <v>0</v>
      </c>
      <c r="AT3" s="15" t="str">
        <f t="shared" si="0"/>
        <v>cream</v>
      </c>
      <c r="AU3" s="15">
        <f t="shared" si="0"/>
        <v>0</v>
      </c>
      <c r="AV3" s="15" t="str">
        <f t="shared" si="0"/>
        <v>white crème de cacao</v>
      </c>
      <c r="AW3" s="15">
        <f t="shared" si="0"/>
        <v>0</v>
      </c>
      <c r="AX3" s="15">
        <f t="shared" si="0"/>
        <v>0</v>
      </c>
      <c r="AY3" s="15">
        <f t="shared" si="0"/>
        <v>0</v>
      </c>
      <c r="BA3" s="13">
        <f t="shared" ref="BA3:BA211" si="1">COUNTIF(J3:AR3,"&lt;&gt;"&amp;"")</f>
        <v>32</v>
      </c>
      <c r="BB3" s="15" t="b">
        <f t="shared" ref="BB3:BB211" si="2">BA3=I3</f>
        <v>0</v>
      </c>
    </row>
    <row r="4" spans="1:54" x14ac:dyDescent="0.2">
      <c r="A4" s="19" t="s">
        <v>35</v>
      </c>
      <c r="B4" s="19" t="s">
        <v>30</v>
      </c>
      <c r="C4" s="19" t="s">
        <v>36</v>
      </c>
      <c r="D4" s="19"/>
      <c r="E4" s="19" t="s">
        <v>32</v>
      </c>
      <c r="F4" s="19"/>
      <c r="G4" s="19"/>
      <c r="H4" s="19" t="s">
        <v>35</v>
      </c>
      <c r="I4" s="15">
        <v>2</v>
      </c>
      <c r="J4" s="15">
        <f>IFERROR(VLOOKUP($C4,Sheet3!$H$2:$O$200,J$1,FALSE),IFERROR(VLOOKUP($D4,Sheet3!$H$2:$O$200,J$1,FALSE),VLOOKUP($E4,Sheet3!$H$2:$O$200,J$1,FALSE)))</f>
        <v>0</v>
      </c>
      <c r="K4" s="15">
        <f>IFERROR(VLOOKUP($C4,Sheet3!$H$2:$O$200,K$1,FALSE),IFERROR(VLOOKUP($D4,Sheet3!$H$2:$O$200,K$1,FALSE),VLOOKUP($E4,Sheet3!$H$2:$O$200,K$1,FALSE)))</f>
        <v>0</v>
      </c>
      <c r="L4" s="15">
        <f>IFERROR(VLOOKUP($C4,Sheet3!$H$2:$O$200,L$1,FALSE),IFERROR(VLOOKUP($D4,Sheet3!$H$2:$O$200,L$1,FALSE),VLOOKUP($E4,Sheet3!$H$2:$O$200,L$1,FALSE)))</f>
        <v>0</v>
      </c>
      <c r="M4" s="15" t="str">
        <f>IFERROR(VLOOKUP($C4,Sheet3!$H$2:$O$200,M$1,FALSE),IFERROR(VLOOKUP($D4,Sheet3!$H$2:$O$200,M$1,FALSE),VLOOKUP($E4,Sheet3!$H$2:$O$200,M$1,FALSE)))</f>
        <v>Kahlua</v>
      </c>
      <c r="N4" s="15">
        <f>IFERROR(VLOOKUP($C4,Sheet3!$H$2:$O$200,N$1,FALSE),IFERROR(VLOOKUP($D4,Sheet3!$H$2:$O$200,N$1,FALSE),VLOOKUP($E4,Sheet3!$H$2:$O$200,N$1,FALSE)))</f>
        <v>0</v>
      </c>
      <c r="O4" s="15">
        <f>IFERROR(VLOOKUP($C4,Sheet3!$H$2:$O$200,O$1,FALSE),IFERROR(VLOOKUP($D4,Sheet3!$H$2:$O$200,O$1,FALSE),VLOOKUP($E4,Sheet3!$H$2:$O$200,O$1,FALSE)))</f>
        <v>0</v>
      </c>
      <c r="P4" s="15">
        <f>IFERROR(VLOOKUP($C4,Sheet3!$H$2:$O$200,P$1,FALSE),IFERROR(VLOOKUP($D4,Sheet3!$H$2:$O$200,P$1,FALSE),VLOOKUP($E4,Sheet3!$H$2:$O$200,P$1,FALSE)))</f>
        <v>0</v>
      </c>
      <c r="Q4" s="15">
        <f>IFERROR(IF(ISBLANK(J4),IFERROR(VLOOKUP($D4,Sheet3!$H$2:$O$200,Q$1,FALSE),IFERROR(VLOOKUP($E4,Sheet3!$H$2:$O$200,Q$1,FALSE),VLOOKUP($F4,Sheet3!$H$2:$O$200,Q$1,FALSE))),$I$1),$I$1)</f>
        <v>0</v>
      </c>
      <c r="R4" s="15">
        <f>IFERROR(IF(ISBLANK(K4),IFERROR(VLOOKUP($D4,Sheet3!$H$2:$O$200,R$1,FALSE),IFERROR(VLOOKUP($E4,Sheet3!$H$2:$O$200,R$1,FALSE),VLOOKUP($F4,Sheet3!$H$2:$O$200,R$1,FALSE))),$I$1),$I$1)</f>
        <v>0</v>
      </c>
      <c r="S4" s="15">
        <f>IFERROR(IF(ISBLANK(L4),IFERROR(VLOOKUP($D4,Sheet3!$H$2:$O$200,S$1,FALSE),IFERROR(VLOOKUP($E4,Sheet3!$H$2:$O$200,S$1,FALSE),VLOOKUP($F4,Sheet3!$H$2:$O$200,S$1,FALSE))),$I$1),$I$1)</f>
        <v>0</v>
      </c>
      <c r="T4" s="15">
        <f>IFERROR(IF(ISBLANK(M4),IFERROR(VLOOKUP($D4,Sheet3!$H$2:$O$200,T$1,FALSE),IFERROR(VLOOKUP($E4,Sheet3!$H$2:$O$200,T$1,FALSE),VLOOKUP($F4,Sheet3!$H$2:$O$200,T$1,FALSE))),$I$1),$I$1)</f>
        <v>0</v>
      </c>
      <c r="U4" s="15">
        <f>IFERROR(IF(ISBLANK(N4),IFERROR(VLOOKUP($D4,Sheet3!$H$2:$O$200,U$1,FALSE),IFERROR(VLOOKUP($E4,Sheet3!$H$2:$O$200,U$1,FALSE),VLOOKUP($F4,Sheet3!$H$2:$O$200,U$1,FALSE))),$I$1),$I$1)</f>
        <v>0</v>
      </c>
      <c r="V4" s="15">
        <f>IFERROR(IF(ISBLANK(O4),IFERROR(VLOOKUP($D4,Sheet3!$H$2:$O$200,V$1,FALSE),IFERROR(VLOOKUP($E4,Sheet3!$H$2:$O$200,V$1,FALSE),VLOOKUP($F4,Sheet3!$H$2:$O$200,V$1,FALSE))),$I$1),$I$1)</f>
        <v>0</v>
      </c>
      <c r="W4" s="15">
        <f>IFERROR(IF(ISBLANK(P4),IFERROR(VLOOKUP($D4,Sheet3!$H$2:$O$200,W$1,FALSE),IFERROR(VLOOKUP($E4,Sheet3!$H$2:$O$200,W$1,FALSE),VLOOKUP($F4,Sheet3!$H$2:$O$200,W$1,FALSE))),$I$1),$I$1)</f>
        <v>0</v>
      </c>
      <c r="X4" s="15">
        <f>IFERROR(IF(ISBLANK(Q4),IFERROR(VLOOKUP($E4,Sheet3!$H$2:$O$200,X$1,FALSE),IFERROR(VLOOKUP($F4,Sheet3!$H$2:$O$200,X$1,FALSE),VLOOKUP($G4,Sheet3!$H$2:$O$200,X$1,FALSE))),$I$1),$I$1)</f>
        <v>0</v>
      </c>
      <c r="Y4" s="15">
        <f>IFERROR(IF(ISBLANK(R4),IFERROR(VLOOKUP($E4,Sheet3!$H$2:$O$200,Y$1,FALSE),IFERROR(VLOOKUP($F4,Sheet3!$H$2:$O$200,Y$1,FALSE),VLOOKUP($G4,Sheet3!$H$2:$O$200,Y$1,FALSE))),$I$1),$I$1)</f>
        <v>0</v>
      </c>
      <c r="Z4" s="15">
        <f>IFERROR(IF(ISBLANK(S4),IFERROR(VLOOKUP($E4,Sheet3!$H$2:$O$200,Z$1,FALSE),IFERROR(VLOOKUP($F4,Sheet3!$H$2:$O$200,Z$1,FALSE),VLOOKUP($G4,Sheet3!$H$2:$O$200,Z$1,FALSE))),$I$1),$I$1)</f>
        <v>0</v>
      </c>
      <c r="AA4" s="15">
        <f>IFERROR(IF(ISBLANK(T4),IFERROR(VLOOKUP($E4,Sheet3!$H$2:$O$200,AA$1,FALSE),IFERROR(VLOOKUP($F4,Sheet3!$H$2:$O$200,AA$1,FALSE),VLOOKUP($G4,Sheet3!$H$2:$O$200,AA$1,FALSE))),$I$1),$I$1)</f>
        <v>0</v>
      </c>
      <c r="AB4" s="15">
        <f>IFERROR(IF(ISBLANK(U4),IFERROR(VLOOKUP($E4,Sheet3!$H$2:$O$200,AB$1,FALSE),IFERROR(VLOOKUP($F4,Sheet3!$H$2:$O$200,AB$1,FALSE),VLOOKUP($G4,Sheet3!$H$2:$O$200,AB$1,FALSE))),$I$1),$I$1)</f>
        <v>0</v>
      </c>
      <c r="AC4" s="15">
        <f>IFERROR(IF(ISBLANK(V4),IFERROR(VLOOKUP($E4,Sheet3!$H$2:$O$200,AC$1,FALSE),IFERROR(VLOOKUP($F4,Sheet3!$H$2:$O$200,AC$1,FALSE),VLOOKUP($G4,Sheet3!$H$2:$O$200,AC$1,FALSE))),$I$1),$I$1)</f>
        <v>0</v>
      </c>
      <c r="AD4" s="15">
        <f>IFERROR(IF(ISBLANK(W4),IFERROR(VLOOKUP($E4,Sheet3!$H$2:$O$200,AD$1,FALSE),IFERROR(VLOOKUP($F4,Sheet3!$H$2:$O$200,AD$1,FALSE),VLOOKUP($G4,Sheet3!$H$2:$O$200,AD$1,FALSE))),$I$1),$I$1)</f>
        <v>0</v>
      </c>
      <c r="AE4" s="15">
        <f>IFERROR(IF(ISBLANK(X4),IFERROR(VLOOKUP($F4,Sheet3!$H$2:$O$200,AE$1,FALSE),VLOOKUP($G4,Sheet3!$H$2:$O$200,AE$1,FALSE)),$I$1),$I$1)</f>
        <v>0</v>
      </c>
      <c r="AF4" s="15">
        <f>IFERROR(IF(ISBLANK(Y4),IFERROR(VLOOKUP($F4,Sheet3!$H$2:$O$200,AF$1,FALSE),VLOOKUP($G4,Sheet3!$H$2:$O$200,AF$1,FALSE)),$I$1),$I$1)</f>
        <v>0</v>
      </c>
      <c r="AG4" s="15">
        <f>IFERROR(IF(ISBLANK(Z4),IFERROR(VLOOKUP($F4,Sheet3!$H$2:$O$200,AG$1,FALSE),VLOOKUP($G4,Sheet3!$H$2:$O$200,AG$1,FALSE)),$I$1),$I$1)</f>
        <v>0</v>
      </c>
      <c r="AH4" s="15">
        <f>IFERROR(IF(ISBLANK(AA4),IFERROR(VLOOKUP($F4,Sheet3!$H$2:$O$200,AH$1,FALSE),VLOOKUP($G4,Sheet3!$H$2:$O$200,AH$1,FALSE)),$I$1),$I$1)</f>
        <v>0</v>
      </c>
      <c r="AI4" s="15">
        <f>IFERROR(IF(ISBLANK(AB4),IFERROR(VLOOKUP($F4,Sheet3!$H$2:$O$200,AI$1,FALSE),VLOOKUP($G4,Sheet3!$H$2:$O$200,AI$1,FALSE)),$I$1),$I$1)</f>
        <v>0</v>
      </c>
      <c r="AJ4" s="15">
        <f>IFERROR(IF(ISBLANK(AC4),IFERROR(VLOOKUP($F4,Sheet3!$H$2:$O$200,AJ$1,FALSE),VLOOKUP($G4,Sheet3!$H$2:$O$200,AJ$1,FALSE)),$I$1),$I$1)</f>
        <v>0</v>
      </c>
      <c r="AK4" s="15">
        <f>IFERROR(IF(ISBLANK(AD4),IFERROR(VLOOKUP($F4,Sheet3!$H$2:$O$200,AK$1,FALSE),VLOOKUP($G4,Sheet3!$H$2:$O$200,AK$1,FALSE)),$I$1),$I$1)</f>
        <v>0</v>
      </c>
      <c r="AL4" s="15">
        <f>IFERROR(IF(ISBLANK(AE4),VLOOKUP($G4,Sheet3!$H$2:$O$200,AL$1,FALSE),$I$1),$I$1)</f>
        <v>0</v>
      </c>
      <c r="AM4" s="15">
        <f>IFERROR(IF(ISBLANK(AF4),VLOOKUP($G4,Sheet3!$H$2:$O$200,AM$1,FALSE),$I$1),$I$1)</f>
        <v>0</v>
      </c>
      <c r="AN4" s="15">
        <f>IFERROR(IF(ISBLANK(AG4),VLOOKUP($G4,Sheet3!$H$2:$O$200,AN$1,FALSE),$I$1),$I$1)</f>
        <v>0</v>
      </c>
      <c r="AO4" s="15">
        <f>IFERROR(IF(ISBLANK(AH4),VLOOKUP($G4,Sheet3!$H$2:$O$200,AO$1,FALSE),$I$1),$I$1)</f>
        <v>0</v>
      </c>
      <c r="AP4" s="15">
        <f>IFERROR(IF(ISBLANK(AI4),VLOOKUP($G4,Sheet3!$H$2:$O$200,AP$1,FALSE),$I$1),$I$1)</f>
        <v>0</v>
      </c>
      <c r="AQ4" s="15">
        <f>IFERROR(IF(ISBLANK(AJ4),VLOOKUP($G4,Sheet3!$H$2:$O$200,AQ$1,FALSE),$I$1),$I$1)</f>
        <v>0</v>
      </c>
      <c r="AR4" s="15">
        <f>IFERROR(IF(ISBLANK(AK4),VLOOKUP($G4,Sheet3!$H$2:$O$200,AR$1,FALSE),$I$1),$I$1)</f>
        <v>0</v>
      </c>
      <c r="AS4" s="15">
        <f t="shared" ref="AS4:AY4" si="3">IFERROR(IF(ISBLANK(J4),IF(ISBLANK(Q4),IF(ISBLANK(X4),IF(ISBLANK(AE4),IF(ISBLANK(AL4),$BB$1,AL4),AE4),X4),Q4),J4),$BB$1)</f>
        <v>0</v>
      </c>
      <c r="AT4" s="15">
        <f t="shared" si="3"/>
        <v>0</v>
      </c>
      <c r="AU4" s="15">
        <f t="shared" si="3"/>
        <v>0</v>
      </c>
      <c r="AV4" s="15" t="str">
        <f t="shared" si="3"/>
        <v>Kahlua</v>
      </c>
      <c r="AW4" s="15">
        <f t="shared" si="3"/>
        <v>0</v>
      </c>
      <c r="AX4" s="15">
        <f t="shared" si="3"/>
        <v>0</v>
      </c>
      <c r="AY4" s="15">
        <f t="shared" si="3"/>
        <v>0</v>
      </c>
      <c r="BA4" s="13">
        <f t="shared" si="1"/>
        <v>35</v>
      </c>
      <c r="BB4" s="15" t="b">
        <f t="shared" si="2"/>
        <v>0</v>
      </c>
    </row>
    <row r="5" spans="1:54" x14ac:dyDescent="0.2">
      <c r="A5" s="19" t="s">
        <v>37</v>
      </c>
      <c r="B5" s="19" t="s">
        <v>30</v>
      </c>
      <c r="C5" s="19"/>
      <c r="D5" s="19" t="s">
        <v>38</v>
      </c>
      <c r="E5" s="19"/>
      <c r="F5" s="19"/>
      <c r="G5" s="19"/>
      <c r="H5" s="19" t="s">
        <v>37</v>
      </c>
      <c r="I5" s="15">
        <v>1</v>
      </c>
      <c r="J5" s="15">
        <f>IFERROR(VLOOKUP($C5,Sheet3!$H$2:$O$200,J$1,FALSE),IFERROR(VLOOKUP($D5,Sheet3!$H$2:$O$200,J$1,FALSE),VLOOKUP($E5,Sheet3!$H$2:$O$200,J$1,FALSE)))</f>
        <v>0</v>
      </c>
      <c r="K5" s="15">
        <f>IFERROR(VLOOKUP($C5,Sheet3!$H$2:$O$200,K$1,FALSE),IFERROR(VLOOKUP($D5,Sheet3!$H$2:$O$200,K$1,FALSE),VLOOKUP($E5,Sheet3!$H$2:$O$200,K$1,FALSE)))</f>
        <v>0</v>
      </c>
      <c r="L5" s="15" t="str">
        <f>IFERROR(VLOOKUP($C5,Sheet3!$H$2:$O$200,L$1,FALSE),IFERROR(VLOOKUP($D5,Sheet3!$H$2:$O$200,L$1,FALSE),VLOOKUP($E5,Sheet3!$H$2:$O$200,L$1,FALSE)))</f>
        <v>lemon juice</v>
      </c>
      <c r="M5" s="15">
        <f>IFERROR(VLOOKUP($C5,Sheet3!$H$2:$O$200,M$1,FALSE),IFERROR(VLOOKUP($D5,Sheet3!$H$2:$O$200,M$1,FALSE),VLOOKUP($E5,Sheet3!$H$2:$O$200,M$1,FALSE)))</f>
        <v>0</v>
      </c>
      <c r="N5" s="15">
        <f>IFERROR(VLOOKUP($C5,Sheet3!$H$2:$O$200,N$1,FALSE),IFERROR(VLOOKUP($D5,Sheet3!$H$2:$O$200,N$1,FALSE),VLOOKUP($E5,Sheet3!$H$2:$O$200,N$1,FALSE)))</f>
        <v>0</v>
      </c>
      <c r="O5" s="15">
        <f>IFERROR(VLOOKUP($C5,Sheet3!$H$2:$O$200,O$1,FALSE),IFERROR(VLOOKUP($D5,Sheet3!$H$2:$O$200,O$1,FALSE),VLOOKUP($E5,Sheet3!$H$2:$O$200,O$1,FALSE)))</f>
        <v>0</v>
      </c>
      <c r="P5" s="15">
        <f>IFERROR(VLOOKUP($C5,Sheet3!$H$2:$O$200,P$1,FALSE),IFERROR(VLOOKUP($D5,Sheet3!$H$2:$O$200,P$1,FALSE),VLOOKUP($E5,Sheet3!$H$2:$O$200,P$1,FALSE)))</f>
        <v>0</v>
      </c>
      <c r="Q5" s="15">
        <f>IFERROR(IF(ISBLANK(J5),IFERROR(VLOOKUP($D5,Sheet3!$H$2:$O$200,Q$1,FALSE),IFERROR(VLOOKUP($E5,Sheet3!$H$2:$O$200,Q$1,FALSE),VLOOKUP($F5,Sheet3!$H$2:$O$200,Q$1,FALSE))),$I$1),$I$1)</f>
        <v>0</v>
      </c>
      <c r="R5" s="15">
        <f>IFERROR(IF(ISBLANK(K5),IFERROR(VLOOKUP($D5,Sheet3!$H$2:$O$200,R$1,FALSE),IFERROR(VLOOKUP($E5,Sheet3!$H$2:$O$200,R$1,FALSE),VLOOKUP($F5,Sheet3!$H$2:$O$200,R$1,FALSE))),$I$1),$I$1)</f>
        <v>0</v>
      </c>
      <c r="S5" s="15">
        <f>IFERROR(IF(ISBLANK(L5),IFERROR(VLOOKUP($D5,Sheet3!$H$2:$O$200,S$1,FALSE),IFERROR(VLOOKUP($E5,Sheet3!$H$2:$O$200,S$1,FALSE),VLOOKUP($F5,Sheet3!$H$2:$O$200,S$1,FALSE))),$I$1),$I$1)</f>
        <v>0</v>
      </c>
      <c r="T5" s="15">
        <f>IFERROR(IF(ISBLANK(M5),IFERROR(VLOOKUP($D5,Sheet3!$H$2:$O$200,T$1,FALSE),IFERROR(VLOOKUP($E5,Sheet3!$H$2:$O$200,T$1,FALSE),VLOOKUP($F5,Sheet3!$H$2:$O$200,T$1,FALSE))),$I$1),$I$1)</f>
        <v>0</v>
      </c>
      <c r="U5" s="15">
        <f>IFERROR(IF(ISBLANK(N5),IFERROR(VLOOKUP($D5,Sheet3!$H$2:$O$200,U$1,FALSE),IFERROR(VLOOKUP($E5,Sheet3!$H$2:$O$200,U$1,FALSE),VLOOKUP($F5,Sheet3!$H$2:$O$200,U$1,FALSE))),$I$1),$I$1)</f>
        <v>0</v>
      </c>
      <c r="V5" s="15">
        <f>IFERROR(IF(ISBLANK(O5),IFERROR(VLOOKUP($D5,Sheet3!$H$2:$O$200,V$1,FALSE),IFERROR(VLOOKUP($E5,Sheet3!$H$2:$O$200,V$1,FALSE),VLOOKUP($F5,Sheet3!$H$2:$O$200,V$1,FALSE))),$I$1),$I$1)</f>
        <v>0</v>
      </c>
      <c r="W5" s="15">
        <f>IFERROR(IF(ISBLANK(P5),IFERROR(VLOOKUP($D5,Sheet3!$H$2:$O$200,W$1,FALSE),IFERROR(VLOOKUP($E5,Sheet3!$H$2:$O$200,W$1,FALSE),VLOOKUP($F5,Sheet3!$H$2:$O$200,W$1,FALSE))),$I$1),$I$1)</f>
        <v>0</v>
      </c>
      <c r="X5" s="15">
        <f>IFERROR(IF(ISBLANK(Q5),IFERROR(VLOOKUP($E5,Sheet3!$H$2:$O$200,X$1,FALSE),IFERROR(VLOOKUP($F5,Sheet3!$H$2:$O$200,X$1,FALSE),VLOOKUP($G5,Sheet3!$H$2:$O$200,X$1,FALSE))),$I$1),$I$1)</f>
        <v>0</v>
      </c>
      <c r="Y5" s="15">
        <f>IFERROR(IF(ISBLANK(R5),IFERROR(VLOOKUP($E5,Sheet3!$H$2:$O$200,Y$1,FALSE),IFERROR(VLOOKUP($F5,Sheet3!$H$2:$O$200,Y$1,FALSE),VLOOKUP($G5,Sheet3!$H$2:$O$200,Y$1,FALSE))),$I$1),$I$1)</f>
        <v>0</v>
      </c>
      <c r="Z5" s="15">
        <f>IFERROR(IF(ISBLANK(S5),IFERROR(VLOOKUP($E5,Sheet3!$H$2:$O$200,Z$1,FALSE),IFERROR(VLOOKUP($F5,Sheet3!$H$2:$O$200,Z$1,FALSE),VLOOKUP($G5,Sheet3!$H$2:$O$200,Z$1,FALSE))),$I$1),$I$1)</f>
        <v>0</v>
      </c>
      <c r="AA5" s="15">
        <f>IFERROR(IF(ISBLANK(T5),IFERROR(VLOOKUP($E5,Sheet3!$H$2:$O$200,AA$1,FALSE),IFERROR(VLOOKUP($F5,Sheet3!$H$2:$O$200,AA$1,FALSE),VLOOKUP($G5,Sheet3!$H$2:$O$200,AA$1,FALSE))),$I$1),$I$1)</f>
        <v>0</v>
      </c>
      <c r="AB5" s="15">
        <f>IFERROR(IF(ISBLANK(U5),IFERROR(VLOOKUP($E5,Sheet3!$H$2:$O$200,AB$1,FALSE),IFERROR(VLOOKUP($F5,Sheet3!$H$2:$O$200,AB$1,FALSE),VLOOKUP($G5,Sheet3!$H$2:$O$200,AB$1,FALSE))),$I$1),$I$1)</f>
        <v>0</v>
      </c>
      <c r="AC5" s="15">
        <f>IFERROR(IF(ISBLANK(V5),IFERROR(VLOOKUP($E5,Sheet3!$H$2:$O$200,AC$1,FALSE),IFERROR(VLOOKUP($F5,Sheet3!$H$2:$O$200,AC$1,FALSE),VLOOKUP($G5,Sheet3!$H$2:$O$200,AC$1,FALSE))),$I$1),$I$1)</f>
        <v>0</v>
      </c>
      <c r="AD5" s="15">
        <f>IFERROR(IF(ISBLANK(W5),IFERROR(VLOOKUP($E5,Sheet3!$H$2:$O$200,AD$1,FALSE),IFERROR(VLOOKUP($F5,Sheet3!$H$2:$O$200,AD$1,FALSE),VLOOKUP($G5,Sheet3!$H$2:$O$200,AD$1,FALSE))),$I$1),$I$1)</f>
        <v>0</v>
      </c>
      <c r="AE5" s="15">
        <f>IFERROR(IF(ISBLANK(X5),IFERROR(VLOOKUP($F5,Sheet3!$H$2:$O$200,AE$1,FALSE),VLOOKUP($G5,Sheet3!$H$2:$O$200,AE$1,FALSE)),$I$1),$I$1)</f>
        <v>0</v>
      </c>
      <c r="AF5" s="15">
        <f>IFERROR(IF(ISBLANK(Y5),IFERROR(VLOOKUP($F5,Sheet3!$H$2:$O$200,AF$1,FALSE),VLOOKUP($G5,Sheet3!$H$2:$O$200,AF$1,FALSE)),$I$1),$I$1)</f>
        <v>0</v>
      </c>
      <c r="AG5" s="15">
        <f>IFERROR(IF(ISBLANK(Z5),IFERROR(VLOOKUP($F5,Sheet3!$H$2:$O$200,AG$1,FALSE),VLOOKUP($G5,Sheet3!$H$2:$O$200,AG$1,FALSE)),$I$1),$I$1)</f>
        <v>0</v>
      </c>
      <c r="AH5" s="15">
        <f>IFERROR(IF(ISBLANK(AA5),IFERROR(VLOOKUP($F5,Sheet3!$H$2:$O$200,AH$1,FALSE),VLOOKUP($G5,Sheet3!$H$2:$O$200,AH$1,FALSE)),$I$1),$I$1)</f>
        <v>0</v>
      </c>
      <c r="AI5" s="15">
        <f>IFERROR(IF(ISBLANK(AB5),IFERROR(VLOOKUP($F5,Sheet3!$H$2:$O$200,AI$1,FALSE),VLOOKUP($G5,Sheet3!$H$2:$O$200,AI$1,FALSE)),$I$1),$I$1)</f>
        <v>0</v>
      </c>
      <c r="AJ5" s="15">
        <f>IFERROR(IF(ISBLANK(AC5),IFERROR(VLOOKUP($F5,Sheet3!$H$2:$O$200,AJ$1,FALSE),VLOOKUP($G5,Sheet3!$H$2:$O$200,AJ$1,FALSE)),$I$1),$I$1)</f>
        <v>0</v>
      </c>
      <c r="AK5" s="15">
        <f>IFERROR(IF(ISBLANK(AD5),IFERROR(VLOOKUP($F5,Sheet3!$H$2:$O$200,AK$1,FALSE),VLOOKUP($G5,Sheet3!$H$2:$O$200,AK$1,FALSE)),$I$1),$I$1)</f>
        <v>0</v>
      </c>
      <c r="AL5" s="15">
        <f>IFERROR(IF(ISBLANK(AE5),VLOOKUP($G5,Sheet3!$H$2:$O$200,AL$1,FALSE),$I$1),$I$1)</f>
        <v>0</v>
      </c>
      <c r="AM5" s="15">
        <f>IFERROR(IF(ISBLANK(AF5),VLOOKUP($G5,Sheet3!$H$2:$O$200,AM$1,FALSE),$I$1),$I$1)</f>
        <v>0</v>
      </c>
      <c r="AN5" s="15">
        <f>IFERROR(IF(ISBLANK(AG5),VLOOKUP($G5,Sheet3!$H$2:$O$200,AN$1,FALSE),$I$1),$I$1)</f>
        <v>0</v>
      </c>
      <c r="AO5" s="15">
        <f>IFERROR(IF(ISBLANK(AH5),VLOOKUP($G5,Sheet3!$H$2:$O$200,AO$1,FALSE),$I$1),$I$1)</f>
        <v>0</v>
      </c>
      <c r="AP5" s="15">
        <f>IFERROR(IF(ISBLANK(AI5),VLOOKUP($G5,Sheet3!$H$2:$O$200,AP$1,FALSE),$I$1),$I$1)</f>
        <v>0</v>
      </c>
      <c r="AQ5" s="15">
        <f>IFERROR(IF(ISBLANK(AJ5),VLOOKUP($G5,Sheet3!$H$2:$O$200,AQ$1,FALSE),$I$1),$I$1)</f>
        <v>0</v>
      </c>
      <c r="AR5" s="15">
        <f>IFERROR(IF(ISBLANK(AK5),VLOOKUP($G5,Sheet3!$H$2:$O$200,AR$1,FALSE),$I$1),$I$1)</f>
        <v>0</v>
      </c>
      <c r="AS5" s="15">
        <f t="shared" ref="AS5:AY5" si="4">IFERROR(IF(ISBLANK(J5),IF(ISBLANK(Q5),IF(ISBLANK(X5),IF(ISBLANK(AE5),IF(ISBLANK(AL5),$BB$1,AL5),AE5),X5),Q5),J5),$BB$1)</f>
        <v>0</v>
      </c>
      <c r="AT5" s="15">
        <f t="shared" si="4"/>
        <v>0</v>
      </c>
      <c r="AU5" s="15" t="str">
        <f t="shared" si="4"/>
        <v>lemon juice</v>
      </c>
      <c r="AV5" s="15">
        <f t="shared" si="4"/>
        <v>0</v>
      </c>
      <c r="AW5" s="15">
        <f t="shared" si="4"/>
        <v>0</v>
      </c>
      <c r="AX5" s="15">
        <f t="shared" si="4"/>
        <v>0</v>
      </c>
      <c r="AY5" s="15">
        <f t="shared" si="4"/>
        <v>0</v>
      </c>
      <c r="BA5" s="13">
        <f t="shared" si="1"/>
        <v>35</v>
      </c>
      <c r="BB5" s="15" t="b">
        <f t="shared" si="2"/>
        <v>0</v>
      </c>
    </row>
    <row r="6" spans="1:54" x14ac:dyDescent="0.2">
      <c r="A6" s="19" t="s">
        <v>40</v>
      </c>
      <c r="B6" s="19" t="s">
        <v>41</v>
      </c>
      <c r="C6" s="19" t="s">
        <v>42</v>
      </c>
      <c r="D6" s="19" t="s">
        <v>43</v>
      </c>
      <c r="E6" s="19"/>
      <c r="F6" s="19"/>
      <c r="G6" s="19"/>
      <c r="H6" s="19" t="s">
        <v>40</v>
      </c>
      <c r="I6" s="15">
        <v>2</v>
      </c>
      <c r="J6" s="15">
        <f>IFERROR(VLOOKUP($C6,Sheet3!$H$2:$O$200,J$1,FALSE),IFERROR(VLOOKUP($D6,Sheet3!$H$2:$O$200,J$1,FALSE),VLOOKUP($E6,Sheet3!$H$2:$O$200,J$1,FALSE)))</f>
        <v>0</v>
      </c>
      <c r="K6" s="15">
        <f>IFERROR(VLOOKUP($C6,Sheet3!$H$2:$O$200,K$1,FALSE),IFERROR(VLOOKUP($D6,Sheet3!$H$2:$O$200,K$1,FALSE),VLOOKUP($E6,Sheet3!$H$2:$O$200,K$1,FALSE)))</f>
        <v>0</v>
      </c>
      <c r="L6" s="15" t="str">
        <f>IFERROR(VLOOKUP($C6,Sheet3!$H$2:$O$200,L$1,FALSE),IFERROR(VLOOKUP($D6,Sheet3!$H$2:$O$200,L$1,FALSE),VLOOKUP($E6,Sheet3!$H$2:$O$200,L$1,FALSE)))</f>
        <v>lime juice</v>
      </c>
      <c r="M6" s="15">
        <f>IFERROR(VLOOKUP($C6,Sheet3!$H$2:$O$200,M$1,FALSE),IFERROR(VLOOKUP($D6,Sheet3!$H$2:$O$200,M$1,FALSE),VLOOKUP($E6,Sheet3!$H$2:$O$200,M$1,FALSE)))</f>
        <v>0</v>
      </c>
      <c r="N6" s="15" t="str">
        <f>IFERROR(VLOOKUP($C6,Sheet3!$H$2:$O$200,N$1,FALSE),IFERROR(VLOOKUP($D6,Sheet3!$H$2:$O$200,N$1,FALSE),VLOOKUP($E6,Sheet3!$H$2:$O$200,N$1,FALSE)))</f>
        <v>cranberry juice</v>
      </c>
      <c r="O6" s="15">
        <f>IFERROR(VLOOKUP($C6,Sheet3!$H$2:$O$200,O$1,FALSE),IFERROR(VLOOKUP($D6,Sheet3!$H$2:$O$200,O$1,FALSE),VLOOKUP($E6,Sheet3!$H$2:$O$200,O$1,FALSE)))</f>
        <v>0</v>
      </c>
      <c r="P6" s="15">
        <f>IFERROR(VLOOKUP($C6,Sheet3!$H$2:$O$200,P$1,FALSE),IFERROR(VLOOKUP($D6,Sheet3!$H$2:$O$200,P$1,FALSE),VLOOKUP($E6,Sheet3!$H$2:$O$200,P$1,FALSE)))</f>
        <v>0</v>
      </c>
      <c r="Q6" s="15">
        <f>IFERROR(IF(ISBLANK(J6),IFERROR(VLOOKUP($D6,Sheet3!$H$2:$O$200,Q$1,FALSE),IFERROR(VLOOKUP($E6,Sheet3!$H$2:$O$200,Q$1,FALSE),VLOOKUP($F6,Sheet3!$H$2:$O$200,Q$1,FALSE))),$I$1),$I$1)</f>
        <v>0</v>
      </c>
      <c r="R6" s="15">
        <f>IFERROR(IF(ISBLANK(K6),IFERROR(VLOOKUP($D6,Sheet3!$H$2:$O$200,R$1,FALSE),IFERROR(VLOOKUP($E6,Sheet3!$H$2:$O$200,R$1,FALSE),VLOOKUP($F6,Sheet3!$H$2:$O$200,R$1,FALSE))),$I$1),$I$1)</f>
        <v>0</v>
      </c>
      <c r="S6" s="15">
        <f>IFERROR(IF(ISBLANK(L6),IFERROR(VLOOKUP($D6,Sheet3!$H$2:$O$200,S$1,FALSE),IFERROR(VLOOKUP($E6,Sheet3!$H$2:$O$200,S$1,FALSE),VLOOKUP($F6,Sheet3!$H$2:$O$200,S$1,FALSE))),$I$1),$I$1)</f>
        <v>0</v>
      </c>
      <c r="T6" s="15">
        <f>IFERROR(IF(ISBLANK(M6),IFERROR(VLOOKUP($D6,Sheet3!$H$2:$O$200,T$1,FALSE),IFERROR(VLOOKUP($E6,Sheet3!$H$2:$O$200,T$1,FALSE),VLOOKUP($F6,Sheet3!$H$2:$O$200,T$1,FALSE))),$I$1),$I$1)</f>
        <v>0</v>
      </c>
      <c r="U6" s="15">
        <f>IFERROR(IF(ISBLANK(N6),IFERROR(VLOOKUP($D6,Sheet3!$H$2:$O$200,U$1,FALSE),IFERROR(VLOOKUP($E6,Sheet3!$H$2:$O$200,U$1,FALSE),VLOOKUP($F6,Sheet3!$H$2:$O$200,U$1,FALSE))),$I$1),$I$1)</f>
        <v>0</v>
      </c>
      <c r="V6" s="15">
        <f>IFERROR(IF(ISBLANK(O6),IFERROR(VLOOKUP($D6,Sheet3!$H$2:$O$200,V$1,FALSE),IFERROR(VLOOKUP($E6,Sheet3!$H$2:$O$200,V$1,FALSE),VLOOKUP($F6,Sheet3!$H$2:$O$200,V$1,FALSE))),$I$1),$I$1)</f>
        <v>0</v>
      </c>
      <c r="W6" s="15">
        <f>IFERROR(IF(ISBLANK(P6),IFERROR(VLOOKUP($D6,Sheet3!$H$2:$O$200,W$1,FALSE),IFERROR(VLOOKUP($E6,Sheet3!$H$2:$O$200,W$1,FALSE),VLOOKUP($F6,Sheet3!$H$2:$O$200,W$1,FALSE))),$I$1),$I$1)</f>
        <v>0</v>
      </c>
      <c r="X6" s="15">
        <f>IFERROR(IF(ISBLANK(Q6),IFERROR(VLOOKUP($E6,Sheet3!$H$2:$O$200,X$1,FALSE),IFERROR(VLOOKUP($F6,Sheet3!$H$2:$O$200,X$1,FALSE),VLOOKUP($G6,Sheet3!$H$2:$O$200,X$1,FALSE))),$I$1),$I$1)</f>
        <v>0</v>
      </c>
      <c r="Y6" s="15">
        <f>IFERROR(IF(ISBLANK(R6),IFERROR(VLOOKUP($E6,Sheet3!$H$2:$O$200,Y$1,FALSE),IFERROR(VLOOKUP($F6,Sheet3!$H$2:$O$200,Y$1,FALSE),VLOOKUP($G6,Sheet3!$H$2:$O$200,Y$1,FALSE))),$I$1),$I$1)</f>
        <v>0</v>
      </c>
      <c r="Z6" s="15">
        <f>IFERROR(IF(ISBLANK(S6),IFERROR(VLOOKUP($E6,Sheet3!$H$2:$O$200,Z$1,FALSE),IFERROR(VLOOKUP($F6,Sheet3!$H$2:$O$200,Z$1,FALSE),VLOOKUP($G6,Sheet3!$H$2:$O$200,Z$1,FALSE))),$I$1),$I$1)</f>
        <v>0</v>
      </c>
      <c r="AA6" s="15">
        <f>IFERROR(IF(ISBLANK(T6),IFERROR(VLOOKUP($E6,Sheet3!$H$2:$O$200,AA$1,FALSE),IFERROR(VLOOKUP($F6,Sheet3!$H$2:$O$200,AA$1,FALSE),VLOOKUP($G6,Sheet3!$H$2:$O$200,AA$1,FALSE))),$I$1),$I$1)</f>
        <v>0</v>
      </c>
      <c r="AB6" s="15">
        <f>IFERROR(IF(ISBLANK(U6),IFERROR(VLOOKUP($E6,Sheet3!$H$2:$O$200,AB$1,FALSE),IFERROR(VLOOKUP($F6,Sheet3!$H$2:$O$200,AB$1,FALSE),VLOOKUP($G6,Sheet3!$H$2:$O$200,AB$1,FALSE))),$I$1),$I$1)</f>
        <v>0</v>
      </c>
      <c r="AC6" s="15">
        <f>IFERROR(IF(ISBLANK(V6),IFERROR(VLOOKUP($E6,Sheet3!$H$2:$O$200,AC$1,FALSE),IFERROR(VLOOKUP($F6,Sheet3!$H$2:$O$200,AC$1,FALSE),VLOOKUP($G6,Sheet3!$H$2:$O$200,AC$1,FALSE))),$I$1),$I$1)</f>
        <v>0</v>
      </c>
      <c r="AD6" s="15">
        <f>IFERROR(IF(ISBLANK(W6),IFERROR(VLOOKUP($E6,Sheet3!$H$2:$O$200,AD$1,FALSE),IFERROR(VLOOKUP($F6,Sheet3!$H$2:$O$200,AD$1,FALSE),VLOOKUP($G6,Sheet3!$H$2:$O$200,AD$1,FALSE))),$I$1),$I$1)</f>
        <v>0</v>
      </c>
      <c r="AE6" s="15">
        <f>IFERROR(IF(ISBLANK(X6),IFERROR(VLOOKUP($F6,Sheet3!$H$2:$O$200,AE$1,FALSE),VLOOKUP($G6,Sheet3!$H$2:$O$200,AE$1,FALSE)),$I$1),$I$1)</f>
        <v>0</v>
      </c>
      <c r="AF6" s="15">
        <f>IFERROR(IF(ISBLANK(Y6),IFERROR(VLOOKUP($F6,Sheet3!$H$2:$O$200,AF$1,FALSE),VLOOKUP($G6,Sheet3!$H$2:$O$200,AF$1,FALSE)),$I$1),$I$1)</f>
        <v>0</v>
      </c>
      <c r="AG6" s="15">
        <f>IFERROR(IF(ISBLANK(Z6),IFERROR(VLOOKUP($F6,Sheet3!$H$2:$O$200,AG$1,FALSE),VLOOKUP($G6,Sheet3!$H$2:$O$200,AG$1,FALSE)),$I$1),$I$1)</f>
        <v>0</v>
      </c>
      <c r="AH6" s="15">
        <f>IFERROR(IF(ISBLANK(AA6),IFERROR(VLOOKUP($F6,Sheet3!$H$2:$O$200,AH$1,FALSE),VLOOKUP($G6,Sheet3!$H$2:$O$200,AH$1,FALSE)),$I$1),$I$1)</f>
        <v>0</v>
      </c>
      <c r="AI6" s="15">
        <f>IFERROR(IF(ISBLANK(AB6),IFERROR(VLOOKUP($F6,Sheet3!$H$2:$O$200,AI$1,FALSE),VLOOKUP($G6,Sheet3!$H$2:$O$200,AI$1,FALSE)),$I$1),$I$1)</f>
        <v>0</v>
      </c>
      <c r="AJ6" s="15">
        <f>IFERROR(IF(ISBLANK(AC6),IFERROR(VLOOKUP($F6,Sheet3!$H$2:$O$200,AJ$1,FALSE),VLOOKUP($G6,Sheet3!$H$2:$O$200,AJ$1,FALSE)),$I$1),$I$1)</f>
        <v>0</v>
      </c>
      <c r="AK6" s="15">
        <f>IFERROR(IF(ISBLANK(AD6),IFERROR(VLOOKUP($F6,Sheet3!$H$2:$O$200,AK$1,FALSE),VLOOKUP($G6,Sheet3!$H$2:$O$200,AK$1,FALSE)),$I$1),$I$1)</f>
        <v>0</v>
      </c>
      <c r="AL6" s="15">
        <f>IFERROR(IF(ISBLANK(AE6),VLOOKUP($G6,Sheet3!$H$2:$O$200,AL$1,FALSE),$I$1),$I$1)</f>
        <v>0</v>
      </c>
      <c r="AM6" s="15">
        <f>IFERROR(IF(ISBLANK(AF6),VLOOKUP($G6,Sheet3!$H$2:$O$200,AM$1,FALSE),$I$1),$I$1)</f>
        <v>0</v>
      </c>
      <c r="AN6" s="15">
        <f>IFERROR(IF(ISBLANK(AG6),VLOOKUP($G6,Sheet3!$H$2:$O$200,AN$1,FALSE),$I$1),$I$1)</f>
        <v>0</v>
      </c>
      <c r="AO6" s="15">
        <f>IFERROR(IF(ISBLANK(AH6),VLOOKUP($G6,Sheet3!$H$2:$O$200,AO$1,FALSE),$I$1),$I$1)</f>
        <v>0</v>
      </c>
      <c r="AP6" s="15">
        <f>IFERROR(IF(ISBLANK(AI6),VLOOKUP($G6,Sheet3!$H$2:$O$200,AP$1,FALSE),$I$1),$I$1)</f>
        <v>0</v>
      </c>
      <c r="AQ6" s="15">
        <f>IFERROR(IF(ISBLANK(AJ6),VLOOKUP($G6,Sheet3!$H$2:$O$200,AQ$1,FALSE),$I$1),$I$1)</f>
        <v>0</v>
      </c>
      <c r="AR6" s="15">
        <f>IFERROR(IF(ISBLANK(AK6),VLOOKUP($G6,Sheet3!$H$2:$O$200,AR$1,FALSE),$I$1),$I$1)</f>
        <v>0</v>
      </c>
      <c r="AS6" s="15">
        <f t="shared" ref="AS6:AY6" si="5">IFERROR(IF(ISBLANK(J6),IF(ISBLANK(Q6),IF(ISBLANK(X6),IF(ISBLANK(AE6),IF(ISBLANK(AL6),$BB$1,AL6),AE6),X6),Q6),J6),$BB$1)</f>
        <v>0</v>
      </c>
      <c r="AT6" s="15">
        <f t="shared" si="5"/>
        <v>0</v>
      </c>
      <c r="AU6" s="15" t="str">
        <f t="shared" si="5"/>
        <v>lime juice</v>
      </c>
      <c r="AV6" s="15">
        <f t="shared" si="5"/>
        <v>0</v>
      </c>
      <c r="AW6" s="15" t="str">
        <f t="shared" si="5"/>
        <v>cranberry juice</v>
      </c>
      <c r="AX6" s="15">
        <f t="shared" si="5"/>
        <v>0</v>
      </c>
      <c r="AY6" s="15">
        <f t="shared" si="5"/>
        <v>0</v>
      </c>
      <c r="BA6" s="13">
        <f t="shared" si="1"/>
        <v>35</v>
      </c>
      <c r="BB6" s="15" t="b">
        <f t="shared" si="2"/>
        <v>0</v>
      </c>
    </row>
    <row r="7" spans="1:54" x14ac:dyDescent="0.2">
      <c r="A7" s="19" t="s">
        <v>46</v>
      </c>
      <c r="B7" s="19" t="s">
        <v>47</v>
      </c>
      <c r="C7" s="19" t="s">
        <v>48</v>
      </c>
      <c r="D7" s="19"/>
      <c r="E7" s="19" t="s">
        <v>49</v>
      </c>
      <c r="F7" s="19"/>
      <c r="G7" s="19"/>
      <c r="H7" s="19" t="s">
        <v>46</v>
      </c>
      <c r="I7" s="15">
        <v>2</v>
      </c>
      <c r="J7" s="15">
        <f>IFERROR(VLOOKUP($C7,Sheet3!$H$2:$O$200,J$1,FALSE),IFERROR(VLOOKUP($D7,Sheet3!$H$2:$O$200,J$1,FALSE),VLOOKUP($E7,Sheet3!$H$2:$O$200,J$1,FALSE)))</f>
        <v>0</v>
      </c>
      <c r="K7" s="15">
        <f>IFERROR(VLOOKUP($C7,Sheet3!$H$2:$O$200,K$1,FALSE),IFERROR(VLOOKUP($D7,Sheet3!$H$2:$O$200,K$1,FALSE),VLOOKUP($E7,Sheet3!$H$2:$O$200,K$1,FALSE)))</f>
        <v>0</v>
      </c>
      <c r="L7" s="15">
        <f>IFERROR(VLOOKUP($C7,Sheet3!$H$2:$O$200,L$1,FALSE),IFERROR(VLOOKUP($D7,Sheet3!$H$2:$O$200,L$1,FALSE),VLOOKUP($E7,Sheet3!$H$2:$O$200,L$1,FALSE)))</f>
        <v>0</v>
      </c>
      <c r="M7" s="15" t="str">
        <f>IFERROR(VLOOKUP($C7,Sheet3!$H$2:$O$200,M$1,FALSE),IFERROR(VLOOKUP($D7,Sheet3!$H$2:$O$200,M$1,FALSE),VLOOKUP($E7,Sheet3!$H$2:$O$200,M$1,FALSE)))</f>
        <v>sweet vermouth</v>
      </c>
      <c r="N7" s="15">
        <f>IFERROR(VLOOKUP($C7,Sheet3!$H$2:$O$200,N$1,FALSE),IFERROR(VLOOKUP($D7,Sheet3!$H$2:$O$200,N$1,FALSE),VLOOKUP($E7,Sheet3!$H$2:$O$200,N$1,FALSE)))</f>
        <v>0</v>
      </c>
      <c r="O7" s="15">
        <f>IFERROR(VLOOKUP($C7,Sheet3!$H$2:$O$200,O$1,FALSE),IFERROR(VLOOKUP($D7,Sheet3!$H$2:$O$200,O$1,FALSE),VLOOKUP($E7,Sheet3!$H$2:$O$200,O$1,FALSE)))</f>
        <v>0</v>
      </c>
      <c r="P7" s="15">
        <f>IFERROR(VLOOKUP($C7,Sheet3!$H$2:$O$200,P$1,FALSE),IFERROR(VLOOKUP($D7,Sheet3!$H$2:$O$200,P$1,FALSE),VLOOKUP($E7,Sheet3!$H$2:$O$200,P$1,FALSE)))</f>
        <v>0</v>
      </c>
      <c r="Q7" s="15">
        <f>IFERROR(IF(ISBLANK(J7),IFERROR(VLOOKUP($D7,Sheet3!$H$2:$O$200,Q$1,FALSE),IFERROR(VLOOKUP($E7,Sheet3!$H$2:$O$200,Q$1,FALSE),VLOOKUP($F7,Sheet3!$H$2:$O$200,Q$1,FALSE))),$I$1),$I$1)</f>
        <v>0</v>
      </c>
      <c r="R7" s="15">
        <f>IFERROR(IF(ISBLANK(K7),IFERROR(VLOOKUP($D7,Sheet3!$H$2:$O$200,R$1,FALSE),IFERROR(VLOOKUP($E7,Sheet3!$H$2:$O$200,R$1,FALSE),VLOOKUP($F7,Sheet3!$H$2:$O$200,R$1,FALSE))),$I$1),$I$1)</f>
        <v>0</v>
      </c>
      <c r="S7" s="15">
        <f>IFERROR(IF(ISBLANK(L7),IFERROR(VLOOKUP($D7,Sheet3!$H$2:$O$200,S$1,FALSE),IFERROR(VLOOKUP($E7,Sheet3!$H$2:$O$200,S$1,FALSE),VLOOKUP($F7,Sheet3!$H$2:$O$200,S$1,FALSE))),$I$1),$I$1)</f>
        <v>0</v>
      </c>
      <c r="T7" s="15">
        <f>IFERROR(IF(ISBLANK(M7),IFERROR(VLOOKUP($D7,Sheet3!$H$2:$O$200,T$1,FALSE),IFERROR(VLOOKUP($E7,Sheet3!$H$2:$O$200,T$1,FALSE),VLOOKUP($F7,Sheet3!$H$2:$O$200,T$1,FALSE))),$I$1),$I$1)</f>
        <v>0</v>
      </c>
      <c r="U7" s="15">
        <f>IFERROR(IF(ISBLANK(N7),IFERROR(VLOOKUP($D7,Sheet3!$H$2:$O$200,U$1,FALSE),IFERROR(VLOOKUP($E7,Sheet3!$H$2:$O$200,U$1,FALSE),VLOOKUP($F7,Sheet3!$H$2:$O$200,U$1,FALSE))),$I$1),$I$1)</f>
        <v>0</v>
      </c>
      <c r="V7" s="15">
        <f>IFERROR(IF(ISBLANK(O7),IFERROR(VLOOKUP($D7,Sheet3!$H$2:$O$200,V$1,FALSE),IFERROR(VLOOKUP($E7,Sheet3!$H$2:$O$200,V$1,FALSE),VLOOKUP($F7,Sheet3!$H$2:$O$200,V$1,FALSE))),$I$1),$I$1)</f>
        <v>0</v>
      </c>
      <c r="W7" s="15">
        <f>IFERROR(IF(ISBLANK(P7),IFERROR(VLOOKUP($D7,Sheet3!$H$2:$O$200,W$1,FALSE),IFERROR(VLOOKUP($E7,Sheet3!$H$2:$O$200,W$1,FALSE),VLOOKUP($F7,Sheet3!$H$2:$O$200,W$1,FALSE))),$I$1),$I$1)</f>
        <v>0</v>
      </c>
      <c r="X7" s="15">
        <f>IFERROR(IF(ISBLANK(Q7),IFERROR(VLOOKUP($E7,Sheet3!$H$2:$O$200,X$1,FALSE),IFERROR(VLOOKUP($F7,Sheet3!$H$2:$O$200,X$1,FALSE),VLOOKUP($G7,Sheet3!$H$2:$O$200,X$1,FALSE))),$I$1),$I$1)</f>
        <v>0</v>
      </c>
      <c r="Y7" s="15">
        <f>IFERROR(IF(ISBLANK(R7),IFERROR(VLOOKUP($E7,Sheet3!$H$2:$O$200,Y$1,FALSE),IFERROR(VLOOKUP($F7,Sheet3!$H$2:$O$200,Y$1,FALSE),VLOOKUP($G7,Sheet3!$H$2:$O$200,Y$1,FALSE))),$I$1),$I$1)</f>
        <v>0</v>
      </c>
      <c r="Z7" s="15">
        <f>IFERROR(IF(ISBLANK(S7),IFERROR(VLOOKUP($E7,Sheet3!$H$2:$O$200,Z$1,FALSE),IFERROR(VLOOKUP($F7,Sheet3!$H$2:$O$200,Z$1,FALSE),VLOOKUP($G7,Sheet3!$H$2:$O$200,Z$1,FALSE))),$I$1),$I$1)</f>
        <v>0</v>
      </c>
      <c r="AA7" s="15">
        <f>IFERROR(IF(ISBLANK(T7),IFERROR(VLOOKUP($E7,Sheet3!$H$2:$O$200,AA$1,FALSE),IFERROR(VLOOKUP($F7,Sheet3!$H$2:$O$200,AA$1,FALSE),VLOOKUP($G7,Sheet3!$H$2:$O$200,AA$1,FALSE))),$I$1),$I$1)</f>
        <v>0</v>
      </c>
      <c r="AB7" s="15">
        <f>IFERROR(IF(ISBLANK(U7),IFERROR(VLOOKUP($E7,Sheet3!$H$2:$O$200,AB$1,FALSE),IFERROR(VLOOKUP($F7,Sheet3!$H$2:$O$200,AB$1,FALSE),VLOOKUP($G7,Sheet3!$H$2:$O$200,AB$1,FALSE))),$I$1),$I$1)</f>
        <v>0</v>
      </c>
      <c r="AC7" s="15">
        <f>IFERROR(IF(ISBLANK(V7),IFERROR(VLOOKUP($E7,Sheet3!$H$2:$O$200,AC$1,FALSE),IFERROR(VLOOKUP($F7,Sheet3!$H$2:$O$200,AC$1,FALSE),VLOOKUP($G7,Sheet3!$H$2:$O$200,AC$1,FALSE))),$I$1),$I$1)</f>
        <v>0</v>
      </c>
      <c r="AD7" s="15">
        <f>IFERROR(IF(ISBLANK(W7),IFERROR(VLOOKUP($E7,Sheet3!$H$2:$O$200,AD$1,FALSE),IFERROR(VLOOKUP($F7,Sheet3!$H$2:$O$200,AD$1,FALSE),VLOOKUP($G7,Sheet3!$H$2:$O$200,AD$1,FALSE))),$I$1),$I$1)</f>
        <v>0</v>
      </c>
      <c r="AE7" s="15">
        <f>IFERROR(IF(ISBLANK(X7),IFERROR(VLOOKUP($F7,Sheet3!$H$2:$O$200,AE$1,FALSE),VLOOKUP($G7,Sheet3!$H$2:$O$200,AE$1,FALSE)),$I$1),$I$1)</f>
        <v>0</v>
      </c>
      <c r="AF7" s="15">
        <f>IFERROR(IF(ISBLANK(Y7),IFERROR(VLOOKUP($F7,Sheet3!$H$2:$O$200,AF$1,FALSE),VLOOKUP($G7,Sheet3!$H$2:$O$200,AF$1,FALSE)),$I$1),$I$1)</f>
        <v>0</v>
      </c>
      <c r="AG7" s="15">
        <f>IFERROR(IF(ISBLANK(Z7),IFERROR(VLOOKUP($F7,Sheet3!$H$2:$O$200,AG$1,FALSE),VLOOKUP($G7,Sheet3!$H$2:$O$200,AG$1,FALSE)),$I$1),$I$1)</f>
        <v>0</v>
      </c>
      <c r="AH7" s="15">
        <f>IFERROR(IF(ISBLANK(AA7),IFERROR(VLOOKUP($F7,Sheet3!$H$2:$O$200,AH$1,FALSE),VLOOKUP($G7,Sheet3!$H$2:$O$200,AH$1,FALSE)),$I$1),$I$1)</f>
        <v>0</v>
      </c>
      <c r="AI7" s="15">
        <f>IFERROR(IF(ISBLANK(AB7),IFERROR(VLOOKUP($F7,Sheet3!$H$2:$O$200,AI$1,FALSE),VLOOKUP($G7,Sheet3!$H$2:$O$200,AI$1,FALSE)),$I$1),$I$1)</f>
        <v>0</v>
      </c>
      <c r="AJ7" s="15">
        <f>IFERROR(IF(ISBLANK(AC7),IFERROR(VLOOKUP($F7,Sheet3!$H$2:$O$200,AJ$1,FALSE),VLOOKUP($G7,Sheet3!$H$2:$O$200,AJ$1,FALSE)),$I$1),$I$1)</f>
        <v>0</v>
      </c>
      <c r="AK7" s="15">
        <f>IFERROR(IF(ISBLANK(AD7),IFERROR(VLOOKUP($F7,Sheet3!$H$2:$O$200,AK$1,FALSE),VLOOKUP($G7,Sheet3!$H$2:$O$200,AK$1,FALSE)),$I$1),$I$1)</f>
        <v>0</v>
      </c>
      <c r="AL7" s="15">
        <f>IFERROR(IF(ISBLANK(AE7),VLOOKUP($G7,Sheet3!$H$2:$O$200,AL$1,FALSE),$I$1),$I$1)</f>
        <v>0</v>
      </c>
      <c r="AM7" s="15">
        <f>IFERROR(IF(ISBLANK(AF7),VLOOKUP($G7,Sheet3!$H$2:$O$200,AM$1,FALSE),$I$1),$I$1)</f>
        <v>0</v>
      </c>
      <c r="AN7" s="15">
        <f>IFERROR(IF(ISBLANK(AG7),VLOOKUP($G7,Sheet3!$H$2:$O$200,AN$1,FALSE),$I$1),$I$1)</f>
        <v>0</v>
      </c>
      <c r="AO7" s="15">
        <f>IFERROR(IF(ISBLANK(AH7),VLOOKUP($G7,Sheet3!$H$2:$O$200,AO$1,FALSE),$I$1),$I$1)</f>
        <v>0</v>
      </c>
      <c r="AP7" s="15">
        <f>IFERROR(IF(ISBLANK(AI7),VLOOKUP($G7,Sheet3!$H$2:$O$200,AP$1,FALSE),$I$1),$I$1)</f>
        <v>0</v>
      </c>
      <c r="AQ7" s="15">
        <f>IFERROR(IF(ISBLANK(AJ7),VLOOKUP($G7,Sheet3!$H$2:$O$200,AQ$1,FALSE),$I$1),$I$1)</f>
        <v>0</v>
      </c>
      <c r="AR7" s="15">
        <f>IFERROR(IF(ISBLANK(AK7),VLOOKUP($G7,Sheet3!$H$2:$O$200,AR$1,FALSE),$I$1),$I$1)</f>
        <v>0</v>
      </c>
      <c r="AS7" s="15">
        <f t="shared" ref="AS7:AY7" si="6">IFERROR(IF(ISBLANK(J7),IF(ISBLANK(Q7),IF(ISBLANK(X7),IF(ISBLANK(AE7),IF(ISBLANK(AL7),$BB$1,AL7),AE7),X7),Q7),J7),$BB$1)</f>
        <v>0</v>
      </c>
      <c r="AT7" s="15">
        <f t="shared" si="6"/>
        <v>0</v>
      </c>
      <c r="AU7" s="15">
        <f t="shared" si="6"/>
        <v>0</v>
      </c>
      <c r="AV7" s="15" t="str">
        <f t="shared" si="6"/>
        <v>sweet vermouth</v>
      </c>
      <c r="AW7" s="15">
        <f t="shared" si="6"/>
        <v>0</v>
      </c>
      <c r="AX7" s="15">
        <f t="shared" si="6"/>
        <v>0</v>
      </c>
      <c r="AY7" s="15">
        <f t="shared" si="6"/>
        <v>0</v>
      </c>
      <c r="BA7" s="13">
        <f t="shared" si="1"/>
        <v>35</v>
      </c>
      <c r="BB7" s="15" t="b">
        <f t="shared" si="2"/>
        <v>0</v>
      </c>
    </row>
    <row r="8" spans="1:54" x14ac:dyDescent="0.2">
      <c r="A8" s="19" t="s">
        <v>51</v>
      </c>
      <c r="B8" s="19" t="s">
        <v>47</v>
      </c>
      <c r="C8" s="19" t="s">
        <v>52</v>
      </c>
      <c r="D8" s="19"/>
      <c r="E8" s="19" t="s">
        <v>53</v>
      </c>
      <c r="F8" s="19"/>
      <c r="G8" s="19"/>
      <c r="H8" s="19" t="s">
        <v>51</v>
      </c>
      <c r="I8" s="15">
        <v>2</v>
      </c>
      <c r="J8" s="15">
        <f>IFERROR(VLOOKUP($C8,Sheet3!$H$2:$O$200,J$1,FALSE),IFERROR(VLOOKUP($D8,Sheet3!$H$2:$O$200,J$1,FALSE),VLOOKUP($E8,Sheet3!$H$2:$O$200,J$1,FALSE)))</f>
        <v>0</v>
      </c>
      <c r="K8" s="15">
        <f>IFERROR(VLOOKUP($C8,Sheet3!$H$2:$O$200,K$1,FALSE),IFERROR(VLOOKUP($D8,Sheet3!$H$2:$O$200,K$1,FALSE),VLOOKUP($E8,Sheet3!$H$2:$O$200,K$1,FALSE)))</f>
        <v>0</v>
      </c>
      <c r="L8" s="15">
        <f>IFERROR(VLOOKUP($C8,Sheet3!$H$2:$O$200,L$1,FALSE),IFERROR(VLOOKUP($D8,Sheet3!$H$2:$O$200,L$1,FALSE),VLOOKUP($E8,Sheet3!$H$2:$O$200,L$1,FALSE)))</f>
        <v>0</v>
      </c>
      <c r="M8" s="15" t="str">
        <f>IFERROR(VLOOKUP($C8,Sheet3!$H$2:$O$200,M$1,FALSE),IFERROR(VLOOKUP($D8,Sheet3!$H$2:$O$200,M$1,FALSE),VLOOKUP($E8,Sheet3!$H$2:$O$200,M$1,FALSE)))</f>
        <v>dry vermouth</v>
      </c>
      <c r="N8" s="15">
        <f>IFERROR(VLOOKUP($C8,Sheet3!$H$2:$O$200,N$1,FALSE),IFERROR(VLOOKUP($D8,Sheet3!$H$2:$O$200,N$1,FALSE),VLOOKUP($E8,Sheet3!$H$2:$O$200,N$1,FALSE)))</f>
        <v>0</v>
      </c>
      <c r="O8" s="15">
        <f>IFERROR(VLOOKUP($C8,Sheet3!$H$2:$O$200,O$1,FALSE),IFERROR(VLOOKUP($D8,Sheet3!$H$2:$O$200,O$1,FALSE),VLOOKUP($E8,Sheet3!$H$2:$O$200,O$1,FALSE)))</f>
        <v>0</v>
      </c>
      <c r="P8" s="15">
        <f>IFERROR(VLOOKUP($C8,Sheet3!$H$2:$O$200,P$1,FALSE),IFERROR(VLOOKUP($D8,Sheet3!$H$2:$O$200,P$1,FALSE),VLOOKUP($E8,Sheet3!$H$2:$O$200,P$1,FALSE)))</f>
        <v>0</v>
      </c>
      <c r="Q8" s="15">
        <f>IFERROR(IF(ISBLANK(J8),IFERROR(VLOOKUP($D8,Sheet3!$H$2:$O$200,Q$1,FALSE),IFERROR(VLOOKUP($E8,Sheet3!$H$2:$O$200,Q$1,FALSE),VLOOKUP($F8,Sheet3!$H$2:$O$200,Q$1,FALSE))),$I$1),$I$1)</f>
        <v>0</v>
      </c>
      <c r="R8" s="15">
        <f>IFERROR(IF(ISBLANK(K8),IFERROR(VLOOKUP($D8,Sheet3!$H$2:$O$200,R$1,FALSE),IFERROR(VLOOKUP($E8,Sheet3!$H$2:$O$200,R$1,FALSE),VLOOKUP($F8,Sheet3!$H$2:$O$200,R$1,FALSE))),$I$1),$I$1)</f>
        <v>0</v>
      </c>
      <c r="S8" s="15">
        <f>IFERROR(IF(ISBLANK(L8),IFERROR(VLOOKUP($D8,Sheet3!$H$2:$O$200,S$1,FALSE),IFERROR(VLOOKUP($E8,Sheet3!$H$2:$O$200,S$1,FALSE),VLOOKUP($F8,Sheet3!$H$2:$O$200,S$1,FALSE))),$I$1),$I$1)</f>
        <v>0</v>
      </c>
      <c r="T8" s="15">
        <f>IFERROR(IF(ISBLANK(M8),IFERROR(VLOOKUP($D8,Sheet3!$H$2:$O$200,T$1,FALSE),IFERROR(VLOOKUP($E8,Sheet3!$H$2:$O$200,T$1,FALSE),VLOOKUP($F8,Sheet3!$H$2:$O$200,T$1,FALSE))),$I$1),$I$1)</f>
        <v>0</v>
      </c>
      <c r="U8" s="15">
        <f>IFERROR(IF(ISBLANK(N8),IFERROR(VLOOKUP($D8,Sheet3!$H$2:$O$200,U$1,FALSE),IFERROR(VLOOKUP($E8,Sheet3!$H$2:$O$200,U$1,FALSE),VLOOKUP($F8,Sheet3!$H$2:$O$200,U$1,FALSE))),$I$1),$I$1)</f>
        <v>0</v>
      </c>
      <c r="V8" s="15">
        <f>IFERROR(IF(ISBLANK(O8),IFERROR(VLOOKUP($D8,Sheet3!$H$2:$O$200,V$1,FALSE),IFERROR(VLOOKUP($E8,Sheet3!$H$2:$O$200,V$1,FALSE),VLOOKUP($F8,Sheet3!$H$2:$O$200,V$1,FALSE))),$I$1),$I$1)</f>
        <v>0</v>
      </c>
      <c r="W8" s="15">
        <f>IFERROR(IF(ISBLANK(P8),IFERROR(VLOOKUP($D8,Sheet3!$H$2:$O$200,W$1,FALSE),IFERROR(VLOOKUP($E8,Sheet3!$H$2:$O$200,W$1,FALSE),VLOOKUP($F8,Sheet3!$H$2:$O$200,W$1,FALSE))),$I$1),$I$1)</f>
        <v>0</v>
      </c>
      <c r="X8" s="15">
        <f>IFERROR(IF(ISBLANK(Q8),IFERROR(VLOOKUP($E8,Sheet3!$H$2:$O$200,X$1,FALSE),IFERROR(VLOOKUP($F8,Sheet3!$H$2:$O$200,X$1,FALSE),VLOOKUP($G8,Sheet3!$H$2:$O$200,X$1,FALSE))),$I$1),$I$1)</f>
        <v>0</v>
      </c>
      <c r="Y8" s="15">
        <f>IFERROR(IF(ISBLANK(R8),IFERROR(VLOOKUP($E8,Sheet3!$H$2:$O$200,Y$1,FALSE),IFERROR(VLOOKUP($F8,Sheet3!$H$2:$O$200,Y$1,FALSE),VLOOKUP($G8,Sheet3!$H$2:$O$200,Y$1,FALSE))),$I$1),$I$1)</f>
        <v>0</v>
      </c>
      <c r="Z8" s="15">
        <f>IFERROR(IF(ISBLANK(S8),IFERROR(VLOOKUP($E8,Sheet3!$H$2:$O$200,Z$1,FALSE),IFERROR(VLOOKUP($F8,Sheet3!$H$2:$O$200,Z$1,FALSE),VLOOKUP($G8,Sheet3!$H$2:$O$200,Z$1,FALSE))),$I$1),$I$1)</f>
        <v>0</v>
      </c>
      <c r="AA8" s="15">
        <f>IFERROR(IF(ISBLANK(T8),IFERROR(VLOOKUP($E8,Sheet3!$H$2:$O$200,AA$1,FALSE),IFERROR(VLOOKUP($F8,Sheet3!$H$2:$O$200,AA$1,FALSE),VLOOKUP($G8,Sheet3!$H$2:$O$200,AA$1,FALSE))),$I$1),$I$1)</f>
        <v>0</v>
      </c>
      <c r="AB8" s="15">
        <f>IFERROR(IF(ISBLANK(U8),IFERROR(VLOOKUP($E8,Sheet3!$H$2:$O$200,AB$1,FALSE),IFERROR(VLOOKUP($F8,Sheet3!$H$2:$O$200,AB$1,FALSE),VLOOKUP($G8,Sheet3!$H$2:$O$200,AB$1,FALSE))),$I$1),$I$1)</f>
        <v>0</v>
      </c>
      <c r="AC8" s="15">
        <f>IFERROR(IF(ISBLANK(V8),IFERROR(VLOOKUP($E8,Sheet3!$H$2:$O$200,AC$1,FALSE),IFERROR(VLOOKUP($F8,Sheet3!$H$2:$O$200,AC$1,FALSE),VLOOKUP($G8,Sheet3!$H$2:$O$200,AC$1,FALSE))),$I$1),$I$1)</f>
        <v>0</v>
      </c>
      <c r="AD8" s="15">
        <f>IFERROR(IF(ISBLANK(W8),IFERROR(VLOOKUP($E8,Sheet3!$H$2:$O$200,AD$1,FALSE),IFERROR(VLOOKUP($F8,Sheet3!$H$2:$O$200,AD$1,FALSE),VLOOKUP($G8,Sheet3!$H$2:$O$200,AD$1,FALSE))),$I$1),$I$1)</f>
        <v>0</v>
      </c>
      <c r="AE8" s="15">
        <f>IFERROR(IF(ISBLANK(X8),IFERROR(VLOOKUP($F8,Sheet3!$H$2:$O$200,AE$1,FALSE),VLOOKUP($G8,Sheet3!$H$2:$O$200,AE$1,FALSE)),$I$1),$I$1)</f>
        <v>0</v>
      </c>
      <c r="AF8" s="15">
        <f>IFERROR(IF(ISBLANK(Y8),IFERROR(VLOOKUP($F8,Sheet3!$H$2:$O$200,AF$1,FALSE),VLOOKUP($G8,Sheet3!$H$2:$O$200,AF$1,FALSE)),$I$1),$I$1)</f>
        <v>0</v>
      </c>
      <c r="AG8" s="15">
        <f>IFERROR(IF(ISBLANK(Z8),IFERROR(VLOOKUP($F8,Sheet3!$H$2:$O$200,AG$1,FALSE),VLOOKUP($G8,Sheet3!$H$2:$O$200,AG$1,FALSE)),$I$1),$I$1)</f>
        <v>0</v>
      </c>
      <c r="AH8" s="15">
        <f>IFERROR(IF(ISBLANK(AA8),IFERROR(VLOOKUP($F8,Sheet3!$H$2:$O$200,AH$1,FALSE),VLOOKUP($G8,Sheet3!$H$2:$O$200,AH$1,FALSE)),$I$1),$I$1)</f>
        <v>0</v>
      </c>
      <c r="AI8" s="15">
        <f>IFERROR(IF(ISBLANK(AB8),IFERROR(VLOOKUP($F8,Sheet3!$H$2:$O$200,AI$1,FALSE),VLOOKUP($G8,Sheet3!$H$2:$O$200,AI$1,FALSE)),$I$1),$I$1)</f>
        <v>0</v>
      </c>
      <c r="AJ8" s="15">
        <f>IFERROR(IF(ISBLANK(AC8),IFERROR(VLOOKUP($F8,Sheet3!$H$2:$O$200,AJ$1,FALSE),VLOOKUP($G8,Sheet3!$H$2:$O$200,AJ$1,FALSE)),$I$1),$I$1)</f>
        <v>0</v>
      </c>
      <c r="AK8" s="15">
        <f>IFERROR(IF(ISBLANK(AD8),IFERROR(VLOOKUP($F8,Sheet3!$H$2:$O$200,AK$1,FALSE),VLOOKUP($G8,Sheet3!$H$2:$O$200,AK$1,FALSE)),$I$1),$I$1)</f>
        <v>0</v>
      </c>
      <c r="AL8" s="15">
        <f>IFERROR(IF(ISBLANK(AE8),VLOOKUP($G8,Sheet3!$H$2:$O$200,AL$1,FALSE),$I$1),$I$1)</f>
        <v>0</v>
      </c>
      <c r="AM8" s="15">
        <f>IFERROR(IF(ISBLANK(AF8),VLOOKUP($G8,Sheet3!$H$2:$O$200,AM$1,FALSE),$I$1),$I$1)</f>
        <v>0</v>
      </c>
      <c r="AN8" s="15">
        <f>IFERROR(IF(ISBLANK(AG8),VLOOKUP($G8,Sheet3!$H$2:$O$200,AN$1,FALSE),$I$1),$I$1)</f>
        <v>0</v>
      </c>
      <c r="AO8" s="15">
        <f>IFERROR(IF(ISBLANK(AH8),VLOOKUP($G8,Sheet3!$H$2:$O$200,AO$1,FALSE),$I$1),$I$1)</f>
        <v>0</v>
      </c>
      <c r="AP8" s="15">
        <f>IFERROR(IF(ISBLANK(AI8),VLOOKUP($G8,Sheet3!$H$2:$O$200,AP$1,FALSE),$I$1),$I$1)</f>
        <v>0</v>
      </c>
      <c r="AQ8" s="15">
        <f>IFERROR(IF(ISBLANK(AJ8),VLOOKUP($G8,Sheet3!$H$2:$O$200,AQ$1,FALSE),$I$1),$I$1)</f>
        <v>0</v>
      </c>
      <c r="AR8" s="15">
        <f>IFERROR(IF(ISBLANK(AK8),VLOOKUP($G8,Sheet3!$H$2:$O$200,AR$1,FALSE),$I$1),$I$1)</f>
        <v>0</v>
      </c>
      <c r="AS8" s="15">
        <f t="shared" ref="AS8:AY8" si="7">IFERROR(IF(ISBLANK(J8),IF(ISBLANK(Q8),IF(ISBLANK(X8),IF(ISBLANK(AE8),IF(ISBLANK(AL8),$BB$1,AL8),AE8),X8),Q8),J8),$BB$1)</f>
        <v>0</v>
      </c>
      <c r="AT8" s="15">
        <f t="shared" si="7"/>
        <v>0</v>
      </c>
      <c r="AU8" s="15">
        <f t="shared" si="7"/>
        <v>0</v>
      </c>
      <c r="AV8" s="15" t="str">
        <f t="shared" si="7"/>
        <v>dry vermouth</v>
      </c>
      <c r="AW8" s="15">
        <f t="shared" si="7"/>
        <v>0</v>
      </c>
      <c r="AX8" s="15">
        <f t="shared" si="7"/>
        <v>0</v>
      </c>
      <c r="AY8" s="15">
        <f t="shared" si="7"/>
        <v>0</v>
      </c>
      <c r="BA8" s="13">
        <f t="shared" si="1"/>
        <v>35</v>
      </c>
      <c r="BB8" s="15" t="b">
        <f t="shared" si="2"/>
        <v>0</v>
      </c>
    </row>
    <row r="9" spans="1:54" x14ac:dyDescent="0.2">
      <c r="A9" s="19" t="s">
        <v>54</v>
      </c>
      <c r="B9" s="19" t="s">
        <v>47</v>
      </c>
      <c r="C9" s="19"/>
      <c r="D9" s="19" t="s">
        <v>38</v>
      </c>
      <c r="E9" s="19" t="s">
        <v>55</v>
      </c>
      <c r="F9" s="19"/>
      <c r="G9" s="19"/>
      <c r="H9" s="19" t="s">
        <v>54</v>
      </c>
      <c r="I9" s="15">
        <v>2</v>
      </c>
      <c r="J9" s="15">
        <f>IFERROR(VLOOKUP($C9,Sheet3!$H$2:$O$200,J$1,FALSE),IFERROR(VLOOKUP($D9,Sheet3!$H$2:$O$200,J$1,FALSE),VLOOKUP($E9,Sheet3!$H$2:$O$200,J$1,FALSE)))</f>
        <v>0</v>
      </c>
      <c r="K9" s="15">
        <f>IFERROR(VLOOKUP($C9,Sheet3!$H$2:$O$200,K$1,FALSE),IFERROR(VLOOKUP($D9,Sheet3!$H$2:$O$200,K$1,FALSE),VLOOKUP($E9,Sheet3!$H$2:$O$200,K$1,FALSE)))</f>
        <v>0</v>
      </c>
      <c r="L9" s="15" t="str">
        <f>IFERROR(VLOOKUP($C9,Sheet3!$H$2:$O$200,L$1,FALSE),IFERROR(VLOOKUP($D9,Sheet3!$H$2:$O$200,L$1,FALSE),VLOOKUP($E9,Sheet3!$H$2:$O$200,L$1,FALSE)))</f>
        <v>lemon juice</v>
      </c>
      <c r="M9" s="15">
        <f>IFERROR(VLOOKUP($C9,Sheet3!$H$2:$O$200,M$1,FALSE),IFERROR(VLOOKUP($D9,Sheet3!$H$2:$O$200,M$1,FALSE),VLOOKUP($E9,Sheet3!$H$2:$O$200,M$1,FALSE)))</f>
        <v>0</v>
      </c>
      <c r="N9" s="15">
        <f>IFERROR(VLOOKUP($C9,Sheet3!$H$2:$O$200,N$1,FALSE),IFERROR(VLOOKUP($D9,Sheet3!$H$2:$O$200,N$1,FALSE),VLOOKUP($E9,Sheet3!$H$2:$O$200,N$1,FALSE)))</f>
        <v>0</v>
      </c>
      <c r="O9" s="15">
        <f>IFERROR(VLOOKUP($C9,Sheet3!$H$2:$O$200,O$1,FALSE),IFERROR(VLOOKUP($D9,Sheet3!$H$2:$O$200,O$1,FALSE),VLOOKUP($E9,Sheet3!$H$2:$O$200,O$1,FALSE)))</f>
        <v>0</v>
      </c>
      <c r="P9" s="15">
        <f>IFERROR(VLOOKUP($C9,Sheet3!$H$2:$O$200,P$1,FALSE),IFERROR(VLOOKUP($D9,Sheet3!$H$2:$O$200,P$1,FALSE),VLOOKUP($E9,Sheet3!$H$2:$O$200,P$1,FALSE)))</f>
        <v>0</v>
      </c>
      <c r="Q9" s="15">
        <f>IFERROR(IF(ISBLANK(J9),IFERROR(VLOOKUP($D9,Sheet3!$H$2:$O$200,Q$1,FALSE),IFERROR(VLOOKUP($E9,Sheet3!$H$2:$O$200,Q$1,FALSE),VLOOKUP($F9,Sheet3!$H$2:$O$200,Q$1,FALSE))),$I$1),$I$1)</f>
        <v>0</v>
      </c>
      <c r="R9" s="15">
        <f>IFERROR(IF(ISBLANK(K9),IFERROR(VLOOKUP($D9,Sheet3!$H$2:$O$200,R$1,FALSE),IFERROR(VLOOKUP($E9,Sheet3!$H$2:$O$200,R$1,FALSE),VLOOKUP($F9,Sheet3!$H$2:$O$200,R$1,FALSE))),$I$1),$I$1)</f>
        <v>0</v>
      </c>
      <c r="S9" s="15">
        <f>IFERROR(IF(ISBLANK(L9),IFERROR(VLOOKUP($D9,Sheet3!$H$2:$O$200,S$1,FALSE),IFERROR(VLOOKUP($E9,Sheet3!$H$2:$O$200,S$1,FALSE),VLOOKUP($F9,Sheet3!$H$2:$O$200,S$1,FALSE))),$I$1),$I$1)</f>
        <v>0</v>
      </c>
      <c r="T9" s="15">
        <f>IFERROR(IF(ISBLANK(M9),IFERROR(VLOOKUP($D9,Sheet3!$H$2:$O$200,T$1,FALSE),IFERROR(VLOOKUP($E9,Sheet3!$H$2:$O$200,T$1,FALSE),VLOOKUP($F9,Sheet3!$H$2:$O$200,T$1,FALSE))),$I$1),$I$1)</f>
        <v>0</v>
      </c>
      <c r="U9" s="15">
        <f>IFERROR(IF(ISBLANK(N9),IFERROR(VLOOKUP($D9,Sheet3!$H$2:$O$200,U$1,FALSE),IFERROR(VLOOKUP($E9,Sheet3!$H$2:$O$200,U$1,FALSE),VLOOKUP($F9,Sheet3!$H$2:$O$200,U$1,FALSE))),$I$1),$I$1)</f>
        <v>0</v>
      </c>
      <c r="V9" s="15">
        <f>IFERROR(IF(ISBLANK(O9),IFERROR(VLOOKUP($D9,Sheet3!$H$2:$O$200,V$1,FALSE),IFERROR(VLOOKUP($E9,Sheet3!$H$2:$O$200,V$1,FALSE),VLOOKUP($F9,Sheet3!$H$2:$O$200,V$1,FALSE))),$I$1),$I$1)</f>
        <v>0</v>
      </c>
      <c r="W9" s="15">
        <f>IFERROR(IF(ISBLANK(P9),IFERROR(VLOOKUP($D9,Sheet3!$H$2:$O$200,W$1,FALSE),IFERROR(VLOOKUP($E9,Sheet3!$H$2:$O$200,W$1,FALSE),VLOOKUP($F9,Sheet3!$H$2:$O$200,W$1,FALSE))),$I$1),$I$1)</f>
        <v>0</v>
      </c>
      <c r="X9" s="15">
        <f>IFERROR(IF(ISBLANK(Q9),IFERROR(VLOOKUP($E9,Sheet3!$H$2:$O$200,X$1,FALSE),IFERROR(VLOOKUP($F9,Sheet3!$H$2:$O$200,X$1,FALSE),VLOOKUP($G9,Sheet3!$H$2:$O$200,X$1,FALSE))),$I$1),$I$1)</f>
        <v>0</v>
      </c>
      <c r="Y9" s="15">
        <f>IFERROR(IF(ISBLANK(R9),IFERROR(VLOOKUP($E9,Sheet3!$H$2:$O$200,Y$1,FALSE),IFERROR(VLOOKUP($F9,Sheet3!$H$2:$O$200,Y$1,FALSE),VLOOKUP($G9,Sheet3!$H$2:$O$200,Y$1,FALSE))),$I$1),$I$1)</f>
        <v>0</v>
      </c>
      <c r="Z9" s="15">
        <f>IFERROR(IF(ISBLANK(S9),IFERROR(VLOOKUP($E9,Sheet3!$H$2:$O$200,Z$1,FALSE),IFERROR(VLOOKUP($F9,Sheet3!$H$2:$O$200,Z$1,FALSE),VLOOKUP($G9,Sheet3!$H$2:$O$200,Z$1,FALSE))),$I$1),$I$1)</f>
        <v>0</v>
      </c>
      <c r="AA9" s="15">
        <f>IFERROR(IF(ISBLANK(T9),IFERROR(VLOOKUP($E9,Sheet3!$H$2:$O$200,AA$1,FALSE),IFERROR(VLOOKUP($F9,Sheet3!$H$2:$O$200,AA$1,FALSE),VLOOKUP($G9,Sheet3!$H$2:$O$200,AA$1,FALSE))),$I$1),$I$1)</f>
        <v>0</v>
      </c>
      <c r="AB9" s="15">
        <f>IFERROR(IF(ISBLANK(U9),IFERROR(VLOOKUP($E9,Sheet3!$H$2:$O$200,AB$1,FALSE),IFERROR(VLOOKUP($F9,Sheet3!$H$2:$O$200,AB$1,FALSE),VLOOKUP($G9,Sheet3!$H$2:$O$200,AB$1,FALSE))),$I$1),$I$1)</f>
        <v>0</v>
      </c>
      <c r="AC9" s="15">
        <f>IFERROR(IF(ISBLANK(V9),IFERROR(VLOOKUP($E9,Sheet3!$H$2:$O$200,AC$1,FALSE),IFERROR(VLOOKUP($F9,Sheet3!$H$2:$O$200,AC$1,FALSE),VLOOKUP($G9,Sheet3!$H$2:$O$200,AC$1,FALSE))),$I$1),$I$1)</f>
        <v>0</v>
      </c>
      <c r="AD9" s="15">
        <f>IFERROR(IF(ISBLANK(W9),IFERROR(VLOOKUP($E9,Sheet3!$H$2:$O$200,AD$1,FALSE),IFERROR(VLOOKUP($F9,Sheet3!$H$2:$O$200,AD$1,FALSE),VLOOKUP($G9,Sheet3!$H$2:$O$200,AD$1,FALSE))),$I$1),$I$1)</f>
        <v>0</v>
      </c>
      <c r="AE9" s="15">
        <f>IFERROR(IF(ISBLANK(X9),IFERROR(VLOOKUP($F9,Sheet3!$H$2:$O$200,AE$1,FALSE),VLOOKUP($G9,Sheet3!$H$2:$O$200,AE$1,FALSE)),$I$1),$I$1)</f>
        <v>0</v>
      </c>
      <c r="AF9" s="15">
        <f>IFERROR(IF(ISBLANK(Y9),IFERROR(VLOOKUP($F9,Sheet3!$H$2:$O$200,AF$1,FALSE),VLOOKUP($G9,Sheet3!$H$2:$O$200,AF$1,FALSE)),$I$1),$I$1)</f>
        <v>0</v>
      </c>
      <c r="AG9" s="15">
        <f>IFERROR(IF(ISBLANK(Z9),IFERROR(VLOOKUP($F9,Sheet3!$H$2:$O$200,AG$1,FALSE),VLOOKUP($G9,Sheet3!$H$2:$O$200,AG$1,FALSE)),$I$1),$I$1)</f>
        <v>0</v>
      </c>
      <c r="AH9" s="15">
        <f>IFERROR(IF(ISBLANK(AA9),IFERROR(VLOOKUP($F9,Sheet3!$H$2:$O$200,AH$1,FALSE),VLOOKUP($G9,Sheet3!$H$2:$O$200,AH$1,FALSE)),$I$1),$I$1)</f>
        <v>0</v>
      </c>
      <c r="AI9" s="15">
        <f>IFERROR(IF(ISBLANK(AB9),IFERROR(VLOOKUP($F9,Sheet3!$H$2:$O$200,AI$1,FALSE),VLOOKUP($G9,Sheet3!$H$2:$O$200,AI$1,FALSE)),$I$1),$I$1)</f>
        <v>0</v>
      </c>
      <c r="AJ9" s="15">
        <f>IFERROR(IF(ISBLANK(AC9),IFERROR(VLOOKUP($F9,Sheet3!$H$2:$O$200,AJ$1,FALSE),VLOOKUP($G9,Sheet3!$H$2:$O$200,AJ$1,FALSE)),$I$1),$I$1)</f>
        <v>0</v>
      </c>
      <c r="AK9" s="15">
        <f>IFERROR(IF(ISBLANK(AD9),IFERROR(VLOOKUP($F9,Sheet3!$H$2:$O$200,AK$1,FALSE),VLOOKUP($G9,Sheet3!$H$2:$O$200,AK$1,FALSE)),$I$1),$I$1)</f>
        <v>0</v>
      </c>
      <c r="AL9" s="15">
        <f>IFERROR(IF(ISBLANK(AE9),VLOOKUP($G9,Sheet3!$H$2:$O$200,AL$1,FALSE),$I$1),$I$1)</f>
        <v>0</v>
      </c>
      <c r="AM9" s="15">
        <f>IFERROR(IF(ISBLANK(AF9),VLOOKUP($G9,Sheet3!$H$2:$O$200,AM$1,FALSE),$I$1),$I$1)</f>
        <v>0</v>
      </c>
      <c r="AN9" s="15">
        <f>IFERROR(IF(ISBLANK(AG9),VLOOKUP($G9,Sheet3!$H$2:$O$200,AN$1,FALSE),$I$1),$I$1)</f>
        <v>0</v>
      </c>
      <c r="AO9" s="15">
        <f>IFERROR(IF(ISBLANK(AH9),VLOOKUP($G9,Sheet3!$H$2:$O$200,AO$1,FALSE),$I$1),$I$1)</f>
        <v>0</v>
      </c>
      <c r="AP9" s="15">
        <f>IFERROR(IF(ISBLANK(AI9),VLOOKUP($G9,Sheet3!$H$2:$O$200,AP$1,FALSE),$I$1),$I$1)</f>
        <v>0</v>
      </c>
      <c r="AQ9" s="15">
        <f>IFERROR(IF(ISBLANK(AJ9),VLOOKUP($G9,Sheet3!$H$2:$O$200,AQ$1,FALSE),$I$1),$I$1)</f>
        <v>0</v>
      </c>
      <c r="AR9" s="15">
        <f>IFERROR(IF(ISBLANK(AK9),VLOOKUP($G9,Sheet3!$H$2:$O$200,AR$1,FALSE),$I$1),$I$1)</f>
        <v>0</v>
      </c>
      <c r="AS9" s="15">
        <f t="shared" ref="AS9:AY9" si="8">IFERROR(IF(ISBLANK(J9),IF(ISBLANK(Q9),IF(ISBLANK(X9),IF(ISBLANK(AE9),IF(ISBLANK(AL9),$BB$1,AL9),AE9),X9),Q9),J9),$BB$1)</f>
        <v>0</v>
      </c>
      <c r="AT9" s="15">
        <f t="shared" si="8"/>
        <v>0</v>
      </c>
      <c r="AU9" s="15" t="str">
        <f t="shared" si="8"/>
        <v>lemon juice</v>
      </c>
      <c r="AV9" s="15">
        <f t="shared" si="8"/>
        <v>0</v>
      </c>
      <c r="AW9" s="15">
        <f t="shared" si="8"/>
        <v>0</v>
      </c>
      <c r="AX9" s="15">
        <f t="shared" si="8"/>
        <v>0</v>
      </c>
      <c r="AY9" s="15">
        <f t="shared" si="8"/>
        <v>0</v>
      </c>
      <c r="BA9" s="13">
        <f t="shared" si="1"/>
        <v>35</v>
      </c>
      <c r="BB9" s="15" t="b">
        <f t="shared" si="2"/>
        <v>0</v>
      </c>
    </row>
    <row r="10" spans="1:54" x14ac:dyDescent="0.2">
      <c r="A10" s="19" t="s">
        <v>56</v>
      </c>
      <c r="B10" s="19" t="s">
        <v>47</v>
      </c>
      <c r="C10" s="19" t="s">
        <v>57</v>
      </c>
      <c r="D10" s="19" t="s">
        <v>38</v>
      </c>
      <c r="E10" s="19"/>
      <c r="F10" s="19"/>
      <c r="G10" s="19"/>
      <c r="H10" s="19" t="s">
        <v>56</v>
      </c>
      <c r="I10" s="15">
        <v>2</v>
      </c>
      <c r="J10" s="15">
        <f>IFERROR(VLOOKUP($C10,Sheet3!$H$2:$O$200,J$1,FALSE),IFERROR(VLOOKUP($D10,Sheet3!$H$2:$O$200,J$1,FALSE),VLOOKUP($E10,Sheet3!$H$2:$O$200,J$1,FALSE)))</f>
        <v>0</v>
      </c>
      <c r="K10" s="15">
        <f>IFERROR(VLOOKUP($C10,Sheet3!$H$2:$O$200,K$1,FALSE),IFERROR(VLOOKUP($D10,Sheet3!$H$2:$O$200,K$1,FALSE),VLOOKUP($E10,Sheet3!$H$2:$O$200,K$1,FALSE)))</f>
        <v>0</v>
      </c>
      <c r="L10" s="15">
        <f>IFERROR(VLOOKUP($C10,Sheet3!$H$2:$O$200,L$1,FALSE),IFERROR(VLOOKUP($D10,Sheet3!$H$2:$O$200,L$1,FALSE),VLOOKUP($E10,Sheet3!$H$2:$O$200,L$1,FALSE)))</f>
        <v>0</v>
      </c>
      <c r="M10" s="15" t="str">
        <f>IFERROR(VLOOKUP($C10,Sheet3!$H$2:$O$200,M$1,FALSE),IFERROR(VLOOKUP($D10,Sheet3!$H$2:$O$200,M$1,FALSE),VLOOKUP($E10,Sheet3!$H$2:$O$200,M$1,FALSE)))</f>
        <v>crème de noyau</v>
      </c>
      <c r="N10" s="15">
        <f>IFERROR(VLOOKUP($C10,Sheet3!$H$2:$O$200,N$1,FALSE),IFERROR(VLOOKUP($D10,Sheet3!$H$2:$O$200,N$1,FALSE),VLOOKUP($E10,Sheet3!$H$2:$O$200,N$1,FALSE)))</f>
        <v>0</v>
      </c>
      <c r="O10" s="15">
        <f>IFERROR(VLOOKUP($C10,Sheet3!$H$2:$O$200,O$1,FALSE),IFERROR(VLOOKUP($D10,Sheet3!$H$2:$O$200,O$1,FALSE),VLOOKUP($E10,Sheet3!$H$2:$O$200,O$1,FALSE)))</f>
        <v>0</v>
      </c>
      <c r="P10" s="15">
        <f>IFERROR(VLOOKUP($C10,Sheet3!$H$2:$O$200,P$1,FALSE),IFERROR(VLOOKUP($D10,Sheet3!$H$2:$O$200,P$1,FALSE),VLOOKUP($E10,Sheet3!$H$2:$O$200,P$1,FALSE)))</f>
        <v>0</v>
      </c>
      <c r="Q10" s="15">
        <f>IFERROR(IF(ISBLANK(J10),IFERROR(VLOOKUP($D10,Sheet3!$H$2:$O$200,Q$1,FALSE),IFERROR(VLOOKUP($E10,Sheet3!$H$2:$O$200,Q$1,FALSE),VLOOKUP($F10,Sheet3!$H$2:$O$200,Q$1,FALSE))),$I$1),$I$1)</f>
        <v>0</v>
      </c>
      <c r="R10" s="15">
        <f>IFERROR(IF(ISBLANK(K10),IFERROR(VLOOKUP($D10,Sheet3!$H$2:$O$200,R$1,FALSE),IFERROR(VLOOKUP($E10,Sheet3!$H$2:$O$200,R$1,FALSE),VLOOKUP($F10,Sheet3!$H$2:$O$200,R$1,FALSE))),$I$1),$I$1)</f>
        <v>0</v>
      </c>
      <c r="S10" s="15">
        <f>IFERROR(IF(ISBLANK(L10),IFERROR(VLOOKUP($D10,Sheet3!$H$2:$O$200,S$1,FALSE),IFERROR(VLOOKUP($E10,Sheet3!$H$2:$O$200,S$1,FALSE),VLOOKUP($F10,Sheet3!$H$2:$O$200,S$1,FALSE))),$I$1),$I$1)</f>
        <v>0</v>
      </c>
      <c r="T10" s="15">
        <f>IFERROR(IF(ISBLANK(M10),IFERROR(VLOOKUP($D10,Sheet3!$H$2:$O$200,T$1,FALSE),IFERROR(VLOOKUP($E10,Sheet3!$H$2:$O$200,T$1,FALSE),VLOOKUP($F10,Sheet3!$H$2:$O$200,T$1,FALSE))),$I$1),$I$1)</f>
        <v>0</v>
      </c>
      <c r="U10" s="15">
        <f>IFERROR(IF(ISBLANK(N10),IFERROR(VLOOKUP($D10,Sheet3!$H$2:$O$200,U$1,FALSE),IFERROR(VLOOKUP($E10,Sheet3!$H$2:$O$200,U$1,FALSE),VLOOKUP($F10,Sheet3!$H$2:$O$200,U$1,FALSE))),$I$1),$I$1)</f>
        <v>0</v>
      </c>
      <c r="V10" s="15">
        <f>IFERROR(IF(ISBLANK(O10),IFERROR(VLOOKUP($D10,Sheet3!$H$2:$O$200,V$1,FALSE),IFERROR(VLOOKUP($E10,Sheet3!$H$2:$O$200,V$1,FALSE),VLOOKUP($F10,Sheet3!$H$2:$O$200,V$1,FALSE))),$I$1),$I$1)</f>
        <v>0</v>
      </c>
      <c r="W10" s="15">
        <f>IFERROR(IF(ISBLANK(P10),IFERROR(VLOOKUP($D10,Sheet3!$H$2:$O$200,W$1,FALSE),IFERROR(VLOOKUP($E10,Sheet3!$H$2:$O$200,W$1,FALSE),VLOOKUP($F10,Sheet3!$H$2:$O$200,W$1,FALSE))),$I$1),$I$1)</f>
        <v>0</v>
      </c>
      <c r="X10" s="15">
        <f>IFERROR(IF(ISBLANK(Q10),IFERROR(VLOOKUP($E10,Sheet3!$H$2:$O$200,X$1,FALSE),IFERROR(VLOOKUP($F10,Sheet3!$H$2:$O$200,X$1,FALSE),VLOOKUP($G10,Sheet3!$H$2:$O$200,X$1,FALSE))),$I$1),$I$1)</f>
        <v>0</v>
      </c>
      <c r="Y10" s="15">
        <f>IFERROR(IF(ISBLANK(R10),IFERROR(VLOOKUP($E10,Sheet3!$H$2:$O$200,Y$1,FALSE),IFERROR(VLOOKUP($F10,Sheet3!$H$2:$O$200,Y$1,FALSE),VLOOKUP($G10,Sheet3!$H$2:$O$200,Y$1,FALSE))),$I$1),$I$1)</f>
        <v>0</v>
      </c>
      <c r="Z10" s="15">
        <f>IFERROR(IF(ISBLANK(S10),IFERROR(VLOOKUP($E10,Sheet3!$H$2:$O$200,Z$1,FALSE),IFERROR(VLOOKUP($F10,Sheet3!$H$2:$O$200,Z$1,FALSE),VLOOKUP($G10,Sheet3!$H$2:$O$200,Z$1,FALSE))),$I$1),$I$1)</f>
        <v>0</v>
      </c>
      <c r="AA10" s="15">
        <f>IFERROR(IF(ISBLANK(T10),IFERROR(VLOOKUP($E10,Sheet3!$H$2:$O$200,AA$1,FALSE),IFERROR(VLOOKUP($F10,Sheet3!$H$2:$O$200,AA$1,FALSE),VLOOKUP($G10,Sheet3!$H$2:$O$200,AA$1,FALSE))),$I$1),$I$1)</f>
        <v>0</v>
      </c>
      <c r="AB10" s="15">
        <f>IFERROR(IF(ISBLANK(U10),IFERROR(VLOOKUP($E10,Sheet3!$H$2:$O$200,AB$1,FALSE),IFERROR(VLOOKUP($F10,Sheet3!$H$2:$O$200,AB$1,FALSE),VLOOKUP($G10,Sheet3!$H$2:$O$200,AB$1,FALSE))),$I$1),$I$1)</f>
        <v>0</v>
      </c>
      <c r="AC10" s="15">
        <f>IFERROR(IF(ISBLANK(V10),IFERROR(VLOOKUP($E10,Sheet3!$H$2:$O$200,AC$1,FALSE),IFERROR(VLOOKUP($F10,Sheet3!$H$2:$O$200,AC$1,FALSE),VLOOKUP($G10,Sheet3!$H$2:$O$200,AC$1,FALSE))),$I$1),$I$1)</f>
        <v>0</v>
      </c>
      <c r="AD10" s="15">
        <f>IFERROR(IF(ISBLANK(W10),IFERROR(VLOOKUP($E10,Sheet3!$H$2:$O$200,AD$1,FALSE),IFERROR(VLOOKUP($F10,Sheet3!$H$2:$O$200,AD$1,FALSE),VLOOKUP($G10,Sheet3!$H$2:$O$200,AD$1,FALSE))),$I$1),$I$1)</f>
        <v>0</v>
      </c>
      <c r="AE10" s="15">
        <f>IFERROR(IF(ISBLANK(X10),IFERROR(VLOOKUP($F10,Sheet3!$H$2:$O$200,AE$1,FALSE),VLOOKUP($G10,Sheet3!$H$2:$O$200,AE$1,FALSE)),$I$1),$I$1)</f>
        <v>0</v>
      </c>
      <c r="AF10" s="15">
        <f>IFERROR(IF(ISBLANK(Y10),IFERROR(VLOOKUP($F10,Sheet3!$H$2:$O$200,AF$1,FALSE),VLOOKUP($G10,Sheet3!$H$2:$O$200,AF$1,FALSE)),$I$1),$I$1)</f>
        <v>0</v>
      </c>
      <c r="AG10" s="15">
        <f>IFERROR(IF(ISBLANK(Z10),IFERROR(VLOOKUP($F10,Sheet3!$H$2:$O$200,AG$1,FALSE),VLOOKUP($G10,Sheet3!$H$2:$O$200,AG$1,FALSE)),$I$1),$I$1)</f>
        <v>0</v>
      </c>
      <c r="AH10" s="15">
        <f>IFERROR(IF(ISBLANK(AA10),IFERROR(VLOOKUP($F10,Sheet3!$H$2:$O$200,AH$1,FALSE),VLOOKUP($G10,Sheet3!$H$2:$O$200,AH$1,FALSE)),$I$1),$I$1)</f>
        <v>0</v>
      </c>
      <c r="AI10" s="15">
        <f>IFERROR(IF(ISBLANK(AB10),IFERROR(VLOOKUP($F10,Sheet3!$H$2:$O$200,AI$1,FALSE),VLOOKUP($G10,Sheet3!$H$2:$O$200,AI$1,FALSE)),$I$1),$I$1)</f>
        <v>0</v>
      </c>
      <c r="AJ10" s="15">
        <f>IFERROR(IF(ISBLANK(AC10),IFERROR(VLOOKUP($F10,Sheet3!$H$2:$O$200,AJ$1,FALSE),VLOOKUP($G10,Sheet3!$H$2:$O$200,AJ$1,FALSE)),$I$1),$I$1)</f>
        <v>0</v>
      </c>
      <c r="AK10" s="15">
        <f>IFERROR(IF(ISBLANK(AD10),IFERROR(VLOOKUP($F10,Sheet3!$H$2:$O$200,AK$1,FALSE),VLOOKUP($G10,Sheet3!$H$2:$O$200,AK$1,FALSE)),$I$1),$I$1)</f>
        <v>0</v>
      </c>
      <c r="AL10" s="15">
        <f>IFERROR(IF(ISBLANK(AE10),VLOOKUP($G10,Sheet3!$H$2:$O$200,AL$1,FALSE),$I$1),$I$1)</f>
        <v>0</v>
      </c>
      <c r="AM10" s="15">
        <f>IFERROR(IF(ISBLANK(AF10),VLOOKUP($G10,Sheet3!$H$2:$O$200,AM$1,FALSE),$I$1),$I$1)</f>
        <v>0</v>
      </c>
      <c r="AN10" s="15">
        <f>IFERROR(IF(ISBLANK(AG10),VLOOKUP($G10,Sheet3!$H$2:$O$200,AN$1,FALSE),$I$1),$I$1)</f>
        <v>0</v>
      </c>
      <c r="AO10" s="15">
        <f>IFERROR(IF(ISBLANK(AH10),VLOOKUP($G10,Sheet3!$H$2:$O$200,AO$1,FALSE),$I$1),$I$1)</f>
        <v>0</v>
      </c>
      <c r="AP10" s="15">
        <f>IFERROR(IF(ISBLANK(AI10),VLOOKUP($G10,Sheet3!$H$2:$O$200,AP$1,FALSE),$I$1),$I$1)</f>
        <v>0</v>
      </c>
      <c r="AQ10" s="15">
        <f>IFERROR(IF(ISBLANK(AJ10),VLOOKUP($G10,Sheet3!$H$2:$O$200,AQ$1,FALSE),$I$1),$I$1)</f>
        <v>0</v>
      </c>
      <c r="AR10" s="15">
        <f>IFERROR(IF(ISBLANK(AK10),VLOOKUP($G10,Sheet3!$H$2:$O$200,AR$1,FALSE),$I$1),$I$1)</f>
        <v>0</v>
      </c>
      <c r="AS10" s="15">
        <f t="shared" ref="AS10:AY10" si="9">IFERROR(IF(ISBLANK(J10),IF(ISBLANK(Q10),IF(ISBLANK(X10),IF(ISBLANK(AE10),IF(ISBLANK(AL10),$BB$1,AL10),AE10),X10),Q10),J10),$BB$1)</f>
        <v>0</v>
      </c>
      <c r="AT10" s="15">
        <f t="shared" si="9"/>
        <v>0</v>
      </c>
      <c r="AU10" s="15">
        <f t="shared" si="9"/>
        <v>0</v>
      </c>
      <c r="AV10" s="15" t="str">
        <f t="shared" si="9"/>
        <v>crème de noyau</v>
      </c>
      <c r="AW10" s="15">
        <f t="shared" si="9"/>
        <v>0</v>
      </c>
      <c r="AX10" s="15">
        <f t="shared" si="9"/>
        <v>0</v>
      </c>
      <c r="AY10" s="15">
        <f t="shared" si="9"/>
        <v>0</v>
      </c>
      <c r="BA10" s="13">
        <f t="shared" si="1"/>
        <v>35</v>
      </c>
      <c r="BB10" s="15" t="b">
        <f t="shared" si="2"/>
        <v>0</v>
      </c>
    </row>
    <row r="11" spans="1:54" x14ac:dyDescent="0.2">
      <c r="A11" s="19" t="s">
        <v>59</v>
      </c>
      <c r="B11" s="19" t="s">
        <v>60</v>
      </c>
      <c r="C11" s="19"/>
      <c r="D11" s="19" t="s">
        <v>38</v>
      </c>
      <c r="E11" s="19"/>
      <c r="F11" s="19"/>
      <c r="G11" s="19"/>
      <c r="H11" s="19" t="s">
        <v>59</v>
      </c>
      <c r="I11" s="15">
        <v>1</v>
      </c>
      <c r="J11" s="15">
        <f>IFERROR(VLOOKUP($C11,Sheet3!$H$2:$O$200,J$1,FALSE),IFERROR(VLOOKUP($D11,Sheet3!$H$2:$O$200,J$1,FALSE),VLOOKUP($E11,Sheet3!$H$2:$O$200,J$1,FALSE)))</f>
        <v>0</v>
      </c>
      <c r="K11" s="15">
        <f>IFERROR(VLOOKUP($C11,Sheet3!$H$2:$O$200,K$1,FALSE),IFERROR(VLOOKUP($D11,Sheet3!$H$2:$O$200,K$1,FALSE),VLOOKUP($E11,Sheet3!$H$2:$O$200,K$1,FALSE)))</f>
        <v>0</v>
      </c>
      <c r="L11" s="15" t="str">
        <f>IFERROR(VLOOKUP($C11,Sheet3!$H$2:$O$200,L$1,FALSE),IFERROR(VLOOKUP($D11,Sheet3!$H$2:$O$200,L$1,FALSE),VLOOKUP($E11,Sheet3!$H$2:$O$200,L$1,FALSE)))</f>
        <v>lemon juice</v>
      </c>
      <c r="M11" s="15">
        <f>IFERROR(VLOOKUP($C11,Sheet3!$H$2:$O$200,M$1,FALSE),IFERROR(VLOOKUP($D11,Sheet3!$H$2:$O$200,M$1,FALSE),VLOOKUP($E11,Sheet3!$H$2:$O$200,M$1,FALSE)))</f>
        <v>0</v>
      </c>
      <c r="N11" s="15">
        <f>IFERROR(VLOOKUP($C11,Sheet3!$H$2:$O$200,N$1,FALSE),IFERROR(VLOOKUP($D11,Sheet3!$H$2:$O$200,N$1,FALSE),VLOOKUP($E11,Sheet3!$H$2:$O$200,N$1,FALSE)))</f>
        <v>0</v>
      </c>
      <c r="O11" s="15">
        <f>IFERROR(VLOOKUP($C11,Sheet3!$H$2:$O$200,O$1,FALSE),IFERROR(VLOOKUP($D11,Sheet3!$H$2:$O$200,O$1,FALSE),VLOOKUP($E11,Sheet3!$H$2:$O$200,O$1,FALSE)))</f>
        <v>0</v>
      </c>
      <c r="P11" s="15">
        <f>IFERROR(VLOOKUP($C11,Sheet3!$H$2:$O$200,P$1,FALSE),IFERROR(VLOOKUP($D11,Sheet3!$H$2:$O$200,P$1,FALSE),VLOOKUP($E11,Sheet3!$H$2:$O$200,P$1,FALSE)))</f>
        <v>0</v>
      </c>
      <c r="Q11" s="15">
        <f>IFERROR(IF(ISBLANK(J11),IFERROR(VLOOKUP($D11,Sheet3!$H$2:$O$200,Q$1,FALSE),IFERROR(VLOOKUP($E11,Sheet3!$H$2:$O$200,Q$1,FALSE),VLOOKUP($F11,Sheet3!$H$2:$O$200,Q$1,FALSE))),$I$1),$I$1)</f>
        <v>0</v>
      </c>
      <c r="R11" s="15">
        <f>IFERROR(IF(ISBLANK(K11),IFERROR(VLOOKUP($D11,Sheet3!$H$2:$O$200,R$1,FALSE),IFERROR(VLOOKUP($E11,Sheet3!$H$2:$O$200,R$1,FALSE),VLOOKUP($F11,Sheet3!$H$2:$O$200,R$1,FALSE))),$I$1),$I$1)</f>
        <v>0</v>
      </c>
      <c r="S11" s="15">
        <f>IFERROR(IF(ISBLANK(L11),IFERROR(VLOOKUP($D11,Sheet3!$H$2:$O$200,S$1,FALSE),IFERROR(VLOOKUP($E11,Sheet3!$H$2:$O$200,S$1,FALSE),VLOOKUP($F11,Sheet3!$H$2:$O$200,S$1,FALSE))),$I$1),$I$1)</f>
        <v>0</v>
      </c>
      <c r="T11" s="15">
        <f>IFERROR(IF(ISBLANK(M11),IFERROR(VLOOKUP($D11,Sheet3!$H$2:$O$200,T$1,FALSE),IFERROR(VLOOKUP($E11,Sheet3!$H$2:$O$200,T$1,FALSE),VLOOKUP($F11,Sheet3!$H$2:$O$200,T$1,FALSE))),$I$1),$I$1)</f>
        <v>0</v>
      </c>
      <c r="U11" s="15">
        <f>IFERROR(IF(ISBLANK(N11),IFERROR(VLOOKUP($D11,Sheet3!$H$2:$O$200,U$1,FALSE),IFERROR(VLOOKUP($E11,Sheet3!$H$2:$O$200,U$1,FALSE),VLOOKUP($F11,Sheet3!$H$2:$O$200,U$1,FALSE))),$I$1),$I$1)</f>
        <v>0</v>
      </c>
      <c r="V11" s="15">
        <f>IFERROR(IF(ISBLANK(O11),IFERROR(VLOOKUP($D11,Sheet3!$H$2:$O$200,V$1,FALSE),IFERROR(VLOOKUP($E11,Sheet3!$H$2:$O$200,V$1,FALSE),VLOOKUP($F11,Sheet3!$H$2:$O$200,V$1,FALSE))),$I$1),$I$1)</f>
        <v>0</v>
      </c>
      <c r="W11" s="15">
        <f>IFERROR(IF(ISBLANK(P11),IFERROR(VLOOKUP($D11,Sheet3!$H$2:$O$200,W$1,FALSE),IFERROR(VLOOKUP($E11,Sheet3!$H$2:$O$200,W$1,FALSE),VLOOKUP($F11,Sheet3!$H$2:$O$200,W$1,FALSE))),$I$1),$I$1)</f>
        <v>0</v>
      </c>
      <c r="X11" s="15">
        <f>IFERROR(IF(ISBLANK(Q11),IFERROR(VLOOKUP($E11,Sheet3!$H$2:$O$200,X$1,FALSE),IFERROR(VLOOKUP($F11,Sheet3!$H$2:$O$200,X$1,FALSE),VLOOKUP($G11,Sheet3!$H$2:$O$200,X$1,FALSE))),$I$1),$I$1)</f>
        <v>0</v>
      </c>
      <c r="Y11" s="15">
        <f>IFERROR(IF(ISBLANK(R11),IFERROR(VLOOKUP($E11,Sheet3!$H$2:$O$200,Y$1,FALSE),IFERROR(VLOOKUP($F11,Sheet3!$H$2:$O$200,Y$1,FALSE),VLOOKUP($G11,Sheet3!$H$2:$O$200,Y$1,FALSE))),$I$1),$I$1)</f>
        <v>0</v>
      </c>
      <c r="Z11" s="15">
        <f>IFERROR(IF(ISBLANK(S11),IFERROR(VLOOKUP($E11,Sheet3!$H$2:$O$200,Z$1,FALSE),IFERROR(VLOOKUP($F11,Sheet3!$H$2:$O$200,Z$1,FALSE),VLOOKUP($G11,Sheet3!$H$2:$O$200,Z$1,FALSE))),$I$1),$I$1)</f>
        <v>0</v>
      </c>
      <c r="AA11" s="15">
        <f>IFERROR(IF(ISBLANK(T11),IFERROR(VLOOKUP($E11,Sheet3!$H$2:$O$200,AA$1,FALSE),IFERROR(VLOOKUP($F11,Sheet3!$H$2:$O$200,AA$1,FALSE),VLOOKUP($G11,Sheet3!$H$2:$O$200,AA$1,FALSE))),$I$1),$I$1)</f>
        <v>0</v>
      </c>
      <c r="AB11" s="15">
        <f>IFERROR(IF(ISBLANK(U11),IFERROR(VLOOKUP($E11,Sheet3!$H$2:$O$200,AB$1,FALSE),IFERROR(VLOOKUP($F11,Sheet3!$H$2:$O$200,AB$1,FALSE),VLOOKUP($G11,Sheet3!$H$2:$O$200,AB$1,FALSE))),$I$1),$I$1)</f>
        <v>0</v>
      </c>
      <c r="AC11" s="15">
        <f>IFERROR(IF(ISBLANK(V11),IFERROR(VLOOKUP($E11,Sheet3!$H$2:$O$200,AC$1,FALSE),IFERROR(VLOOKUP($F11,Sheet3!$H$2:$O$200,AC$1,FALSE),VLOOKUP($G11,Sheet3!$H$2:$O$200,AC$1,FALSE))),$I$1),$I$1)</f>
        <v>0</v>
      </c>
      <c r="AD11" s="15">
        <f>IFERROR(IF(ISBLANK(W11),IFERROR(VLOOKUP($E11,Sheet3!$H$2:$O$200,AD$1,FALSE),IFERROR(VLOOKUP($F11,Sheet3!$H$2:$O$200,AD$1,FALSE),VLOOKUP($G11,Sheet3!$H$2:$O$200,AD$1,FALSE))),$I$1),$I$1)</f>
        <v>0</v>
      </c>
      <c r="AE11" s="15">
        <f>IFERROR(IF(ISBLANK(X11),IFERROR(VLOOKUP($F11,Sheet3!$H$2:$O$200,AE$1,FALSE),VLOOKUP($G11,Sheet3!$H$2:$O$200,AE$1,FALSE)),$I$1),$I$1)</f>
        <v>0</v>
      </c>
      <c r="AF11" s="15">
        <f>IFERROR(IF(ISBLANK(Y11),IFERROR(VLOOKUP($F11,Sheet3!$H$2:$O$200,AF$1,FALSE),VLOOKUP($G11,Sheet3!$H$2:$O$200,AF$1,FALSE)),$I$1),$I$1)</f>
        <v>0</v>
      </c>
      <c r="AG11" s="15">
        <f>IFERROR(IF(ISBLANK(Z11),IFERROR(VLOOKUP($F11,Sheet3!$H$2:$O$200,AG$1,FALSE),VLOOKUP($G11,Sheet3!$H$2:$O$200,AG$1,FALSE)),$I$1),$I$1)</f>
        <v>0</v>
      </c>
      <c r="AH11" s="15">
        <f>IFERROR(IF(ISBLANK(AA11),IFERROR(VLOOKUP($F11,Sheet3!$H$2:$O$200,AH$1,FALSE),VLOOKUP($G11,Sheet3!$H$2:$O$200,AH$1,FALSE)),$I$1),$I$1)</f>
        <v>0</v>
      </c>
      <c r="AI11" s="15">
        <f>IFERROR(IF(ISBLANK(AB11),IFERROR(VLOOKUP($F11,Sheet3!$H$2:$O$200,AI$1,FALSE),VLOOKUP($G11,Sheet3!$H$2:$O$200,AI$1,FALSE)),$I$1),$I$1)</f>
        <v>0</v>
      </c>
      <c r="AJ11" s="15">
        <f>IFERROR(IF(ISBLANK(AC11),IFERROR(VLOOKUP($F11,Sheet3!$H$2:$O$200,AJ$1,FALSE),VLOOKUP($G11,Sheet3!$H$2:$O$200,AJ$1,FALSE)),$I$1),$I$1)</f>
        <v>0</v>
      </c>
      <c r="AK11" s="15">
        <f>IFERROR(IF(ISBLANK(AD11),IFERROR(VLOOKUP($F11,Sheet3!$H$2:$O$200,AK$1,FALSE),VLOOKUP($G11,Sheet3!$H$2:$O$200,AK$1,FALSE)),$I$1),$I$1)</f>
        <v>0</v>
      </c>
      <c r="AL11" s="15">
        <f>IFERROR(IF(ISBLANK(AE11),VLOOKUP($G11,Sheet3!$H$2:$O$200,AL$1,FALSE),$I$1),$I$1)</f>
        <v>0</v>
      </c>
      <c r="AM11" s="15">
        <f>IFERROR(IF(ISBLANK(AF11),VLOOKUP($G11,Sheet3!$H$2:$O$200,AM$1,FALSE),$I$1),$I$1)</f>
        <v>0</v>
      </c>
      <c r="AN11" s="15">
        <f>IFERROR(IF(ISBLANK(AG11),VLOOKUP($G11,Sheet3!$H$2:$O$200,AN$1,FALSE),$I$1),$I$1)</f>
        <v>0</v>
      </c>
      <c r="AO11" s="15">
        <f>IFERROR(IF(ISBLANK(AH11),VLOOKUP($G11,Sheet3!$H$2:$O$200,AO$1,FALSE),$I$1),$I$1)</f>
        <v>0</v>
      </c>
      <c r="AP11" s="15">
        <f>IFERROR(IF(ISBLANK(AI11),VLOOKUP($G11,Sheet3!$H$2:$O$200,AP$1,FALSE),$I$1),$I$1)</f>
        <v>0</v>
      </c>
      <c r="AQ11" s="15">
        <f>IFERROR(IF(ISBLANK(AJ11),VLOOKUP($G11,Sheet3!$H$2:$O$200,AQ$1,FALSE),$I$1),$I$1)</f>
        <v>0</v>
      </c>
      <c r="AR11" s="15">
        <f>IFERROR(IF(ISBLANK(AK11),VLOOKUP($G11,Sheet3!$H$2:$O$200,AR$1,FALSE),$I$1),$I$1)</f>
        <v>0</v>
      </c>
      <c r="AS11" s="15">
        <f t="shared" ref="AS11:AY11" si="10">IFERROR(IF(ISBLANK(J11),IF(ISBLANK(Q11),IF(ISBLANK(X11),IF(ISBLANK(AE11),IF(ISBLANK(AL11),$BB$1,AL11),AE11),X11),Q11),J11),$BB$1)</f>
        <v>0</v>
      </c>
      <c r="AT11" s="15">
        <f t="shared" si="10"/>
        <v>0</v>
      </c>
      <c r="AU11" s="15" t="str">
        <f t="shared" si="10"/>
        <v>lemon juice</v>
      </c>
      <c r="AV11" s="15">
        <f t="shared" si="10"/>
        <v>0</v>
      </c>
      <c r="AW11" s="15">
        <f t="shared" si="10"/>
        <v>0</v>
      </c>
      <c r="AX11" s="15">
        <f t="shared" si="10"/>
        <v>0</v>
      </c>
      <c r="AY11" s="15">
        <f t="shared" si="10"/>
        <v>0</v>
      </c>
      <c r="BA11" s="13">
        <f t="shared" si="1"/>
        <v>35</v>
      </c>
      <c r="BB11" s="15" t="b">
        <f t="shared" si="2"/>
        <v>0</v>
      </c>
    </row>
    <row r="12" spans="1:54" x14ac:dyDescent="0.2">
      <c r="A12" s="19" t="s">
        <v>61</v>
      </c>
      <c r="B12" s="19" t="s">
        <v>60</v>
      </c>
      <c r="C12" s="19"/>
      <c r="D12" s="19" t="s">
        <v>38</v>
      </c>
      <c r="E12" s="19" t="s">
        <v>62</v>
      </c>
      <c r="F12" s="19"/>
      <c r="G12" s="19"/>
      <c r="H12" s="19" t="s">
        <v>61</v>
      </c>
      <c r="I12" s="15">
        <v>2</v>
      </c>
      <c r="J12" s="15">
        <f>IFERROR(VLOOKUP($C12,Sheet3!$H$2:$O$200,J$1,FALSE),IFERROR(VLOOKUP($D12,Sheet3!$H$2:$O$200,J$1,FALSE),VLOOKUP($E12,Sheet3!$H$2:$O$200,J$1,FALSE)))</f>
        <v>0</v>
      </c>
      <c r="K12" s="15">
        <f>IFERROR(VLOOKUP($C12,Sheet3!$H$2:$O$200,K$1,FALSE),IFERROR(VLOOKUP($D12,Sheet3!$H$2:$O$200,K$1,FALSE),VLOOKUP($E12,Sheet3!$H$2:$O$200,K$1,FALSE)))</f>
        <v>0</v>
      </c>
      <c r="L12" s="15" t="str">
        <f>IFERROR(VLOOKUP($C12,Sheet3!$H$2:$O$200,L$1,FALSE),IFERROR(VLOOKUP($D12,Sheet3!$H$2:$O$200,L$1,FALSE),VLOOKUP($E12,Sheet3!$H$2:$O$200,L$1,FALSE)))</f>
        <v>lemon juice</v>
      </c>
      <c r="M12" s="15">
        <f>IFERROR(VLOOKUP($C12,Sheet3!$H$2:$O$200,M$1,FALSE),IFERROR(VLOOKUP($D12,Sheet3!$H$2:$O$200,M$1,FALSE),VLOOKUP($E12,Sheet3!$H$2:$O$200,M$1,FALSE)))</f>
        <v>0</v>
      </c>
      <c r="N12" s="15">
        <f>IFERROR(VLOOKUP($C12,Sheet3!$H$2:$O$200,N$1,FALSE),IFERROR(VLOOKUP($D12,Sheet3!$H$2:$O$200,N$1,FALSE),VLOOKUP($E12,Sheet3!$H$2:$O$200,N$1,FALSE)))</f>
        <v>0</v>
      </c>
      <c r="O12" s="15">
        <f>IFERROR(VLOOKUP($C12,Sheet3!$H$2:$O$200,O$1,FALSE),IFERROR(VLOOKUP($D12,Sheet3!$H$2:$O$200,O$1,FALSE),VLOOKUP($E12,Sheet3!$H$2:$O$200,O$1,FALSE)))</f>
        <v>0</v>
      </c>
      <c r="P12" s="15">
        <f>IFERROR(VLOOKUP($C12,Sheet3!$H$2:$O$200,P$1,FALSE),IFERROR(VLOOKUP($D12,Sheet3!$H$2:$O$200,P$1,FALSE),VLOOKUP($E12,Sheet3!$H$2:$O$200,P$1,FALSE)))</f>
        <v>0</v>
      </c>
      <c r="Q12" s="15">
        <f>IFERROR(IF(ISBLANK(J12),IFERROR(VLOOKUP($D12,Sheet3!$H$2:$O$200,Q$1,FALSE),IFERROR(VLOOKUP($E12,Sheet3!$H$2:$O$200,Q$1,FALSE),VLOOKUP($F12,Sheet3!$H$2:$O$200,Q$1,FALSE))),$I$1),$I$1)</f>
        <v>0</v>
      </c>
      <c r="R12" s="15">
        <f>IFERROR(IF(ISBLANK(K12),IFERROR(VLOOKUP($D12,Sheet3!$H$2:$O$200,R$1,FALSE),IFERROR(VLOOKUP($E12,Sheet3!$H$2:$O$200,R$1,FALSE),VLOOKUP($F12,Sheet3!$H$2:$O$200,R$1,FALSE))),$I$1),$I$1)</f>
        <v>0</v>
      </c>
      <c r="S12" s="15">
        <f>IFERROR(IF(ISBLANK(L12),IFERROR(VLOOKUP($D12,Sheet3!$H$2:$O$200,S$1,FALSE),IFERROR(VLOOKUP($E12,Sheet3!$H$2:$O$200,S$1,FALSE),VLOOKUP($F12,Sheet3!$H$2:$O$200,S$1,FALSE))),$I$1),$I$1)</f>
        <v>0</v>
      </c>
      <c r="T12" s="15">
        <f>IFERROR(IF(ISBLANK(M12),IFERROR(VLOOKUP($D12,Sheet3!$H$2:$O$200,T$1,FALSE),IFERROR(VLOOKUP($E12,Sheet3!$H$2:$O$200,T$1,FALSE),VLOOKUP($F12,Sheet3!$H$2:$O$200,T$1,FALSE))),$I$1),$I$1)</f>
        <v>0</v>
      </c>
      <c r="U12" s="15">
        <f>IFERROR(IF(ISBLANK(N12),IFERROR(VLOOKUP($D12,Sheet3!$H$2:$O$200,U$1,FALSE),IFERROR(VLOOKUP($E12,Sheet3!$H$2:$O$200,U$1,FALSE),VLOOKUP($F12,Sheet3!$H$2:$O$200,U$1,FALSE))),$I$1),$I$1)</f>
        <v>0</v>
      </c>
      <c r="V12" s="15">
        <f>IFERROR(IF(ISBLANK(O12),IFERROR(VLOOKUP($D12,Sheet3!$H$2:$O$200,V$1,FALSE),IFERROR(VLOOKUP($E12,Sheet3!$H$2:$O$200,V$1,FALSE),VLOOKUP($F12,Sheet3!$H$2:$O$200,V$1,FALSE))),$I$1),$I$1)</f>
        <v>0</v>
      </c>
      <c r="W12" s="15">
        <f>IFERROR(IF(ISBLANK(P12),IFERROR(VLOOKUP($D12,Sheet3!$H$2:$O$200,W$1,FALSE),IFERROR(VLOOKUP($E12,Sheet3!$H$2:$O$200,W$1,FALSE),VLOOKUP($F12,Sheet3!$H$2:$O$200,W$1,FALSE))),$I$1),$I$1)</f>
        <v>0</v>
      </c>
      <c r="X12" s="15">
        <f>IFERROR(IF(ISBLANK(Q12),IFERROR(VLOOKUP($E12,Sheet3!$H$2:$O$200,X$1,FALSE),IFERROR(VLOOKUP($F12,Sheet3!$H$2:$O$200,X$1,FALSE),VLOOKUP($G12,Sheet3!$H$2:$O$200,X$1,FALSE))),$I$1),$I$1)</f>
        <v>0</v>
      </c>
      <c r="Y12" s="15">
        <f>IFERROR(IF(ISBLANK(R12),IFERROR(VLOOKUP($E12,Sheet3!$H$2:$O$200,Y$1,FALSE),IFERROR(VLOOKUP($F12,Sheet3!$H$2:$O$200,Y$1,FALSE),VLOOKUP($G12,Sheet3!$H$2:$O$200,Y$1,FALSE))),$I$1),$I$1)</f>
        <v>0</v>
      </c>
      <c r="Z12" s="15">
        <f>IFERROR(IF(ISBLANK(S12),IFERROR(VLOOKUP($E12,Sheet3!$H$2:$O$200,Z$1,FALSE),IFERROR(VLOOKUP($F12,Sheet3!$H$2:$O$200,Z$1,FALSE),VLOOKUP($G12,Sheet3!$H$2:$O$200,Z$1,FALSE))),$I$1),$I$1)</f>
        <v>0</v>
      </c>
      <c r="AA12" s="15">
        <f>IFERROR(IF(ISBLANK(T12),IFERROR(VLOOKUP($E12,Sheet3!$H$2:$O$200,AA$1,FALSE),IFERROR(VLOOKUP($F12,Sheet3!$H$2:$O$200,AA$1,FALSE),VLOOKUP($G12,Sheet3!$H$2:$O$200,AA$1,FALSE))),$I$1),$I$1)</f>
        <v>0</v>
      </c>
      <c r="AB12" s="15">
        <f>IFERROR(IF(ISBLANK(U12),IFERROR(VLOOKUP($E12,Sheet3!$H$2:$O$200,AB$1,FALSE),IFERROR(VLOOKUP($F12,Sheet3!$H$2:$O$200,AB$1,FALSE),VLOOKUP($G12,Sheet3!$H$2:$O$200,AB$1,FALSE))),$I$1),$I$1)</f>
        <v>0</v>
      </c>
      <c r="AC12" s="15">
        <f>IFERROR(IF(ISBLANK(V12),IFERROR(VLOOKUP($E12,Sheet3!$H$2:$O$200,AC$1,FALSE),IFERROR(VLOOKUP($F12,Sheet3!$H$2:$O$200,AC$1,FALSE),VLOOKUP($G12,Sheet3!$H$2:$O$200,AC$1,FALSE))),$I$1),$I$1)</f>
        <v>0</v>
      </c>
      <c r="AD12" s="15">
        <f>IFERROR(IF(ISBLANK(W12),IFERROR(VLOOKUP($E12,Sheet3!$H$2:$O$200,AD$1,FALSE),IFERROR(VLOOKUP($F12,Sheet3!$H$2:$O$200,AD$1,FALSE),VLOOKUP($G12,Sheet3!$H$2:$O$200,AD$1,FALSE))),$I$1),$I$1)</f>
        <v>0</v>
      </c>
      <c r="AE12" s="15">
        <f>IFERROR(IF(ISBLANK(X12),IFERROR(VLOOKUP($F12,Sheet3!$H$2:$O$200,AE$1,FALSE),VLOOKUP($G12,Sheet3!$H$2:$O$200,AE$1,FALSE)),$I$1),$I$1)</f>
        <v>0</v>
      </c>
      <c r="AF12" s="15">
        <f>IFERROR(IF(ISBLANK(Y12),IFERROR(VLOOKUP($F12,Sheet3!$H$2:$O$200,AF$1,FALSE),VLOOKUP($G12,Sheet3!$H$2:$O$200,AF$1,FALSE)),$I$1),$I$1)</f>
        <v>0</v>
      </c>
      <c r="AG12" s="15">
        <f>IFERROR(IF(ISBLANK(Z12),IFERROR(VLOOKUP($F12,Sheet3!$H$2:$O$200,AG$1,FALSE),VLOOKUP($G12,Sheet3!$H$2:$O$200,AG$1,FALSE)),$I$1),$I$1)</f>
        <v>0</v>
      </c>
      <c r="AH12" s="15">
        <f>IFERROR(IF(ISBLANK(AA12),IFERROR(VLOOKUP($F12,Sheet3!$H$2:$O$200,AH$1,FALSE),VLOOKUP($G12,Sheet3!$H$2:$O$200,AH$1,FALSE)),$I$1),$I$1)</f>
        <v>0</v>
      </c>
      <c r="AI12" s="15">
        <f>IFERROR(IF(ISBLANK(AB12),IFERROR(VLOOKUP($F12,Sheet3!$H$2:$O$200,AI$1,FALSE),VLOOKUP($G12,Sheet3!$H$2:$O$200,AI$1,FALSE)),$I$1),$I$1)</f>
        <v>0</v>
      </c>
      <c r="AJ12" s="15">
        <f>IFERROR(IF(ISBLANK(AC12),IFERROR(VLOOKUP($F12,Sheet3!$H$2:$O$200,AJ$1,FALSE),VLOOKUP($G12,Sheet3!$H$2:$O$200,AJ$1,FALSE)),$I$1),$I$1)</f>
        <v>0</v>
      </c>
      <c r="AK12" s="15">
        <f>IFERROR(IF(ISBLANK(AD12),IFERROR(VLOOKUP($F12,Sheet3!$H$2:$O$200,AK$1,FALSE),VLOOKUP($G12,Sheet3!$H$2:$O$200,AK$1,FALSE)),$I$1),$I$1)</f>
        <v>0</v>
      </c>
      <c r="AL12" s="15">
        <f>IFERROR(IF(ISBLANK(AE12),VLOOKUP($G12,Sheet3!$H$2:$O$200,AL$1,FALSE),$I$1),$I$1)</f>
        <v>0</v>
      </c>
      <c r="AM12" s="15">
        <f>IFERROR(IF(ISBLANK(AF12),VLOOKUP($G12,Sheet3!$H$2:$O$200,AM$1,FALSE),$I$1),$I$1)</f>
        <v>0</v>
      </c>
      <c r="AN12" s="15">
        <f>IFERROR(IF(ISBLANK(AG12),VLOOKUP($G12,Sheet3!$H$2:$O$200,AN$1,FALSE),$I$1),$I$1)</f>
        <v>0</v>
      </c>
      <c r="AO12" s="15">
        <f>IFERROR(IF(ISBLANK(AH12),VLOOKUP($G12,Sheet3!$H$2:$O$200,AO$1,FALSE),$I$1),$I$1)</f>
        <v>0</v>
      </c>
      <c r="AP12" s="15">
        <f>IFERROR(IF(ISBLANK(AI12),VLOOKUP($G12,Sheet3!$H$2:$O$200,AP$1,FALSE),$I$1),$I$1)</f>
        <v>0</v>
      </c>
      <c r="AQ12" s="15">
        <f>IFERROR(IF(ISBLANK(AJ12),VLOOKUP($G12,Sheet3!$H$2:$O$200,AQ$1,FALSE),$I$1),$I$1)</f>
        <v>0</v>
      </c>
      <c r="AR12" s="15">
        <f>IFERROR(IF(ISBLANK(AK12),VLOOKUP($G12,Sheet3!$H$2:$O$200,AR$1,FALSE),$I$1),$I$1)</f>
        <v>0</v>
      </c>
      <c r="AS12" s="15">
        <f t="shared" ref="AS12:AY12" si="11">IFERROR(IF(ISBLANK(J12),IF(ISBLANK(Q12),IF(ISBLANK(X12),IF(ISBLANK(AE12),IF(ISBLANK(AL12),$BB$1,AL12),AE12),X12),Q12),J12),$BB$1)</f>
        <v>0</v>
      </c>
      <c r="AT12" s="15">
        <f t="shared" si="11"/>
        <v>0</v>
      </c>
      <c r="AU12" s="15" t="str">
        <f t="shared" si="11"/>
        <v>lemon juice</v>
      </c>
      <c r="AV12" s="15">
        <f t="shared" si="11"/>
        <v>0</v>
      </c>
      <c r="AW12" s="15">
        <f t="shared" si="11"/>
        <v>0</v>
      </c>
      <c r="AX12" s="15">
        <f t="shared" si="11"/>
        <v>0</v>
      </c>
      <c r="AY12" s="15">
        <f t="shared" si="11"/>
        <v>0</v>
      </c>
      <c r="BA12" s="13">
        <f t="shared" si="1"/>
        <v>35</v>
      </c>
      <c r="BB12" s="15" t="b">
        <f t="shared" si="2"/>
        <v>0</v>
      </c>
    </row>
    <row r="13" spans="1:54" x14ac:dyDescent="0.2">
      <c r="A13" s="20" t="s">
        <v>64</v>
      </c>
      <c r="B13" s="20" t="s">
        <v>65</v>
      </c>
      <c r="C13" s="20" t="s">
        <v>48</v>
      </c>
      <c r="D13" s="20"/>
      <c r="E13" s="20" t="s">
        <v>66</v>
      </c>
      <c r="F13" s="20"/>
      <c r="G13" s="20"/>
      <c r="H13" s="20" t="s">
        <v>64</v>
      </c>
      <c r="I13" s="15">
        <v>2</v>
      </c>
      <c r="J13" s="15">
        <f>IFERROR(VLOOKUP($C13,Sheet3!$H$2:$O$200,J$1,FALSE),IFERROR(VLOOKUP($D13,Sheet3!$H$2:$O$200,J$1,FALSE),VLOOKUP($E13,Sheet3!$H$2:$O$200,J$1,FALSE)))</f>
        <v>0</v>
      </c>
      <c r="K13" s="15">
        <f>IFERROR(VLOOKUP($C13,Sheet3!$H$2:$O$200,K$1,FALSE),IFERROR(VLOOKUP($D13,Sheet3!$H$2:$O$200,K$1,FALSE),VLOOKUP($E13,Sheet3!$H$2:$O$200,K$1,FALSE)))</f>
        <v>0</v>
      </c>
      <c r="L13" s="15">
        <f>IFERROR(VLOOKUP($C13,Sheet3!$H$2:$O$200,L$1,FALSE),IFERROR(VLOOKUP($D13,Sheet3!$H$2:$O$200,L$1,FALSE),VLOOKUP($E13,Sheet3!$H$2:$O$200,L$1,FALSE)))</f>
        <v>0</v>
      </c>
      <c r="M13" s="15" t="str">
        <f>IFERROR(VLOOKUP($C13,Sheet3!$H$2:$O$200,M$1,FALSE),IFERROR(VLOOKUP($D13,Sheet3!$H$2:$O$200,M$1,FALSE),VLOOKUP($E13,Sheet3!$H$2:$O$200,M$1,FALSE)))</f>
        <v>sweet vermouth</v>
      </c>
      <c r="N13" s="15">
        <f>IFERROR(VLOOKUP($C13,Sheet3!$H$2:$O$200,N$1,FALSE),IFERROR(VLOOKUP($D13,Sheet3!$H$2:$O$200,N$1,FALSE),VLOOKUP($E13,Sheet3!$H$2:$O$200,N$1,FALSE)))</f>
        <v>0</v>
      </c>
      <c r="O13" s="15">
        <f>IFERROR(VLOOKUP($C13,Sheet3!$H$2:$O$200,O$1,FALSE),IFERROR(VLOOKUP($D13,Sheet3!$H$2:$O$200,O$1,FALSE),VLOOKUP($E13,Sheet3!$H$2:$O$200,O$1,FALSE)))</f>
        <v>0</v>
      </c>
      <c r="P13" s="15">
        <f>IFERROR(VLOOKUP($C13,Sheet3!$H$2:$O$200,P$1,FALSE),IFERROR(VLOOKUP($D13,Sheet3!$H$2:$O$200,P$1,FALSE),VLOOKUP($E13,Sheet3!$H$2:$O$200,P$1,FALSE)))</f>
        <v>0</v>
      </c>
      <c r="Q13" s="15">
        <f>IFERROR(IF(ISBLANK(J13),IFERROR(VLOOKUP($D13,Sheet3!$H$2:$O$200,Q$1,FALSE),IFERROR(VLOOKUP($E13,Sheet3!$H$2:$O$200,Q$1,FALSE),VLOOKUP($F13,Sheet3!$H$2:$O$200,Q$1,FALSE))),$I$1),$I$1)</f>
        <v>0</v>
      </c>
      <c r="R13" s="15">
        <f>IFERROR(IF(ISBLANK(K13),IFERROR(VLOOKUP($D13,Sheet3!$H$2:$O$200,R$1,FALSE),IFERROR(VLOOKUP($E13,Sheet3!$H$2:$O$200,R$1,FALSE),VLOOKUP($F13,Sheet3!$H$2:$O$200,R$1,FALSE))),$I$1),$I$1)</f>
        <v>0</v>
      </c>
      <c r="S13" s="15">
        <f>IFERROR(IF(ISBLANK(L13),IFERROR(VLOOKUP($D13,Sheet3!$H$2:$O$200,S$1,FALSE),IFERROR(VLOOKUP($E13,Sheet3!$H$2:$O$200,S$1,FALSE),VLOOKUP($F13,Sheet3!$H$2:$O$200,S$1,FALSE))),$I$1),$I$1)</f>
        <v>0</v>
      </c>
      <c r="T13" s="15">
        <f>IFERROR(IF(ISBLANK(M13),IFERROR(VLOOKUP($D13,Sheet3!$H$2:$O$200,T$1,FALSE),IFERROR(VLOOKUP($E13,Sheet3!$H$2:$O$200,T$1,FALSE),VLOOKUP($F13,Sheet3!$H$2:$O$200,T$1,FALSE))),$I$1),$I$1)</f>
        <v>0</v>
      </c>
      <c r="U13" s="15">
        <f>IFERROR(IF(ISBLANK(N13),IFERROR(VLOOKUP($D13,Sheet3!$H$2:$O$200,U$1,FALSE),IFERROR(VLOOKUP($E13,Sheet3!$H$2:$O$200,U$1,FALSE),VLOOKUP($F13,Sheet3!$H$2:$O$200,U$1,FALSE))),$I$1),$I$1)</f>
        <v>0</v>
      </c>
      <c r="V13" s="15">
        <f>IFERROR(IF(ISBLANK(O13),IFERROR(VLOOKUP($D13,Sheet3!$H$2:$O$200,V$1,FALSE),IFERROR(VLOOKUP($E13,Sheet3!$H$2:$O$200,V$1,FALSE),VLOOKUP($F13,Sheet3!$H$2:$O$200,V$1,FALSE))),$I$1),$I$1)</f>
        <v>0</v>
      </c>
      <c r="W13" s="15">
        <f>IFERROR(IF(ISBLANK(P13),IFERROR(VLOOKUP($D13,Sheet3!$H$2:$O$200,W$1,FALSE),IFERROR(VLOOKUP($E13,Sheet3!$H$2:$O$200,W$1,FALSE),VLOOKUP($F13,Sheet3!$H$2:$O$200,W$1,FALSE))),$I$1),$I$1)</f>
        <v>0</v>
      </c>
      <c r="X13" s="15">
        <f>IFERROR(IF(ISBLANK(Q13),IFERROR(VLOOKUP($E13,Sheet3!$H$2:$O$200,X$1,FALSE),IFERROR(VLOOKUP($F13,Sheet3!$H$2:$O$200,X$1,FALSE),VLOOKUP($G13,Sheet3!$H$2:$O$200,X$1,FALSE))),$I$1),$I$1)</f>
        <v>0</v>
      </c>
      <c r="Y13" s="15">
        <f>IFERROR(IF(ISBLANK(R13),IFERROR(VLOOKUP($E13,Sheet3!$H$2:$O$200,Y$1,FALSE),IFERROR(VLOOKUP($F13,Sheet3!$H$2:$O$200,Y$1,FALSE),VLOOKUP($G13,Sheet3!$H$2:$O$200,Y$1,FALSE))),$I$1),$I$1)</f>
        <v>0</v>
      </c>
      <c r="Z13" s="15">
        <f>IFERROR(IF(ISBLANK(S13),IFERROR(VLOOKUP($E13,Sheet3!$H$2:$O$200,Z$1,FALSE),IFERROR(VLOOKUP($F13,Sheet3!$H$2:$O$200,Z$1,FALSE),VLOOKUP($G13,Sheet3!$H$2:$O$200,Z$1,FALSE))),$I$1),$I$1)</f>
        <v>0</v>
      </c>
      <c r="AA13" s="15">
        <f>IFERROR(IF(ISBLANK(T13),IFERROR(VLOOKUP($E13,Sheet3!$H$2:$O$200,AA$1,FALSE),IFERROR(VLOOKUP($F13,Sheet3!$H$2:$O$200,AA$1,FALSE),VLOOKUP($G13,Sheet3!$H$2:$O$200,AA$1,FALSE))),$I$1),$I$1)</f>
        <v>0</v>
      </c>
      <c r="AB13" s="15">
        <f>IFERROR(IF(ISBLANK(U13),IFERROR(VLOOKUP($E13,Sheet3!$H$2:$O$200,AB$1,FALSE),IFERROR(VLOOKUP($F13,Sheet3!$H$2:$O$200,AB$1,FALSE),VLOOKUP($G13,Sheet3!$H$2:$O$200,AB$1,FALSE))),$I$1),$I$1)</f>
        <v>0</v>
      </c>
      <c r="AC13" s="15">
        <f>IFERROR(IF(ISBLANK(V13),IFERROR(VLOOKUP($E13,Sheet3!$H$2:$O$200,AC$1,FALSE),IFERROR(VLOOKUP($F13,Sheet3!$H$2:$O$200,AC$1,FALSE),VLOOKUP($G13,Sheet3!$H$2:$O$200,AC$1,FALSE))),$I$1),$I$1)</f>
        <v>0</v>
      </c>
      <c r="AD13" s="15">
        <f>IFERROR(IF(ISBLANK(W13),IFERROR(VLOOKUP($E13,Sheet3!$H$2:$O$200,AD$1,FALSE),IFERROR(VLOOKUP($F13,Sheet3!$H$2:$O$200,AD$1,FALSE),VLOOKUP($G13,Sheet3!$H$2:$O$200,AD$1,FALSE))),$I$1),$I$1)</f>
        <v>0</v>
      </c>
      <c r="AE13" s="15">
        <f>IFERROR(IF(ISBLANK(X13),IFERROR(VLOOKUP($F13,Sheet3!$H$2:$O$200,AE$1,FALSE),VLOOKUP($G13,Sheet3!$H$2:$O$200,AE$1,FALSE)),$I$1),$I$1)</f>
        <v>0</v>
      </c>
      <c r="AF13" s="15">
        <f>IFERROR(IF(ISBLANK(Y13),IFERROR(VLOOKUP($F13,Sheet3!$H$2:$O$200,AF$1,FALSE),VLOOKUP($G13,Sheet3!$H$2:$O$200,AF$1,FALSE)),$I$1),$I$1)</f>
        <v>0</v>
      </c>
      <c r="AG13" s="15">
        <f>IFERROR(IF(ISBLANK(Z13),IFERROR(VLOOKUP($F13,Sheet3!$H$2:$O$200,AG$1,FALSE),VLOOKUP($G13,Sheet3!$H$2:$O$200,AG$1,FALSE)),$I$1),$I$1)</f>
        <v>0</v>
      </c>
      <c r="AH13" s="15">
        <f>IFERROR(IF(ISBLANK(AA13),IFERROR(VLOOKUP($F13,Sheet3!$H$2:$O$200,AH$1,FALSE),VLOOKUP($G13,Sheet3!$H$2:$O$200,AH$1,FALSE)),$I$1),$I$1)</f>
        <v>0</v>
      </c>
      <c r="AI13" s="15">
        <f>IFERROR(IF(ISBLANK(AB13),IFERROR(VLOOKUP($F13,Sheet3!$H$2:$O$200,AI$1,FALSE),VLOOKUP($G13,Sheet3!$H$2:$O$200,AI$1,FALSE)),$I$1),$I$1)</f>
        <v>0</v>
      </c>
      <c r="AJ13" s="15">
        <f>IFERROR(IF(ISBLANK(AC13),IFERROR(VLOOKUP($F13,Sheet3!$H$2:$O$200,AJ$1,FALSE),VLOOKUP($G13,Sheet3!$H$2:$O$200,AJ$1,FALSE)),$I$1),$I$1)</f>
        <v>0</v>
      </c>
      <c r="AK13" s="15">
        <f>IFERROR(IF(ISBLANK(AD13),IFERROR(VLOOKUP($F13,Sheet3!$H$2:$O$200,AK$1,FALSE),VLOOKUP($G13,Sheet3!$H$2:$O$200,AK$1,FALSE)),$I$1),$I$1)</f>
        <v>0</v>
      </c>
      <c r="AL13" s="15">
        <f>IFERROR(IF(ISBLANK(AE13),VLOOKUP($G13,Sheet3!$H$2:$O$200,AL$1,FALSE),$I$1),$I$1)</f>
        <v>0</v>
      </c>
      <c r="AM13" s="15">
        <f>IFERROR(IF(ISBLANK(AF13),VLOOKUP($G13,Sheet3!$H$2:$O$200,AM$1,FALSE),$I$1),$I$1)</f>
        <v>0</v>
      </c>
      <c r="AN13" s="15">
        <f>IFERROR(IF(ISBLANK(AG13),VLOOKUP($G13,Sheet3!$H$2:$O$200,AN$1,FALSE),$I$1),$I$1)</f>
        <v>0</v>
      </c>
      <c r="AO13" s="15">
        <f>IFERROR(IF(ISBLANK(AH13),VLOOKUP($G13,Sheet3!$H$2:$O$200,AO$1,FALSE),$I$1),$I$1)</f>
        <v>0</v>
      </c>
      <c r="AP13" s="15">
        <f>IFERROR(IF(ISBLANK(AI13),VLOOKUP($G13,Sheet3!$H$2:$O$200,AP$1,FALSE),$I$1),$I$1)</f>
        <v>0</v>
      </c>
      <c r="AQ13" s="15">
        <f>IFERROR(IF(ISBLANK(AJ13),VLOOKUP($G13,Sheet3!$H$2:$O$200,AQ$1,FALSE),$I$1),$I$1)</f>
        <v>0</v>
      </c>
      <c r="AR13" s="15">
        <f>IFERROR(IF(ISBLANK(AK13),VLOOKUP($G13,Sheet3!$H$2:$O$200,AR$1,FALSE),$I$1),$I$1)</f>
        <v>0</v>
      </c>
      <c r="AS13" s="15">
        <f t="shared" ref="AS13:AY13" si="12">IFERROR(IF(ISBLANK(J13),IF(ISBLANK(Q13),IF(ISBLANK(X13),IF(ISBLANK(AE13),IF(ISBLANK(AL13),$BB$1,AL13),AE13),X13),Q13),J13),$BB$1)</f>
        <v>0</v>
      </c>
      <c r="AT13" s="15">
        <f t="shared" si="12"/>
        <v>0</v>
      </c>
      <c r="AU13" s="15">
        <f t="shared" si="12"/>
        <v>0</v>
      </c>
      <c r="AV13" s="15" t="str">
        <f t="shared" si="12"/>
        <v>sweet vermouth</v>
      </c>
      <c r="AW13" s="15">
        <f t="shared" si="12"/>
        <v>0</v>
      </c>
      <c r="AX13" s="15">
        <f t="shared" si="12"/>
        <v>0</v>
      </c>
      <c r="AY13" s="15">
        <f t="shared" si="12"/>
        <v>0</v>
      </c>
      <c r="BA13" s="13">
        <f t="shared" si="1"/>
        <v>35</v>
      </c>
      <c r="BB13" s="15" t="b">
        <f t="shared" si="2"/>
        <v>0</v>
      </c>
    </row>
    <row r="14" spans="1:54" x14ac:dyDescent="0.2">
      <c r="A14" s="19" t="s">
        <v>67</v>
      </c>
      <c r="B14" s="19" t="s">
        <v>65</v>
      </c>
      <c r="C14" s="19" t="s">
        <v>48</v>
      </c>
      <c r="D14" s="19"/>
      <c r="E14" s="19" t="s">
        <v>68</v>
      </c>
      <c r="F14" s="19" t="s">
        <v>66</v>
      </c>
      <c r="G14" s="19"/>
      <c r="H14" s="19" t="s">
        <v>67</v>
      </c>
      <c r="I14" s="15">
        <v>3</v>
      </c>
      <c r="J14" s="15">
        <f>IFERROR(VLOOKUP($C14,Sheet3!$H$2:$O$200,J$1,FALSE),IFERROR(VLOOKUP($D14,Sheet3!$H$2:$O$200,J$1,FALSE),VLOOKUP($E14,Sheet3!$H$2:$O$200,J$1,FALSE)))</f>
        <v>0</v>
      </c>
      <c r="K14" s="15">
        <f>IFERROR(VLOOKUP($C14,Sheet3!$H$2:$O$200,K$1,FALSE),IFERROR(VLOOKUP($D14,Sheet3!$H$2:$O$200,K$1,FALSE),VLOOKUP($E14,Sheet3!$H$2:$O$200,K$1,FALSE)))</f>
        <v>0</v>
      </c>
      <c r="L14" s="15">
        <f>IFERROR(VLOOKUP($C14,Sheet3!$H$2:$O$200,L$1,FALSE),IFERROR(VLOOKUP($D14,Sheet3!$H$2:$O$200,L$1,FALSE),VLOOKUP($E14,Sheet3!$H$2:$O$200,L$1,FALSE)))</f>
        <v>0</v>
      </c>
      <c r="M14" s="15" t="str">
        <f>IFERROR(VLOOKUP($C14,Sheet3!$H$2:$O$200,M$1,FALSE),IFERROR(VLOOKUP($D14,Sheet3!$H$2:$O$200,M$1,FALSE),VLOOKUP($E14,Sheet3!$H$2:$O$200,M$1,FALSE)))</f>
        <v>sweet vermouth</v>
      </c>
      <c r="N14" s="15">
        <f>IFERROR(VLOOKUP($C14,Sheet3!$H$2:$O$200,N$1,FALSE),IFERROR(VLOOKUP($D14,Sheet3!$H$2:$O$200,N$1,FALSE),VLOOKUP($E14,Sheet3!$H$2:$O$200,N$1,FALSE)))</f>
        <v>0</v>
      </c>
      <c r="O14" s="15">
        <f>IFERROR(VLOOKUP($C14,Sheet3!$H$2:$O$200,O$1,FALSE),IFERROR(VLOOKUP($D14,Sheet3!$H$2:$O$200,O$1,FALSE),VLOOKUP($E14,Sheet3!$H$2:$O$200,O$1,FALSE)))</f>
        <v>0</v>
      </c>
      <c r="P14" s="15">
        <f>IFERROR(VLOOKUP($C14,Sheet3!$H$2:$O$200,P$1,FALSE),IFERROR(VLOOKUP($D14,Sheet3!$H$2:$O$200,P$1,FALSE),VLOOKUP($E14,Sheet3!$H$2:$O$200,P$1,FALSE)))</f>
        <v>0</v>
      </c>
      <c r="Q14" s="15">
        <f>IFERROR(IF(ISBLANK(J14),IFERROR(VLOOKUP($D14,Sheet3!$H$2:$O$200,Q$1,FALSE),IFERROR(VLOOKUP($E14,Sheet3!$H$2:$O$200,Q$1,FALSE),VLOOKUP($F14,Sheet3!$H$2:$O$200,Q$1,FALSE))),$I$1),$I$1)</f>
        <v>0</v>
      </c>
      <c r="R14" s="15">
        <f>IFERROR(IF(ISBLANK(K14),IFERROR(VLOOKUP($D14,Sheet3!$H$2:$O$200,R$1,FALSE),IFERROR(VLOOKUP($E14,Sheet3!$H$2:$O$200,R$1,FALSE),VLOOKUP($F14,Sheet3!$H$2:$O$200,R$1,FALSE))),$I$1),$I$1)</f>
        <v>0</v>
      </c>
      <c r="S14" s="15">
        <f>IFERROR(IF(ISBLANK(L14),IFERROR(VLOOKUP($D14,Sheet3!$H$2:$O$200,S$1,FALSE),IFERROR(VLOOKUP($E14,Sheet3!$H$2:$O$200,S$1,FALSE),VLOOKUP($F14,Sheet3!$H$2:$O$200,S$1,FALSE))),$I$1),$I$1)</f>
        <v>0</v>
      </c>
      <c r="T14" s="15">
        <f>IFERROR(IF(ISBLANK(M14),IFERROR(VLOOKUP($D14,Sheet3!$H$2:$O$200,T$1,FALSE),IFERROR(VLOOKUP($E14,Sheet3!$H$2:$O$200,T$1,FALSE),VLOOKUP($F14,Sheet3!$H$2:$O$200,T$1,FALSE))),$I$1),$I$1)</f>
        <v>0</v>
      </c>
      <c r="U14" s="15">
        <f>IFERROR(IF(ISBLANK(N14),IFERROR(VLOOKUP($D14,Sheet3!$H$2:$O$200,U$1,FALSE),IFERROR(VLOOKUP($E14,Sheet3!$H$2:$O$200,U$1,FALSE),VLOOKUP($F14,Sheet3!$H$2:$O$200,U$1,FALSE))),$I$1),$I$1)</f>
        <v>0</v>
      </c>
      <c r="V14" s="15">
        <f>IFERROR(IF(ISBLANK(O14),IFERROR(VLOOKUP($D14,Sheet3!$H$2:$O$200,V$1,FALSE),IFERROR(VLOOKUP($E14,Sheet3!$H$2:$O$200,V$1,FALSE),VLOOKUP($F14,Sheet3!$H$2:$O$200,V$1,FALSE))),$I$1),$I$1)</f>
        <v>0</v>
      </c>
      <c r="W14" s="15">
        <f>IFERROR(IF(ISBLANK(P14),IFERROR(VLOOKUP($D14,Sheet3!$H$2:$O$200,W$1,FALSE),IFERROR(VLOOKUP($E14,Sheet3!$H$2:$O$200,W$1,FALSE),VLOOKUP($F14,Sheet3!$H$2:$O$200,W$1,FALSE))),$I$1),$I$1)</f>
        <v>0</v>
      </c>
      <c r="X14" s="15">
        <f>IFERROR(IF(ISBLANK(Q14),IFERROR(VLOOKUP($E14,Sheet3!$H$2:$O$200,X$1,FALSE),IFERROR(VLOOKUP($F14,Sheet3!$H$2:$O$200,X$1,FALSE),VLOOKUP($G14,Sheet3!$H$2:$O$200,X$1,FALSE))),$I$1),$I$1)</f>
        <v>0</v>
      </c>
      <c r="Y14" s="15">
        <f>IFERROR(IF(ISBLANK(R14),IFERROR(VLOOKUP($E14,Sheet3!$H$2:$O$200,Y$1,FALSE),IFERROR(VLOOKUP($F14,Sheet3!$H$2:$O$200,Y$1,FALSE),VLOOKUP($G14,Sheet3!$H$2:$O$200,Y$1,FALSE))),$I$1),$I$1)</f>
        <v>0</v>
      </c>
      <c r="Z14" s="15">
        <f>IFERROR(IF(ISBLANK(S14),IFERROR(VLOOKUP($E14,Sheet3!$H$2:$O$200,Z$1,FALSE),IFERROR(VLOOKUP($F14,Sheet3!$H$2:$O$200,Z$1,FALSE),VLOOKUP($G14,Sheet3!$H$2:$O$200,Z$1,FALSE))),$I$1),$I$1)</f>
        <v>0</v>
      </c>
      <c r="AA14" s="15">
        <f>IFERROR(IF(ISBLANK(T14),IFERROR(VLOOKUP($E14,Sheet3!$H$2:$O$200,AA$1,FALSE),IFERROR(VLOOKUP($F14,Sheet3!$H$2:$O$200,AA$1,FALSE),VLOOKUP($G14,Sheet3!$H$2:$O$200,AA$1,FALSE))),$I$1),$I$1)</f>
        <v>0</v>
      </c>
      <c r="AB14" s="15">
        <f>IFERROR(IF(ISBLANK(U14),IFERROR(VLOOKUP($E14,Sheet3!$H$2:$O$200,AB$1,FALSE),IFERROR(VLOOKUP($F14,Sheet3!$H$2:$O$200,AB$1,FALSE),VLOOKUP($G14,Sheet3!$H$2:$O$200,AB$1,FALSE))),$I$1),$I$1)</f>
        <v>0</v>
      </c>
      <c r="AC14" s="15">
        <f>IFERROR(IF(ISBLANK(V14),IFERROR(VLOOKUP($E14,Sheet3!$H$2:$O$200,AC$1,FALSE),IFERROR(VLOOKUP($F14,Sheet3!$H$2:$O$200,AC$1,FALSE),VLOOKUP($G14,Sheet3!$H$2:$O$200,AC$1,FALSE))),$I$1),$I$1)</f>
        <v>0</v>
      </c>
      <c r="AD14" s="15">
        <f>IFERROR(IF(ISBLANK(W14),IFERROR(VLOOKUP($E14,Sheet3!$H$2:$O$200,AD$1,FALSE),IFERROR(VLOOKUP($F14,Sheet3!$H$2:$O$200,AD$1,FALSE),VLOOKUP($G14,Sheet3!$H$2:$O$200,AD$1,FALSE))),$I$1),$I$1)</f>
        <v>0</v>
      </c>
      <c r="AE14" s="15">
        <f>IFERROR(IF(ISBLANK(X14),IFERROR(VLOOKUP($F14,Sheet3!$H$2:$O$200,AE$1,FALSE),VLOOKUP($G14,Sheet3!$H$2:$O$200,AE$1,FALSE)),$I$1),$I$1)</f>
        <v>0</v>
      </c>
      <c r="AF14" s="15">
        <f>IFERROR(IF(ISBLANK(Y14),IFERROR(VLOOKUP($F14,Sheet3!$H$2:$O$200,AF$1,FALSE),VLOOKUP($G14,Sheet3!$H$2:$O$200,AF$1,FALSE)),$I$1),$I$1)</f>
        <v>0</v>
      </c>
      <c r="AG14" s="15">
        <f>IFERROR(IF(ISBLANK(Z14),IFERROR(VLOOKUP($F14,Sheet3!$H$2:$O$200,AG$1,FALSE),VLOOKUP($G14,Sheet3!$H$2:$O$200,AG$1,FALSE)),$I$1),$I$1)</f>
        <v>0</v>
      </c>
      <c r="AH14" s="15">
        <f>IFERROR(IF(ISBLANK(AA14),IFERROR(VLOOKUP($F14,Sheet3!$H$2:$O$200,AH$1,FALSE),VLOOKUP($G14,Sheet3!$H$2:$O$200,AH$1,FALSE)),$I$1),$I$1)</f>
        <v>0</v>
      </c>
      <c r="AI14" s="15">
        <f>IFERROR(IF(ISBLANK(AB14),IFERROR(VLOOKUP($F14,Sheet3!$H$2:$O$200,AI$1,FALSE),VLOOKUP($G14,Sheet3!$H$2:$O$200,AI$1,FALSE)),$I$1),$I$1)</f>
        <v>0</v>
      </c>
      <c r="AJ14" s="15">
        <f>IFERROR(IF(ISBLANK(AC14),IFERROR(VLOOKUP($F14,Sheet3!$H$2:$O$200,AJ$1,FALSE),VLOOKUP($G14,Sheet3!$H$2:$O$200,AJ$1,FALSE)),$I$1),$I$1)</f>
        <v>0</v>
      </c>
      <c r="AK14" s="15">
        <f>IFERROR(IF(ISBLANK(AD14),IFERROR(VLOOKUP($F14,Sheet3!$H$2:$O$200,AK$1,FALSE),VLOOKUP($G14,Sheet3!$H$2:$O$200,AK$1,FALSE)),$I$1),$I$1)</f>
        <v>0</v>
      </c>
      <c r="AL14" s="15">
        <f>IFERROR(IF(ISBLANK(AE14),VLOOKUP($G14,Sheet3!$H$2:$O$200,AL$1,FALSE),$I$1),$I$1)</f>
        <v>0</v>
      </c>
      <c r="AM14" s="15">
        <f>IFERROR(IF(ISBLANK(AF14),VLOOKUP($G14,Sheet3!$H$2:$O$200,AM$1,FALSE),$I$1),$I$1)</f>
        <v>0</v>
      </c>
      <c r="AN14" s="15">
        <f>IFERROR(IF(ISBLANK(AG14),VLOOKUP($G14,Sheet3!$H$2:$O$200,AN$1,FALSE),$I$1),$I$1)</f>
        <v>0</v>
      </c>
      <c r="AO14" s="15">
        <f>IFERROR(IF(ISBLANK(AH14),VLOOKUP($G14,Sheet3!$H$2:$O$200,AO$1,FALSE),$I$1),$I$1)</f>
        <v>0</v>
      </c>
      <c r="AP14" s="15">
        <f>IFERROR(IF(ISBLANK(AI14),VLOOKUP($G14,Sheet3!$H$2:$O$200,AP$1,FALSE),$I$1),$I$1)</f>
        <v>0</v>
      </c>
      <c r="AQ14" s="15">
        <f>IFERROR(IF(ISBLANK(AJ14),VLOOKUP($G14,Sheet3!$H$2:$O$200,AQ$1,FALSE),$I$1),$I$1)</f>
        <v>0</v>
      </c>
      <c r="AR14" s="15">
        <f>IFERROR(IF(ISBLANK(AK14),VLOOKUP($G14,Sheet3!$H$2:$O$200,AR$1,FALSE),$I$1),$I$1)</f>
        <v>0</v>
      </c>
      <c r="AS14" s="15">
        <f t="shared" ref="AS14:AY14" si="13">IFERROR(IF(ISBLANK(J14),IF(ISBLANK(Q14),IF(ISBLANK(X14),IF(ISBLANK(AE14),IF(ISBLANK(AL14),$BB$1,AL14),AE14),X14),Q14),J14),$BB$1)</f>
        <v>0</v>
      </c>
      <c r="AT14" s="15">
        <f t="shared" si="13"/>
        <v>0</v>
      </c>
      <c r="AU14" s="15">
        <f t="shared" si="13"/>
        <v>0</v>
      </c>
      <c r="AV14" s="15" t="str">
        <f t="shared" si="13"/>
        <v>sweet vermouth</v>
      </c>
      <c r="AW14" s="15">
        <f t="shared" si="13"/>
        <v>0</v>
      </c>
      <c r="AX14" s="15">
        <f t="shared" si="13"/>
        <v>0</v>
      </c>
      <c r="AY14" s="15">
        <f t="shared" si="13"/>
        <v>0</v>
      </c>
      <c r="BA14" s="13">
        <f t="shared" si="1"/>
        <v>35</v>
      </c>
      <c r="BB14" s="15" t="b">
        <f t="shared" si="2"/>
        <v>0</v>
      </c>
    </row>
    <row r="15" spans="1:54" x14ac:dyDescent="0.2">
      <c r="A15" s="19" t="s">
        <v>69</v>
      </c>
      <c r="B15" s="19" t="s">
        <v>65</v>
      </c>
      <c r="C15" s="19" t="s">
        <v>48</v>
      </c>
      <c r="D15" s="19"/>
      <c r="E15" s="19" t="s">
        <v>70</v>
      </c>
      <c r="F15" s="19" t="s">
        <v>71</v>
      </c>
      <c r="G15" s="19"/>
      <c r="H15" s="19" t="s">
        <v>69</v>
      </c>
      <c r="I15" s="15">
        <v>3</v>
      </c>
      <c r="J15" s="15">
        <f>IFERROR(VLOOKUP($C15,Sheet3!$H$2:$O$200,J$1,FALSE),IFERROR(VLOOKUP($D15,Sheet3!$H$2:$O$200,J$1,FALSE),VLOOKUP($E15,Sheet3!$H$2:$O$200,J$1,FALSE)))</f>
        <v>0</v>
      </c>
      <c r="K15" s="15">
        <f>IFERROR(VLOOKUP($C15,Sheet3!$H$2:$O$200,K$1,FALSE),IFERROR(VLOOKUP($D15,Sheet3!$H$2:$O$200,K$1,FALSE),VLOOKUP($E15,Sheet3!$H$2:$O$200,K$1,FALSE)))</f>
        <v>0</v>
      </c>
      <c r="L15" s="15">
        <f>IFERROR(VLOOKUP($C15,Sheet3!$H$2:$O$200,L$1,FALSE),IFERROR(VLOOKUP($D15,Sheet3!$H$2:$O$200,L$1,FALSE),VLOOKUP($E15,Sheet3!$H$2:$O$200,L$1,FALSE)))</f>
        <v>0</v>
      </c>
      <c r="M15" s="15" t="str">
        <f>IFERROR(VLOOKUP($C15,Sheet3!$H$2:$O$200,M$1,FALSE),IFERROR(VLOOKUP($D15,Sheet3!$H$2:$O$200,M$1,FALSE),VLOOKUP($E15,Sheet3!$H$2:$O$200,M$1,FALSE)))</f>
        <v>sweet vermouth</v>
      </c>
      <c r="N15" s="15">
        <f>IFERROR(VLOOKUP($C15,Sheet3!$H$2:$O$200,N$1,FALSE),IFERROR(VLOOKUP($D15,Sheet3!$H$2:$O$200,N$1,FALSE),VLOOKUP($E15,Sheet3!$H$2:$O$200,N$1,FALSE)))</f>
        <v>0</v>
      </c>
      <c r="O15" s="15">
        <f>IFERROR(VLOOKUP($C15,Sheet3!$H$2:$O$200,O$1,FALSE),IFERROR(VLOOKUP($D15,Sheet3!$H$2:$O$200,O$1,FALSE),VLOOKUP($E15,Sheet3!$H$2:$O$200,O$1,FALSE)))</f>
        <v>0</v>
      </c>
      <c r="P15" s="15">
        <f>IFERROR(VLOOKUP($C15,Sheet3!$H$2:$O$200,P$1,FALSE),IFERROR(VLOOKUP($D15,Sheet3!$H$2:$O$200,P$1,FALSE),VLOOKUP($E15,Sheet3!$H$2:$O$200,P$1,FALSE)))</f>
        <v>0</v>
      </c>
      <c r="Q15" s="15">
        <f>IFERROR(IF(ISBLANK(J15),IFERROR(VLOOKUP($D15,Sheet3!$H$2:$O$200,Q$1,FALSE),IFERROR(VLOOKUP($E15,Sheet3!$H$2:$O$200,Q$1,FALSE),VLOOKUP($F15,Sheet3!$H$2:$O$200,Q$1,FALSE))),$I$1),$I$1)</f>
        <v>0</v>
      </c>
      <c r="R15" s="15">
        <f>IFERROR(IF(ISBLANK(K15),IFERROR(VLOOKUP($D15,Sheet3!$H$2:$O$200,R$1,FALSE),IFERROR(VLOOKUP($E15,Sheet3!$H$2:$O$200,R$1,FALSE),VLOOKUP($F15,Sheet3!$H$2:$O$200,R$1,FALSE))),$I$1),$I$1)</f>
        <v>0</v>
      </c>
      <c r="S15" s="15">
        <f>IFERROR(IF(ISBLANK(L15),IFERROR(VLOOKUP($D15,Sheet3!$H$2:$O$200,S$1,FALSE),IFERROR(VLOOKUP($E15,Sheet3!$H$2:$O$200,S$1,FALSE),VLOOKUP($F15,Sheet3!$H$2:$O$200,S$1,FALSE))),$I$1),$I$1)</f>
        <v>0</v>
      </c>
      <c r="T15" s="15">
        <f>IFERROR(IF(ISBLANK(M15),IFERROR(VLOOKUP($D15,Sheet3!$H$2:$O$200,T$1,FALSE),IFERROR(VLOOKUP($E15,Sheet3!$H$2:$O$200,T$1,FALSE),VLOOKUP($F15,Sheet3!$H$2:$O$200,T$1,FALSE))),$I$1),$I$1)</f>
        <v>0</v>
      </c>
      <c r="U15" s="15">
        <f>IFERROR(IF(ISBLANK(N15),IFERROR(VLOOKUP($D15,Sheet3!$H$2:$O$200,U$1,FALSE),IFERROR(VLOOKUP($E15,Sheet3!$H$2:$O$200,U$1,FALSE),VLOOKUP($F15,Sheet3!$H$2:$O$200,U$1,FALSE))),$I$1),$I$1)</f>
        <v>0</v>
      </c>
      <c r="V15" s="15">
        <f>IFERROR(IF(ISBLANK(O15),IFERROR(VLOOKUP($D15,Sheet3!$H$2:$O$200,V$1,FALSE),IFERROR(VLOOKUP($E15,Sheet3!$H$2:$O$200,V$1,FALSE),VLOOKUP($F15,Sheet3!$H$2:$O$200,V$1,FALSE))),$I$1),$I$1)</f>
        <v>0</v>
      </c>
      <c r="W15" s="15">
        <f>IFERROR(IF(ISBLANK(P15),IFERROR(VLOOKUP($D15,Sheet3!$H$2:$O$200,W$1,FALSE),IFERROR(VLOOKUP($E15,Sheet3!$H$2:$O$200,W$1,FALSE),VLOOKUP($F15,Sheet3!$H$2:$O$200,W$1,FALSE))),$I$1),$I$1)</f>
        <v>0</v>
      </c>
      <c r="X15" s="15">
        <f>IFERROR(IF(ISBLANK(Q15),IFERROR(VLOOKUP($E15,Sheet3!$H$2:$O$200,X$1,FALSE),IFERROR(VLOOKUP($F15,Sheet3!$H$2:$O$200,X$1,FALSE),VLOOKUP($G15,Sheet3!$H$2:$O$200,X$1,FALSE))),$I$1),$I$1)</f>
        <v>0</v>
      </c>
      <c r="Y15" s="15">
        <f>IFERROR(IF(ISBLANK(R15),IFERROR(VLOOKUP($E15,Sheet3!$H$2:$O$200,Y$1,FALSE),IFERROR(VLOOKUP($F15,Sheet3!$H$2:$O$200,Y$1,FALSE),VLOOKUP($G15,Sheet3!$H$2:$O$200,Y$1,FALSE))),$I$1),$I$1)</f>
        <v>0</v>
      </c>
      <c r="Z15" s="15">
        <f>IFERROR(IF(ISBLANK(S15),IFERROR(VLOOKUP($E15,Sheet3!$H$2:$O$200,Z$1,FALSE),IFERROR(VLOOKUP($F15,Sheet3!$H$2:$O$200,Z$1,FALSE),VLOOKUP($G15,Sheet3!$H$2:$O$200,Z$1,FALSE))),$I$1),$I$1)</f>
        <v>0</v>
      </c>
      <c r="AA15" s="15">
        <f>IFERROR(IF(ISBLANK(T15),IFERROR(VLOOKUP($E15,Sheet3!$H$2:$O$200,AA$1,FALSE),IFERROR(VLOOKUP($F15,Sheet3!$H$2:$O$200,AA$1,FALSE),VLOOKUP($G15,Sheet3!$H$2:$O$200,AA$1,FALSE))),$I$1),$I$1)</f>
        <v>0</v>
      </c>
      <c r="AB15" s="15">
        <f>IFERROR(IF(ISBLANK(U15),IFERROR(VLOOKUP($E15,Sheet3!$H$2:$O$200,AB$1,FALSE),IFERROR(VLOOKUP($F15,Sheet3!$H$2:$O$200,AB$1,FALSE),VLOOKUP($G15,Sheet3!$H$2:$O$200,AB$1,FALSE))),$I$1),$I$1)</f>
        <v>0</v>
      </c>
      <c r="AC15" s="15">
        <f>IFERROR(IF(ISBLANK(V15),IFERROR(VLOOKUP($E15,Sheet3!$H$2:$O$200,AC$1,FALSE),IFERROR(VLOOKUP($F15,Sheet3!$H$2:$O$200,AC$1,FALSE),VLOOKUP($G15,Sheet3!$H$2:$O$200,AC$1,FALSE))),$I$1),$I$1)</f>
        <v>0</v>
      </c>
      <c r="AD15" s="15">
        <f>IFERROR(IF(ISBLANK(W15),IFERROR(VLOOKUP($E15,Sheet3!$H$2:$O$200,AD$1,FALSE),IFERROR(VLOOKUP($F15,Sheet3!$H$2:$O$200,AD$1,FALSE),VLOOKUP($G15,Sheet3!$H$2:$O$200,AD$1,FALSE))),$I$1),$I$1)</f>
        <v>0</v>
      </c>
      <c r="AE15" s="15">
        <f>IFERROR(IF(ISBLANK(X15),IFERROR(VLOOKUP($F15,Sheet3!$H$2:$O$200,AE$1,FALSE),VLOOKUP($G15,Sheet3!$H$2:$O$200,AE$1,FALSE)),$I$1),$I$1)</f>
        <v>0</v>
      </c>
      <c r="AF15" s="15">
        <f>IFERROR(IF(ISBLANK(Y15),IFERROR(VLOOKUP($F15,Sheet3!$H$2:$O$200,AF$1,FALSE),VLOOKUP($G15,Sheet3!$H$2:$O$200,AF$1,FALSE)),$I$1),$I$1)</f>
        <v>0</v>
      </c>
      <c r="AG15" s="15">
        <f>IFERROR(IF(ISBLANK(Z15),IFERROR(VLOOKUP($F15,Sheet3!$H$2:$O$200,AG$1,FALSE),VLOOKUP($G15,Sheet3!$H$2:$O$200,AG$1,FALSE)),$I$1),$I$1)</f>
        <v>0</v>
      </c>
      <c r="AH15" s="15">
        <f>IFERROR(IF(ISBLANK(AA15),IFERROR(VLOOKUP($F15,Sheet3!$H$2:$O$200,AH$1,FALSE),VLOOKUP($G15,Sheet3!$H$2:$O$200,AH$1,FALSE)),$I$1),$I$1)</f>
        <v>0</v>
      </c>
      <c r="AI15" s="15">
        <f>IFERROR(IF(ISBLANK(AB15),IFERROR(VLOOKUP($F15,Sheet3!$H$2:$O$200,AI$1,FALSE),VLOOKUP($G15,Sheet3!$H$2:$O$200,AI$1,FALSE)),$I$1),$I$1)</f>
        <v>0</v>
      </c>
      <c r="AJ15" s="15">
        <f>IFERROR(IF(ISBLANK(AC15),IFERROR(VLOOKUP($F15,Sheet3!$H$2:$O$200,AJ$1,FALSE),VLOOKUP($G15,Sheet3!$H$2:$O$200,AJ$1,FALSE)),$I$1),$I$1)</f>
        <v>0</v>
      </c>
      <c r="AK15" s="15">
        <f>IFERROR(IF(ISBLANK(AD15),IFERROR(VLOOKUP($F15,Sheet3!$H$2:$O$200,AK$1,FALSE),VLOOKUP($G15,Sheet3!$H$2:$O$200,AK$1,FALSE)),$I$1),$I$1)</f>
        <v>0</v>
      </c>
      <c r="AL15" s="15">
        <f>IFERROR(IF(ISBLANK(AE15),VLOOKUP($G15,Sheet3!$H$2:$O$200,AL$1,FALSE),$I$1),$I$1)</f>
        <v>0</v>
      </c>
      <c r="AM15" s="15">
        <f>IFERROR(IF(ISBLANK(AF15),VLOOKUP($G15,Sheet3!$H$2:$O$200,AM$1,FALSE),$I$1),$I$1)</f>
        <v>0</v>
      </c>
      <c r="AN15" s="15">
        <f>IFERROR(IF(ISBLANK(AG15),VLOOKUP($G15,Sheet3!$H$2:$O$200,AN$1,FALSE),$I$1),$I$1)</f>
        <v>0</v>
      </c>
      <c r="AO15" s="15">
        <f>IFERROR(IF(ISBLANK(AH15),VLOOKUP($G15,Sheet3!$H$2:$O$200,AO$1,FALSE),$I$1),$I$1)</f>
        <v>0</v>
      </c>
      <c r="AP15" s="15">
        <f>IFERROR(IF(ISBLANK(AI15),VLOOKUP($G15,Sheet3!$H$2:$O$200,AP$1,FALSE),$I$1),$I$1)</f>
        <v>0</v>
      </c>
      <c r="AQ15" s="15">
        <f>IFERROR(IF(ISBLANK(AJ15),VLOOKUP($G15,Sheet3!$H$2:$O$200,AQ$1,FALSE),$I$1),$I$1)</f>
        <v>0</v>
      </c>
      <c r="AR15" s="15">
        <f>IFERROR(IF(ISBLANK(AK15),VLOOKUP($G15,Sheet3!$H$2:$O$200,AR$1,FALSE),$I$1),$I$1)</f>
        <v>0</v>
      </c>
      <c r="AS15" s="15">
        <f t="shared" ref="AS15:AY15" si="14">IFERROR(IF(ISBLANK(J15),IF(ISBLANK(Q15),IF(ISBLANK(X15),IF(ISBLANK(AE15),IF(ISBLANK(AL15),$BB$1,AL15),AE15),X15),Q15),J15),$BB$1)</f>
        <v>0</v>
      </c>
      <c r="AT15" s="15">
        <f t="shared" si="14"/>
        <v>0</v>
      </c>
      <c r="AU15" s="15">
        <f t="shared" si="14"/>
        <v>0</v>
      </c>
      <c r="AV15" s="15" t="str">
        <f t="shared" si="14"/>
        <v>sweet vermouth</v>
      </c>
      <c r="AW15" s="15">
        <f t="shared" si="14"/>
        <v>0</v>
      </c>
      <c r="AX15" s="15">
        <f t="shared" si="14"/>
        <v>0</v>
      </c>
      <c r="AY15" s="15">
        <f t="shared" si="14"/>
        <v>0</v>
      </c>
      <c r="BA15" s="13">
        <f t="shared" si="1"/>
        <v>35</v>
      </c>
      <c r="BB15" s="15" t="b">
        <f t="shared" si="2"/>
        <v>0</v>
      </c>
    </row>
    <row r="16" spans="1:54" x14ac:dyDescent="0.2">
      <c r="A16" s="19" t="s">
        <v>72</v>
      </c>
      <c r="B16" s="19" t="s">
        <v>65</v>
      </c>
      <c r="C16" s="19" t="s">
        <v>48</v>
      </c>
      <c r="D16" s="19"/>
      <c r="E16" s="19" t="s">
        <v>73</v>
      </c>
      <c r="F16" s="19" t="s">
        <v>74</v>
      </c>
      <c r="G16" s="19"/>
      <c r="H16" s="19" t="s">
        <v>72</v>
      </c>
      <c r="I16" s="15">
        <v>3</v>
      </c>
      <c r="J16" s="15">
        <f>IFERROR(VLOOKUP($C16,Sheet3!$H$2:$O$200,J$1,FALSE),IFERROR(VLOOKUP($D16,Sheet3!$H$2:$O$200,J$1,FALSE),VLOOKUP($E16,Sheet3!$H$2:$O$200,J$1,FALSE)))</f>
        <v>0</v>
      </c>
      <c r="K16" s="15">
        <f>IFERROR(VLOOKUP($C16,Sheet3!$H$2:$O$200,K$1,FALSE),IFERROR(VLOOKUP($D16,Sheet3!$H$2:$O$200,K$1,FALSE),VLOOKUP($E16,Sheet3!$H$2:$O$200,K$1,FALSE)))</f>
        <v>0</v>
      </c>
      <c r="L16" s="15">
        <f>IFERROR(VLOOKUP($C16,Sheet3!$H$2:$O$200,L$1,FALSE),IFERROR(VLOOKUP($D16,Sheet3!$H$2:$O$200,L$1,FALSE),VLOOKUP($E16,Sheet3!$H$2:$O$200,L$1,FALSE)))</f>
        <v>0</v>
      </c>
      <c r="M16" s="15" t="str">
        <f>IFERROR(VLOOKUP($C16,Sheet3!$H$2:$O$200,M$1,FALSE),IFERROR(VLOOKUP($D16,Sheet3!$H$2:$O$200,M$1,FALSE),VLOOKUP($E16,Sheet3!$H$2:$O$200,M$1,FALSE)))</f>
        <v>sweet vermouth</v>
      </c>
      <c r="N16" s="15">
        <f>IFERROR(VLOOKUP($C16,Sheet3!$H$2:$O$200,N$1,FALSE),IFERROR(VLOOKUP($D16,Sheet3!$H$2:$O$200,N$1,FALSE),VLOOKUP($E16,Sheet3!$H$2:$O$200,N$1,FALSE)))</f>
        <v>0</v>
      </c>
      <c r="O16" s="15">
        <f>IFERROR(VLOOKUP($C16,Sheet3!$H$2:$O$200,O$1,FALSE),IFERROR(VLOOKUP($D16,Sheet3!$H$2:$O$200,O$1,FALSE),VLOOKUP($E16,Sheet3!$H$2:$O$200,O$1,FALSE)))</f>
        <v>0</v>
      </c>
      <c r="P16" s="15">
        <f>IFERROR(VLOOKUP($C16,Sheet3!$H$2:$O$200,P$1,FALSE),IFERROR(VLOOKUP($D16,Sheet3!$H$2:$O$200,P$1,FALSE),VLOOKUP($E16,Sheet3!$H$2:$O$200,P$1,FALSE)))</f>
        <v>0</v>
      </c>
      <c r="Q16" s="15">
        <f>IFERROR(IF(ISBLANK(J16),IFERROR(VLOOKUP($D16,Sheet3!$H$2:$O$200,Q$1,FALSE),IFERROR(VLOOKUP($E16,Sheet3!$H$2:$O$200,Q$1,FALSE),VLOOKUP($F16,Sheet3!$H$2:$O$200,Q$1,FALSE))),$I$1),$I$1)</f>
        <v>0</v>
      </c>
      <c r="R16" s="15">
        <f>IFERROR(IF(ISBLANK(K16),IFERROR(VLOOKUP($D16,Sheet3!$H$2:$O$200,R$1,FALSE),IFERROR(VLOOKUP($E16,Sheet3!$H$2:$O$200,R$1,FALSE),VLOOKUP($F16,Sheet3!$H$2:$O$200,R$1,FALSE))),$I$1),$I$1)</f>
        <v>0</v>
      </c>
      <c r="S16" s="15">
        <f>IFERROR(IF(ISBLANK(L16),IFERROR(VLOOKUP($D16,Sheet3!$H$2:$O$200,S$1,FALSE),IFERROR(VLOOKUP($E16,Sheet3!$H$2:$O$200,S$1,FALSE),VLOOKUP($F16,Sheet3!$H$2:$O$200,S$1,FALSE))),$I$1),$I$1)</f>
        <v>0</v>
      </c>
      <c r="T16" s="15">
        <f>IFERROR(IF(ISBLANK(M16),IFERROR(VLOOKUP($D16,Sheet3!$H$2:$O$200,T$1,FALSE),IFERROR(VLOOKUP($E16,Sheet3!$H$2:$O$200,T$1,FALSE),VLOOKUP($F16,Sheet3!$H$2:$O$200,T$1,FALSE))),$I$1),$I$1)</f>
        <v>0</v>
      </c>
      <c r="U16" s="15">
        <f>IFERROR(IF(ISBLANK(N16),IFERROR(VLOOKUP($D16,Sheet3!$H$2:$O$200,U$1,FALSE),IFERROR(VLOOKUP($E16,Sheet3!$H$2:$O$200,U$1,FALSE),VLOOKUP($F16,Sheet3!$H$2:$O$200,U$1,FALSE))),$I$1),$I$1)</f>
        <v>0</v>
      </c>
      <c r="V16" s="15">
        <f>IFERROR(IF(ISBLANK(O16),IFERROR(VLOOKUP($D16,Sheet3!$H$2:$O$200,V$1,FALSE),IFERROR(VLOOKUP($E16,Sheet3!$H$2:$O$200,V$1,FALSE),VLOOKUP($F16,Sheet3!$H$2:$O$200,V$1,FALSE))),$I$1),$I$1)</f>
        <v>0</v>
      </c>
      <c r="W16" s="15">
        <f>IFERROR(IF(ISBLANK(P16),IFERROR(VLOOKUP($D16,Sheet3!$H$2:$O$200,W$1,FALSE),IFERROR(VLOOKUP($E16,Sheet3!$H$2:$O$200,W$1,FALSE),VLOOKUP($F16,Sheet3!$H$2:$O$200,W$1,FALSE))),$I$1),$I$1)</f>
        <v>0</v>
      </c>
      <c r="X16" s="15">
        <f>IFERROR(IF(ISBLANK(Q16),IFERROR(VLOOKUP($E16,Sheet3!$H$2:$O$200,X$1,FALSE),IFERROR(VLOOKUP($F16,Sheet3!$H$2:$O$200,X$1,FALSE),VLOOKUP($G16,Sheet3!$H$2:$O$200,X$1,FALSE))),$I$1),$I$1)</f>
        <v>0</v>
      </c>
      <c r="Y16" s="15">
        <f>IFERROR(IF(ISBLANK(R16),IFERROR(VLOOKUP($E16,Sheet3!$H$2:$O$200,Y$1,FALSE),IFERROR(VLOOKUP($F16,Sheet3!$H$2:$O$200,Y$1,FALSE),VLOOKUP($G16,Sheet3!$H$2:$O$200,Y$1,FALSE))),$I$1),$I$1)</f>
        <v>0</v>
      </c>
      <c r="Z16" s="15">
        <f>IFERROR(IF(ISBLANK(S16),IFERROR(VLOOKUP($E16,Sheet3!$H$2:$O$200,Z$1,FALSE),IFERROR(VLOOKUP($F16,Sheet3!$H$2:$O$200,Z$1,FALSE),VLOOKUP($G16,Sheet3!$H$2:$O$200,Z$1,FALSE))),$I$1),$I$1)</f>
        <v>0</v>
      </c>
      <c r="AA16" s="15">
        <f>IFERROR(IF(ISBLANK(T16),IFERROR(VLOOKUP($E16,Sheet3!$H$2:$O$200,AA$1,FALSE),IFERROR(VLOOKUP($F16,Sheet3!$H$2:$O$200,AA$1,FALSE),VLOOKUP($G16,Sheet3!$H$2:$O$200,AA$1,FALSE))),$I$1),$I$1)</f>
        <v>0</v>
      </c>
      <c r="AB16" s="15">
        <f>IFERROR(IF(ISBLANK(U16),IFERROR(VLOOKUP($E16,Sheet3!$H$2:$O$200,AB$1,FALSE),IFERROR(VLOOKUP($F16,Sheet3!$H$2:$O$200,AB$1,FALSE),VLOOKUP($G16,Sheet3!$H$2:$O$200,AB$1,FALSE))),$I$1),$I$1)</f>
        <v>0</v>
      </c>
      <c r="AC16" s="15">
        <f>IFERROR(IF(ISBLANK(V16),IFERROR(VLOOKUP($E16,Sheet3!$H$2:$O$200,AC$1,FALSE),IFERROR(VLOOKUP($F16,Sheet3!$H$2:$O$200,AC$1,FALSE),VLOOKUP($G16,Sheet3!$H$2:$O$200,AC$1,FALSE))),$I$1),$I$1)</f>
        <v>0</v>
      </c>
      <c r="AD16" s="15">
        <f>IFERROR(IF(ISBLANK(W16),IFERROR(VLOOKUP($E16,Sheet3!$H$2:$O$200,AD$1,FALSE),IFERROR(VLOOKUP($F16,Sheet3!$H$2:$O$200,AD$1,FALSE),VLOOKUP($G16,Sheet3!$H$2:$O$200,AD$1,FALSE))),$I$1),$I$1)</f>
        <v>0</v>
      </c>
      <c r="AE16" s="15">
        <f>IFERROR(IF(ISBLANK(X16),IFERROR(VLOOKUP($F16,Sheet3!$H$2:$O$200,AE$1,FALSE),VLOOKUP($G16,Sheet3!$H$2:$O$200,AE$1,FALSE)),$I$1),$I$1)</f>
        <v>0</v>
      </c>
      <c r="AF16" s="15">
        <f>IFERROR(IF(ISBLANK(Y16),IFERROR(VLOOKUP($F16,Sheet3!$H$2:$O$200,AF$1,FALSE),VLOOKUP($G16,Sheet3!$H$2:$O$200,AF$1,FALSE)),$I$1),$I$1)</f>
        <v>0</v>
      </c>
      <c r="AG16" s="15">
        <f>IFERROR(IF(ISBLANK(Z16),IFERROR(VLOOKUP($F16,Sheet3!$H$2:$O$200,AG$1,FALSE),VLOOKUP($G16,Sheet3!$H$2:$O$200,AG$1,FALSE)),$I$1),$I$1)</f>
        <v>0</v>
      </c>
      <c r="AH16" s="15">
        <f>IFERROR(IF(ISBLANK(AA16),IFERROR(VLOOKUP($F16,Sheet3!$H$2:$O$200,AH$1,FALSE),VLOOKUP($G16,Sheet3!$H$2:$O$200,AH$1,FALSE)),$I$1),$I$1)</f>
        <v>0</v>
      </c>
      <c r="AI16" s="15">
        <f>IFERROR(IF(ISBLANK(AB16),IFERROR(VLOOKUP($F16,Sheet3!$H$2:$O$200,AI$1,FALSE),VLOOKUP($G16,Sheet3!$H$2:$O$200,AI$1,FALSE)),$I$1),$I$1)</f>
        <v>0</v>
      </c>
      <c r="AJ16" s="15">
        <f>IFERROR(IF(ISBLANK(AC16),IFERROR(VLOOKUP($F16,Sheet3!$H$2:$O$200,AJ$1,FALSE),VLOOKUP($G16,Sheet3!$H$2:$O$200,AJ$1,FALSE)),$I$1),$I$1)</f>
        <v>0</v>
      </c>
      <c r="AK16" s="15">
        <f>IFERROR(IF(ISBLANK(AD16),IFERROR(VLOOKUP($F16,Sheet3!$H$2:$O$200,AK$1,FALSE),VLOOKUP($G16,Sheet3!$H$2:$O$200,AK$1,FALSE)),$I$1),$I$1)</f>
        <v>0</v>
      </c>
      <c r="AL16" s="15">
        <f>IFERROR(IF(ISBLANK(AE16),VLOOKUP($G16,Sheet3!$H$2:$O$200,AL$1,FALSE),$I$1),$I$1)</f>
        <v>0</v>
      </c>
      <c r="AM16" s="15">
        <f>IFERROR(IF(ISBLANK(AF16),VLOOKUP($G16,Sheet3!$H$2:$O$200,AM$1,FALSE),$I$1),$I$1)</f>
        <v>0</v>
      </c>
      <c r="AN16" s="15">
        <f>IFERROR(IF(ISBLANK(AG16),VLOOKUP($G16,Sheet3!$H$2:$O$200,AN$1,FALSE),$I$1),$I$1)</f>
        <v>0</v>
      </c>
      <c r="AO16" s="15">
        <f>IFERROR(IF(ISBLANK(AH16),VLOOKUP($G16,Sheet3!$H$2:$O$200,AO$1,FALSE),$I$1),$I$1)</f>
        <v>0</v>
      </c>
      <c r="AP16" s="15">
        <f>IFERROR(IF(ISBLANK(AI16),VLOOKUP($G16,Sheet3!$H$2:$O$200,AP$1,FALSE),$I$1),$I$1)</f>
        <v>0</v>
      </c>
      <c r="AQ16" s="15">
        <f>IFERROR(IF(ISBLANK(AJ16),VLOOKUP($G16,Sheet3!$H$2:$O$200,AQ$1,FALSE),$I$1),$I$1)</f>
        <v>0</v>
      </c>
      <c r="AR16" s="15">
        <f>IFERROR(IF(ISBLANK(AK16),VLOOKUP($G16,Sheet3!$H$2:$O$200,AR$1,FALSE),$I$1),$I$1)</f>
        <v>0</v>
      </c>
      <c r="AS16" s="15">
        <f t="shared" ref="AS16:AY16" si="15">IFERROR(IF(ISBLANK(J16),IF(ISBLANK(Q16),IF(ISBLANK(X16),IF(ISBLANK(AE16),IF(ISBLANK(AL16),$BB$1,AL16),AE16),X16),Q16),J16),$BB$1)</f>
        <v>0</v>
      </c>
      <c r="AT16" s="15">
        <f t="shared" si="15"/>
        <v>0</v>
      </c>
      <c r="AU16" s="15">
        <f t="shared" si="15"/>
        <v>0</v>
      </c>
      <c r="AV16" s="15" t="str">
        <f t="shared" si="15"/>
        <v>sweet vermouth</v>
      </c>
      <c r="AW16" s="15">
        <f t="shared" si="15"/>
        <v>0</v>
      </c>
      <c r="AX16" s="15">
        <f t="shared" si="15"/>
        <v>0</v>
      </c>
      <c r="AY16" s="15">
        <f t="shared" si="15"/>
        <v>0</v>
      </c>
      <c r="BA16" s="13">
        <f t="shared" si="1"/>
        <v>35</v>
      </c>
      <c r="BB16" s="15" t="b">
        <f t="shared" si="2"/>
        <v>0</v>
      </c>
    </row>
    <row r="17" spans="1:54" x14ac:dyDescent="0.2">
      <c r="A17" s="19" t="s">
        <v>75</v>
      </c>
      <c r="B17" s="19" t="s">
        <v>65</v>
      </c>
      <c r="C17" s="19" t="s">
        <v>48</v>
      </c>
      <c r="D17" s="19"/>
      <c r="E17" s="19" t="s">
        <v>76</v>
      </c>
      <c r="F17" s="19" t="s">
        <v>66</v>
      </c>
      <c r="G17" s="19"/>
      <c r="H17" s="19" t="s">
        <v>75</v>
      </c>
      <c r="I17" s="15">
        <v>3</v>
      </c>
      <c r="J17" s="15">
        <f>IFERROR(VLOOKUP($C17,Sheet3!$H$2:$O$200,J$1,FALSE),IFERROR(VLOOKUP($D17,Sheet3!$H$2:$O$200,J$1,FALSE),VLOOKUP($E17,Sheet3!$H$2:$O$200,J$1,FALSE)))</f>
        <v>0</v>
      </c>
      <c r="K17" s="15">
        <f>IFERROR(VLOOKUP($C17,Sheet3!$H$2:$O$200,K$1,FALSE),IFERROR(VLOOKUP($D17,Sheet3!$H$2:$O$200,K$1,FALSE),VLOOKUP($E17,Sheet3!$H$2:$O$200,K$1,FALSE)))</f>
        <v>0</v>
      </c>
      <c r="L17" s="15">
        <f>IFERROR(VLOOKUP($C17,Sheet3!$H$2:$O$200,L$1,FALSE),IFERROR(VLOOKUP($D17,Sheet3!$H$2:$O$200,L$1,FALSE),VLOOKUP($E17,Sheet3!$H$2:$O$200,L$1,FALSE)))</f>
        <v>0</v>
      </c>
      <c r="M17" s="15" t="str">
        <f>IFERROR(VLOOKUP($C17,Sheet3!$H$2:$O$200,M$1,FALSE),IFERROR(VLOOKUP($D17,Sheet3!$H$2:$O$200,M$1,FALSE),VLOOKUP($E17,Sheet3!$H$2:$O$200,M$1,FALSE)))</f>
        <v>sweet vermouth</v>
      </c>
      <c r="N17" s="15">
        <f>IFERROR(VLOOKUP($C17,Sheet3!$H$2:$O$200,N$1,FALSE),IFERROR(VLOOKUP($D17,Sheet3!$H$2:$O$200,N$1,FALSE),VLOOKUP($E17,Sheet3!$H$2:$O$200,N$1,FALSE)))</f>
        <v>0</v>
      </c>
      <c r="O17" s="15">
        <f>IFERROR(VLOOKUP($C17,Sheet3!$H$2:$O$200,O$1,FALSE),IFERROR(VLOOKUP($D17,Sheet3!$H$2:$O$200,O$1,FALSE),VLOOKUP($E17,Sheet3!$H$2:$O$200,O$1,FALSE)))</f>
        <v>0</v>
      </c>
      <c r="P17" s="15">
        <f>IFERROR(VLOOKUP($C17,Sheet3!$H$2:$O$200,P$1,FALSE),IFERROR(VLOOKUP($D17,Sheet3!$H$2:$O$200,P$1,FALSE),VLOOKUP($E17,Sheet3!$H$2:$O$200,P$1,FALSE)))</f>
        <v>0</v>
      </c>
      <c r="Q17" s="15">
        <f>IFERROR(IF(ISBLANK(J17),IFERROR(VLOOKUP($D17,Sheet3!$H$2:$O$200,Q$1,FALSE),IFERROR(VLOOKUP($E17,Sheet3!$H$2:$O$200,Q$1,FALSE),VLOOKUP($F17,Sheet3!$H$2:$O$200,Q$1,FALSE))),$I$1),$I$1)</f>
        <v>0</v>
      </c>
      <c r="R17" s="15">
        <f>IFERROR(IF(ISBLANK(K17),IFERROR(VLOOKUP($D17,Sheet3!$H$2:$O$200,R$1,FALSE),IFERROR(VLOOKUP($E17,Sheet3!$H$2:$O$200,R$1,FALSE),VLOOKUP($F17,Sheet3!$H$2:$O$200,R$1,FALSE))),$I$1),$I$1)</f>
        <v>0</v>
      </c>
      <c r="S17" s="15">
        <f>IFERROR(IF(ISBLANK(L17),IFERROR(VLOOKUP($D17,Sheet3!$H$2:$O$200,S$1,FALSE),IFERROR(VLOOKUP($E17,Sheet3!$H$2:$O$200,S$1,FALSE),VLOOKUP($F17,Sheet3!$H$2:$O$200,S$1,FALSE))),$I$1),$I$1)</f>
        <v>0</v>
      </c>
      <c r="T17" s="15">
        <f>IFERROR(IF(ISBLANK(M17),IFERROR(VLOOKUP($D17,Sheet3!$H$2:$O$200,T$1,FALSE),IFERROR(VLOOKUP($E17,Sheet3!$H$2:$O$200,T$1,FALSE),VLOOKUP($F17,Sheet3!$H$2:$O$200,T$1,FALSE))),$I$1),$I$1)</f>
        <v>0</v>
      </c>
      <c r="U17" s="15">
        <f>IFERROR(IF(ISBLANK(N17),IFERROR(VLOOKUP($D17,Sheet3!$H$2:$O$200,U$1,FALSE),IFERROR(VLOOKUP($E17,Sheet3!$H$2:$O$200,U$1,FALSE),VLOOKUP($F17,Sheet3!$H$2:$O$200,U$1,FALSE))),$I$1),$I$1)</f>
        <v>0</v>
      </c>
      <c r="V17" s="15">
        <f>IFERROR(IF(ISBLANK(O17),IFERROR(VLOOKUP($D17,Sheet3!$H$2:$O$200,V$1,FALSE),IFERROR(VLOOKUP($E17,Sheet3!$H$2:$O$200,V$1,FALSE),VLOOKUP($F17,Sheet3!$H$2:$O$200,V$1,FALSE))),$I$1),$I$1)</f>
        <v>0</v>
      </c>
      <c r="W17" s="15">
        <f>IFERROR(IF(ISBLANK(P17),IFERROR(VLOOKUP($D17,Sheet3!$H$2:$O$200,W$1,FALSE),IFERROR(VLOOKUP($E17,Sheet3!$H$2:$O$200,W$1,FALSE),VLOOKUP($F17,Sheet3!$H$2:$O$200,W$1,FALSE))),$I$1),$I$1)</f>
        <v>0</v>
      </c>
      <c r="X17" s="15">
        <f>IFERROR(IF(ISBLANK(Q17),IFERROR(VLOOKUP($E17,Sheet3!$H$2:$O$200,X$1,FALSE),IFERROR(VLOOKUP($F17,Sheet3!$H$2:$O$200,X$1,FALSE),VLOOKUP($G17,Sheet3!$H$2:$O$200,X$1,FALSE))),$I$1),$I$1)</f>
        <v>0</v>
      </c>
      <c r="Y17" s="15">
        <f>IFERROR(IF(ISBLANK(R17),IFERROR(VLOOKUP($E17,Sheet3!$H$2:$O$200,Y$1,FALSE),IFERROR(VLOOKUP($F17,Sheet3!$H$2:$O$200,Y$1,FALSE),VLOOKUP($G17,Sheet3!$H$2:$O$200,Y$1,FALSE))),$I$1),$I$1)</f>
        <v>0</v>
      </c>
      <c r="Z17" s="15">
        <f>IFERROR(IF(ISBLANK(S17),IFERROR(VLOOKUP($E17,Sheet3!$H$2:$O$200,Z$1,FALSE),IFERROR(VLOOKUP($F17,Sheet3!$H$2:$O$200,Z$1,FALSE),VLOOKUP($G17,Sheet3!$H$2:$O$200,Z$1,FALSE))),$I$1),$I$1)</f>
        <v>0</v>
      </c>
      <c r="AA17" s="15">
        <f>IFERROR(IF(ISBLANK(T17),IFERROR(VLOOKUP($E17,Sheet3!$H$2:$O$200,AA$1,FALSE),IFERROR(VLOOKUP($F17,Sheet3!$H$2:$O$200,AA$1,FALSE),VLOOKUP($G17,Sheet3!$H$2:$O$200,AA$1,FALSE))),$I$1),$I$1)</f>
        <v>0</v>
      </c>
      <c r="AB17" s="15">
        <f>IFERROR(IF(ISBLANK(U17),IFERROR(VLOOKUP($E17,Sheet3!$H$2:$O$200,AB$1,FALSE),IFERROR(VLOOKUP($F17,Sheet3!$H$2:$O$200,AB$1,FALSE),VLOOKUP($G17,Sheet3!$H$2:$O$200,AB$1,FALSE))),$I$1),$I$1)</f>
        <v>0</v>
      </c>
      <c r="AC17" s="15">
        <f>IFERROR(IF(ISBLANK(V17),IFERROR(VLOOKUP($E17,Sheet3!$H$2:$O$200,AC$1,FALSE),IFERROR(VLOOKUP($F17,Sheet3!$H$2:$O$200,AC$1,FALSE),VLOOKUP($G17,Sheet3!$H$2:$O$200,AC$1,FALSE))),$I$1),$I$1)</f>
        <v>0</v>
      </c>
      <c r="AD17" s="15">
        <f>IFERROR(IF(ISBLANK(W17),IFERROR(VLOOKUP($E17,Sheet3!$H$2:$O$200,AD$1,FALSE),IFERROR(VLOOKUP($F17,Sheet3!$H$2:$O$200,AD$1,FALSE),VLOOKUP($G17,Sheet3!$H$2:$O$200,AD$1,FALSE))),$I$1),$I$1)</f>
        <v>0</v>
      </c>
      <c r="AE17" s="15">
        <f>IFERROR(IF(ISBLANK(X17),IFERROR(VLOOKUP($F17,Sheet3!$H$2:$O$200,AE$1,FALSE),VLOOKUP($G17,Sheet3!$H$2:$O$200,AE$1,FALSE)),$I$1),$I$1)</f>
        <v>0</v>
      </c>
      <c r="AF17" s="15">
        <f>IFERROR(IF(ISBLANK(Y17),IFERROR(VLOOKUP($F17,Sheet3!$H$2:$O$200,AF$1,FALSE),VLOOKUP($G17,Sheet3!$H$2:$O$200,AF$1,FALSE)),$I$1),$I$1)</f>
        <v>0</v>
      </c>
      <c r="AG17" s="15">
        <f>IFERROR(IF(ISBLANK(Z17),IFERROR(VLOOKUP($F17,Sheet3!$H$2:$O$200,AG$1,FALSE),VLOOKUP($G17,Sheet3!$H$2:$O$200,AG$1,FALSE)),$I$1),$I$1)</f>
        <v>0</v>
      </c>
      <c r="AH17" s="15">
        <f>IFERROR(IF(ISBLANK(AA17),IFERROR(VLOOKUP($F17,Sheet3!$H$2:$O$200,AH$1,FALSE),VLOOKUP($G17,Sheet3!$H$2:$O$200,AH$1,FALSE)),$I$1),$I$1)</f>
        <v>0</v>
      </c>
      <c r="AI17" s="15">
        <f>IFERROR(IF(ISBLANK(AB17),IFERROR(VLOOKUP($F17,Sheet3!$H$2:$O$200,AI$1,FALSE),VLOOKUP($G17,Sheet3!$H$2:$O$200,AI$1,FALSE)),$I$1),$I$1)</f>
        <v>0</v>
      </c>
      <c r="AJ17" s="15">
        <f>IFERROR(IF(ISBLANK(AC17),IFERROR(VLOOKUP($F17,Sheet3!$H$2:$O$200,AJ$1,FALSE),VLOOKUP($G17,Sheet3!$H$2:$O$200,AJ$1,FALSE)),$I$1),$I$1)</f>
        <v>0</v>
      </c>
      <c r="AK17" s="15">
        <f>IFERROR(IF(ISBLANK(AD17),IFERROR(VLOOKUP($F17,Sheet3!$H$2:$O$200,AK$1,FALSE),VLOOKUP($G17,Sheet3!$H$2:$O$200,AK$1,FALSE)),$I$1),$I$1)</f>
        <v>0</v>
      </c>
      <c r="AL17" s="15">
        <f>IFERROR(IF(ISBLANK(AE17),VLOOKUP($G17,Sheet3!$H$2:$O$200,AL$1,FALSE),$I$1),$I$1)</f>
        <v>0</v>
      </c>
      <c r="AM17" s="15">
        <f>IFERROR(IF(ISBLANK(AF17),VLOOKUP($G17,Sheet3!$H$2:$O$200,AM$1,FALSE),$I$1),$I$1)</f>
        <v>0</v>
      </c>
      <c r="AN17" s="15">
        <f>IFERROR(IF(ISBLANK(AG17),VLOOKUP($G17,Sheet3!$H$2:$O$200,AN$1,FALSE),$I$1),$I$1)</f>
        <v>0</v>
      </c>
      <c r="AO17" s="15">
        <f>IFERROR(IF(ISBLANK(AH17),VLOOKUP($G17,Sheet3!$H$2:$O$200,AO$1,FALSE),$I$1),$I$1)</f>
        <v>0</v>
      </c>
      <c r="AP17" s="15">
        <f>IFERROR(IF(ISBLANK(AI17),VLOOKUP($G17,Sheet3!$H$2:$O$200,AP$1,FALSE),$I$1),$I$1)</f>
        <v>0</v>
      </c>
      <c r="AQ17" s="15">
        <f>IFERROR(IF(ISBLANK(AJ17),VLOOKUP($G17,Sheet3!$H$2:$O$200,AQ$1,FALSE),$I$1),$I$1)</f>
        <v>0</v>
      </c>
      <c r="AR17" s="15">
        <f>IFERROR(IF(ISBLANK(AK17),VLOOKUP($G17,Sheet3!$H$2:$O$200,AR$1,FALSE),$I$1),$I$1)</f>
        <v>0</v>
      </c>
      <c r="AS17" s="15">
        <f t="shared" ref="AS17:AY17" si="16">IFERROR(IF(ISBLANK(J17),IF(ISBLANK(Q17),IF(ISBLANK(X17),IF(ISBLANK(AE17),IF(ISBLANK(AL17),$BB$1,AL17),AE17),X17),Q17),J17),$BB$1)</f>
        <v>0</v>
      </c>
      <c r="AT17" s="15">
        <f t="shared" si="16"/>
        <v>0</v>
      </c>
      <c r="AU17" s="15">
        <f t="shared" si="16"/>
        <v>0</v>
      </c>
      <c r="AV17" s="15" t="str">
        <f t="shared" si="16"/>
        <v>sweet vermouth</v>
      </c>
      <c r="AW17" s="15">
        <f t="shared" si="16"/>
        <v>0</v>
      </c>
      <c r="AX17" s="15">
        <f t="shared" si="16"/>
        <v>0</v>
      </c>
      <c r="AY17" s="15">
        <f t="shared" si="16"/>
        <v>0</v>
      </c>
      <c r="BA17" s="13">
        <f t="shared" si="1"/>
        <v>35</v>
      </c>
      <c r="BB17" s="15" t="b">
        <f t="shared" si="2"/>
        <v>0</v>
      </c>
    </row>
    <row r="18" spans="1:54" x14ac:dyDescent="0.2">
      <c r="A18" s="19" t="s">
        <v>77</v>
      </c>
      <c r="B18" s="19" t="s">
        <v>65</v>
      </c>
      <c r="C18" s="19" t="s">
        <v>52</v>
      </c>
      <c r="D18" s="19" t="s">
        <v>78</v>
      </c>
      <c r="E18" s="19" t="s">
        <v>79</v>
      </c>
      <c r="F18" s="19" t="s">
        <v>66</v>
      </c>
      <c r="G18" s="19"/>
      <c r="H18" s="19" t="s">
        <v>77</v>
      </c>
      <c r="I18" s="15">
        <v>4</v>
      </c>
      <c r="J18" s="15">
        <f>IFERROR(VLOOKUP($C18,Sheet3!$H$2:$O$200,J$1,FALSE),IFERROR(VLOOKUP($D18,Sheet3!$H$2:$O$200,J$1,FALSE),VLOOKUP($E18,Sheet3!$H$2:$O$200,J$1,FALSE)))</f>
        <v>0</v>
      </c>
      <c r="K18" s="15">
        <f>IFERROR(VLOOKUP($C18,Sheet3!$H$2:$O$200,K$1,FALSE),IFERROR(VLOOKUP($D18,Sheet3!$H$2:$O$200,K$1,FALSE),VLOOKUP($E18,Sheet3!$H$2:$O$200,K$1,FALSE)))</f>
        <v>0</v>
      </c>
      <c r="L18" s="15">
        <f>IFERROR(VLOOKUP($C18,Sheet3!$H$2:$O$200,L$1,FALSE),IFERROR(VLOOKUP($D18,Sheet3!$H$2:$O$200,L$1,FALSE),VLOOKUP($E18,Sheet3!$H$2:$O$200,L$1,FALSE)))</f>
        <v>0</v>
      </c>
      <c r="M18" s="15" t="str">
        <f>IFERROR(VLOOKUP($C18,Sheet3!$H$2:$O$200,M$1,FALSE),IFERROR(VLOOKUP($D18,Sheet3!$H$2:$O$200,M$1,FALSE),VLOOKUP($E18,Sheet3!$H$2:$O$200,M$1,FALSE)))</f>
        <v>dry vermouth</v>
      </c>
      <c r="N18" s="15">
        <f>IFERROR(VLOOKUP($C18,Sheet3!$H$2:$O$200,N$1,FALSE),IFERROR(VLOOKUP($D18,Sheet3!$H$2:$O$200,N$1,FALSE),VLOOKUP($E18,Sheet3!$H$2:$O$200,N$1,FALSE)))</f>
        <v>0</v>
      </c>
      <c r="O18" s="15">
        <f>IFERROR(VLOOKUP($C18,Sheet3!$H$2:$O$200,O$1,FALSE),IFERROR(VLOOKUP($D18,Sheet3!$H$2:$O$200,O$1,FALSE),VLOOKUP($E18,Sheet3!$H$2:$O$200,O$1,FALSE)))</f>
        <v>0</v>
      </c>
      <c r="P18" s="15">
        <f>IFERROR(VLOOKUP($C18,Sheet3!$H$2:$O$200,P$1,FALSE),IFERROR(VLOOKUP($D18,Sheet3!$H$2:$O$200,P$1,FALSE),VLOOKUP($E18,Sheet3!$H$2:$O$200,P$1,FALSE)))</f>
        <v>0</v>
      </c>
      <c r="Q18" s="15">
        <f>IFERROR(IF(ISBLANK(J18),IFERROR(VLOOKUP($D18,Sheet3!$H$2:$O$200,Q$1,FALSE),IFERROR(VLOOKUP($E18,Sheet3!$H$2:$O$200,Q$1,FALSE),VLOOKUP($F18,Sheet3!$H$2:$O$200,Q$1,FALSE))),$I$1),$I$1)</f>
        <v>0</v>
      </c>
      <c r="R18" s="15">
        <f>IFERROR(IF(ISBLANK(K18),IFERROR(VLOOKUP($D18,Sheet3!$H$2:$O$200,R$1,FALSE),IFERROR(VLOOKUP($E18,Sheet3!$H$2:$O$200,R$1,FALSE),VLOOKUP($F18,Sheet3!$H$2:$O$200,R$1,FALSE))),$I$1),$I$1)</f>
        <v>0</v>
      </c>
      <c r="S18" s="15">
        <f>IFERROR(IF(ISBLANK(L18),IFERROR(VLOOKUP($D18,Sheet3!$H$2:$O$200,S$1,FALSE),IFERROR(VLOOKUP($E18,Sheet3!$H$2:$O$200,S$1,FALSE),VLOOKUP($F18,Sheet3!$H$2:$O$200,S$1,FALSE))),$I$1),$I$1)</f>
        <v>0</v>
      </c>
      <c r="T18" s="15">
        <f>IFERROR(IF(ISBLANK(M18),IFERROR(VLOOKUP($D18,Sheet3!$H$2:$O$200,T$1,FALSE),IFERROR(VLOOKUP($E18,Sheet3!$H$2:$O$200,T$1,FALSE),VLOOKUP($F18,Sheet3!$H$2:$O$200,T$1,FALSE))),$I$1),$I$1)</f>
        <v>0</v>
      </c>
      <c r="U18" s="15">
        <f>IFERROR(IF(ISBLANK(N18),IFERROR(VLOOKUP($D18,Sheet3!$H$2:$O$200,U$1,FALSE),IFERROR(VLOOKUP($E18,Sheet3!$H$2:$O$200,U$1,FALSE),VLOOKUP($F18,Sheet3!$H$2:$O$200,U$1,FALSE))),$I$1),$I$1)</f>
        <v>0</v>
      </c>
      <c r="V18" s="15">
        <f>IFERROR(IF(ISBLANK(O18),IFERROR(VLOOKUP($D18,Sheet3!$H$2:$O$200,V$1,FALSE),IFERROR(VLOOKUP($E18,Sheet3!$H$2:$O$200,V$1,FALSE),VLOOKUP($F18,Sheet3!$H$2:$O$200,V$1,FALSE))),$I$1),$I$1)</f>
        <v>0</v>
      </c>
      <c r="W18" s="15">
        <f>IFERROR(IF(ISBLANK(P18),IFERROR(VLOOKUP($D18,Sheet3!$H$2:$O$200,W$1,FALSE),IFERROR(VLOOKUP($E18,Sheet3!$H$2:$O$200,W$1,FALSE),VLOOKUP($F18,Sheet3!$H$2:$O$200,W$1,FALSE))),$I$1),$I$1)</f>
        <v>0</v>
      </c>
      <c r="X18" s="15">
        <f>IFERROR(IF(ISBLANK(Q18),IFERROR(VLOOKUP($E18,Sheet3!$H$2:$O$200,X$1,FALSE),IFERROR(VLOOKUP($F18,Sheet3!$H$2:$O$200,X$1,FALSE),VLOOKUP($G18,Sheet3!$H$2:$O$200,X$1,FALSE))),$I$1),$I$1)</f>
        <v>0</v>
      </c>
      <c r="Y18" s="15">
        <f>IFERROR(IF(ISBLANK(R18),IFERROR(VLOOKUP($E18,Sheet3!$H$2:$O$200,Y$1,FALSE),IFERROR(VLOOKUP($F18,Sheet3!$H$2:$O$200,Y$1,FALSE),VLOOKUP($G18,Sheet3!$H$2:$O$200,Y$1,FALSE))),$I$1),$I$1)</f>
        <v>0</v>
      </c>
      <c r="Z18" s="15">
        <f>IFERROR(IF(ISBLANK(S18),IFERROR(VLOOKUP($E18,Sheet3!$H$2:$O$200,Z$1,FALSE),IFERROR(VLOOKUP($F18,Sheet3!$H$2:$O$200,Z$1,FALSE),VLOOKUP($G18,Sheet3!$H$2:$O$200,Z$1,FALSE))),$I$1),$I$1)</f>
        <v>0</v>
      </c>
      <c r="AA18" s="15">
        <f>IFERROR(IF(ISBLANK(T18),IFERROR(VLOOKUP($E18,Sheet3!$H$2:$O$200,AA$1,FALSE),IFERROR(VLOOKUP($F18,Sheet3!$H$2:$O$200,AA$1,FALSE),VLOOKUP($G18,Sheet3!$H$2:$O$200,AA$1,FALSE))),$I$1),$I$1)</f>
        <v>0</v>
      </c>
      <c r="AB18" s="15">
        <f>IFERROR(IF(ISBLANK(U18),IFERROR(VLOOKUP($E18,Sheet3!$H$2:$O$200,AB$1,FALSE),IFERROR(VLOOKUP($F18,Sheet3!$H$2:$O$200,AB$1,FALSE),VLOOKUP($G18,Sheet3!$H$2:$O$200,AB$1,FALSE))),$I$1),$I$1)</f>
        <v>0</v>
      </c>
      <c r="AC18" s="15">
        <f>IFERROR(IF(ISBLANK(V18),IFERROR(VLOOKUP($E18,Sheet3!$H$2:$O$200,AC$1,FALSE),IFERROR(VLOOKUP($F18,Sheet3!$H$2:$O$200,AC$1,FALSE),VLOOKUP($G18,Sheet3!$H$2:$O$200,AC$1,FALSE))),$I$1),$I$1)</f>
        <v>0</v>
      </c>
      <c r="AD18" s="15">
        <f>IFERROR(IF(ISBLANK(W18),IFERROR(VLOOKUP($E18,Sheet3!$H$2:$O$200,AD$1,FALSE),IFERROR(VLOOKUP($F18,Sheet3!$H$2:$O$200,AD$1,FALSE),VLOOKUP($G18,Sheet3!$H$2:$O$200,AD$1,FALSE))),$I$1),$I$1)</f>
        <v>0</v>
      </c>
      <c r="AE18" s="15">
        <f>IFERROR(IF(ISBLANK(X18),IFERROR(VLOOKUP($F18,Sheet3!$H$2:$O$200,AE$1,FALSE),VLOOKUP($G18,Sheet3!$H$2:$O$200,AE$1,FALSE)),$I$1),$I$1)</f>
        <v>0</v>
      </c>
      <c r="AF18" s="15">
        <f>IFERROR(IF(ISBLANK(Y18),IFERROR(VLOOKUP($F18,Sheet3!$H$2:$O$200,AF$1,FALSE),VLOOKUP($G18,Sheet3!$H$2:$O$200,AF$1,FALSE)),$I$1),$I$1)</f>
        <v>0</v>
      </c>
      <c r="AG18" s="15">
        <f>IFERROR(IF(ISBLANK(Z18),IFERROR(VLOOKUP($F18,Sheet3!$H$2:$O$200,AG$1,FALSE),VLOOKUP($G18,Sheet3!$H$2:$O$200,AG$1,FALSE)),$I$1),$I$1)</f>
        <v>0</v>
      </c>
      <c r="AH18" s="15">
        <f>IFERROR(IF(ISBLANK(AA18),IFERROR(VLOOKUP($F18,Sheet3!$H$2:$O$200,AH$1,FALSE),VLOOKUP($G18,Sheet3!$H$2:$O$200,AH$1,FALSE)),$I$1),$I$1)</f>
        <v>0</v>
      </c>
      <c r="AI18" s="15">
        <f>IFERROR(IF(ISBLANK(AB18),IFERROR(VLOOKUP($F18,Sheet3!$H$2:$O$200,AI$1,FALSE),VLOOKUP($G18,Sheet3!$H$2:$O$200,AI$1,FALSE)),$I$1),$I$1)</f>
        <v>0</v>
      </c>
      <c r="AJ18" s="15">
        <f>IFERROR(IF(ISBLANK(AC18),IFERROR(VLOOKUP($F18,Sheet3!$H$2:$O$200,AJ$1,FALSE),VLOOKUP($G18,Sheet3!$H$2:$O$200,AJ$1,FALSE)),$I$1),$I$1)</f>
        <v>0</v>
      </c>
      <c r="AK18" s="15">
        <f>IFERROR(IF(ISBLANK(AD18),IFERROR(VLOOKUP($F18,Sheet3!$H$2:$O$200,AK$1,FALSE),VLOOKUP($G18,Sheet3!$H$2:$O$200,AK$1,FALSE)),$I$1),$I$1)</f>
        <v>0</v>
      </c>
      <c r="AL18" s="15">
        <f>IFERROR(IF(ISBLANK(AE18),VLOOKUP($G18,Sheet3!$H$2:$O$200,AL$1,FALSE),$I$1),$I$1)</f>
        <v>0</v>
      </c>
      <c r="AM18" s="15">
        <f>IFERROR(IF(ISBLANK(AF18),VLOOKUP($G18,Sheet3!$H$2:$O$200,AM$1,FALSE),$I$1),$I$1)</f>
        <v>0</v>
      </c>
      <c r="AN18" s="15">
        <f>IFERROR(IF(ISBLANK(AG18),VLOOKUP($G18,Sheet3!$H$2:$O$200,AN$1,FALSE),$I$1),$I$1)</f>
        <v>0</v>
      </c>
      <c r="AO18" s="15">
        <f>IFERROR(IF(ISBLANK(AH18),VLOOKUP($G18,Sheet3!$H$2:$O$200,AO$1,FALSE),$I$1),$I$1)</f>
        <v>0</v>
      </c>
      <c r="AP18" s="15">
        <f>IFERROR(IF(ISBLANK(AI18),VLOOKUP($G18,Sheet3!$H$2:$O$200,AP$1,FALSE),$I$1),$I$1)</f>
        <v>0</v>
      </c>
      <c r="AQ18" s="15">
        <f>IFERROR(IF(ISBLANK(AJ18),VLOOKUP($G18,Sheet3!$H$2:$O$200,AQ$1,FALSE),$I$1),$I$1)</f>
        <v>0</v>
      </c>
      <c r="AR18" s="15">
        <f>IFERROR(IF(ISBLANK(AK18),VLOOKUP($G18,Sheet3!$H$2:$O$200,AR$1,FALSE),$I$1),$I$1)</f>
        <v>0</v>
      </c>
      <c r="AS18" s="15">
        <f t="shared" ref="AS18:AV18" si="17">IFERROR(IF(ISBLANK(J18),IF(ISBLANK(Q18),IF(ISBLANK(X18),IF(ISBLANK(AE18),IF(ISBLANK(AL18),$BB$1,AL18),AE18),X18),Q18),J18),$BB$1)</f>
        <v>0</v>
      </c>
      <c r="AT18" s="15">
        <f t="shared" si="17"/>
        <v>0</v>
      </c>
      <c r="AU18" s="15">
        <f t="shared" si="17"/>
        <v>0</v>
      </c>
      <c r="AV18" s="15" t="str">
        <f t="shared" si="17"/>
        <v>dry vermouth</v>
      </c>
      <c r="AW18" s="15" t="str">
        <f>E18</f>
        <v>tamarind juice</v>
      </c>
      <c r="AX18" s="15">
        <f t="shared" ref="AX18:AY18" si="18">IFERROR(IF(ISBLANK(O18),IF(ISBLANK(V18),IF(ISBLANK(AC18),IF(ISBLANK(AJ18),IF(ISBLANK(AQ18),$BB$1,AQ18),AJ18),AC18),V18),O18),$BB$1)</f>
        <v>0</v>
      </c>
      <c r="AY18" s="15">
        <f t="shared" si="18"/>
        <v>0</v>
      </c>
      <c r="BA18" s="13">
        <f t="shared" si="1"/>
        <v>35</v>
      </c>
      <c r="BB18" s="15" t="b">
        <f t="shared" si="2"/>
        <v>0</v>
      </c>
    </row>
    <row r="19" spans="1:54" x14ac:dyDescent="0.2">
      <c r="A19" s="19" t="s">
        <v>80</v>
      </c>
      <c r="B19" s="19" t="s">
        <v>65</v>
      </c>
      <c r="C19" s="19" t="s">
        <v>81</v>
      </c>
      <c r="D19" s="19"/>
      <c r="E19" s="19"/>
      <c r="F19" s="19"/>
      <c r="G19" s="19"/>
      <c r="H19" s="19" t="s">
        <v>80</v>
      </c>
      <c r="I19" s="15">
        <v>1</v>
      </c>
      <c r="J19" s="15">
        <f>IFERROR(VLOOKUP($C19,Sheet3!$H$2:$O$200,J$1,FALSE),IFERROR(VLOOKUP($D19,Sheet3!$H$2:$O$200,J$1,FALSE),VLOOKUP($E19,Sheet3!$H$2:$O$200,J$1,FALSE)))</f>
        <v>0</v>
      </c>
      <c r="K19" s="15" t="str">
        <f>IFERROR(VLOOKUP($C19,Sheet3!$H$2:$O$200,K$1,FALSE),IFERROR(VLOOKUP($D19,Sheet3!$H$2:$O$200,K$1,FALSE),VLOOKUP($E19,Sheet3!$H$2:$O$200,K$1,FALSE)))</f>
        <v>bottled water</v>
      </c>
      <c r="L19" s="15">
        <f>IFERROR(VLOOKUP($C19,Sheet3!$H$2:$O$200,L$1,FALSE),IFERROR(VLOOKUP($D19,Sheet3!$H$2:$O$200,L$1,FALSE),VLOOKUP($E19,Sheet3!$H$2:$O$200,L$1,FALSE)))</f>
        <v>0</v>
      </c>
      <c r="M19" s="15">
        <f>IFERROR(VLOOKUP($C19,Sheet3!$H$2:$O$200,M$1,FALSE),IFERROR(VLOOKUP($D19,Sheet3!$H$2:$O$200,M$1,FALSE),VLOOKUP($E19,Sheet3!$H$2:$O$200,M$1,FALSE)))</f>
        <v>0</v>
      </c>
      <c r="N19" s="15">
        <f>IFERROR(VLOOKUP($C19,Sheet3!$H$2:$O$200,N$1,FALSE),IFERROR(VLOOKUP($D19,Sheet3!$H$2:$O$200,N$1,FALSE),VLOOKUP($E19,Sheet3!$H$2:$O$200,N$1,FALSE)))</f>
        <v>0</v>
      </c>
      <c r="O19" s="15">
        <f>IFERROR(VLOOKUP($C19,Sheet3!$H$2:$O$200,O$1,FALSE),IFERROR(VLOOKUP($D19,Sheet3!$H$2:$O$200,O$1,FALSE),VLOOKUP($E19,Sheet3!$H$2:$O$200,O$1,FALSE)))</f>
        <v>0</v>
      </c>
      <c r="P19" s="15">
        <f>IFERROR(VLOOKUP($C19,Sheet3!$H$2:$O$200,P$1,FALSE),IFERROR(VLOOKUP($D19,Sheet3!$H$2:$O$200,P$1,FALSE),VLOOKUP($E19,Sheet3!$H$2:$O$200,P$1,FALSE)))</f>
        <v>0</v>
      </c>
      <c r="Q19" s="15">
        <f>IFERROR(IF(ISBLANK(J19),IFERROR(VLOOKUP($D19,Sheet3!$H$2:$O$200,Q$1,FALSE),IFERROR(VLOOKUP($E19,Sheet3!$H$2:$O$200,Q$1,FALSE),VLOOKUP($F19,Sheet3!$H$2:$O$200,Q$1,FALSE))),$I$1),$I$1)</f>
        <v>0</v>
      </c>
      <c r="R19" s="15">
        <f>IFERROR(IF(ISBLANK(K19),IFERROR(VLOOKUP($D19,Sheet3!$H$2:$O$200,R$1,FALSE),IFERROR(VLOOKUP($E19,Sheet3!$H$2:$O$200,R$1,FALSE),VLOOKUP($F19,Sheet3!$H$2:$O$200,R$1,FALSE))),$I$1),$I$1)</f>
        <v>0</v>
      </c>
      <c r="S19" s="15">
        <f>IFERROR(IF(ISBLANK(L19),IFERROR(VLOOKUP($D19,Sheet3!$H$2:$O$200,S$1,FALSE),IFERROR(VLOOKUP($E19,Sheet3!$H$2:$O$200,S$1,FALSE),VLOOKUP($F19,Sheet3!$H$2:$O$200,S$1,FALSE))),$I$1),$I$1)</f>
        <v>0</v>
      </c>
      <c r="T19" s="15">
        <f>IFERROR(IF(ISBLANK(M19),IFERROR(VLOOKUP($D19,Sheet3!$H$2:$O$200,T$1,FALSE),IFERROR(VLOOKUP($E19,Sheet3!$H$2:$O$200,T$1,FALSE),VLOOKUP($F19,Sheet3!$H$2:$O$200,T$1,FALSE))),$I$1),$I$1)</f>
        <v>0</v>
      </c>
      <c r="U19" s="15">
        <f>IFERROR(IF(ISBLANK(N19),IFERROR(VLOOKUP($D19,Sheet3!$H$2:$O$200,U$1,FALSE),IFERROR(VLOOKUP($E19,Sheet3!$H$2:$O$200,U$1,FALSE),VLOOKUP($F19,Sheet3!$H$2:$O$200,U$1,FALSE))),$I$1),$I$1)</f>
        <v>0</v>
      </c>
      <c r="V19" s="15">
        <f>IFERROR(IF(ISBLANK(O19),IFERROR(VLOOKUP($D19,Sheet3!$H$2:$O$200,V$1,FALSE),IFERROR(VLOOKUP($E19,Sheet3!$H$2:$O$200,V$1,FALSE),VLOOKUP($F19,Sheet3!$H$2:$O$200,V$1,FALSE))),$I$1),$I$1)</f>
        <v>0</v>
      </c>
      <c r="W19" s="15">
        <f>IFERROR(IF(ISBLANK(P19),IFERROR(VLOOKUP($D19,Sheet3!$H$2:$O$200,W$1,FALSE),IFERROR(VLOOKUP($E19,Sheet3!$H$2:$O$200,W$1,FALSE),VLOOKUP($F19,Sheet3!$H$2:$O$200,W$1,FALSE))),$I$1),$I$1)</f>
        <v>0</v>
      </c>
      <c r="X19" s="15">
        <f>IFERROR(IF(ISBLANK(Q19),IFERROR(VLOOKUP($E19,Sheet3!$H$2:$O$200,X$1,FALSE),IFERROR(VLOOKUP($F19,Sheet3!$H$2:$O$200,X$1,FALSE),VLOOKUP($G19,Sheet3!$H$2:$O$200,X$1,FALSE))),$I$1),$I$1)</f>
        <v>0</v>
      </c>
      <c r="Y19" s="15">
        <f>IFERROR(IF(ISBLANK(R19),IFERROR(VLOOKUP($E19,Sheet3!$H$2:$O$200,Y$1,FALSE),IFERROR(VLOOKUP($F19,Sheet3!$H$2:$O$200,Y$1,FALSE),VLOOKUP($G19,Sheet3!$H$2:$O$200,Y$1,FALSE))),$I$1),$I$1)</f>
        <v>0</v>
      </c>
      <c r="Z19" s="15">
        <f>IFERROR(IF(ISBLANK(S19),IFERROR(VLOOKUP($E19,Sheet3!$H$2:$O$200,Z$1,FALSE),IFERROR(VLOOKUP($F19,Sheet3!$H$2:$O$200,Z$1,FALSE),VLOOKUP($G19,Sheet3!$H$2:$O$200,Z$1,FALSE))),$I$1),$I$1)</f>
        <v>0</v>
      </c>
      <c r="AA19" s="15">
        <f>IFERROR(IF(ISBLANK(T19),IFERROR(VLOOKUP($E19,Sheet3!$H$2:$O$200,AA$1,FALSE),IFERROR(VLOOKUP($F19,Sheet3!$H$2:$O$200,AA$1,FALSE),VLOOKUP($G19,Sheet3!$H$2:$O$200,AA$1,FALSE))),$I$1),$I$1)</f>
        <v>0</v>
      </c>
      <c r="AB19" s="15">
        <f>IFERROR(IF(ISBLANK(U19),IFERROR(VLOOKUP($E19,Sheet3!$H$2:$O$200,AB$1,FALSE),IFERROR(VLOOKUP($F19,Sheet3!$H$2:$O$200,AB$1,FALSE),VLOOKUP($G19,Sheet3!$H$2:$O$200,AB$1,FALSE))),$I$1),$I$1)</f>
        <v>0</v>
      </c>
      <c r="AC19" s="15">
        <f>IFERROR(IF(ISBLANK(V19),IFERROR(VLOOKUP($E19,Sheet3!$H$2:$O$200,AC$1,FALSE),IFERROR(VLOOKUP($F19,Sheet3!$H$2:$O$200,AC$1,FALSE),VLOOKUP($G19,Sheet3!$H$2:$O$200,AC$1,FALSE))),$I$1),$I$1)</f>
        <v>0</v>
      </c>
      <c r="AD19" s="15">
        <f>IFERROR(IF(ISBLANK(W19),IFERROR(VLOOKUP($E19,Sheet3!$H$2:$O$200,AD$1,FALSE),IFERROR(VLOOKUP($F19,Sheet3!$H$2:$O$200,AD$1,FALSE),VLOOKUP($G19,Sheet3!$H$2:$O$200,AD$1,FALSE))),$I$1),$I$1)</f>
        <v>0</v>
      </c>
      <c r="AE19" s="15">
        <f>IFERROR(IF(ISBLANK(X19),IFERROR(VLOOKUP($F19,Sheet3!$H$2:$O$200,AE$1,FALSE),VLOOKUP($G19,Sheet3!$H$2:$O$200,AE$1,FALSE)),$I$1),$I$1)</f>
        <v>0</v>
      </c>
      <c r="AF19" s="15">
        <f>IFERROR(IF(ISBLANK(Y19),IFERROR(VLOOKUP($F19,Sheet3!$H$2:$O$200,AF$1,FALSE),VLOOKUP($G19,Sheet3!$H$2:$O$200,AF$1,FALSE)),$I$1),$I$1)</f>
        <v>0</v>
      </c>
      <c r="AG19" s="15">
        <f>IFERROR(IF(ISBLANK(Z19),IFERROR(VLOOKUP($F19,Sheet3!$H$2:$O$200,AG$1,FALSE),VLOOKUP($G19,Sheet3!$H$2:$O$200,AG$1,FALSE)),$I$1),$I$1)</f>
        <v>0</v>
      </c>
      <c r="AH19" s="15">
        <f>IFERROR(IF(ISBLANK(AA19),IFERROR(VLOOKUP($F19,Sheet3!$H$2:$O$200,AH$1,FALSE),VLOOKUP($G19,Sheet3!$H$2:$O$200,AH$1,FALSE)),$I$1),$I$1)</f>
        <v>0</v>
      </c>
      <c r="AI19" s="15">
        <f>IFERROR(IF(ISBLANK(AB19),IFERROR(VLOOKUP($F19,Sheet3!$H$2:$O$200,AI$1,FALSE),VLOOKUP($G19,Sheet3!$H$2:$O$200,AI$1,FALSE)),$I$1),$I$1)</f>
        <v>0</v>
      </c>
      <c r="AJ19" s="15">
        <f>IFERROR(IF(ISBLANK(AC19),IFERROR(VLOOKUP($F19,Sheet3!$H$2:$O$200,AJ$1,FALSE),VLOOKUP($G19,Sheet3!$H$2:$O$200,AJ$1,FALSE)),$I$1),$I$1)</f>
        <v>0</v>
      </c>
      <c r="AK19" s="15">
        <f>IFERROR(IF(ISBLANK(AD19),IFERROR(VLOOKUP($F19,Sheet3!$H$2:$O$200,AK$1,FALSE),VLOOKUP($G19,Sheet3!$H$2:$O$200,AK$1,FALSE)),$I$1),$I$1)</f>
        <v>0</v>
      </c>
      <c r="AL19" s="15">
        <f>IFERROR(IF(ISBLANK(AE19),VLOOKUP($G19,Sheet3!$H$2:$O$200,AL$1,FALSE),$I$1),$I$1)</f>
        <v>0</v>
      </c>
      <c r="AM19" s="15">
        <f>IFERROR(IF(ISBLANK(AF19),VLOOKUP($G19,Sheet3!$H$2:$O$200,AM$1,FALSE),$I$1),$I$1)</f>
        <v>0</v>
      </c>
      <c r="AN19" s="15">
        <f>IFERROR(IF(ISBLANK(AG19),VLOOKUP($G19,Sheet3!$H$2:$O$200,AN$1,FALSE),$I$1),$I$1)</f>
        <v>0</v>
      </c>
      <c r="AO19" s="15">
        <f>IFERROR(IF(ISBLANK(AH19),VLOOKUP($G19,Sheet3!$H$2:$O$200,AO$1,FALSE),$I$1),$I$1)</f>
        <v>0</v>
      </c>
      <c r="AP19" s="15">
        <f>IFERROR(IF(ISBLANK(AI19),VLOOKUP($G19,Sheet3!$H$2:$O$200,AP$1,FALSE),$I$1),$I$1)</f>
        <v>0</v>
      </c>
      <c r="AQ19" s="15">
        <f>IFERROR(IF(ISBLANK(AJ19),VLOOKUP($G19,Sheet3!$H$2:$O$200,AQ$1,FALSE),$I$1),$I$1)</f>
        <v>0</v>
      </c>
      <c r="AR19" s="15">
        <f>IFERROR(IF(ISBLANK(AK19),VLOOKUP($G19,Sheet3!$H$2:$O$200,AR$1,FALSE),$I$1),$I$1)</f>
        <v>0</v>
      </c>
      <c r="AS19" s="15">
        <f t="shared" ref="AS19:AY19" si="19">IFERROR(IF(ISBLANK(J19),IF(ISBLANK(Q19),IF(ISBLANK(X19),IF(ISBLANK(AE19),IF(ISBLANK(AL19),$BB$1,AL19),AE19),X19),Q19),J19),$BB$1)</f>
        <v>0</v>
      </c>
      <c r="AT19" s="15" t="str">
        <f t="shared" si="19"/>
        <v>bottled water</v>
      </c>
      <c r="AU19" s="15">
        <f t="shared" si="19"/>
        <v>0</v>
      </c>
      <c r="AV19" s="15">
        <f t="shared" si="19"/>
        <v>0</v>
      </c>
      <c r="AW19" s="15">
        <f t="shared" si="19"/>
        <v>0</v>
      </c>
      <c r="AX19" s="15">
        <f t="shared" si="19"/>
        <v>0</v>
      </c>
      <c r="AY19" s="15">
        <f t="shared" si="19"/>
        <v>0</v>
      </c>
      <c r="BA19" s="13">
        <f t="shared" si="1"/>
        <v>35</v>
      </c>
      <c r="BB19" s="15" t="b">
        <f t="shared" si="2"/>
        <v>0</v>
      </c>
    </row>
    <row r="20" spans="1:54" x14ac:dyDescent="0.2">
      <c r="A20" s="19" t="s">
        <v>83</v>
      </c>
      <c r="B20" s="19" t="s">
        <v>65</v>
      </c>
      <c r="C20" s="19" t="s">
        <v>84</v>
      </c>
      <c r="D20" s="19"/>
      <c r="E20" s="19"/>
      <c r="F20" s="19"/>
      <c r="G20" s="19"/>
      <c r="H20" s="19" t="s">
        <v>83</v>
      </c>
      <c r="I20" s="15">
        <v>1</v>
      </c>
      <c r="J20" s="15">
        <f>IFERROR(VLOOKUP($C20,Sheet3!$H$2:$O$200,J$1,FALSE),IFERROR(VLOOKUP($D20,Sheet3!$H$2:$O$200,J$1,FALSE),VLOOKUP($E20,Sheet3!$H$2:$O$200,J$1,FALSE)))</f>
        <v>0</v>
      </c>
      <c r="K20" s="15" t="str">
        <f>IFERROR(VLOOKUP($C20,Sheet3!$H$2:$O$200,K$1,FALSE),IFERROR(VLOOKUP($D20,Sheet3!$H$2:$O$200,K$1,FALSE),VLOOKUP($E20,Sheet3!$H$2:$O$200,K$1,FALSE)))</f>
        <v>Coca-cola</v>
      </c>
      <c r="L20" s="15">
        <f>IFERROR(VLOOKUP($C20,Sheet3!$H$2:$O$200,L$1,FALSE),IFERROR(VLOOKUP($D20,Sheet3!$H$2:$O$200,L$1,FALSE),VLOOKUP($E20,Sheet3!$H$2:$O$200,L$1,FALSE)))</f>
        <v>0</v>
      </c>
      <c r="M20" s="15">
        <f>IFERROR(VLOOKUP($C20,Sheet3!$H$2:$O$200,M$1,FALSE),IFERROR(VLOOKUP($D20,Sheet3!$H$2:$O$200,M$1,FALSE),VLOOKUP($E20,Sheet3!$H$2:$O$200,M$1,FALSE)))</f>
        <v>0</v>
      </c>
      <c r="N20" s="15">
        <f>IFERROR(VLOOKUP($C20,Sheet3!$H$2:$O$200,N$1,FALSE),IFERROR(VLOOKUP($D20,Sheet3!$H$2:$O$200,N$1,FALSE),VLOOKUP($E20,Sheet3!$H$2:$O$200,N$1,FALSE)))</f>
        <v>0</v>
      </c>
      <c r="O20" s="15">
        <f>IFERROR(VLOOKUP($C20,Sheet3!$H$2:$O$200,O$1,FALSE),IFERROR(VLOOKUP($D20,Sheet3!$H$2:$O$200,O$1,FALSE),VLOOKUP($E20,Sheet3!$H$2:$O$200,O$1,FALSE)))</f>
        <v>0</v>
      </c>
      <c r="P20" s="15">
        <f>IFERROR(VLOOKUP($C20,Sheet3!$H$2:$O$200,P$1,FALSE),IFERROR(VLOOKUP($D20,Sheet3!$H$2:$O$200,P$1,FALSE),VLOOKUP($E20,Sheet3!$H$2:$O$200,P$1,FALSE)))</f>
        <v>0</v>
      </c>
      <c r="Q20" s="15">
        <f>IFERROR(IF(ISBLANK(J20),IFERROR(VLOOKUP($D20,Sheet3!$H$2:$O$200,Q$1,FALSE),IFERROR(VLOOKUP($E20,Sheet3!$H$2:$O$200,Q$1,FALSE),VLOOKUP($F20,Sheet3!$H$2:$O$200,Q$1,FALSE))),$I$1),$I$1)</f>
        <v>0</v>
      </c>
      <c r="R20" s="15">
        <f>IFERROR(IF(ISBLANK(K20),IFERROR(VLOOKUP($D20,Sheet3!$H$2:$O$200,R$1,FALSE),IFERROR(VLOOKUP($E20,Sheet3!$H$2:$O$200,R$1,FALSE),VLOOKUP($F20,Sheet3!$H$2:$O$200,R$1,FALSE))),$I$1),$I$1)</f>
        <v>0</v>
      </c>
      <c r="S20" s="15">
        <f>IFERROR(IF(ISBLANK(L20),IFERROR(VLOOKUP($D20,Sheet3!$H$2:$O$200,S$1,FALSE),IFERROR(VLOOKUP($E20,Sheet3!$H$2:$O$200,S$1,FALSE),VLOOKUP($F20,Sheet3!$H$2:$O$200,S$1,FALSE))),$I$1),$I$1)</f>
        <v>0</v>
      </c>
      <c r="T20" s="15">
        <f>IFERROR(IF(ISBLANK(M20),IFERROR(VLOOKUP($D20,Sheet3!$H$2:$O$200,T$1,FALSE),IFERROR(VLOOKUP($E20,Sheet3!$H$2:$O$200,T$1,FALSE),VLOOKUP($F20,Sheet3!$H$2:$O$200,T$1,FALSE))),$I$1),$I$1)</f>
        <v>0</v>
      </c>
      <c r="U20" s="15">
        <f>IFERROR(IF(ISBLANK(N20),IFERROR(VLOOKUP($D20,Sheet3!$H$2:$O$200,U$1,FALSE),IFERROR(VLOOKUP($E20,Sheet3!$H$2:$O$200,U$1,FALSE),VLOOKUP($F20,Sheet3!$H$2:$O$200,U$1,FALSE))),$I$1),$I$1)</f>
        <v>0</v>
      </c>
      <c r="V20" s="15">
        <f>IFERROR(IF(ISBLANK(O20),IFERROR(VLOOKUP($D20,Sheet3!$H$2:$O$200,V$1,FALSE),IFERROR(VLOOKUP($E20,Sheet3!$H$2:$O$200,V$1,FALSE),VLOOKUP($F20,Sheet3!$H$2:$O$200,V$1,FALSE))),$I$1),$I$1)</f>
        <v>0</v>
      </c>
      <c r="W20" s="15">
        <f>IFERROR(IF(ISBLANK(P20),IFERROR(VLOOKUP($D20,Sheet3!$H$2:$O$200,W$1,FALSE),IFERROR(VLOOKUP($E20,Sheet3!$H$2:$O$200,W$1,FALSE),VLOOKUP($F20,Sheet3!$H$2:$O$200,W$1,FALSE))),$I$1),$I$1)</f>
        <v>0</v>
      </c>
      <c r="X20" s="15">
        <f>IFERROR(IF(ISBLANK(Q20),IFERROR(VLOOKUP($E20,Sheet3!$H$2:$O$200,X$1,FALSE),IFERROR(VLOOKUP($F20,Sheet3!$H$2:$O$200,X$1,FALSE),VLOOKUP($G20,Sheet3!$H$2:$O$200,X$1,FALSE))),$I$1),$I$1)</f>
        <v>0</v>
      </c>
      <c r="Y20" s="15">
        <f>IFERROR(IF(ISBLANK(R20),IFERROR(VLOOKUP($E20,Sheet3!$H$2:$O$200,Y$1,FALSE),IFERROR(VLOOKUP($F20,Sheet3!$H$2:$O$200,Y$1,FALSE),VLOOKUP($G20,Sheet3!$H$2:$O$200,Y$1,FALSE))),$I$1),$I$1)</f>
        <v>0</v>
      </c>
      <c r="Z20" s="15">
        <f>IFERROR(IF(ISBLANK(S20),IFERROR(VLOOKUP($E20,Sheet3!$H$2:$O$200,Z$1,FALSE),IFERROR(VLOOKUP($F20,Sheet3!$H$2:$O$200,Z$1,FALSE),VLOOKUP($G20,Sheet3!$H$2:$O$200,Z$1,FALSE))),$I$1),$I$1)</f>
        <v>0</v>
      </c>
      <c r="AA20" s="15">
        <f>IFERROR(IF(ISBLANK(T20),IFERROR(VLOOKUP($E20,Sheet3!$H$2:$O$200,AA$1,FALSE),IFERROR(VLOOKUP($F20,Sheet3!$H$2:$O$200,AA$1,FALSE),VLOOKUP($G20,Sheet3!$H$2:$O$200,AA$1,FALSE))),$I$1),$I$1)</f>
        <v>0</v>
      </c>
      <c r="AB20" s="15">
        <f>IFERROR(IF(ISBLANK(U20),IFERROR(VLOOKUP($E20,Sheet3!$H$2:$O$200,AB$1,FALSE),IFERROR(VLOOKUP($F20,Sheet3!$H$2:$O$200,AB$1,FALSE),VLOOKUP($G20,Sheet3!$H$2:$O$200,AB$1,FALSE))),$I$1),$I$1)</f>
        <v>0</v>
      </c>
      <c r="AC20" s="15">
        <f>IFERROR(IF(ISBLANK(V20),IFERROR(VLOOKUP($E20,Sheet3!$H$2:$O$200,AC$1,FALSE),IFERROR(VLOOKUP($F20,Sheet3!$H$2:$O$200,AC$1,FALSE),VLOOKUP($G20,Sheet3!$H$2:$O$200,AC$1,FALSE))),$I$1),$I$1)</f>
        <v>0</v>
      </c>
      <c r="AD20" s="15">
        <f>IFERROR(IF(ISBLANK(W20),IFERROR(VLOOKUP($E20,Sheet3!$H$2:$O$200,AD$1,FALSE),IFERROR(VLOOKUP($F20,Sheet3!$H$2:$O$200,AD$1,FALSE),VLOOKUP($G20,Sheet3!$H$2:$O$200,AD$1,FALSE))),$I$1),$I$1)</f>
        <v>0</v>
      </c>
      <c r="AE20" s="15">
        <f>IFERROR(IF(ISBLANK(X20),IFERROR(VLOOKUP($F20,Sheet3!$H$2:$O$200,AE$1,FALSE),VLOOKUP($G20,Sheet3!$H$2:$O$200,AE$1,FALSE)),$I$1),$I$1)</f>
        <v>0</v>
      </c>
      <c r="AF20" s="15">
        <f>IFERROR(IF(ISBLANK(Y20),IFERROR(VLOOKUP($F20,Sheet3!$H$2:$O$200,AF$1,FALSE),VLOOKUP($G20,Sheet3!$H$2:$O$200,AF$1,FALSE)),$I$1),$I$1)</f>
        <v>0</v>
      </c>
      <c r="AG20" s="15">
        <f>IFERROR(IF(ISBLANK(Z20),IFERROR(VLOOKUP($F20,Sheet3!$H$2:$O$200,AG$1,FALSE),VLOOKUP($G20,Sheet3!$H$2:$O$200,AG$1,FALSE)),$I$1),$I$1)</f>
        <v>0</v>
      </c>
      <c r="AH20" s="15">
        <f>IFERROR(IF(ISBLANK(AA20),IFERROR(VLOOKUP($F20,Sheet3!$H$2:$O$200,AH$1,FALSE),VLOOKUP($G20,Sheet3!$H$2:$O$200,AH$1,FALSE)),$I$1),$I$1)</f>
        <v>0</v>
      </c>
      <c r="AI20" s="15">
        <f>IFERROR(IF(ISBLANK(AB20),IFERROR(VLOOKUP($F20,Sheet3!$H$2:$O$200,AI$1,FALSE),VLOOKUP($G20,Sheet3!$H$2:$O$200,AI$1,FALSE)),$I$1),$I$1)</f>
        <v>0</v>
      </c>
      <c r="AJ20" s="15">
        <f>IFERROR(IF(ISBLANK(AC20),IFERROR(VLOOKUP($F20,Sheet3!$H$2:$O$200,AJ$1,FALSE),VLOOKUP($G20,Sheet3!$H$2:$O$200,AJ$1,FALSE)),$I$1),$I$1)</f>
        <v>0</v>
      </c>
      <c r="AK20" s="15">
        <f>IFERROR(IF(ISBLANK(AD20),IFERROR(VLOOKUP($F20,Sheet3!$H$2:$O$200,AK$1,FALSE),VLOOKUP($G20,Sheet3!$H$2:$O$200,AK$1,FALSE)),$I$1),$I$1)</f>
        <v>0</v>
      </c>
      <c r="AL20" s="15">
        <f>IFERROR(IF(ISBLANK(AE20),VLOOKUP($G20,Sheet3!$H$2:$O$200,AL$1,FALSE),$I$1),$I$1)</f>
        <v>0</v>
      </c>
      <c r="AM20" s="15">
        <f>IFERROR(IF(ISBLANK(AF20),VLOOKUP($G20,Sheet3!$H$2:$O$200,AM$1,FALSE),$I$1),$I$1)</f>
        <v>0</v>
      </c>
      <c r="AN20" s="15">
        <f>IFERROR(IF(ISBLANK(AG20),VLOOKUP($G20,Sheet3!$H$2:$O$200,AN$1,FALSE),$I$1),$I$1)</f>
        <v>0</v>
      </c>
      <c r="AO20" s="15">
        <f>IFERROR(IF(ISBLANK(AH20),VLOOKUP($G20,Sheet3!$H$2:$O$200,AO$1,FALSE),$I$1),$I$1)</f>
        <v>0</v>
      </c>
      <c r="AP20" s="15">
        <f>IFERROR(IF(ISBLANK(AI20),VLOOKUP($G20,Sheet3!$H$2:$O$200,AP$1,FALSE),$I$1),$I$1)</f>
        <v>0</v>
      </c>
      <c r="AQ20" s="15">
        <f>IFERROR(IF(ISBLANK(AJ20),VLOOKUP($G20,Sheet3!$H$2:$O$200,AQ$1,FALSE),$I$1),$I$1)</f>
        <v>0</v>
      </c>
      <c r="AR20" s="15">
        <f>IFERROR(IF(ISBLANK(AK20),VLOOKUP($G20,Sheet3!$H$2:$O$200,AR$1,FALSE),$I$1),$I$1)</f>
        <v>0</v>
      </c>
      <c r="AS20" s="15">
        <f t="shared" ref="AS20:AY20" si="20">IFERROR(IF(ISBLANK(J20),IF(ISBLANK(Q20),IF(ISBLANK(X20),IF(ISBLANK(AE20),IF(ISBLANK(AL20),$BB$1,AL20),AE20),X20),Q20),J20),$BB$1)</f>
        <v>0</v>
      </c>
      <c r="AT20" s="15" t="str">
        <f t="shared" si="20"/>
        <v>Coca-cola</v>
      </c>
      <c r="AU20" s="15">
        <f t="shared" si="20"/>
        <v>0</v>
      </c>
      <c r="AV20" s="15">
        <f t="shared" si="20"/>
        <v>0</v>
      </c>
      <c r="AW20" s="15">
        <f t="shared" si="20"/>
        <v>0</v>
      </c>
      <c r="AX20" s="15">
        <f t="shared" si="20"/>
        <v>0</v>
      </c>
      <c r="AY20" s="15">
        <f t="shared" si="20"/>
        <v>0</v>
      </c>
      <c r="BA20" s="13">
        <f t="shared" si="1"/>
        <v>35</v>
      </c>
      <c r="BB20" s="15" t="b">
        <f t="shared" si="2"/>
        <v>0</v>
      </c>
    </row>
    <row r="21" spans="1:54" x14ac:dyDescent="0.2">
      <c r="A21" s="19" t="s">
        <v>85</v>
      </c>
      <c r="B21" s="19" t="s">
        <v>65</v>
      </c>
      <c r="C21" s="19"/>
      <c r="D21" s="19" t="s">
        <v>38</v>
      </c>
      <c r="E21" s="19" t="s">
        <v>86</v>
      </c>
      <c r="F21" s="19"/>
      <c r="G21" s="19"/>
      <c r="H21" s="19" t="s">
        <v>85</v>
      </c>
      <c r="I21" s="15">
        <v>2</v>
      </c>
      <c r="J21" s="15">
        <f>IFERROR(VLOOKUP($C21,Sheet3!$H$2:$O$200,J$1,FALSE),IFERROR(VLOOKUP($D21,Sheet3!$H$2:$O$200,J$1,FALSE),VLOOKUP($E21,Sheet3!$H$2:$O$200,J$1,FALSE)))</f>
        <v>0</v>
      </c>
      <c r="K21" s="15">
        <f>IFERROR(VLOOKUP($C21,Sheet3!$H$2:$O$200,K$1,FALSE),IFERROR(VLOOKUP($D21,Sheet3!$H$2:$O$200,K$1,FALSE),VLOOKUP($E21,Sheet3!$H$2:$O$200,K$1,FALSE)))</f>
        <v>0</v>
      </c>
      <c r="L21" s="15" t="str">
        <f>IFERROR(VLOOKUP($C21,Sheet3!$H$2:$O$200,L$1,FALSE),IFERROR(VLOOKUP($D21,Sheet3!$H$2:$O$200,L$1,FALSE),VLOOKUP($E21,Sheet3!$H$2:$O$200,L$1,FALSE)))</f>
        <v>lemon juice</v>
      </c>
      <c r="M21" s="15">
        <f>IFERROR(VLOOKUP($C21,Sheet3!$H$2:$O$200,M$1,FALSE),IFERROR(VLOOKUP($D21,Sheet3!$H$2:$O$200,M$1,FALSE),VLOOKUP($E21,Sheet3!$H$2:$O$200,M$1,FALSE)))</f>
        <v>0</v>
      </c>
      <c r="N21" s="15">
        <f>IFERROR(VLOOKUP($C21,Sheet3!$H$2:$O$200,N$1,FALSE),IFERROR(VLOOKUP($D21,Sheet3!$H$2:$O$200,N$1,FALSE),VLOOKUP($E21,Sheet3!$H$2:$O$200,N$1,FALSE)))</f>
        <v>0</v>
      </c>
      <c r="O21" s="15">
        <f>IFERROR(VLOOKUP($C21,Sheet3!$H$2:$O$200,O$1,FALSE),IFERROR(VLOOKUP($D21,Sheet3!$H$2:$O$200,O$1,FALSE),VLOOKUP($E21,Sheet3!$H$2:$O$200,O$1,FALSE)))</f>
        <v>0</v>
      </c>
      <c r="P21" s="15">
        <f>IFERROR(VLOOKUP($C21,Sheet3!$H$2:$O$200,P$1,FALSE),IFERROR(VLOOKUP($D21,Sheet3!$H$2:$O$200,P$1,FALSE),VLOOKUP($E21,Sheet3!$H$2:$O$200,P$1,FALSE)))</f>
        <v>0</v>
      </c>
      <c r="Q21" s="15">
        <f>IFERROR(IF(ISBLANK(J21),IFERROR(VLOOKUP($D21,Sheet3!$H$2:$O$200,Q$1,FALSE),IFERROR(VLOOKUP($E21,Sheet3!$H$2:$O$200,Q$1,FALSE),VLOOKUP($F21,Sheet3!$H$2:$O$200,Q$1,FALSE))),$I$1),$I$1)</f>
        <v>0</v>
      </c>
      <c r="R21" s="15">
        <f>IFERROR(IF(ISBLANK(K21),IFERROR(VLOOKUP($D21,Sheet3!$H$2:$O$200,R$1,FALSE),IFERROR(VLOOKUP($E21,Sheet3!$H$2:$O$200,R$1,FALSE),VLOOKUP($F21,Sheet3!$H$2:$O$200,R$1,FALSE))),$I$1),$I$1)</f>
        <v>0</v>
      </c>
      <c r="S21" s="15">
        <f>IFERROR(IF(ISBLANK(L21),IFERROR(VLOOKUP($D21,Sheet3!$H$2:$O$200,S$1,FALSE),IFERROR(VLOOKUP($E21,Sheet3!$H$2:$O$200,S$1,FALSE),VLOOKUP($F21,Sheet3!$H$2:$O$200,S$1,FALSE))),$I$1),$I$1)</f>
        <v>0</v>
      </c>
      <c r="T21" s="15">
        <f>IFERROR(IF(ISBLANK(M21),IFERROR(VLOOKUP($D21,Sheet3!$H$2:$O$200,T$1,FALSE),IFERROR(VLOOKUP($E21,Sheet3!$H$2:$O$200,T$1,FALSE),VLOOKUP($F21,Sheet3!$H$2:$O$200,T$1,FALSE))),$I$1),$I$1)</f>
        <v>0</v>
      </c>
      <c r="U21" s="15">
        <f>IFERROR(IF(ISBLANK(N21),IFERROR(VLOOKUP($D21,Sheet3!$H$2:$O$200,U$1,FALSE),IFERROR(VLOOKUP($E21,Sheet3!$H$2:$O$200,U$1,FALSE),VLOOKUP($F21,Sheet3!$H$2:$O$200,U$1,FALSE))),$I$1),$I$1)</f>
        <v>0</v>
      </c>
      <c r="V21" s="15">
        <f>IFERROR(IF(ISBLANK(O21),IFERROR(VLOOKUP($D21,Sheet3!$H$2:$O$200,V$1,FALSE),IFERROR(VLOOKUP($E21,Sheet3!$H$2:$O$200,V$1,FALSE),VLOOKUP($F21,Sheet3!$H$2:$O$200,V$1,FALSE))),$I$1),$I$1)</f>
        <v>0</v>
      </c>
      <c r="W21" s="15">
        <f>IFERROR(IF(ISBLANK(P21),IFERROR(VLOOKUP($D21,Sheet3!$H$2:$O$200,W$1,FALSE),IFERROR(VLOOKUP($E21,Sheet3!$H$2:$O$200,W$1,FALSE),VLOOKUP($F21,Sheet3!$H$2:$O$200,W$1,FALSE))),$I$1),$I$1)</f>
        <v>0</v>
      </c>
      <c r="X21" s="15">
        <f>IFERROR(IF(ISBLANK(Q21),IFERROR(VLOOKUP($E21,Sheet3!$H$2:$O$200,X$1,FALSE),IFERROR(VLOOKUP($F21,Sheet3!$H$2:$O$200,X$1,FALSE),VLOOKUP($G21,Sheet3!$H$2:$O$200,X$1,FALSE))),$I$1),$I$1)</f>
        <v>0</v>
      </c>
      <c r="Y21" s="15">
        <f>IFERROR(IF(ISBLANK(R21),IFERROR(VLOOKUP($E21,Sheet3!$H$2:$O$200,Y$1,FALSE),IFERROR(VLOOKUP($F21,Sheet3!$H$2:$O$200,Y$1,FALSE),VLOOKUP($G21,Sheet3!$H$2:$O$200,Y$1,FALSE))),$I$1),$I$1)</f>
        <v>0</v>
      </c>
      <c r="Z21" s="15">
        <f>IFERROR(IF(ISBLANK(S21),IFERROR(VLOOKUP($E21,Sheet3!$H$2:$O$200,Z$1,FALSE),IFERROR(VLOOKUP($F21,Sheet3!$H$2:$O$200,Z$1,FALSE),VLOOKUP($G21,Sheet3!$H$2:$O$200,Z$1,FALSE))),$I$1),$I$1)</f>
        <v>0</v>
      </c>
      <c r="AA21" s="15">
        <f>IFERROR(IF(ISBLANK(T21),IFERROR(VLOOKUP($E21,Sheet3!$H$2:$O$200,AA$1,FALSE),IFERROR(VLOOKUP($F21,Sheet3!$H$2:$O$200,AA$1,FALSE),VLOOKUP($G21,Sheet3!$H$2:$O$200,AA$1,FALSE))),$I$1),$I$1)</f>
        <v>0</v>
      </c>
      <c r="AB21" s="15">
        <f>IFERROR(IF(ISBLANK(U21),IFERROR(VLOOKUP($E21,Sheet3!$H$2:$O$200,AB$1,FALSE),IFERROR(VLOOKUP($F21,Sheet3!$H$2:$O$200,AB$1,FALSE),VLOOKUP($G21,Sheet3!$H$2:$O$200,AB$1,FALSE))),$I$1),$I$1)</f>
        <v>0</v>
      </c>
      <c r="AC21" s="15">
        <f>IFERROR(IF(ISBLANK(V21),IFERROR(VLOOKUP($E21,Sheet3!$H$2:$O$200,AC$1,FALSE),IFERROR(VLOOKUP($F21,Sheet3!$H$2:$O$200,AC$1,FALSE),VLOOKUP($G21,Sheet3!$H$2:$O$200,AC$1,FALSE))),$I$1),$I$1)</f>
        <v>0</v>
      </c>
      <c r="AD21" s="15">
        <f>IFERROR(IF(ISBLANK(W21),IFERROR(VLOOKUP($E21,Sheet3!$H$2:$O$200,AD$1,FALSE),IFERROR(VLOOKUP($F21,Sheet3!$H$2:$O$200,AD$1,FALSE),VLOOKUP($G21,Sheet3!$H$2:$O$200,AD$1,FALSE))),$I$1),$I$1)</f>
        <v>0</v>
      </c>
      <c r="AE21" s="15">
        <f>IFERROR(IF(ISBLANK(X21),IFERROR(VLOOKUP($F21,Sheet3!$H$2:$O$200,AE$1,FALSE),VLOOKUP($G21,Sheet3!$H$2:$O$200,AE$1,FALSE)),$I$1),$I$1)</f>
        <v>0</v>
      </c>
      <c r="AF21" s="15">
        <f>IFERROR(IF(ISBLANK(Y21),IFERROR(VLOOKUP($F21,Sheet3!$H$2:$O$200,AF$1,FALSE),VLOOKUP($G21,Sheet3!$H$2:$O$200,AF$1,FALSE)),$I$1),$I$1)</f>
        <v>0</v>
      </c>
      <c r="AG21" s="15">
        <f>IFERROR(IF(ISBLANK(Z21),IFERROR(VLOOKUP($F21,Sheet3!$H$2:$O$200,AG$1,FALSE),VLOOKUP($G21,Sheet3!$H$2:$O$200,AG$1,FALSE)),$I$1),$I$1)</f>
        <v>0</v>
      </c>
      <c r="AH21" s="15">
        <f>IFERROR(IF(ISBLANK(AA21),IFERROR(VLOOKUP($F21,Sheet3!$H$2:$O$200,AH$1,FALSE),VLOOKUP($G21,Sheet3!$H$2:$O$200,AH$1,FALSE)),$I$1),$I$1)</f>
        <v>0</v>
      </c>
      <c r="AI21" s="15">
        <f>IFERROR(IF(ISBLANK(AB21),IFERROR(VLOOKUP($F21,Sheet3!$H$2:$O$200,AI$1,FALSE),VLOOKUP($G21,Sheet3!$H$2:$O$200,AI$1,FALSE)),$I$1),$I$1)</f>
        <v>0</v>
      </c>
      <c r="AJ21" s="15">
        <f>IFERROR(IF(ISBLANK(AC21),IFERROR(VLOOKUP($F21,Sheet3!$H$2:$O$200,AJ$1,FALSE),VLOOKUP($G21,Sheet3!$H$2:$O$200,AJ$1,FALSE)),$I$1),$I$1)</f>
        <v>0</v>
      </c>
      <c r="AK21" s="15">
        <f>IFERROR(IF(ISBLANK(AD21),IFERROR(VLOOKUP($F21,Sheet3!$H$2:$O$200,AK$1,FALSE),VLOOKUP($G21,Sheet3!$H$2:$O$200,AK$1,FALSE)),$I$1),$I$1)</f>
        <v>0</v>
      </c>
      <c r="AL21" s="15">
        <f>IFERROR(IF(ISBLANK(AE21),VLOOKUP($G21,Sheet3!$H$2:$O$200,AL$1,FALSE),$I$1),$I$1)</f>
        <v>0</v>
      </c>
      <c r="AM21" s="15">
        <f>IFERROR(IF(ISBLANK(AF21),VLOOKUP($G21,Sheet3!$H$2:$O$200,AM$1,FALSE),$I$1),$I$1)</f>
        <v>0</v>
      </c>
      <c r="AN21" s="15">
        <f>IFERROR(IF(ISBLANK(AG21),VLOOKUP($G21,Sheet3!$H$2:$O$200,AN$1,FALSE),$I$1),$I$1)</f>
        <v>0</v>
      </c>
      <c r="AO21" s="15">
        <f>IFERROR(IF(ISBLANK(AH21),VLOOKUP($G21,Sheet3!$H$2:$O$200,AO$1,FALSE),$I$1),$I$1)</f>
        <v>0</v>
      </c>
      <c r="AP21" s="15">
        <f>IFERROR(IF(ISBLANK(AI21),VLOOKUP($G21,Sheet3!$H$2:$O$200,AP$1,FALSE),$I$1),$I$1)</f>
        <v>0</v>
      </c>
      <c r="AQ21" s="15">
        <f>IFERROR(IF(ISBLANK(AJ21),VLOOKUP($G21,Sheet3!$H$2:$O$200,AQ$1,FALSE),$I$1),$I$1)</f>
        <v>0</v>
      </c>
      <c r="AR21" s="15">
        <f>IFERROR(IF(ISBLANK(AK21),VLOOKUP($G21,Sheet3!$H$2:$O$200,AR$1,FALSE),$I$1),$I$1)</f>
        <v>0</v>
      </c>
      <c r="AS21" s="15">
        <f t="shared" ref="AS21:AY21" si="21">IFERROR(IF(ISBLANK(J21),IF(ISBLANK(Q21),IF(ISBLANK(X21),IF(ISBLANK(AE21),IF(ISBLANK(AL21),$BB$1,AL21),AE21),X21),Q21),J21),$BB$1)</f>
        <v>0</v>
      </c>
      <c r="AT21" s="15">
        <f t="shared" si="21"/>
        <v>0</v>
      </c>
      <c r="AU21" s="15" t="str">
        <f t="shared" si="21"/>
        <v>lemon juice</v>
      </c>
      <c r="AV21" s="15">
        <f t="shared" si="21"/>
        <v>0</v>
      </c>
      <c r="AW21" s="15">
        <f t="shared" si="21"/>
        <v>0</v>
      </c>
      <c r="AX21" s="15">
        <f t="shared" si="21"/>
        <v>0</v>
      </c>
      <c r="AY21" s="15">
        <f t="shared" si="21"/>
        <v>0</v>
      </c>
      <c r="BA21" s="13">
        <f t="shared" si="1"/>
        <v>35</v>
      </c>
      <c r="BB21" s="15" t="b">
        <f t="shared" si="2"/>
        <v>0</v>
      </c>
    </row>
    <row r="22" spans="1:54" x14ac:dyDescent="0.2">
      <c r="A22" s="19" t="s">
        <v>87</v>
      </c>
      <c r="B22" s="19" t="s">
        <v>65</v>
      </c>
      <c r="C22" s="19"/>
      <c r="D22" s="19" t="s">
        <v>38</v>
      </c>
      <c r="E22" s="19" t="s">
        <v>88</v>
      </c>
      <c r="F22" s="19" t="s">
        <v>52</v>
      </c>
      <c r="G22" s="19"/>
      <c r="H22" s="19" t="s">
        <v>87</v>
      </c>
      <c r="I22" s="15">
        <v>3</v>
      </c>
      <c r="J22" s="15">
        <f>IFERROR(VLOOKUP($C22,Sheet3!$H$2:$O$200,J$1,FALSE),IFERROR(VLOOKUP($D22,Sheet3!$H$2:$O$200,J$1,FALSE),VLOOKUP($E22,Sheet3!$H$2:$O$200,J$1,FALSE)))</f>
        <v>0</v>
      </c>
      <c r="K22" s="15">
        <f>IFERROR(VLOOKUP($C22,Sheet3!$H$2:$O$200,K$1,FALSE),IFERROR(VLOOKUP($D22,Sheet3!$H$2:$O$200,K$1,FALSE),VLOOKUP($E22,Sheet3!$H$2:$O$200,K$1,FALSE)))</f>
        <v>0</v>
      </c>
      <c r="L22" s="15" t="str">
        <f>IFERROR(VLOOKUP($C22,Sheet3!$H$2:$O$200,L$1,FALSE),IFERROR(VLOOKUP($D22,Sheet3!$H$2:$O$200,L$1,FALSE),VLOOKUP($E22,Sheet3!$H$2:$O$200,L$1,FALSE)))</f>
        <v>lemon juice</v>
      </c>
      <c r="M22" s="15">
        <f>IFERROR(VLOOKUP($C22,Sheet3!$H$2:$O$200,M$1,FALSE),IFERROR(VLOOKUP($D22,Sheet3!$H$2:$O$200,M$1,FALSE),VLOOKUP($E22,Sheet3!$H$2:$O$200,M$1,FALSE)))</f>
        <v>0</v>
      </c>
      <c r="N22" s="15">
        <f>IFERROR(VLOOKUP($C22,Sheet3!$H$2:$O$200,N$1,FALSE),IFERROR(VLOOKUP($D22,Sheet3!$H$2:$O$200,N$1,FALSE),VLOOKUP($E22,Sheet3!$H$2:$O$200,N$1,FALSE)))</f>
        <v>0</v>
      </c>
      <c r="O22" s="15">
        <f>IFERROR(VLOOKUP($C22,Sheet3!$H$2:$O$200,O$1,FALSE),IFERROR(VLOOKUP($D22,Sheet3!$H$2:$O$200,O$1,FALSE),VLOOKUP($E22,Sheet3!$H$2:$O$200,O$1,FALSE)))</f>
        <v>0</v>
      </c>
      <c r="P22" s="15">
        <f>IFERROR(VLOOKUP($C22,Sheet3!$H$2:$O$200,P$1,FALSE),IFERROR(VLOOKUP($D22,Sheet3!$H$2:$O$200,P$1,FALSE),VLOOKUP($E22,Sheet3!$H$2:$O$200,P$1,FALSE)))</f>
        <v>0</v>
      </c>
      <c r="Q22" s="15">
        <f>IFERROR(IF(ISBLANK(J22),IFERROR(VLOOKUP($D22,Sheet3!$H$2:$O$200,Q$1,FALSE),IFERROR(VLOOKUP($E22,Sheet3!$H$2:$O$200,Q$1,FALSE),VLOOKUP($F22,Sheet3!$H$2:$O$200,Q$1,FALSE))),$I$1),$I$1)</f>
        <v>0</v>
      </c>
      <c r="R22" s="15">
        <f>IFERROR(IF(ISBLANK(K22),IFERROR(VLOOKUP($D22,Sheet3!$H$2:$O$200,R$1,FALSE),IFERROR(VLOOKUP($E22,Sheet3!$H$2:$O$200,R$1,FALSE),VLOOKUP($F22,Sheet3!$H$2:$O$200,R$1,FALSE))),$I$1),$I$1)</f>
        <v>0</v>
      </c>
      <c r="S22" s="15">
        <f>IFERROR(IF(ISBLANK(L22),IFERROR(VLOOKUP($D22,Sheet3!$H$2:$O$200,S$1,FALSE),IFERROR(VLOOKUP($E22,Sheet3!$H$2:$O$200,S$1,FALSE),VLOOKUP($F22,Sheet3!$H$2:$O$200,S$1,FALSE))),$I$1),$I$1)</f>
        <v>0</v>
      </c>
      <c r="T22" s="15">
        <f>IFERROR(IF(ISBLANK(M22),IFERROR(VLOOKUP($D22,Sheet3!$H$2:$O$200,T$1,FALSE),IFERROR(VLOOKUP($E22,Sheet3!$H$2:$O$200,T$1,FALSE),VLOOKUP($F22,Sheet3!$H$2:$O$200,T$1,FALSE))),$I$1),$I$1)</f>
        <v>0</v>
      </c>
      <c r="U22" s="15">
        <f>IFERROR(IF(ISBLANK(N22),IFERROR(VLOOKUP($D22,Sheet3!$H$2:$O$200,U$1,FALSE),IFERROR(VLOOKUP($E22,Sheet3!$H$2:$O$200,U$1,FALSE),VLOOKUP($F22,Sheet3!$H$2:$O$200,U$1,FALSE))),$I$1),$I$1)</f>
        <v>0</v>
      </c>
      <c r="V22" s="15">
        <f>IFERROR(IF(ISBLANK(O22),IFERROR(VLOOKUP($D22,Sheet3!$H$2:$O$200,V$1,FALSE),IFERROR(VLOOKUP($E22,Sheet3!$H$2:$O$200,V$1,FALSE),VLOOKUP($F22,Sheet3!$H$2:$O$200,V$1,FALSE))),$I$1),$I$1)</f>
        <v>0</v>
      </c>
      <c r="W22" s="15">
        <f>IFERROR(IF(ISBLANK(P22),IFERROR(VLOOKUP($D22,Sheet3!$H$2:$O$200,W$1,FALSE),IFERROR(VLOOKUP($E22,Sheet3!$H$2:$O$200,W$1,FALSE),VLOOKUP($F22,Sheet3!$H$2:$O$200,W$1,FALSE))),$I$1),$I$1)</f>
        <v>0</v>
      </c>
      <c r="X22" s="15">
        <f>IFERROR(IF(ISBLANK(Q22),IFERROR(VLOOKUP($E22,Sheet3!$H$2:$O$200,X$1,FALSE),IFERROR(VLOOKUP($F22,Sheet3!$H$2:$O$200,X$1,FALSE),VLOOKUP($G22,Sheet3!$H$2:$O$200,X$1,FALSE))),$I$1),$I$1)</f>
        <v>0</v>
      </c>
      <c r="Y22" s="15">
        <f>IFERROR(IF(ISBLANK(R22),IFERROR(VLOOKUP($E22,Sheet3!$H$2:$O$200,Y$1,FALSE),IFERROR(VLOOKUP($F22,Sheet3!$H$2:$O$200,Y$1,FALSE),VLOOKUP($G22,Sheet3!$H$2:$O$200,Y$1,FALSE))),$I$1),$I$1)</f>
        <v>0</v>
      </c>
      <c r="Z22" s="15">
        <f>IFERROR(IF(ISBLANK(S22),IFERROR(VLOOKUP($E22,Sheet3!$H$2:$O$200,Z$1,FALSE),IFERROR(VLOOKUP($F22,Sheet3!$H$2:$O$200,Z$1,FALSE),VLOOKUP($G22,Sheet3!$H$2:$O$200,Z$1,FALSE))),$I$1),$I$1)</f>
        <v>0</v>
      </c>
      <c r="AA22" s="15">
        <f>IFERROR(IF(ISBLANK(T22),IFERROR(VLOOKUP($E22,Sheet3!$H$2:$O$200,AA$1,FALSE),IFERROR(VLOOKUP($F22,Sheet3!$H$2:$O$200,AA$1,FALSE),VLOOKUP($G22,Sheet3!$H$2:$O$200,AA$1,FALSE))),$I$1),$I$1)</f>
        <v>0</v>
      </c>
      <c r="AB22" s="15">
        <f>IFERROR(IF(ISBLANK(U22),IFERROR(VLOOKUP($E22,Sheet3!$H$2:$O$200,AB$1,FALSE),IFERROR(VLOOKUP($F22,Sheet3!$H$2:$O$200,AB$1,FALSE),VLOOKUP($G22,Sheet3!$H$2:$O$200,AB$1,FALSE))),$I$1),$I$1)</f>
        <v>0</v>
      </c>
      <c r="AC22" s="15">
        <f>IFERROR(IF(ISBLANK(V22),IFERROR(VLOOKUP($E22,Sheet3!$H$2:$O$200,AC$1,FALSE),IFERROR(VLOOKUP($F22,Sheet3!$H$2:$O$200,AC$1,FALSE),VLOOKUP($G22,Sheet3!$H$2:$O$200,AC$1,FALSE))),$I$1),$I$1)</f>
        <v>0</v>
      </c>
      <c r="AD22" s="15">
        <f>IFERROR(IF(ISBLANK(W22),IFERROR(VLOOKUP($E22,Sheet3!$H$2:$O$200,AD$1,FALSE),IFERROR(VLOOKUP($F22,Sheet3!$H$2:$O$200,AD$1,FALSE),VLOOKUP($G22,Sheet3!$H$2:$O$200,AD$1,FALSE))),$I$1),$I$1)</f>
        <v>0</v>
      </c>
      <c r="AE22" s="15">
        <f>IFERROR(IF(ISBLANK(X22),IFERROR(VLOOKUP($F22,Sheet3!$H$2:$O$200,AE$1,FALSE),VLOOKUP($G22,Sheet3!$H$2:$O$200,AE$1,FALSE)),$I$1),$I$1)</f>
        <v>0</v>
      </c>
      <c r="AF22" s="15">
        <f>IFERROR(IF(ISBLANK(Y22),IFERROR(VLOOKUP($F22,Sheet3!$H$2:$O$200,AF$1,FALSE),VLOOKUP($G22,Sheet3!$H$2:$O$200,AF$1,FALSE)),$I$1),$I$1)</f>
        <v>0</v>
      </c>
      <c r="AG22" s="15">
        <f>IFERROR(IF(ISBLANK(Z22),IFERROR(VLOOKUP($F22,Sheet3!$H$2:$O$200,AG$1,FALSE),VLOOKUP($G22,Sheet3!$H$2:$O$200,AG$1,FALSE)),$I$1),$I$1)</f>
        <v>0</v>
      </c>
      <c r="AH22" s="15">
        <f>IFERROR(IF(ISBLANK(AA22),IFERROR(VLOOKUP($F22,Sheet3!$H$2:$O$200,AH$1,FALSE),VLOOKUP($G22,Sheet3!$H$2:$O$200,AH$1,FALSE)),$I$1),$I$1)</f>
        <v>0</v>
      </c>
      <c r="AI22" s="15">
        <f>IFERROR(IF(ISBLANK(AB22),IFERROR(VLOOKUP($F22,Sheet3!$H$2:$O$200,AI$1,FALSE),VLOOKUP($G22,Sheet3!$H$2:$O$200,AI$1,FALSE)),$I$1),$I$1)</f>
        <v>0</v>
      </c>
      <c r="AJ22" s="15">
        <f>IFERROR(IF(ISBLANK(AC22),IFERROR(VLOOKUP($F22,Sheet3!$H$2:$O$200,AJ$1,FALSE),VLOOKUP($G22,Sheet3!$H$2:$O$200,AJ$1,FALSE)),$I$1),$I$1)</f>
        <v>0</v>
      </c>
      <c r="AK22" s="15">
        <f>IFERROR(IF(ISBLANK(AD22),IFERROR(VLOOKUP($F22,Sheet3!$H$2:$O$200,AK$1,FALSE),VLOOKUP($G22,Sheet3!$H$2:$O$200,AK$1,FALSE)),$I$1),$I$1)</f>
        <v>0</v>
      </c>
      <c r="AL22" s="15">
        <f>IFERROR(IF(ISBLANK(AE22),VLOOKUP($G22,Sheet3!$H$2:$O$200,AL$1,FALSE),$I$1),$I$1)</f>
        <v>0</v>
      </c>
      <c r="AM22" s="15">
        <f>IFERROR(IF(ISBLANK(AF22),VLOOKUP($G22,Sheet3!$H$2:$O$200,AM$1,FALSE),$I$1),$I$1)</f>
        <v>0</v>
      </c>
      <c r="AN22" s="15">
        <f>IFERROR(IF(ISBLANK(AG22),VLOOKUP($G22,Sheet3!$H$2:$O$200,AN$1,FALSE),$I$1),$I$1)</f>
        <v>0</v>
      </c>
      <c r="AO22" s="15">
        <f>IFERROR(IF(ISBLANK(AH22),VLOOKUP($G22,Sheet3!$H$2:$O$200,AO$1,FALSE),$I$1),$I$1)</f>
        <v>0</v>
      </c>
      <c r="AP22" s="15">
        <f>IFERROR(IF(ISBLANK(AI22),VLOOKUP($G22,Sheet3!$H$2:$O$200,AP$1,FALSE),$I$1),$I$1)</f>
        <v>0</v>
      </c>
      <c r="AQ22" s="15">
        <f>IFERROR(IF(ISBLANK(AJ22),VLOOKUP($G22,Sheet3!$H$2:$O$200,AQ$1,FALSE),$I$1),$I$1)</f>
        <v>0</v>
      </c>
      <c r="AR22" s="15">
        <f>IFERROR(IF(ISBLANK(AK22),VLOOKUP($G22,Sheet3!$H$2:$O$200,AR$1,FALSE),$I$1),$I$1)</f>
        <v>0</v>
      </c>
      <c r="AS22" s="15">
        <f t="shared" ref="AS22:AX22" si="22">IFERROR(IF(ISBLANK(J22),IF(ISBLANK(Q22),IF(ISBLANK(X22),IF(ISBLANK(AE22),IF(ISBLANK(AL22),$BB$1,AL22),AE22),X22),Q22),J22),$BB$1)</f>
        <v>0</v>
      </c>
      <c r="AT22" s="15">
        <f t="shared" si="22"/>
        <v>0</v>
      </c>
      <c r="AU22" s="15" t="str">
        <f t="shared" si="22"/>
        <v>lemon juice</v>
      </c>
      <c r="AV22" s="15">
        <f t="shared" si="22"/>
        <v>0</v>
      </c>
      <c r="AW22" s="15">
        <f t="shared" si="22"/>
        <v>0</v>
      </c>
      <c r="AX22" s="15">
        <f t="shared" si="22"/>
        <v>0</v>
      </c>
      <c r="AY22" s="11" t="s">
        <v>55</v>
      </c>
      <c r="BA22" s="13">
        <f t="shared" si="1"/>
        <v>35</v>
      </c>
      <c r="BB22" s="15" t="b">
        <f t="shared" si="2"/>
        <v>0</v>
      </c>
    </row>
    <row r="23" spans="1:54" x14ac:dyDescent="0.2">
      <c r="A23" s="19" t="s">
        <v>89</v>
      </c>
      <c r="B23" s="19" t="s">
        <v>65</v>
      </c>
      <c r="C23" s="19" t="s">
        <v>30</v>
      </c>
      <c r="D23" s="19" t="s">
        <v>90</v>
      </c>
      <c r="E23" s="19"/>
      <c r="F23" s="19"/>
      <c r="G23" s="19"/>
      <c r="H23" s="19" t="s">
        <v>89</v>
      </c>
      <c r="I23" s="15">
        <v>2</v>
      </c>
      <c r="J23" s="15">
        <f>IFERROR(VLOOKUP($C23,Sheet3!$H$2:$O$200,J$1,FALSE),IFERROR(VLOOKUP($D23,Sheet3!$H$2:$O$200,J$1,FALSE),VLOOKUP($E23,Sheet3!$H$2:$O$200,J$1,FALSE)))</f>
        <v>0</v>
      </c>
      <c r="K23" s="15">
        <f>IFERROR(VLOOKUP($C23,Sheet3!$H$2:$O$200,K$1,FALSE),IFERROR(VLOOKUP($D23,Sheet3!$H$2:$O$200,K$1,FALSE),VLOOKUP($E23,Sheet3!$H$2:$O$200,K$1,FALSE)))</f>
        <v>0</v>
      </c>
      <c r="L23" s="15">
        <f>IFERROR(VLOOKUP($C23,Sheet3!$H$2:$O$200,L$1,FALSE),IFERROR(VLOOKUP($D23,Sheet3!$H$2:$O$200,L$1,FALSE),VLOOKUP($E23,Sheet3!$H$2:$O$200,L$1,FALSE)))</f>
        <v>0</v>
      </c>
      <c r="M23" s="15" t="str">
        <f>IFERROR(VLOOKUP($C23,Sheet3!$H$2:$O$200,M$1,FALSE),IFERROR(VLOOKUP($D23,Sheet3!$H$2:$O$200,M$1,FALSE),VLOOKUP($E23,Sheet3!$H$2:$O$200,M$1,FALSE)))</f>
        <v>amaretto</v>
      </c>
      <c r="N23" s="15">
        <f>IFERROR(VLOOKUP($C23,Sheet3!$H$2:$O$200,N$1,FALSE),IFERROR(VLOOKUP($D23,Sheet3!$H$2:$O$200,N$1,FALSE),VLOOKUP($E23,Sheet3!$H$2:$O$200,N$1,FALSE)))</f>
        <v>0</v>
      </c>
      <c r="O23" s="15">
        <f>IFERROR(VLOOKUP($C23,Sheet3!$H$2:$O$200,O$1,FALSE),IFERROR(VLOOKUP($D23,Sheet3!$H$2:$O$200,O$1,FALSE),VLOOKUP($E23,Sheet3!$H$2:$O$200,O$1,FALSE)))</f>
        <v>0</v>
      </c>
      <c r="P23" s="15">
        <f>IFERROR(VLOOKUP($C23,Sheet3!$H$2:$O$200,P$1,FALSE),IFERROR(VLOOKUP($D23,Sheet3!$H$2:$O$200,P$1,FALSE),VLOOKUP($E23,Sheet3!$H$2:$O$200,P$1,FALSE)))</f>
        <v>0</v>
      </c>
      <c r="Q23" s="15">
        <f>IFERROR(IF(ISBLANK(J23),IFERROR(VLOOKUP($D23,Sheet3!$H$2:$O$200,Q$1,FALSE),IFERROR(VLOOKUP($E23,Sheet3!$H$2:$O$200,Q$1,FALSE),VLOOKUP($F23,Sheet3!$H$2:$O$200,Q$1,FALSE))),$I$1),$I$1)</f>
        <v>0</v>
      </c>
      <c r="R23" s="15">
        <f>IFERROR(IF(ISBLANK(K23),IFERROR(VLOOKUP($D23,Sheet3!$H$2:$O$200,R$1,FALSE),IFERROR(VLOOKUP($E23,Sheet3!$H$2:$O$200,R$1,FALSE),VLOOKUP($F23,Sheet3!$H$2:$O$200,R$1,FALSE))),$I$1),$I$1)</f>
        <v>0</v>
      </c>
      <c r="S23" s="15">
        <f>IFERROR(IF(ISBLANK(L23),IFERROR(VLOOKUP($D23,Sheet3!$H$2:$O$200,S$1,FALSE),IFERROR(VLOOKUP($E23,Sheet3!$H$2:$O$200,S$1,FALSE),VLOOKUP($F23,Sheet3!$H$2:$O$200,S$1,FALSE))),$I$1),$I$1)</f>
        <v>0</v>
      </c>
      <c r="T23" s="15">
        <f>IFERROR(IF(ISBLANK(M23),IFERROR(VLOOKUP($D23,Sheet3!$H$2:$O$200,T$1,FALSE),IFERROR(VLOOKUP($E23,Sheet3!$H$2:$O$200,T$1,FALSE),VLOOKUP($F23,Sheet3!$H$2:$O$200,T$1,FALSE))),$I$1),$I$1)</f>
        <v>0</v>
      </c>
      <c r="U23" s="15">
        <f>IFERROR(IF(ISBLANK(N23),IFERROR(VLOOKUP($D23,Sheet3!$H$2:$O$200,U$1,FALSE),IFERROR(VLOOKUP($E23,Sheet3!$H$2:$O$200,U$1,FALSE),VLOOKUP($F23,Sheet3!$H$2:$O$200,U$1,FALSE))),$I$1),$I$1)</f>
        <v>0</v>
      </c>
      <c r="V23" s="15">
        <f>IFERROR(IF(ISBLANK(O23),IFERROR(VLOOKUP($D23,Sheet3!$H$2:$O$200,V$1,FALSE),IFERROR(VLOOKUP($E23,Sheet3!$H$2:$O$200,V$1,FALSE),VLOOKUP($F23,Sheet3!$H$2:$O$200,V$1,FALSE))),$I$1),$I$1)</f>
        <v>0</v>
      </c>
      <c r="W23" s="15">
        <f>IFERROR(IF(ISBLANK(P23),IFERROR(VLOOKUP($D23,Sheet3!$H$2:$O$200,W$1,FALSE),IFERROR(VLOOKUP($E23,Sheet3!$H$2:$O$200,W$1,FALSE),VLOOKUP($F23,Sheet3!$H$2:$O$200,W$1,FALSE))),$I$1),$I$1)</f>
        <v>0</v>
      </c>
      <c r="X23" s="15">
        <f>IFERROR(IF(ISBLANK(Q23),IFERROR(VLOOKUP($E23,Sheet3!$H$2:$O$200,X$1,FALSE),IFERROR(VLOOKUP($F23,Sheet3!$H$2:$O$200,X$1,FALSE),VLOOKUP($G23,Sheet3!$H$2:$O$200,X$1,FALSE))),$I$1),$I$1)</f>
        <v>0</v>
      </c>
      <c r="Y23" s="15">
        <f>IFERROR(IF(ISBLANK(R23),IFERROR(VLOOKUP($E23,Sheet3!$H$2:$O$200,Y$1,FALSE),IFERROR(VLOOKUP($F23,Sheet3!$H$2:$O$200,Y$1,FALSE),VLOOKUP($G23,Sheet3!$H$2:$O$200,Y$1,FALSE))),$I$1),$I$1)</f>
        <v>0</v>
      </c>
      <c r="Z23" s="15">
        <f>IFERROR(IF(ISBLANK(S23),IFERROR(VLOOKUP($E23,Sheet3!$H$2:$O$200,Z$1,FALSE),IFERROR(VLOOKUP($F23,Sheet3!$H$2:$O$200,Z$1,FALSE),VLOOKUP($G23,Sheet3!$H$2:$O$200,Z$1,FALSE))),$I$1),$I$1)</f>
        <v>0</v>
      </c>
      <c r="AA23" s="15">
        <f>IFERROR(IF(ISBLANK(T23),IFERROR(VLOOKUP($E23,Sheet3!$H$2:$O$200,AA$1,FALSE),IFERROR(VLOOKUP($F23,Sheet3!$H$2:$O$200,AA$1,FALSE),VLOOKUP($G23,Sheet3!$H$2:$O$200,AA$1,FALSE))),$I$1),$I$1)</f>
        <v>0</v>
      </c>
      <c r="AB23" s="15">
        <f>IFERROR(IF(ISBLANK(U23),IFERROR(VLOOKUP($E23,Sheet3!$H$2:$O$200,AB$1,FALSE),IFERROR(VLOOKUP($F23,Sheet3!$H$2:$O$200,AB$1,FALSE),VLOOKUP($G23,Sheet3!$H$2:$O$200,AB$1,FALSE))),$I$1),$I$1)</f>
        <v>0</v>
      </c>
      <c r="AC23" s="15">
        <f>IFERROR(IF(ISBLANK(V23),IFERROR(VLOOKUP($E23,Sheet3!$H$2:$O$200,AC$1,FALSE),IFERROR(VLOOKUP($F23,Sheet3!$H$2:$O$200,AC$1,FALSE),VLOOKUP($G23,Sheet3!$H$2:$O$200,AC$1,FALSE))),$I$1),$I$1)</f>
        <v>0</v>
      </c>
      <c r="AD23" s="15">
        <f>IFERROR(IF(ISBLANK(W23),IFERROR(VLOOKUP($E23,Sheet3!$H$2:$O$200,AD$1,FALSE),IFERROR(VLOOKUP($F23,Sheet3!$H$2:$O$200,AD$1,FALSE),VLOOKUP($G23,Sheet3!$H$2:$O$200,AD$1,FALSE))),$I$1),$I$1)</f>
        <v>0</v>
      </c>
      <c r="AE23" s="15">
        <f>IFERROR(IF(ISBLANK(X23),IFERROR(VLOOKUP($F23,Sheet3!$H$2:$O$200,AE$1,FALSE),VLOOKUP($G23,Sheet3!$H$2:$O$200,AE$1,FALSE)),$I$1),$I$1)</f>
        <v>0</v>
      </c>
      <c r="AF23" s="15">
        <f>IFERROR(IF(ISBLANK(Y23),IFERROR(VLOOKUP($F23,Sheet3!$H$2:$O$200,AF$1,FALSE),VLOOKUP($G23,Sheet3!$H$2:$O$200,AF$1,FALSE)),$I$1),$I$1)</f>
        <v>0</v>
      </c>
      <c r="AG23" s="15">
        <f>IFERROR(IF(ISBLANK(Z23),IFERROR(VLOOKUP($F23,Sheet3!$H$2:$O$200,AG$1,FALSE),VLOOKUP($G23,Sheet3!$H$2:$O$200,AG$1,FALSE)),$I$1),$I$1)</f>
        <v>0</v>
      </c>
      <c r="AH23" s="15">
        <f>IFERROR(IF(ISBLANK(AA23),IFERROR(VLOOKUP($F23,Sheet3!$H$2:$O$200,AH$1,FALSE),VLOOKUP($G23,Sheet3!$H$2:$O$200,AH$1,FALSE)),$I$1),$I$1)</f>
        <v>0</v>
      </c>
      <c r="AI23" s="15">
        <f>IFERROR(IF(ISBLANK(AB23),IFERROR(VLOOKUP($F23,Sheet3!$H$2:$O$200,AI$1,FALSE),VLOOKUP($G23,Sheet3!$H$2:$O$200,AI$1,FALSE)),$I$1),$I$1)</f>
        <v>0</v>
      </c>
      <c r="AJ23" s="15">
        <f>IFERROR(IF(ISBLANK(AC23),IFERROR(VLOOKUP($F23,Sheet3!$H$2:$O$200,AJ$1,FALSE),VLOOKUP($G23,Sheet3!$H$2:$O$200,AJ$1,FALSE)),$I$1),$I$1)</f>
        <v>0</v>
      </c>
      <c r="AK23" s="15">
        <f>IFERROR(IF(ISBLANK(AD23),IFERROR(VLOOKUP($F23,Sheet3!$H$2:$O$200,AK$1,FALSE),VLOOKUP($G23,Sheet3!$H$2:$O$200,AK$1,FALSE)),$I$1),$I$1)</f>
        <v>0</v>
      </c>
      <c r="AL23" s="15">
        <f>IFERROR(IF(ISBLANK(AE23),VLOOKUP($G23,Sheet3!$H$2:$O$200,AL$1,FALSE),$I$1),$I$1)</f>
        <v>0</v>
      </c>
      <c r="AM23" s="15">
        <f>IFERROR(IF(ISBLANK(AF23),VLOOKUP($G23,Sheet3!$H$2:$O$200,AM$1,FALSE),$I$1),$I$1)</f>
        <v>0</v>
      </c>
      <c r="AN23" s="15">
        <f>IFERROR(IF(ISBLANK(AG23),VLOOKUP($G23,Sheet3!$H$2:$O$200,AN$1,FALSE),$I$1),$I$1)</f>
        <v>0</v>
      </c>
      <c r="AO23" s="15">
        <f>IFERROR(IF(ISBLANK(AH23),VLOOKUP($G23,Sheet3!$H$2:$O$200,AO$1,FALSE),$I$1),$I$1)</f>
        <v>0</v>
      </c>
      <c r="AP23" s="15">
        <f>IFERROR(IF(ISBLANK(AI23),VLOOKUP($G23,Sheet3!$H$2:$O$200,AP$1,FALSE),$I$1),$I$1)</f>
        <v>0</v>
      </c>
      <c r="AQ23" s="15">
        <f>IFERROR(IF(ISBLANK(AJ23),VLOOKUP($G23,Sheet3!$H$2:$O$200,AQ$1,FALSE),$I$1),$I$1)</f>
        <v>0</v>
      </c>
      <c r="AR23" s="15">
        <f>IFERROR(IF(ISBLANK(AK23),VLOOKUP($G23,Sheet3!$H$2:$O$200,AR$1,FALSE),$I$1),$I$1)</f>
        <v>0</v>
      </c>
      <c r="AS23" s="15">
        <f t="shared" ref="AS23:AY23" si="23">IFERROR(IF(ISBLANK(J23),IF(ISBLANK(Q23),IF(ISBLANK(X23),IF(ISBLANK(AE23),IF(ISBLANK(AL23),$BB$1,AL23),AE23),X23),Q23),J23),$BB$1)</f>
        <v>0</v>
      </c>
      <c r="AT23" s="15">
        <f t="shared" si="23"/>
        <v>0</v>
      </c>
      <c r="AU23" s="15">
        <f t="shared" si="23"/>
        <v>0</v>
      </c>
      <c r="AV23" s="15" t="str">
        <f t="shared" si="23"/>
        <v>amaretto</v>
      </c>
      <c r="AW23" s="15">
        <f t="shared" si="23"/>
        <v>0</v>
      </c>
      <c r="AX23" s="15">
        <f t="shared" si="23"/>
        <v>0</v>
      </c>
      <c r="AY23" s="15">
        <f t="shared" si="23"/>
        <v>0</v>
      </c>
      <c r="BA23" s="13">
        <f t="shared" si="1"/>
        <v>35</v>
      </c>
      <c r="BB23" s="15" t="b">
        <f t="shared" si="2"/>
        <v>0</v>
      </c>
    </row>
    <row r="24" spans="1:54" x14ac:dyDescent="0.2">
      <c r="A24" s="19" t="s">
        <v>91</v>
      </c>
      <c r="B24" s="19" t="s">
        <v>65</v>
      </c>
      <c r="C24" s="19" t="s">
        <v>92</v>
      </c>
      <c r="D24" s="19" t="s">
        <v>38</v>
      </c>
      <c r="E24" s="19" t="s">
        <v>86</v>
      </c>
      <c r="F24" s="19"/>
      <c r="G24" s="19"/>
      <c r="H24" s="19" t="s">
        <v>91</v>
      </c>
      <c r="I24" s="15">
        <v>3</v>
      </c>
      <c r="J24" s="15">
        <f>IFERROR(VLOOKUP($C24,Sheet3!$H$2:$O$200,J$1,FALSE),IFERROR(VLOOKUP($D24,Sheet3!$H$2:$O$200,J$1,FALSE),VLOOKUP($E24,Sheet3!$H$2:$O$200,J$1,FALSE)))</f>
        <v>0</v>
      </c>
      <c r="K24" s="15">
        <f>IFERROR(VLOOKUP($C24,Sheet3!$H$2:$O$200,K$1,FALSE),IFERROR(VLOOKUP($D24,Sheet3!$H$2:$O$200,K$1,FALSE),VLOOKUP($E24,Sheet3!$H$2:$O$200,K$1,FALSE)))</f>
        <v>0</v>
      </c>
      <c r="L24" s="15">
        <f>IFERROR(VLOOKUP($C24,Sheet3!$H$2:$O$200,L$1,FALSE),IFERROR(VLOOKUP($D24,Sheet3!$H$2:$O$200,L$1,FALSE),VLOOKUP($E24,Sheet3!$H$2:$O$200,L$1,FALSE)))</f>
        <v>0</v>
      </c>
      <c r="M24" s="15" t="str">
        <f>IFERROR(VLOOKUP($C24,Sheet3!$H$2:$O$200,M$1,FALSE),IFERROR(VLOOKUP($D24,Sheet3!$H$2:$O$200,M$1,FALSE),VLOOKUP($E24,Sheet3!$H$2:$O$200,M$1,FALSE)))</f>
        <v>Branca Menta</v>
      </c>
      <c r="N24" s="15">
        <f>IFERROR(VLOOKUP($C24,Sheet3!$H$2:$O$200,N$1,FALSE),IFERROR(VLOOKUP($D24,Sheet3!$H$2:$O$200,N$1,FALSE),VLOOKUP($E24,Sheet3!$H$2:$O$200,N$1,FALSE)))</f>
        <v>0</v>
      </c>
      <c r="O24" s="15">
        <f>IFERROR(VLOOKUP($C24,Sheet3!$H$2:$O$200,O$1,FALSE),IFERROR(VLOOKUP($D24,Sheet3!$H$2:$O$200,O$1,FALSE),VLOOKUP($E24,Sheet3!$H$2:$O$200,O$1,FALSE)))</f>
        <v>0</v>
      </c>
      <c r="P24" s="15">
        <f>IFERROR(VLOOKUP($C24,Sheet3!$H$2:$O$200,P$1,FALSE),IFERROR(VLOOKUP($D24,Sheet3!$H$2:$O$200,P$1,FALSE),VLOOKUP($E24,Sheet3!$H$2:$O$200,P$1,FALSE)))</f>
        <v>0</v>
      </c>
      <c r="Q24" s="15">
        <f>IFERROR(IF(ISBLANK(J24),IFERROR(VLOOKUP($D24,Sheet3!$H$2:$O$200,Q$1,FALSE),IFERROR(VLOOKUP($E24,Sheet3!$H$2:$O$200,Q$1,FALSE),VLOOKUP($F24,Sheet3!$H$2:$O$200,Q$1,FALSE))),$I$1),$I$1)</f>
        <v>0</v>
      </c>
      <c r="R24" s="15">
        <f>IFERROR(IF(ISBLANK(K24),IFERROR(VLOOKUP($D24,Sheet3!$H$2:$O$200,R$1,FALSE),IFERROR(VLOOKUP($E24,Sheet3!$H$2:$O$200,R$1,FALSE),VLOOKUP($F24,Sheet3!$H$2:$O$200,R$1,FALSE))),$I$1),$I$1)</f>
        <v>0</v>
      </c>
      <c r="S24" s="15">
        <f>IFERROR(IF(ISBLANK(L24),IFERROR(VLOOKUP($D24,Sheet3!$H$2:$O$200,S$1,FALSE),IFERROR(VLOOKUP($E24,Sheet3!$H$2:$O$200,S$1,FALSE),VLOOKUP($F24,Sheet3!$H$2:$O$200,S$1,FALSE))),$I$1),$I$1)</f>
        <v>0</v>
      </c>
      <c r="T24" s="15">
        <f>IFERROR(IF(ISBLANK(M24),IFERROR(VLOOKUP($D24,Sheet3!$H$2:$O$200,T$1,FALSE),IFERROR(VLOOKUP($E24,Sheet3!$H$2:$O$200,T$1,FALSE),VLOOKUP($F24,Sheet3!$H$2:$O$200,T$1,FALSE))),$I$1),$I$1)</f>
        <v>0</v>
      </c>
      <c r="U24" s="15">
        <f>IFERROR(IF(ISBLANK(N24),IFERROR(VLOOKUP($D24,Sheet3!$H$2:$O$200,U$1,FALSE),IFERROR(VLOOKUP($E24,Sheet3!$H$2:$O$200,U$1,FALSE),VLOOKUP($F24,Sheet3!$H$2:$O$200,U$1,FALSE))),$I$1),$I$1)</f>
        <v>0</v>
      </c>
      <c r="V24" s="15">
        <f>IFERROR(IF(ISBLANK(O24),IFERROR(VLOOKUP($D24,Sheet3!$H$2:$O$200,V$1,FALSE),IFERROR(VLOOKUP($E24,Sheet3!$H$2:$O$200,V$1,FALSE),VLOOKUP($F24,Sheet3!$H$2:$O$200,V$1,FALSE))),$I$1),$I$1)</f>
        <v>0</v>
      </c>
      <c r="W24" s="15">
        <f>IFERROR(IF(ISBLANK(P24),IFERROR(VLOOKUP($D24,Sheet3!$H$2:$O$200,W$1,FALSE),IFERROR(VLOOKUP($E24,Sheet3!$H$2:$O$200,W$1,FALSE),VLOOKUP($F24,Sheet3!$H$2:$O$200,W$1,FALSE))),$I$1),$I$1)</f>
        <v>0</v>
      </c>
      <c r="X24" s="15">
        <f>IFERROR(IF(ISBLANK(Q24),IFERROR(VLOOKUP($E24,Sheet3!$H$2:$O$200,X$1,FALSE),IFERROR(VLOOKUP($F24,Sheet3!$H$2:$O$200,X$1,FALSE),VLOOKUP($G24,Sheet3!$H$2:$O$200,X$1,FALSE))),$I$1),$I$1)</f>
        <v>0</v>
      </c>
      <c r="Y24" s="15">
        <f>IFERROR(IF(ISBLANK(R24),IFERROR(VLOOKUP($E24,Sheet3!$H$2:$O$200,Y$1,FALSE),IFERROR(VLOOKUP($F24,Sheet3!$H$2:$O$200,Y$1,FALSE),VLOOKUP($G24,Sheet3!$H$2:$O$200,Y$1,FALSE))),$I$1),$I$1)</f>
        <v>0</v>
      </c>
      <c r="Z24" s="15">
        <f>IFERROR(IF(ISBLANK(S24),IFERROR(VLOOKUP($E24,Sheet3!$H$2:$O$200,Z$1,FALSE),IFERROR(VLOOKUP($F24,Sheet3!$H$2:$O$200,Z$1,FALSE),VLOOKUP($G24,Sheet3!$H$2:$O$200,Z$1,FALSE))),$I$1),$I$1)</f>
        <v>0</v>
      </c>
      <c r="AA24" s="15">
        <f>IFERROR(IF(ISBLANK(T24),IFERROR(VLOOKUP($E24,Sheet3!$H$2:$O$200,AA$1,FALSE),IFERROR(VLOOKUP($F24,Sheet3!$H$2:$O$200,AA$1,FALSE),VLOOKUP($G24,Sheet3!$H$2:$O$200,AA$1,FALSE))),$I$1),$I$1)</f>
        <v>0</v>
      </c>
      <c r="AB24" s="15">
        <f>IFERROR(IF(ISBLANK(U24),IFERROR(VLOOKUP($E24,Sheet3!$H$2:$O$200,AB$1,FALSE),IFERROR(VLOOKUP($F24,Sheet3!$H$2:$O$200,AB$1,FALSE),VLOOKUP($G24,Sheet3!$H$2:$O$200,AB$1,FALSE))),$I$1),$I$1)</f>
        <v>0</v>
      </c>
      <c r="AC24" s="15">
        <f>IFERROR(IF(ISBLANK(V24),IFERROR(VLOOKUP($E24,Sheet3!$H$2:$O$200,AC$1,FALSE),IFERROR(VLOOKUP($F24,Sheet3!$H$2:$O$200,AC$1,FALSE),VLOOKUP($G24,Sheet3!$H$2:$O$200,AC$1,FALSE))),$I$1),$I$1)</f>
        <v>0</v>
      </c>
      <c r="AD24" s="15">
        <f>IFERROR(IF(ISBLANK(W24),IFERROR(VLOOKUP($E24,Sheet3!$H$2:$O$200,AD$1,FALSE),IFERROR(VLOOKUP($F24,Sheet3!$H$2:$O$200,AD$1,FALSE),VLOOKUP($G24,Sheet3!$H$2:$O$200,AD$1,FALSE))),$I$1),$I$1)</f>
        <v>0</v>
      </c>
      <c r="AE24" s="15">
        <f>IFERROR(IF(ISBLANK(X24),IFERROR(VLOOKUP($F24,Sheet3!$H$2:$O$200,AE$1,FALSE),VLOOKUP($G24,Sheet3!$H$2:$O$200,AE$1,FALSE)),$I$1),$I$1)</f>
        <v>0</v>
      </c>
      <c r="AF24" s="15">
        <f>IFERROR(IF(ISBLANK(Y24),IFERROR(VLOOKUP($F24,Sheet3!$H$2:$O$200,AF$1,FALSE),VLOOKUP($G24,Sheet3!$H$2:$O$200,AF$1,FALSE)),$I$1),$I$1)</f>
        <v>0</v>
      </c>
      <c r="AG24" s="15">
        <f>IFERROR(IF(ISBLANK(Z24),IFERROR(VLOOKUP($F24,Sheet3!$H$2:$O$200,AG$1,FALSE),VLOOKUP($G24,Sheet3!$H$2:$O$200,AG$1,FALSE)),$I$1),$I$1)</f>
        <v>0</v>
      </c>
      <c r="AH24" s="15">
        <f>IFERROR(IF(ISBLANK(AA24),IFERROR(VLOOKUP($F24,Sheet3!$H$2:$O$200,AH$1,FALSE),VLOOKUP($G24,Sheet3!$H$2:$O$200,AH$1,FALSE)),$I$1),$I$1)</f>
        <v>0</v>
      </c>
      <c r="AI24" s="15">
        <f>IFERROR(IF(ISBLANK(AB24),IFERROR(VLOOKUP($F24,Sheet3!$H$2:$O$200,AI$1,FALSE),VLOOKUP($G24,Sheet3!$H$2:$O$200,AI$1,FALSE)),$I$1),$I$1)</f>
        <v>0</v>
      </c>
      <c r="AJ24" s="15">
        <f>IFERROR(IF(ISBLANK(AC24),IFERROR(VLOOKUP($F24,Sheet3!$H$2:$O$200,AJ$1,FALSE),VLOOKUP($G24,Sheet3!$H$2:$O$200,AJ$1,FALSE)),$I$1),$I$1)</f>
        <v>0</v>
      </c>
      <c r="AK24" s="15">
        <f>IFERROR(IF(ISBLANK(AD24),IFERROR(VLOOKUP($F24,Sheet3!$H$2:$O$200,AK$1,FALSE),VLOOKUP($G24,Sheet3!$H$2:$O$200,AK$1,FALSE)),$I$1),$I$1)</f>
        <v>0</v>
      </c>
      <c r="AL24" s="15">
        <f>IFERROR(IF(ISBLANK(AE24),VLOOKUP($G24,Sheet3!$H$2:$O$200,AL$1,FALSE),$I$1),$I$1)</f>
        <v>0</v>
      </c>
      <c r="AM24" s="15">
        <f>IFERROR(IF(ISBLANK(AF24),VLOOKUP($G24,Sheet3!$H$2:$O$200,AM$1,FALSE),$I$1),$I$1)</f>
        <v>0</v>
      </c>
      <c r="AN24" s="15">
        <f>IFERROR(IF(ISBLANK(AG24),VLOOKUP($G24,Sheet3!$H$2:$O$200,AN$1,FALSE),$I$1),$I$1)</f>
        <v>0</v>
      </c>
      <c r="AO24" s="15">
        <f>IFERROR(IF(ISBLANK(AH24),VLOOKUP($G24,Sheet3!$H$2:$O$200,AO$1,FALSE),$I$1),$I$1)</f>
        <v>0</v>
      </c>
      <c r="AP24" s="15">
        <f>IFERROR(IF(ISBLANK(AI24),VLOOKUP($G24,Sheet3!$H$2:$O$200,AP$1,FALSE),$I$1),$I$1)</f>
        <v>0</v>
      </c>
      <c r="AQ24" s="15">
        <f>IFERROR(IF(ISBLANK(AJ24),VLOOKUP($G24,Sheet3!$H$2:$O$200,AQ$1,FALSE),$I$1),$I$1)</f>
        <v>0</v>
      </c>
      <c r="AR24" s="15">
        <f>IFERROR(IF(ISBLANK(AK24),VLOOKUP($G24,Sheet3!$H$2:$O$200,AR$1,FALSE),$I$1),$I$1)</f>
        <v>0</v>
      </c>
      <c r="AS24" s="15">
        <f t="shared" ref="AS24:AY24" si="24">IFERROR(IF(ISBLANK(J24),IF(ISBLANK(Q24),IF(ISBLANK(X24),IF(ISBLANK(AE24),IF(ISBLANK(AL24),$BB$1,AL24),AE24),X24),Q24),J24),$BB$1)</f>
        <v>0</v>
      </c>
      <c r="AT24" s="15">
        <f t="shared" si="24"/>
        <v>0</v>
      </c>
      <c r="AU24" s="15">
        <f t="shared" si="24"/>
        <v>0</v>
      </c>
      <c r="AV24" s="15" t="str">
        <f t="shared" si="24"/>
        <v>Branca Menta</v>
      </c>
      <c r="AW24" s="15">
        <f t="shared" si="24"/>
        <v>0</v>
      </c>
      <c r="AX24" s="15">
        <f t="shared" si="24"/>
        <v>0</v>
      </c>
      <c r="AY24" s="15">
        <f t="shared" si="24"/>
        <v>0</v>
      </c>
      <c r="BA24" s="13">
        <f t="shared" si="1"/>
        <v>35</v>
      </c>
      <c r="BB24" s="15" t="b">
        <f t="shared" si="2"/>
        <v>0</v>
      </c>
    </row>
    <row r="25" spans="1:54" x14ac:dyDescent="0.2">
      <c r="A25" s="19" t="s">
        <v>93</v>
      </c>
      <c r="B25" s="19" t="s">
        <v>65</v>
      </c>
      <c r="C25" s="19" t="s">
        <v>86</v>
      </c>
      <c r="D25" s="19" t="s">
        <v>38</v>
      </c>
      <c r="E25" s="19" t="s">
        <v>62</v>
      </c>
      <c r="F25" s="19"/>
      <c r="G25" s="19"/>
      <c r="H25" s="19" t="s">
        <v>93</v>
      </c>
      <c r="I25" s="15">
        <v>3</v>
      </c>
      <c r="J25" s="15">
        <f>IFERROR(VLOOKUP($C25,Sheet3!$H$2:$O$200,J$1,FALSE),IFERROR(VLOOKUP($D25,Sheet3!$H$2:$O$200,J$1,FALSE),VLOOKUP($E25,Sheet3!$H$2:$O$200,J$1,FALSE)))</f>
        <v>0</v>
      </c>
      <c r="K25" s="15" t="str">
        <f>IFERROR(VLOOKUP($C25,Sheet3!$H$2:$O$200,K$1,FALSE),IFERROR(VLOOKUP($D25,Sheet3!$H$2:$O$200,K$1,FALSE),VLOOKUP($E25,Sheet3!$H$2:$O$200,K$1,FALSE)))</f>
        <v>simple syrup</v>
      </c>
      <c r="L25" s="15">
        <f>IFERROR(VLOOKUP($C25,Sheet3!$H$2:$O$200,L$1,FALSE),IFERROR(VLOOKUP($D25,Sheet3!$H$2:$O$200,L$1,FALSE),VLOOKUP($E25,Sheet3!$H$2:$O$200,L$1,FALSE)))</f>
        <v>0</v>
      </c>
      <c r="M25" s="15">
        <f>IFERROR(VLOOKUP($C25,Sheet3!$H$2:$O$200,M$1,FALSE),IFERROR(VLOOKUP($D25,Sheet3!$H$2:$O$200,M$1,FALSE),VLOOKUP($E25,Sheet3!$H$2:$O$200,M$1,FALSE)))</f>
        <v>0</v>
      </c>
      <c r="N25" s="15">
        <f>IFERROR(VLOOKUP($C25,Sheet3!$H$2:$O$200,N$1,FALSE),IFERROR(VLOOKUP($D25,Sheet3!$H$2:$O$200,N$1,FALSE),VLOOKUP($E25,Sheet3!$H$2:$O$200,N$1,FALSE)))</f>
        <v>0</v>
      </c>
      <c r="O25" s="15">
        <f>IFERROR(VLOOKUP($C25,Sheet3!$H$2:$O$200,O$1,FALSE),IFERROR(VLOOKUP($D25,Sheet3!$H$2:$O$200,O$1,FALSE),VLOOKUP($E25,Sheet3!$H$2:$O$200,O$1,FALSE)))</f>
        <v>0</v>
      </c>
      <c r="P25" s="15">
        <f>IFERROR(VLOOKUP($C25,Sheet3!$H$2:$O$200,P$1,FALSE),IFERROR(VLOOKUP($D25,Sheet3!$H$2:$O$200,P$1,FALSE),VLOOKUP($E25,Sheet3!$H$2:$O$200,P$1,FALSE)))</f>
        <v>0</v>
      </c>
      <c r="Q25" s="15">
        <f>IFERROR(IF(ISBLANK(J25),IFERROR(VLOOKUP($D25,Sheet3!$H$2:$O$200,Q$1,FALSE),IFERROR(VLOOKUP($E25,Sheet3!$H$2:$O$200,Q$1,FALSE),VLOOKUP($F25,Sheet3!$H$2:$O$200,Q$1,FALSE))),$I$1),$I$1)</f>
        <v>0</v>
      </c>
      <c r="R25" s="15">
        <f>IFERROR(IF(ISBLANK(K25),IFERROR(VLOOKUP($D25,Sheet3!$H$2:$O$200,R$1,FALSE),IFERROR(VLOOKUP($E25,Sheet3!$H$2:$O$200,R$1,FALSE),VLOOKUP($F25,Sheet3!$H$2:$O$200,R$1,FALSE))),$I$1),$I$1)</f>
        <v>0</v>
      </c>
      <c r="S25" s="15">
        <f>IFERROR(IF(ISBLANK(L25),IFERROR(VLOOKUP($D25,Sheet3!$H$2:$O$200,S$1,FALSE),IFERROR(VLOOKUP($E25,Sheet3!$H$2:$O$200,S$1,FALSE),VLOOKUP($F25,Sheet3!$H$2:$O$200,S$1,FALSE))),$I$1),$I$1)</f>
        <v>0</v>
      </c>
      <c r="T25" s="15">
        <f>IFERROR(IF(ISBLANK(M25),IFERROR(VLOOKUP($D25,Sheet3!$H$2:$O$200,T$1,FALSE),IFERROR(VLOOKUP($E25,Sheet3!$H$2:$O$200,T$1,FALSE),VLOOKUP($F25,Sheet3!$H$2:$O$200,T$1,FALSE))),$I$1),$I$1)</f>
        <v>0</v>
      </c>
      <c r="U25" s="15">
        <f>IFERROR(IF(ISBLANK(N25),IFERROR(VLOOKUP($D25,Sheet3!$H$2:$O$200,U$1,FALSE),IFERROR(VLOOKUP($E25,Sheet3!$H$2:$O$200,U$1,FALSE),VLOOKUP($F25,Sheet3!$H$2:$O$200,U$1,FALSE))),$I$1),$I$1)</f>
        <v>0</v>
      </c>
      <c r="V25" s="15">
        <f>IFERROR(IF(ISBLANK(O25),IFERROR(VLOOKUP($D25,Sheet3!$H$2:$O$200,V$1,FALSE),IFERROR(VLOOKUP($E25,Sheet3!$H$2:$O$200,V$1,FALSE),VLOOKUP($F25,Sheet3!$H$2:$O$200,V$1,FALSE))),$I$1),$I$1)</f>
        <v>0</v>
      </c>
      <c r="W25" s="15">
        <f>IFERROR(IF(ISBLANK(P25),IFERROR(VLOOKUP($D25,Sheet3!$H$2:$O$200,W$1,FALSE),IFERROR(VLOOKUP($E25,Sheet3!$H$2:$O$200,W$1,FALSE),VLOOKUP($F25,Sheet3!$H$2:$O$200,W$1,FALSE))),$I$1),$I$1)</f>
        <v>0</v>
      </c>
      <c r="X25" s="15">
        <f>IFERROR(IF(ISBLANK(Q25),IFERROR(VLOOKUP($E25,Sheet3!$H$2:$O$200,X$1,FALSE),IFERROR(VLOOKUP($F25,Sheet3!$H$2:$O$200,X$1,FALSE),VLOOKUP($G25,Sheet3!$H$2:$O$200,X$1,FALSE))),$I$1),$I$1)</f>
        <v>0</v>
      </c>
      <c r="Y25" s="15">
        <f>IFERROR(IF(ISBLANK(R25),IFERROR(VLOOKUP($E25,Sheet3!$H$2:$O$200,Y$1,FALSE),IFERROR(VLOOKUP($F25,Sheet3!$H$2:$O$200,Y$1,FALSE),VLOOKUP($G25,Sheet3!$H$2:$O$200,Y$1,FALSE))),$I$1),$I$1)</f>
        <v>0</v>
      </c>
      <c r="Z25" s="15">
        <f>IFERROR(IF(ISBLANK(S25),IFERROR(VLOOKUP($E25,Sheet3!$H$2:$O$200,Z$1,FALSE),IFERROR(VLOOKUP($F25,Sheet3!$H$2:$O$200,Z$1,FALSE),VLOOKUP($G25,Sheet3!$H$2:$O$200,Z$1,FALSE))),$I$1),$I$1)</f>
        <v>0</v>
      </c>
      <c r="AA25" s="15">
        <f>IFERROR(IF(ISBLANK(T25),IFERROR(VLOOKUP($E25,Sheet3!$H$2:$O$200,AA$1,FALSE),IFERROR(VLOOKUP($F25,Sheet3!$H$2:$O$200,AA$1,FALSE),VLOOKUP($G25,Sheet3!$H$2:$O$200,AA$1,FALSE))),$I$1),$I$1)</f>
        <v>0</v>
      </c>
      <c r="AB25" s="15">
        <f>IFERROR(IF(ISBLANK(U25),IFERROR(VLOOKUP($E25,Sheet3!$H$2:$O$200,AB$1,FALSE),IFERROR(VLOOKUP($F25,Sheet3!$H$2:$O$200,AB$1,FALSE),VLOOKUP($G25,Sheet3!$H$2:$O$200,AB$1,FALSE))),$I$1),$I$1)</f>
        <v>0</v>
      </c>
      <c r="AC25" s="15">
        <f>IFERROR(IF(ISBLANK(V25),IFERROR(VLOOKUP($E25,Sheet3!$H$2:$O$200,AC$1,FALSE),IFERROR(VLOOKUP($F25,Sheet3!$H$2:$O$200,AC$1,FALSE),VLOOKUP($G25,Sheet3!$H$2:$O$200,AC$1,FALSE))),$I$1),$I$1)</f>
        <v>0</v>
      </c>
      <c r="AD25" s="15">
        <f>IFERROR(IF(ISBLANK(W25),IFERROR(VLOOKUP($E25,Sheet3!$H$2:$O$200,AD$1,FALSE),IFERROR(VLOOKUP($F25,Sheet3!$H$2:$O$200,AD$1,FALSE),VLOOKUP($G25,Sheet3!$H$2:$O$200,AD$1,FALSE))),$I$1),$I$1)</f>
        <v>0</v>
      </c>
      <c r="AE25" s="15">
        <f>IFERROR(IF(ISBLANK(X25),IFERROR(VLOOKUP($F25,Sheet3!$H$2:$O$200,AE$1,FALSE),VLOOKUP($G25,Sheet3!$H$2:$O$200,AE$1,FALSE)),$I$1),$I$1)</f>
        <v>0</v>
      </c>
      <c r="AF25" s="15">
        <f>IFERROR(IF(ISBLANK(Y25),IFERROR(VLOOKUP($F25,Sheet3!$H$2:$O$200,AF$1,FALSE),VLOOKUP($G25,Sheet3!$H$2:$O$200,AF$1,FALSE)),$I$1),$I$1)</f>
        <v>0</v>
      </c>
      <c r="AG25" s="15">
        <f>IFERROR(IF(ISBLANK(Z25),IFERROR(VLOOKUP($F25,Sheet3!$H$2:$O$200,AG$1,FALSE),VLOOKUP($G25,Sheet3!$H$2:$O$200,AG$1,FALSE)),$I$1),$I$1)</f>
        <v>0</v>
      </c>
      <c r="AH25" s="15">
        <f>IFERROR(IF(ISBLANK(AA25),IFERROR(VLOOKUP($F25,Sheet3!$H$2:$O$200,AH$1,FALSE),VLOOKUP($G25,Sheet3!$H$2:$O$200,AH$1,FALSE)),$I$1),$I$1)</f>
        <v>0</v>
      </c>
      <c r="AI25" s="15">
        <f>IFERROR(IF(ISBLANK(AB25),IFERROR(VLOOKUP($F25,Sheet3!$H$2:$O$200,AI$1,FALSE),VLOOKUP($G25,Sheet3!$H$2:$O$200,AI$1,FALSE)),$I$1),$I$1)</f>
        <v>0</v>
      </c>
      <c r="AJ25" s="15">
        <f>IFERROR(IF(ISBLANK(AC25),IFERROR(VLOOKUP($F25,Sheet3!$H$2:$O$200,AJ$1,FALSE),VLOOKUP($G25,Sheet3!$H$2:$O$200,AJ$1,FALSE)),$I$1),$I$1)</f>
        <v>0</v>
      </c>
      <c r="AK25" s="15">
        <f>IFERROR(IF(ISBLANK(AD25),IFERROR(VLOOKUP($F25,Sheet3!$H$2:$O$200,AK$1,FALSE),VLOOKUP($G25,Sheet3!$H$2:$O$200,AK$1,FALSE)),$I$1),$I$1)</f>
        <v>0</v>
      </c>
      <c r="AL25" s="15">
        <f>IFERROR(IF(ISBLANK(AE25),VLOOKUP($G25,Sheet3!$H$2:$O$200,AL$1,FALSE),$I$1),$I$1)</f>
        <v>0</v>
      </c>
      <c r="AM25" s="15">
        <f>IFERROR(IF(ISBLANK(AF25),VLOOKUP($G25,Sheet3!$H$2:$O$200,AM$1,FALSE),$I$1),$I$1)</f>
        <v>0</v>
      </c>
      <c r="AN25" s="15">
        <f>IFERROR(IF(ISBLANK(AG25),VLOOKUP($G25,Sheet3!$H$2:$O$200,AN$1,FALSE),$I$1),$I$1)</f>
        <v>0</v>
      </c>
      <c r="AO25" s="15">
        <f>IFERROR(IF(ISBLANK(AH25),VLOOKUP($G25,Sheet3!$H$2:$O$200,AO$1,FALSE),$I$1),$I$1)</f>
        <v>0</v>
      </c>
      <c r="AP25" s="15">
        <f>IFERROR(IF(ISBLANK(AI25),VLOOKUP($G25,Sheet3!$H$2:$O$200,AP$1,FALSE),$I$1),$I$1)</f>
        <v>0</v>
      </c>
      <c r="AQ25" s="15">
        <f>IFERROR(IF(ISBLANK(AJ25),VLOOKUP($G25,Sheet3!$H$2:$O$200,AQ$1,FALSE),$I$1),$I$1)</f>
        <v>0</v>
      </c>
      <c r="AR25" s="15">
        <f>IFERROR(IF(ISBLANK(AK25),VLOOKUP($G25,Sheet3!$H$2:$O$200,AR$1,FALSE),$I$1),$I$1)</f>
        <v>0</v>
      </c>
      <c r="AS25" s="15">
        <f t="shared" ref="AS25:AY25" si="25">IFERROR(IF(ISBLANK(J25),IF(ISBLANK(Q25),IF(ISBLANK(X25),IF(ISBLANK(AE25),IF(ISBLANK(AL25),$BB$1,AL25),AE25),X25),Q25),J25),$BB$1)</f>
        <v>0</v>
      </c>
      <c r="AT25" s="15" t="str">
        <f t="shared" si="25"/>
        <v>simple syrup</v>
      </c>
      <c r="AU25" s="15">
        <f t="shared" si="25"/>
        <v>0</v>
      </c>
      <c r="AV25" s="15">
        <f t="shared" si="25"/>
        <v>0</v>
      </c>
      <c r="AW25" s="15">
        <f t="shared" si="25"/>
        <v>0</v>
      </c>
      <c r="AX25" s="15">
        <f t="shared" si="25"/>
        <v>0</v>
      </c>
      <c r="AY25" s="15">
        <f t="shared" si="25"/>
        <v>0</v>
      </c>
      <c r="BA25" s="13">
        <f t="shared" si="1"/>
        <v>35</v>
      </c>
      <c r="BB25" s="15" t="b">
        <f t="shared" si="2"/>
        <v>0</v>
      </c>
    </row>
    <row r="26" spans="1:54" x14ac:dyDescent="0.2">
      <c r="A26" s="19" t="s">
        <v>94</v>
      </c>
      <c r="B26" s="19" t="s">
        <v>65</v>
      </c>
      <c r="C26" s="19" t="s">
        <v>57</v>
      </c>
      <c r="D26" s="19" t="s">
        <v>38</v>
      </c>
      <c r="E26" s="19"/>
      <c r="F26" s="19"/>
      <c r="G26" s="19"/>
      <c r="H26" s="19" t="s">
        <v>94</v>
      </c>
      <c r="I26" s="15">
        <v>2</v>
      </c>
      <c r="J26" s="15">
        <f>IFERROR(VLOOKUP($C26,Sheet3!$H$2:$O$200,J$1,FALSE),IFERROR(VLOOKUP($D26,Sheet3!$H$2:$O$200,J$1,FALSE),VLOOKUP($E26,Sheet3!$H$2:$O$200,J$1,FALSE)))</f>
        <v>0</v>
      </c>
      <c r="K26" s="15">
        <f>IFERROR(VLOOKUP($C26,Sheet3!$H$2:$O$200,K$1,FALSE),IFERROR(VLOOKUP($D26,Sheet3!$H$2:$O$200,K$1,FALSE),VLOOKUP($E26,Sheet3!$H$2:$O$200,K$1,FALSE)))</f>
        <v>0</v>
      </c>
      <c r="L26" s="15">
        <f>IFERROR(VLOOKUP($C26,Sheet3!$H$2:$O$200,L$1,FALSE),IFERROR(VLOOKUP($D26,Sheet3!$H$2:$O$200,L$1,FALSE),VLOOKUP($E26,Sheet3!$H$2:$O$200,L$1,FALSE)))</f>
        <v>0</v>
      </c>
      <c r="M26" s="15" t="str">
        <f>IFERROR(VLOOKUP($C26,Sheet3!$H$2:$O$200,M$1,FALSE),IFERROR(VLOOKUP($D26,Sheet3!$H$2:$O$200,M$1,FALSE),VLOOKUP($E26,Sheet3!$H$2:$O$200,M$1,FALSE)))</f>
        <v>crème de noyau</v>
      </c>
      <c r="N26" s="15">
        <f>IFERROR(VLOOKUP($C26,Sheet3!$H$2:$O$200,N$1,FALSE),IFERROR(VLOOKUP($D26,Sheet3!$H$2:$O$200,N$1,FALSE),VLOOKUP($E26,Sheet3!$H$2:$O$200,N$1,FALSE)))</f>
        <v>0</v>
      </c>
      <c r="O26" s="15">
        <f>IFERROR(VLOOKUP($C26,Sheet3!$H$2:$O$200,O$1,FALSE),IFERROR(VLOOKUP($D26,Sheet3!$H$2:$O$200,O$1,FALSE),VLOOKUP($E26,Sheet3!$H$2:$O$200,O$1,FALSE)))</f>
        <v>0</v>
      </c>
      <c r="P26" s="15">
        <f>IFERROR(VLOOKUP($C26,Sheet3!$H$2:$O$200,P$1,FALSE),IFERROR(VLOOKUP($D26,Sheet3!$H$2:$O$200,P$1,FALSE),VLOOKUP($E26,Sheet3!$H$2:$O$200,P$1,FALSE)))</f>
        <v>0</v>
      </c>
      <c r="Q26" s="15">
        <f>IFERROR(IF(ISBLANK(J26),IFERROR(VLOOKUP($D26,Sheet3!$H$2:$O$200,Q$1,FALSE),IFERROR(VLOOKUP($E26,Sheet3!$H$2:$O$200,Q$1,FALSE),VLOOKUP($F26,Sheet3!$H$2:$O$200,Q$1,FALSE))),$I$1),$I$1)</f>
        <v>0</v>
      </c>
      <c r="R26" s="15">
        <f>IFERROR(IF(ISBLANK(K26),IFERROR(VLOOKUP($D26,Sheet3!$H$2:$O$200,R$1,FALSE),IFERROR(VLOOKUP($E26,Sheet3!$H$2:$O$200,R$1,FALSE),VLOOKUP($F26,Sheet3!$H$2:$O$200,R$1,FALSE))),$I$1),$I$1)</f>
        <v>0</v>
      </c>
      <c r="S26" s="15">
        <f>IFERROR(IF(ISBLANK(L26),IFERROR(VLOOKUP($D26,Sheet3!$H$2:$O$200,S$1,FALSE),IFERROR(VLOOKUP($E26,Sheet3!$H$2:$O$200,S$1,FALSE),VLOOKUP($F26,Sheet3!$H$2:$O$200,S$1,FALSE))),$I$1),$I$1)</f>
        <v>0</v>
      </c>
      <c r="T26" s="15">
        <f>IFERROR(IF(ISBLANK(M26),IFERROR(VLOOKUP($D26,Sheet3!$H$2:$O$200,T$1,FALSE),IFERROR(VLOOKUP($E26,Sheet3!$H$2:$O$200,T$1,FALSE),VLOOKUP($F26,Sheet3!$H$2:$O$200,T$1,FALSE))),$I$1),$I$1)</f>
        <v>0</v>
      </c>
      <c r="U26" s="15">
        <f>IFERROR(IF(ISBLANK(N26),IFERROR(VLOOKUP($D26,Sheet3!$H$2:$O$200,U$1,FALSE),IFERROR(VLOOKUP($E26,Sheet3!$H$2:$O$200,U$1,FALSE),VLOOKUP($F26,Sheet3!$H$2:$O$200,U$1,FALSE))),$I$1),$I$1)</f>
        <v>0</v>
      </c>
      <c r="V26" s="15">
        <f>IFERROR(IF(ISBLANK(O26),IFERROR(VLOOKUP($D26,Sheet3!$H$2:$O$200,V$1,FALSE),IFERROR(VLOOKUP($E26,Sheet3!$H$2:$O$200,V$1,FALSE),VLOOKUP($F26,Sheet3!$H$2:$O$200,V$1,FALSE))),$I$1),$I$1)</f>
        <v>0</v>
      </c>
      <c r="W26" s="15">
        <f>IFERROR(IF(ISBLANK(P26),IFERROR(VLOOKUP($D26,Sheet3!$H$2:$O$200,W$1,FALSE),IFERROR(VLOOKUP($E26,Sheet3!$H$2:$O$200,W$1,FALSE),VLOOKUP($F26,Sheet3!$H$2:$O$200,W$1,FALSE))),$I$1),$I$1)</f>
        <v>0</v>
      </c>
      <c r="X26" s="15">
        <f>IFERROR(IF(ISBLANK(Q26),IFERROR(VLOOKUP($E26,Sheet3!$H$2:$O$200,X$1,FALSE),IFERROR(VLOOKUP($F26,Sheet3!$H$2:$O$200,X$1,FALSE),VLOOKUP($G26,Sheet3!$H$2:$O$200,X$1,FALSE))),$I$1),$I$1)</f>
        <v>0</v>
      </c>
      <c r="Y26" s="15">
        <f>IFERROR(IF(ISBLANK(R26),IFERROR(VLOOKUP($E26,Sheet3!$H$2:$O$200,Y$1,FALSE),IFERROR(VLOOKUP($F26,Sheet3!$H$2:$O$200,Y$1,FALSE),VLOOKUP($G26,Sheet3!$H$2:$O$200,Y$1,FALSE))),$I$1),$I$1)</f>
        <v>0</v>
      </c>
      <c r="Z26" s="15">
        <f>IFERROR(IF(ISBLANK(S26),IFERROR(VLOOKUP($E26,Sheet3!$H$2:$O$200,Z$1,FALSE),IFERROR(VLOOKUP($F26,Sheet3!$H$2:$O$200,Z$1,FALSE),VLOOKUP($G26,Sheet3!$H$2:$O$200,Z$1,FALSE))),$I$1),$I$1)</f>
        <v>0</v>
      </c>
      <c r="AA26" s="15">
        <f>IFERROR(IF(ISBLANK(T26),IFERROR(VLOOKUP($E26,Sheet3!$H$2:$O$200,AA$1,FALSE),IFERROR(VLOOKUP($F26,Sheet3!$H$2:$O$200,AA$1,FALSE),VLOOKUP($G26,Sheet3!$H$2:$O$200,AA$1,FALSE))),$I$1),$I$1)</f>
        <v>0</v>
      </c>
      <c r="AB26" s="15">
        <f>IFERROR(IF(ISBLANK(U26),IFERROR(VLOOKUP($E26,Sheet3!$H$2:$O$200,AB$1,FALSE),IFERROR(VLOOKUP($F26,Sheet3!$H$2:$O$200,AB$1,FALSE),VLOOKUP($G26,Sheet3!$H$2:$O$200,AB$1,FALSE))),$I$1),$I$1)</f>
        <v>0</v>
      </c>
      <c r="AC26" s="15">
        <f>IFERROR(IF(ISBLANK(V26),IFERROR(VLOOKUP($E26,Sheet3!$H$2:$O$200,AC$1,FALSE),IFERROR(VLOOKUP($F26,Sheet3!$H$2:$O$200,AC$1,FALSE),VLOOKUP($G26,Sheet3!$H$2:$O$200,AC$1,FALSE))),$I$1),$I$1)</f>
        <v>0</v>
      </c>
      <c r="AD26" s="15">
        <f>IFERROR(IF(ISBLANK(W26),IFERROR(VLOOKUP($E26,Sheet3!$H$2:$O$200,AD$1,FALSE),IFERROR(VLOOKUP($F26,Sheet3!$H$2:$O$200,AD$1,FALSE),VLOOKUP($G26,Sheet3!$H$2:$O$200,AD$1,FALSE))),$I$1),$I$1)</f>
        <v>0</v>
      </c>
      <c r="AE26" s="15">
        <f>IFERROR(IF(ISBLANK(X26),IFERROR(VLOOKUP($F26,Sheet3!$H$2:$O$200,AE$1,FALSE),VLOOKUP($G26,Sheet3!$H$2:$O$200,AE$1,FALSE)),$I$1),$I$1)</f>
        <v>0</v>
      </c>
      <c r="AF26" s="15">
        <f>IFERROR(IF(ISBLANK(Y26),IFERROR(VLOOKUP($F26,Sheet3!$H$2:$O$200,AF$1,FALSE),VLOOKUP($G26,Sheet3!$H$2:$O$200,AF$1,FALSE)),$I$1),$I$1)</f>
        <v>0</v>
      </c>
      <c r="AG26" s="15">
        <f>IFERROR(IF(ISBLANK(Z26),IFERROR(VLOOKUP($F26,Sheet3!$H$2:$O$200,AG$1,FALSE),VLOOKUP($G26,Sheet3!$H$2:$O$200,AG$1,FALSE)),$I$1),$I$1)</f>
        <v>0</v>
      </c>
      <c r="AH26" s="15">
        <f>IFERROR(IF(ISBLANK(AA26),IFERROR(VLOOKUP($F26,Sheet3!$H$2:$O$200,AH$1,FALSE),VLOOKUP($G26,Sheet3!$H$2:$O$200,AH$1,FALSE)),$I$1),$I$1)</f>
        <v>0</v>
      </c>
      <c r="AI26" s="15">
        <f>IFERROR(IF(ISBLANK(AB26),IFERROR(VLOOKUP($F26,Sheet3!$H$2:$O$200,AI$1,FALSE),VLOOKUP($G26,Sheet3!$H$2:$O$200,AI$1,FALSE)),$I$1),$I$1)</f>
        <v>0</v>
      </c>
      <c r="AJ26" s="15">
        <f>IFERROR(IF(ISBLANK(AC26),IFERROR(VLOOKUP($F26,Sheet3!$H$2:$O$200,AJ$1,FALSE),VLOOKUP($G26,Sheet3!$H$2:$O$200,AJ$1,FALSE)),$I$1),$I$1)</f>
        <v>0</v>
      </c>
      <c r="AK26" s="15">
        <f>IFERROR(IF(ISBLANK(AD26),IFERROR(VLOOKUP($F26,Sheet3!$H$2:$O$200,AK$1,FALSE),VLOOKUP($G26,Sheet3!$H$2:$O$200,AK$1,FALSE)),$I$1),$I$1)</f>
        <v>0</v>
      </c>
      <c r="AL26" s="15">
        <f>IFERROR(IF(ISBLANK(AE26),VLOOKUP($G26,Sheet3!$H$2:$O$200,AL$1,FALSE),$I$1),$I$1)</f>
        <v>0</v>
      </c>
      <c r="AM26" s="15">
        <f>IFERROR(IF(ISBLANK(AF26),VLOOKUP($G26,Sheet3!$H$2:$O$200,AM$1,FALSE),$I$1),$I$1)</f>
        <v>0</v>
      </c>
      <c r="AN26" s="15">
        <f>IFERROR(IF(ISBLANK(AG26),VLOOKUP($G26,Sheet3!$H$2:$O$200,AN$1,FALSE),$I$1),$I$1)</f>
        <v>0</v>
      </c>
      <c r="AO26" s="15">
        <f>IFERROR(IF(ISBLANK(AH26),VLOOKUP($G26,Sheet3!$H$2:$O$200,AO$1,FALSE),$I$1),$I$1)</f>
        <v>0</v>
      </c>
      <c r="AP26" s="15">
        <f>IFERROR(IF(ISBLANK(AI26),VLOOKUP($G26,Sheet3!$H$2:$O$200,AP$1,FALSE),$I$1),$I$1)</f>
        <v>0</v>
      </c>
      <c r="AQ26" s="15">
        <f>IFERROR(IF(ISBLANK(AJ26),VLOOKUP($G26,Sheet3!$H$2:$O$200,AQ$1,FALSE),$I$1),$I$1)</f>
        <v>0</v>
      </c>
      <c r="AR26" s="15">
        <f>IFERROR(IF(ISBLANK(AK26),VLOOKUP($G26,Sheet3!$H$2:$O$200,AR$1,FALSE),$I$1),$I$1)</f>
        <v>0</v>
      </c>
      <c r="AS26" s="15">
        <f t="shared" ref="AS26:AY26" si="26">IFERROR(IF(ISBLANK(J26),IF(ISBLANK(Q26),IF(ISBLANK(X26),IF(ISBLANK(AE26),IF(ISBLANK(AL26),$BB$1,AL26),AE26),X26),Q26),J26),$BB$1)</f>
        <v>0</v>
      </c>
      <c r="AT26" s="15">
        <f t="shared" si="26"/>
        <v>0</v>
      </c>
      <c r="AU26" s="15">
        <f t="shared" si="26"/>
        <v>0</v>
      </c>
      <c r="AV26" s="15" t="str">
        <f t="shared" si="26"/>
        <v>crème de noyau</v>
      </c>
      <c r="AW26" s="15">
        <f t="shared" si="26"/>
        <v>0</v>
      </c>
      <c r="AX26" s="15">
        <f t="shared" si="26"/>
        <v>0</v>
      </c>
      <c r="AY26" s="15">
        <f t="shared" si="26"/>
        <v>0</v>
      </c>
      <c r="BA26" s="13">
        <f t="shared" si="1"/>
        <v>35</v>
      </c>
      <c r="BB26" s="15" t="b">
        <f t="shared" si="2"/>
        <v>0</v>
      </c>
    </row>
    <row r="27" spans="1:54" x14ac:dyDescent="0.2">
      <c r="A27" s="20" t="s">
        <v>95</v>
      </c>
      <c r="B27" s="20" t="s">
        <v>65</v>
      </c>
      <c r="C27" s="20"/>
      <c r="D27" s="20"/>
      <c r="E27" s="20" t="s">
        <v>86</v>
      </c>
      <c r="F27" s="20" t="s">
        <v>96</v>
      </c>
      <c r="G27" s="20"/>
      <c r="H27" s="20" t="s">
        <v>95</v>
      </c>
      <c r="I27" s="15">
        <v>2</v>
      </c>
      <c r="J27" s="15">
        <f>IFERROR(VLOOKUP($C27,Sheet3!$H$2:$O$200,J$1,FALSE),IFERROR(VLOOKUP($D27,Sheet3!$H$2:$O$200,J$1,FALSE),VLOOKUP($E27,Sheet3!$H$2:$O$200,J$1,FALSE)))</f>
        <v>0</v>
      </c>
      <c r="K27" s="15" t="str">
        <f>IFERROR(VLOOKUP($C27,Sheet3!$H$2:$O$200,K$1,FALSE),IFERROR(VLOOKUP($D27,Sheet3!$H$2:$O$200,K$1,FALSE),VLOOKUP($E27,Sheet3!$H$2:$O$200,K$1,FALSE)))</f>
        <v>simple syrup</v>
      </c>
      <c r="L27" s="15">
        <f>IFERROR(VLOOKUP($C27,Sheet3!$H$2:$O$200,L$1,FALSE),IFERROR(VLOOKUP($D27,Sheet3!$H$2:$O$200,L$1,FALSE),VLOOKUP($E27,Sheet3!$H$2:$O$200,L$1,FALSE)))</f>
        <v>0</v>
      </c>
      <c r="M27" s="15">
        <f>IFERROR(VLOOKUP($C27,Sheet3!$H$2:$O$200,M$1,FALSE),IFERROR(VLOOKUP($D27,Sheet3!$H$2:$O$200,M$1,FALSE),VLOOKUP($E27,Sheet3!$H$2:$O$200,M$1,FALSE)))</f>
        <v>0</v>
      </c>
      <c r="N27" s="15">
        <f>IFERROR(VLOOKUP($C27,Sheet3!$H$2:$O$200,N$1,FALSE),IFERROR(VLOOKUP($D27,Sheet3!$H$2:$O$200,N$1,FALSE),VLOOKUP($E27,Sheet3!$H$2:$O$200,N$1,FALSE)))</f>
        <v>0</v>
      </c>
      <c r="O27" s="15">
        <f>IFERROR(VLOOKUP($C27,Sheet3!$H$2:$O$200,O$1,FALSE),IFERROR(VLOOKUP($D27,Sheet3!$H$2:$O$200,O$1,FALSE),VLOOKUP($E27,Sheet3!$H$2:$O$200,O$1,FALSE)))</f>
        <v>0</v>
      </c>
      <c r="P27" s="15">
        <f>IFERROR(VLOOKUP($C27,Sheet3!$H$2:$O$200,P$1,FALSE),IFERROR(VLOOKUP($D27,Sheet3!$H$2:$O$200,P$1,FALSE),VLOOKUP($E27,Sheet3!$H$2:$O$200,P$1,FALSE)))</f>
        <v>0</v>
      </c>
      <c r="Q27" s="15">
        <f>IFERROR(IF(ISBLANK(J27),IFERROR(VLOOKUP($D27,Sheet3!$H$2:$O$200,Q$1,FALSE),IFERROR(VLOOKUP($E27,Sheet3!$H$2:$O$200,Q$1,FALSE),VLOOKUP($F27,Sheet3!$H$2:$O$200,Q$1,FALSE))),$I$1),$I$1)</f>
        <v>0</v>
      </c>
      <c r="R27" s="15">
        <f>IFERROR(IF(ISBLANK(K27),IFERROR(VLOOKUP($D27,Sheet3!$H$2:$O$200,R$1,FALSE),IFERROR(VLOOKUP($E27,Sheet3!$H$2:$O$200,R$1,FALSE),VLOOKUP($F27,Sheet3!$H$2:$O$200,R$1,FALSE))),$I$1),$I$1)</f>
        <v>0</v>
      </c>
      <c r="S27" s="15">
        <f>IFERROR(IF(ISBLANK(L27),IFERROR(VLOOKUP($D27,Sheet3!$H$2:$O$200,S$1,FALSE),IFERROR(VLOOKUP($E27,Sheet3!$H$2:$O$200,S$1,FALSE),VLOOKUP($F27,Sheet3!$H$2:$O$200,S$1,FALSE))),$I$1),$I$1)</f>
        <v>0</v>
      </c>
      <c r="T27" s="15">
        <f>IFERROR(IF(ISBLANK(M27),IFERROR(VLOOKUP($D27,Sheet3!$H$2:$O$200,T$1,FALSE),IFERROR(VLOOKUP($E27,Sheet3!$H$2:$O$200,T$1,FALSE),VLOOKUP($F27,Sheet3!$H$2:$O$200,T$1,FALSE))),$I$1),$I$1)</f>
        <v>0</v>
      </c>
      <c r="U27" s="15">
        <f>IFERROR(IF(ISBLANK(N27),IFERROR(VLOOKUP($D27,Sheet3!$H$2:$O$200,U$1,FALSE),IFERROR(VLOOKUP($E27,Sheet3!$H$2:$O$200,U$1,FALSE),VLOOKUP($F27,Sheet3!$H$2:$O$200,U$1,FALSE))),$I$1),$I$1)</f>
        <v>0</v>
      </c>
      <c r="V27" s="15">
        <f>IFERROR(IF(ISBLANK(O27),IFERROR(VLOOKUP($D27,Sheet3!$H$2:$O$200,V$1,FALSE),IFERROR(VLOOKUP($E27,Sheet3!$H$2:$O$200,V$1,FALSE),VLOOKUP($F27,Sheet3!$H$2:$O$200,V$1,FALSE))),$I$1),$I$1)</f>
        <v>0</v>
      </c>
      <c r="W27" s="15">
        <f>IFERROR(IF(ISBLANK(P27),IFERROR(VLOOKUP($D27,Sheet3!$H$2:$O$200,W$1,FALSE),IFERROR(VLOOKUP($E27,Sheet3!$H$2:$O$200,W$1,FALSE),VLOOKUP($F27,Sheet3!$H$2:$O$200,W$1,FALSE))),$I$1),$I$1)</f>
        <v>0</v>
      </c>
      <c r="X27" s="15">
        <f>IFERROR(IF(ISBLANK(Q27),IFERROR(VLOOKUP($E27,Sheet3!$H$2:$O$200,X$1,FALSE),IFERROR(VLOOKUP($F27,Sheet3!$H$2:$O$200,X$1,FALSE),VLOOKUP($G27,Sheet3!$H$2:$O$200,X$1,FALSE))),$I$1),$I$1)</f>
        <v>0</v>
      </c>
      <c r="Y27" s="15">
        <f>IFERROR(IF(ISBLANK(R27),IFERROR(VLOOKUP($E27,Sheet3!$H$2:$O$200,Y$1,FALSE),IFERROR(VLOOKUP($F27,Sheet3!$H$2:$O$200,Y$1,FALSE),VLOOKUP($G27,Sheet3!$H$2:$O$200,Y$1,FALSE))),$I$1),$I$1)</f>
        <v>0</v>
      </c>
      <c r="Z27" s="15">
        <f>IFERROR(IF(ISBLANK(S27),IFERROR(VLOOKUP($E27,Sheet3!$H$2:$O$200,Z$1,FALSE),IFERROR(VLOOKUP($F27,Sheet3!$H$2:$O$200,Z$1,FALSE),VLOOKUP($G27,Sheet3!$H$2:$O$200,Z$1,FALSE))),$I$1),$I$1)</f>
        <v>0</v>
      </c>
      <c r="AA27" s="15">
        <f>IFERROR(IF(ISBLANK(T27),IFERROR(VLOOKUP($E27,Sheet3!$H$2:$O$200,AA$1,FALSE),IFERROR(VLOOKUP($F27,Sheet3!$H$2:$O$200,AA$1,FALSE),VLOOKUP($G27,Sheet3!$H$2:$O$200,AA$1,FALSE))),$I$1),$I$1)</f>
        <v>0</v>
      </c>
      <c r="AB27" s="15">
        <f>IFERROR(IF(ISBLANK(U27),IFERROR(VLOOKUP($E27,Sheet3!$H$2:$O$200,AB$1,FALSE),IFERROR(VLOOKUP($F27,Sheet3!$H$2:$O$200,AB$1,FALSE),VLOOKUP($G27,Sheet3!$H$2:$O$200,AB$1,FALSE))),$I$1),$I$1)</f>
        <v>0</v>
      </c>
      <c r="AC27" s="15">
        <f>IFERROR(IF(ISBLANK(V27),IFERROR(VLOOKUP($E27,Sheet3!$H$2:$O$200,AC$1,FALSE),IFERROR(VLOOKUP($F27,Sheet3!$H$2:$O$200,AC$1,FALSE),VLOOKUP($G27,Sheet3!$H$2:$O$200,AC$1,FALSE))),$I$1),$I$1)</f>
        <v>0</v>
      </c>
      <c r="AD27" s="15">
        <f>IFERROR(IF(ISBLANK(W27),IFERROR(VLOOKUP($E27,Sheet3!$H$2:$O$200,AD$1,FALSE),IFERROR(VLOOKUP($F27,Sheet3!$H$2:$O$200,AD$1,FALSE),VLOOKUP($G27,Sheet3!$H$2:$O$200,AD$1,FALSE))),$I$1),$I$1)</f>
        <v>0</v>
      </c>
      <c r="AE27" s="15">
        <f>IFERROR(IF(ISBLANK(X27),IFERROR(VLOOKUP($F27,Sheet3!$H$2:$O$200,AE$1,FALSE),VLOOKUP($G27,Sheet3!$H$2:$O$200,AE$1,FALSE)),$I$1),$I$1)</f>
        <v>0</v>
      </c>
      <c r="AF27" s="15">
        <f>IFERROR(IF(ISBLANK(Y27),IFERROR(VLOOKUP($F27,Sheet3!$H$2:$O$200,AF$1,FALSE),VLOOKUP($G27,Sheet3!$H$2:$O$200,AF$1,FALSE)),$I$1),$I$1)</f>
        <v>0</v>
      </c>
      <c r="AG27" s="15">
        <f>IFERROR(IF(ISBLANK(Z27),IFERROR(VLOOKUP($F27,Sheet3!$H$2:$O$200,AG$1,FALSE),VLOOKUP($G27,Sheet3!$H$2:$O$200,AG$1,FALSE)),$I$1),$I$1)</f>
        <v>0</v>
      </c>
      <c r="AH27" s="15">
        <f>IFERROR(IF(ISBLANK(AA27),IFERROR(VLOOKUP($F27,Sheet3!$H$2:$O$200,AH$1,FALSE),VLOOKUP($G27,Sheet3!$H$2:$O$200,AH$1,FALSE)),$I$1),$I$1)</f>
        <v>0</v>
      </c>
      <c r="AI27" s="15">
        <f>IFERROR(IF(ISBLANK(AB27),IFERROR(VLOOKUP($F27,Sheet3!$H$2:$O$200,AI$1,FALSE),VLOOKUP($G27,Sheet3!$H$2:$O$200,AI$1,FALSE)),$I$1),$I$1)</f>
        <v>0</v>
      </c>
      <c r="AJ27" s="15">
        <f>IFERROR(IF(ISBLANK(AC27),IFERROR(VLOOKUP($F27,Sheet3!$H$2:$O$200,AJ$1,FALSE),VLOOKUP($G27,Sheet3!$H$2:$O$200,AJ$1,FALSE)),$I$1),$I$1)</f>
        <v>0</v>
      </c>
      <c r="AK27" s="15">
        <f>IFERROR(IF(ISBLANK(AD27),IFERROR(VLOOKUP($F27,Sheet3!$H$2:$O$200,AK$1,FALSE),VLOOKUP($G27,Sheet3!$H$2:$O$200,AK$1,FALSE)),$I$1),$I$1)</f>
        <v>0</v>
      </c>
      <c r="AL27" s="15">
        <f>IFERROR(IF(ISBLANK(AE27),VLOOKUP($G27,Sheet3!$H$2:$O$200,AL$1,FALSE),$I$1),$I$1)</f>
        <v>0</v>
      </c>
      <c r="AM27" s="15">
        <f>IFERROR(IF(ISBLANK(AF27),VLOOKUP($G27,Sheet3!$H$2:$O$200,AM$1,FALSE),$I$1),$I$1)</f>
        <v>0</v>
      </c>
      <c r="AN27" s="15">
        <f>IFERROR(IF(ISBLANK(AG27),VLOOKUP($G27,Sheet3!$H$2:$O$200,AN$1,FALSE),$I$1),$I$1)</f>
        <v>0</v>
      </c>
      <c r="AO27" s="15">
        <f>IFERROR(IF(ISBLANK(AH27),VLOOKUP($G27,Sheet3!$H$2:$O$200,AO$1,FALSE),$I$1),$I$1)</f>
        <v>0</v>
      </c>
      <c r="AP27" s="15">
        <f>IFERROR(IF(ISBLANK(AI27),VLOOKUP($G27,Sheet3!$H$2:$O$200,AP$1,FALSE),$I$1),$I$1)</f>
        <v>0</v>
      </c>
      <c r="AQ27" s="15">
        <f>IFERROR(IF(ISBLANK(AJ27),VLOOKUP($G27,Sheet3!$H$2:$O$200,AQ$1,FALSE),$I$1),$I$1)</f>
        <v>0</v>
      </c>
      <c r="AR27" s="15">
        <f>IFERROR(IF(ISBLANK(AK27),VLOOKUP($G27,Sheet3!$H$2:$O$200,AR$1,FALSE),$I$1),$I$1)</f>
        <v>0</v>
      </c>
      <c r="AS27" s="15">
        <f t="shared" ref="AS27:AY27" si="27">IFERROR(IF(ISBLANK(J27),IF(ISBLANK(Q27),IF(ISBLANK(X27),IF(ISBLANK(AE27),IF(ISBLANK(AL27),$BB$1,AL27),AE27),X27),Q27),J27),$BB$1)</f>
        <v>0</v>
      </c>
      <c r="AT27" s="15" t="str">
        <f t="shared" si="27"/>
        <v>simple syrup</v>
      </c>
      <c r="AU27" s="15">
        <f t="shared" si="27"/>
        <v>0</v>
      </c>
      <c r="AV27" s="15">
        <f t="shared" si="27"/>
        <v>0</v>
      </c>
      <c r="AW27" s="15">
        <f t="shared" si="27"/>
        <v>0</v>
      </c>
      <c r="AX27" s="15">
        <f t="shared" si="27"/>
        <v>0</v>
      </c>
      <c r="AY27" s="15">
        <f t="shared" si="27"/>
        <v>0</v>
      </c>
      <c r="BA27" s="13">
        <f t="shared" si="1"/>
        <v>35</v>
      </c>
      <c r="BB27" s="15" t="b">
        <f t="shared" si="2"/>
        <v>0</v>
      </c>
    </row>
    <row r="28" spans="1:54" x14ac:dyDescent="0.2">
      <c r="A28" s="19" t="s">
        <v>98</v>
      </c>
      <c r="B28" s="19" t="s">
        <v>99</v>
      </c>
      <c r="C28" s="19" t="s">
        <v>100</v>
      </c>
      <c r="D28" s="19" t="s">
        <v>38</v>
      </c>
      <c r="E28" s="19"/>
      <c r="F28" s="19"/>
      <c r="G28" s="19"/>
      <c r="H28" s="19" t="s">
        <v>98</v>
      </c>
      <c r="I28" s="15">
        <v>2</v>
      </c>
      <c r="J28" s="15">
        <f>IFERROR(VLOOKUP($C28,Sheet3!$H$2:$O$200,J$1,FALSE),IFERROR(VLOOKUP($D28,Sheet3!$H$2:$O$200,J$1,FALSE),VLOOKUP($E28,Sheet3!$H$2:$O$200,J$1,FALSE)))</f>
        <v>0</v>
      </c>
      <c r="K28" s="15">
        <f>IFERROR(VLOOKUP($C28,Sheet3!$H$2:$O$200,K$1,FALSE),IFERROR(VLOOKUP($D28,Sheet3!$H$2:$O$200,K$1,FALSE),VLOOKUP($E28,Sheet3!$H$2:$O$200,K$1,FALSE)))</f>
        <v>0</v>
      </c>
      <c r="L28" s="15">
        <f>IFERROR(VLOOKUP($C28,Sheet3!$H$2:$O$200,L$1,FALSE),IFERROR(VLOOKUP($D28,Sheet3!$H$2:$O$200,L$1,FALSE),VLOOKUP($E28,Sheet3!$H$2:$O$200,L$1,FALSE)))</f>
        <v>0</v>
      </c>
      <c r="M28" s="15" t="str">
        <f>IFERROR(VLOOKUP($C28,Sheet3!$H$2:$O$200,M$1,FALSE),IFERROR(VLOOKUP($D28,Sheet3!$H$2:$O$200,M$1,FALSE),VLOOKUP($E28,Sheet3!$H$2:$O$200,M$1,FALSE)))</f>
        <v>triple sec</v>
      </c>
      <c r="N28" s="15">
        <f>IFERROR(VLOOKUP($C28,Sheet3!$H$2:$O$200,N$1,FALSE),IFERROR(VLOOKUP($D28,Sheet3!$H$2:$O$200,N$1,FALSE),VLOOKUP($E28,Sheet3!$H$2:$O$200,N$1,FALSE)))</f>
        <v>0</v>
      </c>
      <c r="O28" s="15">
        <f>IFERROR(VLOOKUP($C28,Sheet3!$H$2:$O$200,O$1,FALSE),IFERROR(VLOOKUP($D28,Sheet3!$H$2:$O$200,O$1,FALSE),VLOOKUP($E28,Sheet3!$H$2:$O$200,O$1,FALSE)))</f>
        <v>0</v>
      </c>
      <c r="P28" s="15">
        <f>IFERROR(VLOOKUP($C28,Sheet3!$H$2:$O$200,P$1,FALSE),IFERROR(VLOOKUP($D28,Sheet3!$H$2:$O$200,P$1,FALSE),VLOOKUP($E28,Sheet3!$H$2:$O$200,P$1,FALSE)))</f>
        <v>0</v>
      </c>
      <c r="Q28" s="15">
        <f>IFERROR(IF(ISBLANK(J28),IFERROR(VLOOKUP($D28,Sheet3!$H$2:$O$200,Q$1,FALSE),IFERROR(VLOOKUP($E28,Sheet3!$H$2:$O$200,Q$1,FALSE),VLOOKUP($F28,Sheet3!$H$2:$O$200,Q$1,FALSE))),$I$1),$I$1)</f>
        <v>0</v>
      </c>
      <c r="R28" s="15">
        <f>IFERROR(IF(ISBLANK(K28),IFERROR(VLOOKUP($D28,Sheet3!$H$2:$O$200,R$1,FALSE),IFERROR(VLOOKUP($E28,Sheet3!$H$2:$O$200,R$1,FALSE),VLOOKUP($F28,Sheet3!$H$2:$O$200,R$1,FALSE))),$I$1),$I$1)</f>
        <v>0</v>
      </c>
      <c r="S28" s="15">
        <f>IFERROR(IF(ISBLANK(L28),IFERROR(VLOOKUP($D28,Sheet3!$H$2:$O$200,S$1,FALSE),IFERROR(VLOOKUP($E28,Sheet3!$H$2:$O$200,S$1,FALSE),VLOOKUP($F28,Sheet3!$H$2:$O$200,S$1,FALSE))),$I$1),$I$1)</f>
        <v>0</v>
      </c>
      <c r="T28" s="15">
        <f>IFERROR(IF(ISBLANK(M28),IFERROR(VLOOKUP($D28,Sheet3!$H$2:$O$200,T$1,FALSE),IFERROR(VLOOKUP($E28,Sheet3!$H$2:$O$200,T$1,FALSE),VLOOKUP($F28,Sheet3!$H$2:$O$200,T$1,FALSE))),$I$1),$I$1)</f>
        <v>0</v>
      </c>
      <c r="U28" s="15">
        <f>IFERROR(IF(ISBLANK(N28),IFERROR(VLOOKUP($D28,Sheet3!$H$2:$O$200,U$1,FALSE),IFERROR(VLOOKUP($E28,Sheet3!$H$2:$O$200,U$1,FALSE),VLOOKUP($F28,Sheet3!$H$2:$O$200,U$1,FALSE))),$I$1),$I$1)</f>
        <v>0</v>
      </c>
      <c r="V28" s="15">
        <f>IFERROR(IF(ISBLANK(O28),IFERROR(VLOOKUP($D28,Sheet3!$H$2:$O$200,V$1,FALSE),IFERROR(VLOOKUP($E28,Sheet3!$H$2:$O$200,V$1,FALSE),VLOOKUP($F28,Sheet3!$H$2:$O$200,V$1,FALSE))),$I$1),$I$1)</f>
        <v>0</v>
      </c>
      <c r="W28" s="15">
        <f>IFERROR(IF(ISBLANK(P28),IFERROR(VLOOKUP($D28,Sheet3!$H$2:$O$200,W$1,FALSE),IFERROR(VLOOKUP($E28,Sheet3!$H$2:$O$200,W$1,FALSE),VLOOKUP($F28,Sheet3!$H$2:$O$200,W$1,FALSE))),$I$1),$I$1)</f>
        <v>0</v>
      </c>
      <c r="X28" s="15">
        <f>IFERROR(IF(ISBLANK(Q28),IFERROR(VLOOKUP($E28,Sheet3!$H$2:$O$200,X$1,FALSE),IFERROR(VLOOKUP($F28,Sheet3!$H$2:$O$200,X$1,FALSE),VLOOKUP($G28,Sheet3!$H$2:$O$200,X$1,FALSE))),$I$1),$I$1)</f>
        <v>0</v>
      </c>
      <c r="Y28" s="15">
        <f>IFERROR(IF(ISBLANK(R28),IFERROR(VLOOKUP($E28,Sheet3!$H$2:$O$200,Y$1,FALSE),IFERROR(VLOOKUP($F28,Sheet3!$H$2:$O$200,Y$1,FALSE),VLOOKUP($G28,Sheet3!$H$2:$O$200,Y$1,FALSE))),$I$1),$I$1)</f>
        <v>0</v>
      </c>
      <c r="Z28" s="15">
        <f>IFERROR(IF(ISBLANK(S28),IFERROR(VLOOKUP($E28,Sheet3!$H$2:$O$200,Z$1,FALSE),IFERROR(VLOOKUP($F28,Sheet3!$H$2:$O$200,Z$1,FALSE),VLOOKUP($G28,Sheet3!$H$2:$O$200,Z$1,FALSE))),$I$1),$I$1)</f>
        <v>0</v>
      </c>
      <c r="AA28" s="15">
        <f>IFERROR(IF(ISBLANK(T28),IFERROR(VLOOKUP($E28,Sheet3!$H$2:$O$200,AA$1,FALSE),IFERROR(VLOOKUP($F28,Sheet3!$H$2:$O$200,AA$1,FALSE),VLOOKUP($G28,Sheet3!$H$2:$O$200,AA$1,FALSE))),$I$1),$I$1)</f>
        <v>0</v>
      </c>
      <c r="AB28" s="15">
        <f>IFERROR(IF(ISBLANK(U28),IFERROR(VLOOKUP($E28,Sheet3!$H$2:$O$200,AB$1,FALSE),IFERROR(VLOOKUP($F28,Sheet3!$H$2:$O$200,AB$1,FALSE),VLOOKUP($G28,Sheet3!$H$2:$O$200,AB$1,FALSE))),$I$1),$I$1)</f>
        <v>0</v>
      </c>
      <c r="AC28" s="15">
        <f>IFERROR(IF(ISBLANK(V28),IFERROR(VLOOKUP($E28,Sheet3!$H$2:$O$200,AC$1,FALSE),IFERROR(VLOOKUP($F28,Sheet3!$H$2:$O$200,AC$1,FALSE),VLOOKUP($G28,Sheet3!$H$2:$O$200,AC$1,FALSE))),$I$1),$I$1)</f>
        <v>0</v>
      </c>
      <c r="AD28" s="15">
        <f>IFERROR(IF(ISBLANK(W28),IFERROR(VLOOKUP($E28,Sheet3!$H$2:$O$200,AD$1,FALSE),IFERROR(VLOOKUP($F28,Sheet3!$H$2:$O$200,AD$1,FALSE),VLOOKUP($G28,Sheet3!$H$2:$O$200,AD$1,FALSE))),$I$1),$I$1)</f>
        <v>0</v>
      </c>
      <c r="AE28" s="15">
        <f>IFERROR(IF(ISBLANK(X28),IFERROR(VLOOKUP($F28,Sheet3!$H$2:$O$200,AE$1,FALSE),VLOOKUP($G28,Sheet3!$H$2:$O$200,AE$1,FALSE)),$I$1),$I$1)</f>
        <v>0</v>
      </c>
      <c r="AF28" s="15">
        <f>IFERROR(IF(ISBLANK(Y28),IFERROR(VLOOKUP($F28,Sheet3!$H$2:$O$200,AF$1,FALSE),VLOOKUP($G28,Sheet3!$H$2:$O$200,AF$1,FALSE)),$I$1),$I$1)</f>
        <v>0</v>
      </c>
      <c r="AG28" s="15">
        <f>IFERROR(IF(ISBLANK(Z28),IFERROR(VLOOKUP($F28,Sheet3!$H$2:$O$200,AG$1,FALSE),VLOOKUP($G28,Sheet3!$H$2:$O$200,AG$1,FALSE)),$I$1),$I$1)</f>
        <v>0</v>
      </c>
      <c r="AH28" s="15">
        <f>IFERROR(IF(ISBLANK(AA28),IFERROR(VLOOKUP($F28,Sheet3!$H$2:$O$200,AH$1,FALSE),VLOOKUP($G28,Sheet3!$H$2:$O$200,AH$1,FALSE)),$I$1),$I$1)</f>
        <v>0</v>
      </c>
      <c r="AI28" s="15">
        <f>IFERROR(IF(ISBLANK(AB28),IFERROR(VLOOKUP($F28,Sheet3!$H$2:$O$200,AI$1,FALSE),VLOOKUP($G28,Sheet3!$H$2:$O$200,AI$1,FALSE)),$I$1),$I$1)</f>
        <v>0</v>
      </c>
      <c r="AJ28" s="15">
        <f>IFERROR(IF(ISBLANK(AC28),IFERROR(VLOOKUP($F28,Sheet3!$H$2:$O$200,AJ$1,FALSE),VLOOKUP($G28,Sheet3!$H$2:$O$200,AJ$1,FALSE)),$I$1),$I$1)</f>
        <v>0</v>
      </c>
      <c r="AK28" s="15">
        <f>IFERROR(IF(ISBLANK(AD28),IFERROR(VLOOKUP($F28,Sheet3!$H$2:$O$200,AK$1,FALSE),VLOOKUP($G28,Sheet3!$H$2:$O$200,AK$1,FALSE)),$I$1),$I$1)</f>
        <v>0</v>
      </c>
      <c r="AL28" s="15">
        <f>IFERROR(IF(ISBLANK(AE28),VLOOKUP($G28,Sheet3!$H$2:$O$200,AL$1,FALSE),$I$1),$I$1)</f>
        <v>0</v>
      </c>
      <c r="AM28" s="15">
        <f>IFERROR(IF(ISBLANK(AF28),VLOOKUP($G28,Sheet3!$H$2:$O$200,AM$1,FALSE),$I$1),$I$1)</f>
        <v>0</v>
      </c>
      <c r="AN28" s="15">
        <f>IFERROR(IF(ISBLANK(AG28),VLOOKUP($G28,Sheet3!$H$2:$O$200,AN$1,FALSE),$I$1),$I$1)</f>
        <v>0</v>
      </c>
      <c r="AO28" s="15">
        <f>IFERROR(IF(ISBLANK(AH28),VLOOKUP($G28,Sheet3!$H$2:$O$200,AO$1,FALSE),$I$1),$I$1)</f>
        <v>0</v>
      </c>
      <c r="AP28" s="15">
        <f>IFERROR(IF(ISBLANK(AI28),VLOOKUP($G28,Sheet3!$H$2:$O$200,AP$1,FALSE),$I$1),$I$1)</f>
        <v>0</v>
      </c>
      <c r="AQ28" s="15">
        <f>IFERROR(IF(ISBLANK(AJ28),VLOOKUP($G28,Sheet3!$H$2:$O$200,AQ$1,FALSE),$I$1),$I$1)</f>
        <v>0</v>
      </c>
      <c r="AR28" s="15">
        <f>IFERROR(IF(ISBLANK(AK28),VLOOKUP($G28,Sheet3!$H$2:$O$200,AR$1,FALSE),$I$1),$I$1)</f>
        <v>0</v>
      </c>
      <c r="AS28" s="15">
        <f t="shared" ref="AS28:AY28" si="28">IFERROR(IF(ISBLANK(J28),IF(ISBLANK(Q28),IF(ISBLANK(X28),IF(ISBLANK(AE28),IF(ISBLANK(AL28),$BB$1,AL28),AE28),X28),Q28),J28),$BB$1)</f>
        <v>0</v>
      </c>
      <c r="AT28" s="15">
        <f t="shared" si="28"/>
        <v>0</v>
      </c>
      <c r="AU28" s="15">
        <f t="shared" si="28"/>
        <v>0</v>
      </c>
      <c r="AV28" s="15" t="str">
        <f t="shared" si="28"/>
        <v>triple sec</v>
      </c>
      <c r="AW28" s="15">
        <f t="shared" si="28"/>
        <v>0</v>
      </c>
      <c r="AX28" s="15">
        <f t="shared" si="28"/>
        <v>0</v>
      </c>
      <c r="AY28" s="15">
        <f t="shared" si="28"/>
        <v>0</v>
      </c>
      <c r="BA28" s="13">
        <f t="shared" si="1"/>
        <v>35</v>
      </c>
      <c r="BB28" s="15" t="b">
        <f t="shared" si="2"/>
        <v>0</v>
      </c>
    </row>
    <row r="29" spans="1:54" x14ac:dyDescent="0.2">
      <c r="A29" s="19" t="s">
        <v>102</v>
      </c>
      <c r="B29" s="19" t="s">
        <v>49</v>
      </c>
      <c r="C29" s="19" t="s">
        <v>31</v>
      </c>
      <c r="D29" s="19"/>
      <c r="E29" s="19"/>
      <c r="F29" s="19"/>
      <c r="G29" s="19"/>
      <c r="H29" s="19" t="s">
        <v>102</v>
      </c>
      <c r="I29" s="15">
        <v>1</v>
      </c>
      <c r="J29" s="15">
        <f>IFERROR(VLOOKUP($C29,Sheet3!$H$2:$O$200,J$1,FALSE),IFERROR(VLOOKUP($D29,Sheet3!$H$2:$O$200,J$1,FALSE),VLOOKUP($E29,Sheet3!$H$2:$O$200,J$1,FALSE)))</f>
        <v>0</v>
      </c>
      <c r="K29" s="15">
        <f>IFERROR(VLOOKUP($C29,Sheet3!$H$2:$O$200,K$1,FALSE),IFERROR(VLOOKUP($D29,Sheet3!$H$2:$O$200,K$1,FALSE),VLOOKUP($E29,Sheet3!$H$2:$O$200,K$1,FALSE)))</f>
        <v>0</v>
      </c>
      <c r="L29" s="15">
        <f>IFERROR(VLOOKUP($C29,Sheet3!$H$2:$O$200,L$1,FALSE),IFERROR(VLOOKUP($D29,Sheet3!$H$2:$O$200,L$1,FALSE),VLOOKUP($E29,Sheet3!$H$2:$O$200,L$1,FALSE)))</f>
        <v>0</v>
      </c>
      <c r="M29" s="15" t="str">
        <f>IFERROR(VLOOKUP($C29,Sheet3!$H$2:$O$200,M$1,FALSE),IFERROR(VLOOKUP($D29,Sheet3!$H$2:$O$200,M$1,FALSE),VLOOKUP($E29,Sheet3!$H$2:$O$200,M$1,FALSE)))</f>
        <v>white crème de cacao</v>
      </c>
      <c r="N29" s="15">
        <f>IFERROR(VLOOKUP($C29,Sheet3!$H$2:$O$200,N$1,FALSE),IFERROR(VLOOKUP($D29,Sheet3!$H$2:$O$200,N$1,FALSE),VLOOKUP($E29,Sheet3!$H$2:$O$200,N$1,FALSE)))</f>
        <v>0</v>
      </c>
      <c r="O29" s="15">
        <f>IFERROR(VLOOKUP($C29,Sheet3!$H$2:$O$200,O$1,FALSE),IFERROR(VLOOKUP($D29,Sheet3!$H$2:$O$200,O$1,FALSE),VLOOKUP($E29,Sheet3!$H$2:$O$200,O$1,FALSE)))</f>
        <v>0</v>
      </c>
      <c r="P29" s="15">
        <f>IFERROR(VLOOKUP($C29,Sheet3!$H$2:$O$200,P$1,FALSE),IFERROR(VLOOKUP($D29,Sheet3!$H$2:$O$200,P$1,FALSE),VLOOKUP($E29,Sheet3!$H$2:$O$200,P$1,FALSE)))</f>
        <v>0</v>
      </c>
      <c r="Q29" s="15">
        <f>IFERROR(IF(ISBLANK(J29),IFERROR(VLOOKUP($D29,Sheet3!$H$2:$O$200,Q$1,FALSE),IFERROR(VLOOKUP($E29,Sheet3!$H$2:$O$200,Q$1,FALSE),VLOOKUP($F29,Sheet3!$H$2:$O$200,Q$1,FALSE))),$I$1),$I$1)</f>
        <v>0</v>
      </c>
      <c r="R29" s="15">
        <f>IFERROR(IF(ISBLANK(K29),IFERROR(VLOOKUP($D29,Sheet3!$H$2:$O$200,R$1,FALSE),IFERROR(VLOOKUP($E29,Sheet3!$H$2:$O$200,R$1,FALSE),VLOOKUP($F29,Sheet3!$H$2:$O$200,R$1,FALSE))),$I$1),$I$1)</f>
        <v>0</v>
      </c>
      <c r="S29" s="15">
        <f>IFERROR(IF(ISBLANK(L29),IFERROR(VLOOKUP($D29,Sheet3!$H$2:$O$200,S$1,FALSE),IFERROR(VLOOKUP($E29,Sheet3!$H$2:$O$200,S$1,FALSE),VLOOKUP($F29,Sheet3!$H$2:$O$200,S$1,FALSE))),$I$1),$I$1)</f>
        <v>0</v>
      </c>
      <c r="T29" s="15">
        <f>IFERROR(IF(ISBLANK(M29),IFERROR(VLOOKUP($D29,Sheet3!$H$2:$O$200,T$1,FALSE),IFERROR(VLOOKUP($E29,Sheet3!$H$2:$O$200,T$1,FALSE),VLOOKUP($F29,Sheet3!$H$2:$O$200,T$1,FALSE))),$I$1),$I$1)</f>
        <v>0</v>
      </c>
      <c r="U29" s="15">
        <f>IFERROR(IF(ISBLANK(N29),IFERROR(VLOOKUP($D29,Sheet3!$H$2:$O$200,U$1,FALSE),IFERROR(VLOOKUP($E29,Sheet3!$H$2:$O$200,U$1,FALSE),VLOOKUP($F29,Sheet3!$H$2:$O$200,U$1,FALSE))),$I$1),$I$1)</f>
        <v>0</v>
      </c>
      <c r="V29" s="15">
        <f>IFERROR(IF(ISBLANK(O29),IFERROR(VLOOKUP($D29,Sheet3!$H$2:$O$200,V$1,FALSE),IFERROR(VLOOKUP($E29,Sheet3!$H$2:$O$200,V$1,FALSE),VLOOKUP($F29,Sheet3!$H$2:$O$200,V$1,FALSE))),$I$1),$I$1)</f>
        <v>0</v>
      </c>
      <c r="W29" s="15">
        <f>IFERROR(IF(ISBLANK(P29),IFERROR(VLOOKUP($D29,Sheet3!$H$2:$O$200,W$1,FALSE),IFERROR(VLOOKUP($E29,Sheet3!$H$2:$O$200,W$1,FALSE),VLOOKUP($F29,Sheet3!$H$2:$O$200,W$1,FALSE))),$I$1),$I$1)</f>
        <v>0</v>
      </c>
      <c r="X29" s="15">
        <f>IFERROR(IF(ISBLANK(Q29),IFERROR(VLOOKUP($E29,Sheet3!$H$2:$O$200,X$1,FALSE),IFERROR(VLOOKUP($F29,Sheet3!$H$2:$O$200,X$1,FALSE),VLOOKUP($G29,Sheet3!$H$2:$O$200,X$1,FALSE))),$I$1),$I$1)</f>
        <v>0</v>
      </c>
      <c r="Y29" s="15">
        <f>IFERROR(IF(ISBLANK(R29),IFERROR(VLOOKUP($E29,Sheet3!$H$2:$O$200,Y$1,FALSE),IFERROR(VLOOKUP($F29,Sheet3!$H$2:$O$200,Y$1,FALSE),VLOOKUP($G29,Sheet3!$H$2:$O$200,Y$1,FALSE))),$I$1),$I$1)</f>
        <v>0</v>
      </c>
      <c r="Z29" s="15">
        <f>IFERROR(IF(ISBLANK(S29),IFERROR(VLOOKUP($E29,Sheet3!$H$2:$O$200,Z$1,FALSE),IFERROR(VLOOKUP($F29,Sheet3!$H$2:$O$200,Z$1,FALSE),VLOOKUP($G29,Sheet3!$H$2:$O$200,Z$1,FALSE))),$I$1),$I$1)</f>
        <v>0</v>
      </c>
      <c r="AA29" s="15">
        <f>IFERROR(IF(ISBLANK(T29),IFERROR(VLOOKUP($E29,Sheet3!$H$2:$O$200,AA$1,FALSE),IFERROR(VLOOKUP($F29,Sheet3!$H$2:$O$200,AA$1,FALSE),VLOOKUP($G29,Sheet3!$H$2:$O$200,AA$1,FALSE))),$I$1),$I$1)</f>
        <v>0</v>
      </c>
      <c r="AB29" s="15">
        <f>IFERROR(IF(ISBLANK(U29),IFERROR(VLOOKUP($E29,Sheet3!$H$2:$O$200,AB$1,FALSE),IFERROR(VLOOKUP($F29,Sheet3!$H$2:$O$200,AB$1,FALSE),VLOOKUP($G29,Sheet3!$H$2:$O$200,AB$1,FALSE))),$I$1),$I$1)</f>
        <v>0</v>
      </c>
      <c r="AC29" s="15">
        <f>IFERROR(IF(ISBLANK(V29),IFERROR(VLOOKUP($E29,Sheet3!$H$2:$O$200,AC$1,FALSE),IFERROR(VLOOKUP($F29,Sheet3!$H$2:$O$200,AC$1,FALSE),VLOOKUP($G29,Sheet3!$H$2:$O$200,AC$1,FALSE))),$I$1),$I$1)</f>
        <v>0</v>
      </c>
      <c r="AD29" s="15">
        <f>IFERROR(IF(ISBLANK(W29),IFERROR(VLOOKUP($E29,Sheet3!$H$2:$O$200,AD$1,FALSE),IFERROR(VLOOKUP($F29,Sheet3!$H$2:$O$200,AD$1,FALSE),VLOOKUP($G29,Sheet3!$H$2:$O$200,AD$1,FALSE))),$I$1),$I$1)</f>
        <v>0</v>
      </c>
      <c r="AE29" s="15">
        <f>IFERROR(IF(ISBLANK(X29),IFERROR(VLOOKUP($F29,Sheet3!$H$2:$O$200,AE$1,FALSE),VLOOKUP($G29,Sheet3!$H$2:$O$200,AE$1,FALSE)),$I$1),$I$1)</f>
        <v>0</v>
      </c>
      <c r="AF29" s="15">
        <f>IFERROR(IF(ISBLANK(Y29),IFERROR(VLOOKUP($F29,Sheet3!$H$2:$O$200,AF$1,FALSE),VLOOKUP($G29,Sheet3!$H$2:$O$200,AF$1,FALSE)),$I$1),$I$1)</f>
        <v>0</v>
      </c>
      <c r="AG29" s="15">
        <f>IFERROR(IF(ISBLANK(Z29),IFERROR(VLOOKUP($F29,Sheet3!$H$2:$O$200,AG$1,FALSE),VLOOKUP($G29,Sheet3!$H$2:$O$200,AG$1,FALSE)),$I$1),$I$1)</f>
        <v>0</v>
      </c>
      <c r="AH29" s="15">
        <f>IFERROR(IF(ISBLANK(AA29),IFERROR(VLOOKUP($F29,Sheet3!$H$2:$O$200,AH$1,FALSE),VLOOKUP($G29,Sheet3!$H$2:$O$200,AH$1,FALSE)),$I$1),$I$1)</f>
        <v>0</v>
      </c>
      <c r="AI29" s="15">
        <f>IFERROR(IF(ISBLANK(AB29),IFERROR(VLOOKUP($F29,Sheet3!$H$2:$O$200,AI$1,FALSE),VLOOKUP($G29,Sheet3!$H$2:$O$200,AI$1,FALSE)),$I$1),$I$1)</f>
        <v>0</v>
      </c>
      <c r="AJ29" s="15">
        <f>IFERROR(IF(ISBLANK(AC29),IFERROR(VLOOKUP($F29,Sheet3!$H$2:$O$200,AJ$1,FALSE),VLOOKUP($G29,Sheet3!$H$2:$O$200,AJ$1,FALSE)),$I$1),$I$1)</f>
        <v>0</v>
      </c>
      <c r="AK29" s="15">
        <f>IFERROR(IF(ISBLANK(AD29),IFERROR(VLOOKUP($F29,Sheet3!$H$2:$O$200,AK$1,FALSE),VLOOKUP($G29,Sheet3!$H$2:$O$200,AK$1,FALSE)),$I$1),$I$1)</f>
        <v>0</v>
      </c>
      <c r="AL29" s="15">
        <f>IFERROR(IF(ISBLANK(AE29),VLOOKUP($G29,Sheet3!$H$2:$O$200,AL$1,FALSE),$I$1),$I$1)</f>
        <v>0</v>
      </c>
      <c r="AM29" s="15">
        <f>IFERROR(IF(ISBLANK(AF29),VLOOKUP($G29,Sheet3!$H$2:$O$200,AM$1,FALSE),$I$1),$I$1)</f>
        <v>0</v>
      </c>
      <c r="AN29" s="15">
        <f>IFERROR(IF(ISBLANK(AG29),VLOOKUP($G29,Sheet3!$H$2:$O$200,AN$1,FALSE),$I$1),$I$1)</f>
        <v>0</v>
      </c>
      <c r="AO29" s="15">
        <f>IFERROR(IF(ISBLANK(AH29),VLOOKUP($G29,Sheet3!$H$2:$O$200,AO$1,FALSE),$I$1),$I$1)</f>
        <v>0</v>
      </c>
      <c r="AP29" s="15">
        <f>IFERROR(IF(ISBLANK(AI29),VLOOKUP($G29,Sheet3!$H$2:$O$200,AP$1,FALSE),$I$1),$I$1)</f>
        <v>0</v>
      </c>
      <c r="AQ29" s="15">
        <f>IFERROR(IF(ISBLANK(AJ29),VLOOKUP($G29,Sheet3!$H$2:$O$200,AQ$1,FALSE),$I$1),$I$1)</f>
        <v>0</v>
      </c>
      <c r="AR29" s="15">
        <f>IFERROR(IF(ISBLANK(AK29),VLOOKUP($G29,Sheet3!$H$2:$O$200,AR$1,FALSE),$I$1),$I$1)</f>
        <v>0</v>
      </c>
      <c r="AS29" s="15">
        <f t="shared" ref="AS29:AY29" si="29">IFERROR(IF(ISBLANK(J29),IF(ISBLANK(Q29),IF(ISBLANK(X29),IF(ISBLANK(AE29),IF(ISBLANK(AL29),$BB$1,AL29),AE29),X29),Q29),J29),$BB$1)</f>
        <v>0</v>
      </c>
      <c r="AT29" s="15">
        <f t="shared" si="29"/>
        <v>0</v>
      </c>
      <c r="AU29" s="15">
        <f t="shared" si="29"/>
        <v>0</v>
      </c>
      <c r="AV29" s="15" t="str">
        <f t="shared" si="29"/>
        <v>white crème de cacao</v>
      </c>
      <c r="AW29" s="15">
        <f t="shared" si="29"/>
        <v>0</v>
      </c>
      <c r="AX29" s="15">
        <f t="shared" si="29"/>
        <v>0</v>
      </c>
      <c r="AY29" s="15">
        <f t="shared" si="29"/>
        <v>0</v>
      </c>
      <c r="BA29" s="13">
        <f t="shared" si="1"/>
        <v>35</v>
      </c>
      <c r="BB29" s="15" t="b">
        <f t="shared" si="2"/>
        <v>0</v>
      </c>
    </row>
    <row r="30" spans="1:54" x14ac:dyDescent="0.2">
      <c r="A30" s="19" t="s">
        <v>103</v>
      </c>
      <c r="B30" s="19" t="s">
        <v>49</v>
      </c>
      <c r="C30" s="19" t="s">
        <v>53</v>
      </c>
      <c r="D30" s="19"/>
      <c r="E30" s="19" t="s">
        <v>104</v>
      </c>
      <c r="F30" s="19"/>
      <c r="G30" s="19"/>
      <c r="H30" s="19" t="s">
        <v>103</v>
      </c>
      <c r="I30" s="15">
        <v>2</v>
      </c>
      <c r="J30" s="15">
        <f>IFERROR(VLOOKUP($C30,Sheet3!$H$2:$O$200,J$1,FALSE),IFERROR(VLOOKUP($D30,Sheet3!$H$2:$O$200,J$1,FALSE),VLOOKUP($E30,Sheet3!$H$2:$O$200,J$1,FALSE)))</f>
        <v>0</v>
      </c>
      <c r="K30" s="15">
        <f>IFERROR(VLOOKUP($C30,Sheet3!$H$2:$O$200,K$1,FALSE),IFERROR(VLOOKUP($D30,Sheet3!$H$2:$O$200,K$1,FALSE),VLOOKUP($E30,Sheet3!$H$2:$O$200,K$1,FALSE)))</f>
        <v>0</v>
      </c>
      <c r="L30" s="15">
        <f>IFERROR(VLOOKUP($C30,Sheet3!$H$2:$O$200,L$1,FALSE),IFERROR(VLOOKUP($D30,Sheet3!$H$2:$O$200,L$1,FALSE),VLOOKUP($E30,Sheet3!$H$2:$O$200,L$1,FALSE)))</f>
        <v>0</v>
      </c>
      <c r="M30" s="15" t="str">
        <f>IFERROR(VLOOKUP($C30,Sheet3!$H$2:$O$200,M$1,FALSE),IFERROR(VLOOKUP($D30,Sheet3!$H$2:$O$200,M$1,FALSE),VLOOKUP($E30,Sheet3!$H$2:$O$200,M$1,FALSE)))</f>
        <v>Dubonnet</v>
      </c>
      <c r="N30" s="15">
        <f>IFERROR(VLOOKUP($C30,Sheet3!$H$2:$O$200,N$1,FALSE),IFERROR(VLOOKUP($D30,Sheet3!$H$2:$O$200,N$1,FALSE),VLOOKUP($E30,Sheet3!$H$2:$O$200,N$1,FALSE)))</f>
        <v>0</v>
      </c>
      <c r="O30" s="15">
        <f>IFERROR(VLOOKUP($C30,Sheet3!$H$2:$O$200,O$1,FALSE),IFERROR(VLOOKUP($D30,Sheet3!$H$2:$O$200,O$1,FALSE),VLOOKUP($E30,Sheet3!$H$2:$O$200,O$1,FALSE)))</f>
        <v>0</v>
      </c>
      <c r="P30" s="15">
        <f>IFERROR(VLOOKUP($C30,Sheet3!$H$2:$O$200,P$1,FALSE),IFERROR(VLOOKUP($D30,Sheet3!$H$2:$O$200,P$1,FALSE),VLOOKUP($E30,Sheet3!$H$2:$O$200,P$1,FALSE)))</f>
        <v>0</v>
      </c>
      <c r="Q30" s="15">
        <f>IFERROR(IF(ISBLANK(J30),IFERROR(VLOOKUP($D30,Sheet3!$H$2:$O$200,Q$1,FALSE),IFERROR(VLOOKUP($E30,Sheet3!$H$2:$O$200,Q$1,FALSE),VLOOKUP($F30,Sheet3!$H$2:$O$200,Q$1,FALSE))),$I$1),$I$1)</f>
        <v>0</v>
      </c>
      <c r="R30" s="15">
        <f>IFERROR(IF(ISBLANK(K30),IFERROR(VLOOKUP($D30,Sheet3!$H$2:$O$200,R$1,FALSE),IFERROR(VLOOKUP($E30,Sheet3!$H$2:$O$200,R$1,FALSE),VLOOKUP($F30,Sheet3!$H$2:$O$200,R$1,FALSE))),$I$1),$I$1)</f>
        <v>0</v>
      </c>
      <c r="S30" s="15">
        <f>IFERROR(IF(ISBLANK(L30),IFERROR(VLOOKUP($D30,Sheet3!$H$2:$O$200,S$1,FALSE),IFERROR(VLOOKUP($E30,Sheet3!$H$2:$O$200,S$1,FALSE),VLOOKUP($F30,Sheet3!$H$2:$O$200,S$1,FALSE))),$I$1),$I$1)</f>
        <v>0</v>
      </c>
      <c r="T30" s="15">
        <f>IFERROR(IF(ISBLANK(M30),IFERROR(VLOOKUP($D30,Sheet3!$H$2:$O$200,T$1,FALSE),IFERROR(VLOOKUP($E30,Sheet3!$H$2:$O$200,T$1,FALSE),VLOOKUP($F30,Sheet3!$H$2:$O$200,T$1,FALSE))),$I$1),$I$1)</f>
        <v>0</v>
      </c>
      <c r="U30" s="15">
        <f>IFERROR(IF(ISBLANK(N30),IFERROR(VLOOKUP($D30,Sheet3!$H$2:$O$200,U$1,FALSE),IFERROR(VLOOKUP($E30,Sheet3!$H$2:$O$200,U$1,FALSE),VLOOKUP($F30,Sheet3!$H$2:$O$200,U$1,FALSE))),$I$1),$I$1)</f>
        <v>0</v>
      </c>
      <c r="V30" s="15">
        <f>IFERROR(IF(ISBLANK(O30),IFERROR(VLOOKUP($D30,Sheet3!$H$2:$O$200,V$1,FALSE),IFERROR(VLOOKUP($E30,Sheet3!$H$2:$O$200,V$1,FALSE),VLOOKUP($F30,Sheet3!$H$2:$O$200,V$1,FALSE))),$I$1),$I$1)</f>
        <v>0</v>
      </c>
      <c r="W30" s="15">
        <f>IFERROR(IF(ISBLANK(P30),IFERROR(VLOOKUP($D30,Sheet3!$H$2:$O$200,W$1,FALSE),IFERROR(VLOOKUP($E30,Sheet3!$H$2:$O$200,W$1,FALSE),VLOOKUP($F30,Sheet3!$H$2:$O$200,W$1,FALSE))),$I$1),$I$1)</f>
        <v>0</v>
      </c>
      <c r="X30" s="15">
        <f>IFERROR(IF(ISBLANK(Q30),IFERROR(VLOOKUP($E30,Sheet3!$H$2:$O$200,X$1,FALSE),IFERROR(VLOOKUP($F30,Sheet3!$H$2:$O$200,X$1,FALSE),VLOOKUP($G30,Sheet3!$H$2:$O$200,X$1,FALSE))),$I$1),$I$1)</f>
        <v>0</v>
      </c>
      <c r="Y30" s="15">
        <f>IFERROR(IF(ISBLANK(R30),IFERROR(VLOOKUP($E30,Sheet3!$H$2:$O$200,Y$1,FALSE),IFERROR(VLOOKUP($F30,Sheet3!$H$2:$O$200,Y$1,FALSE),VLOOKUP($G30,Sheet3!$H$2:$O$200,Y$1,FALSE))),$I$1),$I$1)</f>
        <v>0</v>
      </c>
      <c r="Z30" s="15">
        <f>IFERROR(IF(ISBLANK(S30),IFERROR(VLOOKUP($E30,Sheet3!$H$2:$O$200,Z$1,FALSE),IFERROR(VLOOKUP($F30,Sheet3!$H$2:$O$200,Z$1,FALSE),VLOOKUP($G30,Sheet3!$H$2:$O$200,Z$1,FALSE))),$I$1),$I$1)</f>
        <v>0</v>
      </c>
      <c r="AA30" s="15">
        <f>IFERROR(IF(ISBLANK(T30),IFERROR(VLOOKUP($E30,Sheet3!$H$2:$O$200,AA$1,FALSE),IFERROR(VLOOKUP($F30,Sheet3!$H$2:$O$200,AA$1,FALSE),VLOOKUP($G30,Sheet3!$H$2:$O$200,AA$1,FALSE))),$I$1),$I$1)</f>
        <v>0</v>
      </c>
      <c r="AB30" s="15">
        <f>IFERROR(IF(ISBLANK(U30),IFERROR(VLOOKUP($E30,Sheet3!$H$2:$O$200,AB$1,FALSE),IFERROR(VLOOKUP($F30,Sheet3!$H$2:$O$200,AB$1,FALSE),VLOOKUP($G30,Sheet3!$H$2:$O$200,AB$1,FALSE))),$I$1),$I$1)</f>
        <v>0</v>
      </c>
      <c r="AC30" s="15">
        <f>IFERROR(IF(ISBLANK(V30),IFERROR(VLOOKUP($E30,Sheet3!$H$2:$O$200,AC$1,FALSE),IFERROR(VLOOKUP($F30,Sheet3!$H$2:$O$200,AC$1,FALSE),VLOOKUP($G30,Sheet3!$H$2:$O$200,AC$1,FALSE))),$I$1),$I$1)</f>
        <v>0</v>
      </c>
      <c r="AD30" s="15">
        <f>IFERROR(IF(ISBLANK(W30),IFERROR(VLOOKUP($E30,Sheet3!$H$2:$O$200,AD$1,FALSE),IFERROR(VLOOKUP($F30,Sheet3!$H$2:$O$200,AD$1,FALSE),VLOOKUP($G30,Sheet3!$H$2:$O$200,AD$1,FALSE))),$I$1),$I$1)</f>
        <v>0</v>
      </c>
      <c r="AE30" s="15">
        <f>IFERROR(IF(ISBLANK(X30),IFERROR(VLOOKUP($F30,Sheet3!$H$2:$O$200,AE$1,FALSE),VLOOKUP($G30,Sheet3!$H$2:$O$200,AE$1,FALSE)),$I$1),$I$1)</f>
        <v>0</v>
      </c>
      <c r="AF30" s="15">
        <f>IFERROR(IF(ISBLANK(Y30),IFERROR(VLOOKUP($F30,Sheet3!$H$2:$O$200,AF$1,FALSE),VLOOKUP($G30,Sheet3!$H$2:$O$200,AF$1,FALSE)),$I$1),$I$1)</f>
        <v>0</v>
      </c>
      <c r="AG30" s="15">
        <f>IFERROR(IF(ISBLANK(Z30),IFERROR(VLOOKUP($F30,Sheet3!$H$2:$O$200,AG$1,FALSE),VLOOKUP($G30,Sheet3!$H$2:$O$200,AG$1,FALSE)),$I$1),$I$1)</f>
        <v>0</v>
      </c>
      <c r="AH30" s="15">
        <f>IFERROR(IF(ISBLANK(AA30),IFERROR(VLOOKUP($F30,Sheet3!$H$2:$O$200,AH$1,FALSE),VLOOKUP($G30,Sheet3!$H$2:$O$200,AH$1,FALSE)),$I$1),$I$1)</f>
        <v>0</v>
      </c>
      <c r="AI30" s="15">
        <f>IFERROR(IF(ISBLANK(AB30),IFERROR(VLOOKUP($F30,Sheet3!$H$2:$O$200,AI$1,FALSE),VLOOKUP($G30,Sheet3!$H$2:$O$200,AI$1,FALSE)),$I$1),$I$1)</f>
        <v>0</v>
      </c>
      <c r="AJ30" s="15">
        <f>IFERROR(IF(ISBLANK(AC30),IFERROR(VLOOKUP($F30,Sheet3!$H$2:$O$200,AJ$1,FALSE),VLOOKUP($G30,Sheet3!$H$2:$O$200,AJ$1,FALSE)),$I$1),$I$1)</f>
        <v>0</v>
      </c>
      <c r="AK30" s="15">
        <f>IFERROR(IF(ISBLANK(AD30),IFERROR(VLOOKUP($F30,Sheet3!$H$2:$O$200,AK$1,FALSE),VLOOKUP($G30,Sheet3!$H$2:$O$200,AK$1,FALSE)),$I$1),$I$1)</f>
        <v>0</v>
      </c>
      <c r="AL30" s="15">
        <f>IFERROR(IF(ISBLANK(AE30),VLOOKUP($G30,Sheet3!$H$2:$O$200,AL$1,FALSE),$I$1),$I$1)</f>
        <v>0</v>
      </c>
      <c r="AM30" s="15">
        <f>IFERROR(IF(ISBLANK(AF30),VLOOKUP($G30,Sheet3!$H$2:$O$200,AM$1,FALSE),$I$1),$I$1)</f>
        <v>0</v>
      </c>
      <c r="AN30" s="15">
        <f>IFERROR(IF(ISBLANK(AG30),VLOOKUP($G30,Sheet3!$H$2:$O$200,AN$1,FALSE),$I$1),$I$1)</f>
        <v>0</v>
      </c>
      <c r="AO30" s="15">
        <f>IFERROR(IF(ISBLANK(AH30),VLOOKUP($G30,Sheet3!$H$2:$O$200,AO$1,FALSE),$I$1),$I$1)</f>
        <v>0</v>
      </c>
      <c r="AP30" s="15">
        <f>IFERROR(IF(ISBLANK(AI30),VLOOKUP($G30,Sheet3!$H$2:$O$200,AP$1,FALSE),$I$1),$I$1)</f>
        <v>0</v>
      </c>
      <c r="AQ30" s="15">
        <f>IFERROR(IF(ISBLANK(AJ30),VLOOKUP($G30,Sheet3!$H$2:$O$200,AQ$1,FALSE),$I$1),$I$1)</f>
        <v>0</v>
      </c>
      <c r="AR30" s="15">
        <f>IFERROR(IF(ISBLANK(AK30),VLOOKUP($G30,Sheet3!$H$2:$O$200,AR$1,FALSE),$I$1),$I$1)</f>
        <v>0</v>
      </c>
      <c r="AS30" s="15">
        <f t="shared" ref="AS30:AY30" si="30">IFERROR(IF(ISBLANK(J30),IF(ISBLANK(Q30),IF(ISBLANK(X30),IF(ISBLANK(AE30),IF(ISBLANK(AL30),$BB$1,AL30),AE30),X30),Q30),J30),$BB$1)</f>
        <v>0</v>
      </c>
      <c r="AT30" s="15">
        <f t="shared" si="30"/>
        <v>0</v>
      </c>
      <c r="AU30" s="15">
        <f t="shared" si="30"/>
        <v>0</v>
      </c>
      <c r="AV30" s="15" t="str">
        <f t="shared" si="30"/>
        <v>Dubonnet</v>
      </c>
      <c r="AW30" s="15">
        <f t="shared" si="30"/>
        <v>0</v>
      </c>
      <c r="AX30" s="15">
        <f t="shared" si="30"/>
        <v>0</v>
      </c>
      <c r="AY30" s="15">
        <f t="shared" si="30"/>
        <v>0</v>
      </c>
      <c r="BA30" s="13">
        <f t="shared" si="1"/>
        <v>35</v>
      </c>
      <c r="BB30" s="15" t="b">
        <f t="shared" si="2"/>
        <v>0</v>
      </c>
    </row>
    <row r="31" spans="1:54" x14ac:dyDescent="0.2">
      <c r="A31" s="19" t="s">
        <v>105</v>
      </c>
      <c r="B31" s="19" t="s">
        <v>49</v>
      </c>
      <c r="C31" s="19" t="s">
        <v>52</v>
      </c>
      <c r="D31" s="19"/>
      <c r="E31" s="19" t="s">
        <v>100</v>
      </c>
      <c r="F31" s="19" t="s">
        <v>66</v>
      </c>
      <c r="G31" s="19" t="s">
        <v>3</v>
      </c>
      <c r="H31" s="19" t="s">
        <v>105</v>
      </c>
      <c r="I31" s="15">
        <v>4</v>
      </c>
      <c r="J31" s="15">
        <f>IFERROR(VLOOKUP($C31,Sheet3!$H$2:$O$200,J$1,FALSE),IFERROR(VLOOKUP($D31,Sheet3!$H$2:$O$200,J$1,FALSE),VLOOKUP($E31,Sheet3!$H$2:$O$200,J$1,FALSE)))</f>
        <v>0</v>
      </c>
      <c r="K31" s="15">
        <f>IFERROR(VLOOKUP($C31,Sheet3!$H$2:$O$200,K$1,FALSE),IFERROR(VLOOKUP($D31,Sheet3!$H$2:$O$200,K$1,FALSE),VLOOKUP($E31,Sheet3!$H$2:$O$200,K$1,FALSE)))</f>
        <v>0</v>
      </c>
      <c r="L31" s="15">
        <f>IFERROR(VLOOKUP($C31,Sheet3!$H$2:$O$200,L$1,FALSE),IFERROR(VLOOKUP($D31,Sheet3!$H$2:$O$200,L$1,FALSE),VLOOKUP($E31,Sheet3!$H$2:$O$200,L$1,FALSE)))</f>
        <v>0</v>
      </c>
      <c r="M31" s="15" t="str">
        <f>IFERROR(VLOOKUP($C31,Sheet3!$H$2:$O$200,M$1,FALSE),IFERROR(VLOOKUP($D31,Sheet3!$H$2:$O$200,M$1,FALSE),VLOOKUP($E31,Sheet3!$H$2:$O$200,M$1,FALSE)))</f>
        <v>dry vermouth</v>
      </c>
      <c r="N31" s="15">
        <f>IFERROR(VLOOKUP($C31,Sheet3!$H$2:$O$200,N$1,FALSE),IFERROR(VLOOKUP($D31,Sheet3!$H$2:$O$200,N$1,FALSE),VLOOKUP($E31,Sheet3!$H$2:$O$200,N$1,FALSE)))</f>
        <v>0</v>
      </c>
      <c r="O31" s="15">
        <f>IFERROR(VLOOKUP($C31,Sheet3!$H$2:$O$200,O$1,FALSE),IFERROR(VLOOKUP($D31,Sheet3!$H$2:$O$200,O$1,FALSE),VLOOKUP($E31,Sheet3!$H$2:$O$200,O$1,FALSE)))</f>
        <v>0</v>
      </c>
      <c r="P31" s="15">
        <f>IFERROR(VLOOKUP($C31,Sheet3!$H$2:$O$200,P$1,FALSE),IFERROR(VLOOKUP($D31,Sheet3!$H$2:$O$200,P$1,FALSE),VLOOKUP($E31,Sheet3!$H$2:$O$200,P$1,FALSE)))</f>
        <v>0</v>
      </c>
      <c r="Q31" s="15">
        <f>IFERROR(IF(ISBLANK(J31),IFERROR(VLOOKUP($D31,Sheet3!$H$2:$O$200,Q$1,FALSE),IFERROR(VLOOKUP($E31,Sheet3!$H$2:$O$200,Q$1,FALSE),VLOOKUP($F31,Sheet3!$H$2:$O$200,Q$1,FALSE))),$I$1),$I$1)</f>
        <v>0</v>
      </c>
      <c r="R31" s="15">
        <f>IFERROR(IF(ISBLANK(K31),IFERROR(VLOOKUP($D31,Sheet3!$H$2:$O$200,R$1,FALSE),IFERROR(VLOOKUP($E31,Sheet3!$H$2:$O$200,R$1,FALSE),VLOOKUP($F31,Sheet3!$H$2:$O$200,R$1,FALSE))),$I$1),$I$1)</f>
        <v>0</v>
      </c>
      <c r="S31" s="15">
        <f>IFERROR(IF(ISBLANK(L31),IFERROR(VLOOKUP($D31,Sheet3!$H$2:$O$200,S$1,FALSE),IFERROR(VLOOKUP($E31,Sheet3!$H$2:$O$200,S$1,FALSE),VLOOKUP($F31,Sheet3!$H$2:$O$200,S$1,FALSE))),$I$1),$I$1)</f>
        <v>0</v>
      </c>
      <c r="T31" s="15">
        <f>IFERROR(IF(ISBLANK(M31),IFERROR(VLOOKUP($D31,Sheet3!$H$2:$O$200,T$1,FALSE),IFERROR(VLOOKUP($E31,Sheet3!$H$2:$O$200,T$1,FALSE),VLOOKUP($F31,Sheet3!$H$2:$O$200,T$1,FALSE))),$I$1),$I$1)</f>
        <v>0</v>
      </c>
      <c r="U31" s="15">
        <f>IFERROR(IF(ISBLANK(N31),IFERROR(VLOOKUP($D31,Sheet3!$H$2:$O$200,U$1,FALSE),IFERROR(VLOOKUP($E31,Sheet3!$H$2:$O$200,U$1,FALSE),VLOOKUP($F31,Sheet3!$H$2:$O$200,U$1,FALSE))),$I$1),$I$1)</f>
        <v>0</v>
      </c>
      <c r="V31" s="15">
        <f>IFERROR(IF(ISBLANK(O31),IFERROR(VLOOKUP($D31,Sheet3!$H$2:$O$200,V$1,FALSE),IFERROR(VLOOKUP($E31,Sheet3!$H$2:$O$200,V$1,FALSE),VLOOKUP($F31,Sheet3!$H$2:$O$200,V$1,FALSE))),$I$1),$I$1)</f>
        <v>0</v>
      </c>
      <c r="W31" s="15">
        <f>IFERROR(IF(ISBLANK(P31),IFERROR(VLOOKUP($D31,Sheet3!$H$2:$O$200,W$1,FALSE),IFERROR(VLOOKUP($E31,Sheet3!$H$2:$O$200,W$1,FALSE),VLOOKUP($F31,Sheet3!$H$2:$O$200,W$1,FALSE))),$I$1),$I$1)</f>
        <v>0</v>
      </c>
      <c r="X31" s="15">
        <f>IFERROR(IF(ISBLANK(Q31),IFERROR(VLOOKUP($E31,Sheet3!$H$2:$O$200,X$1,FALSE),IFERROR(VLOOKUP($F31,Sheet3!$H$2:$O$200,X$1,FALSE),VLOOKUP($G31,Sheet3!$H$2:$O$200,X$1,FALSE))),$I$1),$I$1)</f>
        <v>0</v>
      </c>
      <c r="Y31" s="15">
        <f>IFERROR(IF(ISBLANK(R31),IFERROR(VLOOKUP($E31,Sheet3!$H$2:$O$200,Y$1,FALSE),IFERROR(VLOOKUP($F31,Sheet3!$H$2:$O$200,Y$1,FALSE),VLOOKUP($G31,Sheet3!$H$2:$O$200,Y$1,FALSE))),$I$1),$I$1)</f>
        <v>0</v>
      </c>
      <c r="Z31" s="15">
        <f>IFERROR(IF(ISBLANK(S31),IFERROR(VLOOKUP($E31,Sheet3!$H$2:$O$200,Z$1,FALSE),IFERROR(VLOOKUP($F31,Sheet3!$H$2:$O$200,Z$1,FALSE),VLOOKUP($G31,Sheet3!$H$2:$O$200,Z$1,FALSE))),$I$1),$I$1)</f>
        <v>0</v>
      </c>
      <c r="AA31" s="15">
        <f>IFERROR(IF(ISBLANK(T31),IFERROR(VLOOKUP($E31,Sheet3!$H$2:$O$200,AA$1,FALSE),IFERROR(VLOOKUP($F31,Sheet3!$H$2:$O$200,AA$1,FALSE),VLOOKUP($G31,Sheet3!$H$2:$O$200,AA$1,FALSE))),$I$1),$I$1)</f>
        <v>0</v>
      </c>
      <c r="AB31" s="15">
        <f>IFERROR(IF(ISBLANK(U31),IFERROR(VLOOKUP($E31,Sheet3!$H$2:$O$200,AB$1,FALSE),IFERROR(VLOOKUP($F31,Sheet3!$H$2:$O$200,AB$1,FALSE),VLOOKUP($G31,Sheet3!$H$2:$O$200,AB$1,FALSE))),$I$1),$I$1)</f>
        <v>0</v>
      </c>
      <c r="AC31" s="15">
        <f>IFERROR(IF(ISBLANK(V31),IFERROR(VLOOKUP($E31,Sheet3!$H$2:$O$200,AC$1,FALSE),IFERROR(VLOOKUP($F31,Sheet3!$H$2:$O$200,AC$1,FALSE),VLOOKUP($G31,Sheet3!$H$2:$O$200,AC$1,FALSE))),$I$1),$I$1)</f>
        <v>0</v>
      </c>
      <c r="AD31" s="15">
        <f>IFERROR(IF(ISBLANK(W31),IFERROR(VLOOKUP($E31,Sheet3!$H$2:$O$200,AD$1,FALSE),IFERROR(VLOOKUP($F31,Sheet3!$H$2:$O$200,AD$1,FALSE),VLOOKUP($G31,Sheet3!$H$2:$O$200,AD$1,FALSE))),$I$1),$I$1)</f>
        <v>0</v>
      </c>
      <c r="AE31" s="15">
        <f>IFERROR(IF(ISBLANK(X31),IFERROR(VLOOKUP($F31,Sheet3!$H$2:$O$200,AE$1,FALSE),VLOOKUP($G31,Sheet3!$H$2:$O$200,AE$1,FALSE)),$I$1),$I$1)</f>
        <v>0</v>
      </c>
      <c r="AF31" s="15">
        <f>IFERROR(IF(ISBLANK(Y31),IFERROR(VLOOKUP($F31,Sheet3!$H$2:$O$200,AF$1,FALSE),VLOOKUP($G31,Sheet3!$H$2:$O$200,AF$1,FALSE)),$I$1),$I$1)</f>
        <v>0</v>
      </c>
      <c r="AG31" s="15">
        <f>IFERROR(IF(ISBLANK(Z31),IFERROR(VLOOKUP($F31,Sheet3!$H$2:$O$200,AG$1,FALSE),VLOOKUP($G31,Sheet3!$H$2:$O$200,AG$1,FALSE)),$I$1),$I$1)</f>
        <v>0</v>
      </c>
      <c r="AH31" s="15">
        <f>IFERROR(IF(ISBLANK(AA31),IFERROR(VLOOKUP($F31,Sheet3!$H$2:$O$200,AH$1,FALSE),VLOOKUP($G31,Sheet3!$H$2:$O$200,AH$1,FALSE)),$I$1),$I$1)</f>
        <v>0</v>
      </c>
      <c r="AI31" s="15">
        <f>IFERROR(IF(ISBLANK(AB31),IFERROR(VLOOKUP($F31,Sheet3!$H$2:$O$200,AI$1,FALSE),VLOOKUP($G31,Sheet3!$H$2:$O$200,AI$1,FALSE)),$I$1),$I$1)</f>
        <v>0</v>
      </c>
      <c r="AJ31" s="15">
        <f>IFERROR(IF(ISBLANK(AC31),IFERROR(VLOOKUP($F31,Sheet3!$H$2:$O$200,AJ$1,FALSE),VLOOKUP($G31,Sheet3!$H$2:$O$200,AJ$1,FALSE)),$I$1),$I$1)</f>
        <v>0</v>
      </c>
      <c r="AK31" s="15">
        <f>IFERROR(IF(ISBLANK(AD31),IFERROR(VLOOKUP($F31,Sheet3!$H$2:$O$200,AK$1,FALSE),VLOOKUP($G31,Sheet3!$H$2:$O$200,AK$1,FALSE)),$I$1),$I$1)</f>
        <v>0</v>
      </c>
      <c r="AL31" s="15">
        <f>IFERROR(IF(ISBLANK(AE31),VLOOKUP($G31,Sheet3!$H$2:$O$200,AL$1,FALSE),$I$1),$I$1)</f>
        <v>0</v>
      </c>
      <c r="AM31" s="15">
        <f>IFERROR(IF(ISBLANK(AF31),VLOOKUP($G31,Sheet3!$H$2:$O$200,AM$1,FALSE),$I$1),$I$1)</f>
        <v>0</v>
      </c>
      <c r="AN31" s="15">
        <f>IFERROR(IF(ISBLANK(AG31),VLOOKUP($G31,Sheet3!$H$2:$O$200,AN$1,FALSE),$I$1),$I$1)</f>
        <v>0</v>
      </c>
      <c r="AO31" s="15">
        <f>IFERROR(IF(ISBLANK(AH31),VLOOKUP($G31,Sheet3!$H$2:$O$200,AO$1,FALSE),$I$1),$I$1)</f>
        <v>0</v>
      </c>
      <c r="AP31" s="15">
        <f>IFERROR(IF(ISBLANK(AI31),VLOOKUP($G31,Sheet3!$H$2:$O$200,AP$1,FALSE),$I$1),$I$1)</f>
        <v>0</v>
      </c>
      <c r="AQ31" s="15">
        <f>IFERROR(IF(ISBLANK(AJ31),VLOOKUP($G31,Sheet3!$H$2:$O$200,AQ$1,FALSE),$I$1),$I$1)</f>
        <v>0</v>
      </c>
      <c r="AR31" s="15">
        <f>IFERROR(IF(ISBLANK(AK31),VLOOKUP($G31,Sheet3!$H$2:$O$200,AR$1,FALSE),$I$1),$I$1)</f>
        <v>0</v>
      </c>
      <c r="AS31" s="15">
        <f t="shared" ref="AS31:AT31" si="31">IFERROR(IF(ISBLANK(J31),IF(ISBLANK(Q31),IF(ISBLANK(X31),IF(ISBLANK(AE31),IF(ISBLANK(AL31),$BB$1,AL31),AE31),X31),Q31),J31),$BB$1)</f>
        <v>0</v>
      </c>
      <c r="AT31" s="15">
        <f t="shared" si="31"/>
        <v>0</v>
      </c>
      <c r="AU31" s="11" t="s">
        <v>3</v>
      </c>
      <c r="AV31" s="15" t="str">
        <f t="shared" ref="AV31:AX31" si="32">IFERROR(IF(ISBLANK(M31),IF(ISBLANK(T31),IF(ISBLANK(AA31),IF(ISBLANK(AH31),IF(ISBLANK(AO31),$BB$1,AO31),AH31),AA31),T31),M31),$BB$1)</f>
        <v>dry vermouth</v>
      </c>
      <c r="AW31" s="15">
        <f t="shared" si="32"/>
        <v>0</v>
      </c>
      <c r="AX31" s="15">
        <f t="shared" si="32"/>
        <v>0</v>
      </c>
      <c r="AY31" s="11" t="s">
        <v>100</v>
      </c>
      <c r="BA31" s="13">
        <f t="shared" si="1"/>
        <v>35</v>
      </c>
      <c r="BB31" s="15" t="b">
        <f t="shared" si="2"/>
        <v>0</v>
      </c>
    </row>
    <row r="32" spans="1:54" x14ac:dyDescent="0.2">
      <c r="A32" s="19" t="s">
        <v>106</v>
      </c>
      <c r="B32" s="19" t="s">
        <v>49</v>
      </c>
      <c r="C32" s="19" t="s">
        <v>107</v>
      </c>
      <c r="D32" s="19"/>
      <c r="E32" s="19" t="s">
        <v>108</v>
      </c>
      <c r="F32" s="19" t="s">
        <v>74</v>
      </c>
      <c r="G32" s="19" t="s">
        <v>3</v>
      </c>
      <c r="H32" s="19" t="s">
        <v>106</v>
      </c>
      <c r="I32" s="15">
        <v>4</v>
      </c>
      <c r="J32" s="15">
        <f>IFERROR(VLOOKUP($C32,Sheet3!$H$2:$O$200,J$1,FALSE),IFERROR(VLOOKUP($D32,Sheet3!$H$2:$O$200,J$1,FALSE),VLOOKUP($E32,Sheet3!$H$2:$O$200,J$1,FALSE)))</f>
        <v>0</v>
      </c>
      <c r="K32" s="15">
        <f>IFERROR(VLOOKUP($C32,Sheet3!$H$2:$O$200,K$1,FALSE),IFERROR(VLOOKUP($D32,Sheet3!$H$2:$O$200,K$1,FALSE),VLOOKUP($E32,Sheet3!$H$2:$O$200,K$1,FALSE)))</f>
        <v>0</v>
      </c>
      <c r="L32" s="15">
        <f>IFERROR(VLOOKUP($C32,Sheet3!$H$2:$O$200,L$1,FALSE),IFERROR(VLOOKUP($D32,Sheet3!$H$2:$O$200,L$1,FALSE),VLOOKUP($E32,Sheet3!$H$2:$O$200,L$1,FALSE)))</f>
        <v>0</v>
      </c>
      <c r="M32" s="15" t="str">
        <f>IFERROR(VLOOKUP($C32,Sheet3!$H$2:$O$200,M$1,FALSE),IFERROR(VLOOKUP($D32,Sheet3!$H$2:$O$200,M$1,FALSE),VLOOKUP($E32,Sheet3!$H$2:$O$200,M$1,FALSE)))</f>
        <v>Lillet Blonde</v>
      </c>
      <c r="N32" s="15">
        <f>IFERROR(VLOOKUP($C32,Sheet3!$H$2:$O$200,N$1,FALSE),IFERROR(VLOOKUP($D32,Sheet3!$H$2:$O$200,N$1,FALSE),VLOOKUP($E32,Sheet3!$H$2:$O$200,N$1,FALSE)))</f>
        <v>0</v>
      </c>
      <c r="O32" s="15">
        <f>IFERROR(VLOOKUP($C32,Sheet3!$H$2:$O$200,O$1,FALSE),IFERROR(VLOOKUP($D32,Sheet3!$H$2:$O$200,O$1,FALSE),VLOOKUP($E32,Sheet3!$H$2:$O$200,O$1,FALSE)))</f>
        <v>0</v>
      </c>
      <c r="P32" s="15">
        <f>IFERROR(VLOOKUP($C32,Sheet3!$H$2:$O$200,P$1,FALSE),IFERROR(VLOOKUP($D32,Sheet3!$H$2:$O$200,P$1,FALSE),VLOOKUP($E32,Sheet3!$H$2:$O$200,P$1,FALSE)))</f>
        <v>0</v>
      </c>
      <c r="Q32" s="15">
        <f>IFERROR(IF(ISBLANK(J32),IFERROR(VLOOKUP($D32,Sheet3!$H$2:$O$200,Q$1,FALSE),IFERROR(VLOOKUP($E32,Sheet3!$H$2:$O$200,Q$1,FALSE),VLOOKUP($F32,Sheet3!$H$2:$O$200,Q$1,FALSE))),$I$1),$I$1)</f>
        <v>0</v>
      </c>
      <c r="R32" s="15">
        <f>IFERROR(IF(ISBLANK(K32),IFERROR(VLOOKUP($D32,Sheet3!$H$2:$O$200,R$1,FALSE),IFERROR(VLOOKUP($E32,Sheet3!$H$2:$O$200,R$1,FALSE),VLOOKUP($F32,Sheet3!$H$2:$O$200,R$1,FALSE))),$I$1),$I$1)</f>
        <v>0</v>
      </c>
      <c r="S32" s="15">
        <f>IFERROR(IF(ISBLANK(L32),IFERROR(VLOOKUP($D32,Sheet3!$H$2:$O$200,S$1,FALSE),IFERROR(VLOOKUP($E32,Sheet3!$H$2:$O$200,S$1,FALSE),VLOOKUP($F32,Sheet3!$H$2:$O$200,S$1,FALSE))),$I$1),$I$1)</f>
        <v>0</v>
      </c>
      <c r="T32" s="15">
        <f>IFERROR(IF(ISBLANK(M32),IFERROR(VLOOKUP($D32,Sheet3!$H$2:$O$200,T$1,FALSE),IFERROR(VLOOKUP($E32,Sheet3!$H$2:$O$200,T$1,FALSE),VLOOKUP($F32,Sheet3!$H$2:$O$200,T$1,FALSE))),$I$1),$I$1)</f>
        <v>0</v>
      </c>
      <c r="U32" s="15">
        <f>IFERROR(IF(ISBLANK(N32),IFERROR(VLOOKUP($D32,Sheet3!$H$2:$O$200,U$1,FALSE),IFERROR(VLOOKUP($E32,Sheet3!$H$2:$O$200,U$1,FALSE),VLOOKUP($F32,Sheet3!$H$2:$O$200,U$1,FALSE))),$I$1),$I$1)</f>
        <v>0</v>
      </c>
      <c r="V32" s="15">
        <f>IFERROR(IF(ISBLANK(O32),IFERROR(VLOOKUP($D32,Sheet3!$H$2:$O$200,V$1,FALSE),IFERROR(VLOOKUP($E32,Sheet3!$H$2:$O$200,V$1,FALSE),VLOOKUP($F32,Sheet3!$H$2:$O$200,V$1,FALSE))),$I$1),$I$1)</f>
        <v>0</v>
      </c>
      <c r="W32" s="15">
        <f>IFERROR(IF(ISBLANK(P32),IFERROR(VLOOKUP($D32,Sheet3!$H$2:$O$200,W$1,FALSE),IFERROR(VLOOKUP($E32,Sheet3!$H$2:$O$200,W$1,FALSE),VLOOKUP($F32,Sheet3!$H$2:$O$200,W$1,FALSE))),$I$1),$I$1)</f>
        <v>0</v>
      </c>
      <c r="X32" s="15">
        <f>IFERROR(IF(ISBLANK(Q32),IFERROR(VLOOKUP($E32,Sheet3!$H$2:$O$200,X$1,FALSE),IFERROR(VLOOKUP($F32,Sheet3!$H$2:$O$200,X$1,FALSE),VLOOKUP($G32,Sheet3!$H$2:$O$200,X$1,FALSE))),$I$1),$I$1)</f>
        <v>0</v>
      </c>
      <c r="Y32" s="15">
        <f>IFERROR(IF(ISBLANK(R32),IFERROR(VLOOKUP($E32,Sheet3!$H$2:$O$200,Y$1,FALSE),IFERROR(VLOOKUP($F32,Sheet3!$H$2:$O$200,Y$1,FALSE),VLOOKUP($G32,Sheet3!$H$2:$O$200,Y$1,FALSE))),$I$1),$I$1)</f>
        <v>0</v>
      </c>
      <c r="Z32" s="15">
        <f>IFERROR(IF(ISBLANK(S32),IFERROR(VLOOKUP($E32,Sheet3!$H$2:$O$200,Z$1,FALSE),IFERROR(VLOOKUP($F32,Sheet3!$H$2:$O$200,Z$1,FALSE),VLOOKUP($G32,Sheet3!$H$2:$O$200,Z$1,FALSE))),$I$1),$I$1)</f>
        <v>0</v>
      </c>
      <c r="AA32" s="15">
        <f>IFERROR(IF(ISBLANK(T32),IFERROR(VLOOKUP($E32,Sheet3!$H$2:$O$200,AA$1,FALSE),IFERROR(VLOOKUP($F32,Sheet3!$H$2:$O$200,AA$1,FALSE),VLOOKUP($G32,Sheet3!$H$2:$O$200,AA$1,FALSE))),$I$1),$I$1)</f>
        <v>0</v>
      </c>
      <c r="AB32" s="15">
        <f>IFERROR(IF(ISBLANK(U32),IFERROR(VLOOKUP($E32,Sheet3!$H$2:$O$200,AB$1,FALSE),IFERROR(VLOOKUP($F32,Sheet3!$H$2:$O$200,AB$1,FALSE),VLOOKUP($G32,Sheet3!$H$2:$O$200,AB$1,FALSE))),$I$1),$I$1)</f>
        <v>0</v>
      </c>
      <c r="AC32" s="15">
        <f>IFERROR(IF(ISBLANK(V32),IFERROR(VLOOKUP($E32,Sheet3!$H$2:$O$200,AC$1,FALSE),IFERROR(VLOOKUP($F32,Sheet3!$H$2:$O$200,AC$1,FALSE),VLOOKUP($G32,Sheet3!$H$2:$O$200,AC$1,FALSE))),$I$1),$I$1)</f>
        <v>0</v>
      </c>
      <c r="AD32" s="15">
        <f>IFERROR(IF(ISBLANK(W32),IFERROR(VLOOKUP($E32,Sheet3!$H$2:$O$200,AD$1,FALSE),IFERROR(VLOOKUP($F32,Sheet3!$H$2:$O$200,AD$1,FALSE),VLOOKUP($G32,Sheet3!$H$2:$O$200,AD$1,FALSE))),$I$1),$I$1)</f>
        <v>0</v>
      </c>
      <c r="AE32" s="15">
        <f>IFERROR(IF(ISBLANK(X32),IFERROR(VLOOKUP($F32,Sheet3!$H$2:$O$200,AE$1,FALSE),VLOOKUP($G32,Sheet3!$H$2:$O$200,AE$1,FALSE)),$I$1),$I$1)</f>
        <v>0</v>
      </c>
      <c r="AF32" s="15">
        <f>IFERROR(IF(ISBLANK(Y32),IFERROR(VLOOKUP($F32,Sheet3!$H$2:$O$200,AF$1,FALSE),VLOOKUP($G32,Sheet3!$H$2:$O$200,AF$1,FALSE)),$I$1),$I$1)</f>
        <v>0</v>
      </c>
      <c r="AG32" s="15">
        <f>IFERROR(IF(ISBLANK(Z32),IFERROR(VLOOKUP($F32,Sheet3!$H$2:$O$200,AG$1,FALSE),VLOOKUP($G32,Sheet3!$H$2:$O$200,AG$1,FALSE)),$I$1),$I$1)</f>
        <v>0</v>
      </c>
      <c r="AH32" s="15">
        <f>IFERROR(IF(ISBLANK(AA32),IFERROR(VLOOKUP($F32,Sheet3!$H$2:$O$200,AH$1,FALSE),VLOOKUP($G32,Sheet3!$H$2:$O$200,AH$1,FALSE)),$I$1),$I$1)</f>
        <v>0</v>
      </c>
      <c r="AI32" s="15">
        <f>IFERROR(IF(ISBLANK(AB32),IFERROR(VLOOKUP($F32,Sheet3!$H$2:$O$200,AI$1,FALSE),VLOOKUP($G32,Sheet3!$H$2:$O$200,AI$1,FALSE)),$I$1),$I$1)</f>
        <v>0</v>
      </c>
      <c r="AJ32" s="15">
        <f>IFERROR(IF(ISBLANK(AC32),IFERROR(VLOOKUP($F32,Sheet3!$H$2:$O$200,AJ$1,FALSE),VLOOKUP($G32,Sheet3!$H$2:$O$200,AJ$1,FALSE)),$I$1),$I$1)</f>
        <v>0</v>
      </c>
      <c r="AK32" s="15">
        <f>IFERROR(IF(ISBLANK(AD32),IFERROR(VLOOKUP($F32,Sheet3!$H$2:$O$200,AK$1,FALSE),VLOOKUP($G32,Sheet3!$H$2:$O$200,AK$1,FALSE)),$I$1),$I$1)</f>
        <v>0</v>
      </c>
      <c r="AL32" s="15">
        <f>IFERROR(IF(ISBLANK(AE32),VLOOKUP($G32,Sheet3!$H$2:$O$200,AL$1,FALSE),$I$1),$I$1)</f>
        <v>0</v>
      </c>
      <c r="AM32" s="15">
        <f>IFERROR(IF(ISBLANK(AF32),VLOOKUP($G32,Sheet3!$H$2:$O$200,AM$1,FALSE),$I$1),$I$1)</f>
        <v>0</v>
      </c>
      <c r="AN32" s="15">
        <f>IFERROR(IF(ISBLANK(AG32),VLOOKUP($G32,Sheet3!$H$2:$O$200,AN$1,FALSE),$I$1),$I$1)</f>
        <v>0</v>
      </c>
      <c r="AO32" s="15">
        <f>IFERROR(IF(ISBLANK(AH32),VLOOKUP($G32,Sheet3!$H$2:$O$200,AO$1,FALSE),$I$1),$I$1)</f>
        <v>0</v>
      </c>
      <c r="AP32" s="15">
        <f>IFERROR(IF(ISBLANK(AI32),VLOOKUP($G32,Sheet3!$H$2:$O$200,AP$1,FALSE),$I$1),$I$1)</f>
        <v>0</v>
      </c>
      <c r="AQ32" s="15">
        <f>IFERROR(IF(ISBLANK(AJ32),VLOOKUP($G32,Sheet3!$H$2:$O$200,AQ$1,FALSE),$I$1),$I$1)</f>
        <v>0</v>
      </c>
      <c r="AR32" s="15">
        <f>IFERROR(IF(ISBLANK(AK32),VLOOKUP($G32,Sheet3!$H$2:$O$200,AR$1,FALSE),$I$1),$I$1)</f>
        <v>0</v>
      </c>
      <c r="AS32" s="15">
        <f t="shared" ref="AS32:AT32" si="33">IFERROR(IF(ISBLANK(J32),IF(ISBLANK(Q32),IF(ISBLANK(X32),IF(ISBLANK(AE32),IF(ISBLANK(AL32),$BB$1,AL32),AE32),X32),Q32),J32),$BB$1)</f>
        <v>0</v>
      </c>
      <c r="AT32" s="15">
        <f t="shared" si="33"/>
        <v>0</v>
      </c>
      <c r="AU32" s="11" t="s">
        <v>3</v>
      </c>
      <c r="AV32" s="15" t="str">
        <f t="shared" ref="AV32:AX32" si="34">IFERROR(IF(ISBLANK(M32),IF(ISBLANK(T32),IF(ISBLANK(AA32),IF(ISBLANK(AH32),IF(ISBLANK(AO32),$BB$1,AO32),AH32),AA32),T32),M32),$BB$1)</f>
        <v>Lillet Blonde</v>
      </c>
      <c r="AW32" s="15">
        <f t="shared" si="34"/>
        <v>0</v>
      </c>
      <c r="AX32" s="15">
        <f t="shared" si="34"/>
        <v>0</v>
      </c>
      <c r="AY32" s="15" t="s">
        <v>108</v>
      </c>
      <c r="BA32" s="13">
        <f t="shared" si="1"/>
        <v>35</v>
      </c>
      <c r="BB32" s="15" t="b">
        <f t="shared" si="2"/>
        <v>0</v>
      </c>
    </row>
    <row r="33" spans="1:54" x14ac:dyDescent="0.2">
      <c r="A33" s="19" t="s">
        <v>109</v>
      </c>
      <c r="B33" s="19" t="s">
        <v>49</v>
      </c>
      <c r="C33" s="19" t="s">
        <v>62</v>
      </c>
      <c r="D33" s="19"/>
      <c r="E33" s="19"/>
      <c r="F33" s="19"/>
      <c r="G33" s="19"/>
      <c r="H33" s="19" t="s">
        <v>109</v>
      </c>
      <c r="I33" s="15">
        <v>1</v>
      </c>
      <c r="J33" s="15">
        <f>IFERROR(VLOOKUP($C33,Sheet3!$H$2:$O$200,J$1,FALSE),IFERROR(VLOOKUP($D33,Sheet3!$H$2:$O$200,J$1,FALSE),VLOOKUP($E33,Sheet3!$H$2:$O$200,J$1,FALSE)))</f>
        <v>0</v>
      </c>
      <c r="K33" s="15" t="str">
        <f>IFERROR(VLOOKUP($C33,Sheet3!$H$2:$O$200,K$1,FALSE),IFERROR(VLOOKUP($D33,Sheet3!$H$2:$O$200,K$1,FALSE),VLOOKUP($E33,Sheet3!$H$2:$O$200,K$1,FALSE)))</f>
        <v>club soda</v>
      </c>
      <c r="L33" s="15">
        <f>IFERROR(VLOOKUP($C33,Sheet3!$H$2:$O$200,L$1,FALSE),IFERROR(VLOOKUP($D33,Sheet3!$H$2:$O$200,L$1,FALSE),VLOOKUP($E33,Sheet3!$H$2:$O$200,L$1,FALSE)))</f>
        <v>0</v>
      </c>
      <c r="M33" s="15">
        <f>IFERROR(VLOOKUP($C33,Sheet3!$H$2:$O$200,M$1,FALSE),IFERROR(VLOOKUP($D33,Sheet3!$H$2:$O$200,M$1,FALSE),VLOOKUP($E33,Sheet3!$H$2:$O$200,M$1,FALSE)))</f>
        <v>0</v>
      </c>
      <c r="N33" s="15">
        <f>IFERROR(VLOOKUP($C33,Sheet3!$H$2:$O$200,N$1,FALSE),IFERROR(VLOOKUP($D33,Sheet3!$H$2:$O$200,N$1,FALSE),VLOOKUP($E33,Sheet3!$H$2:$O$200,N$1,FALSE)))</f>
        <v>0</v>
      </c>
      <c r="O33" s="15">
        <f>IFERROR(VLOOKUP($C33,Sheet3!$H$2:$O$200,O$1,FALSE),IFERROR(VLOOKUP($D33,Sheet3!$H$2:$O$200,O$1,FALSE),VLOOKUP($E33,Sheet3!$H$2:$O$200,O$1,FALSE)))</f>
        <v>0</v>
      </c>
      <c r="P33" s="15">
        <f>IFERROR(VLOOKUP($C33,Sheet3!$H$2:$O$200,P$1,FALSE),IFERROR(VLOOKUP($D33,Sheet3!$H$2:$O$200,P$1,FALSE),VLOOKUP($E33,Sheet3!$H$2:$O$200,P$1,FALSE)))</f>
        <v>0</v>
      </c>
      <c r="Q33" s="15">
        <f>IFERROR(IF(ISBLANK(J33),IFERROR(VLOOKUP($D33,Sheet3!$H$2:$O$200,Q$1,FALSE),IFERROR(VLOOKUP($E33,Sheet3!$H$2:$O$200,Q$1,FALSE),VLOOKUP($F33,Sheet3!$H$2:$O$200,Q$1,FALSE))),$I$1),$I$1)</f>
        <v>0</v>
      </c>
      <c r="R33" s="15">
        <f>IFERROR(IF(ISBLANK(K33),IFERROR(VLOOKUP($D33,Sheet3!$H$2:$O$200,R$1,FALSE),IFERROR(VLOOKUP($E33,Sheet3!$H$2:$O$200,R$1,FALSE),VLOOKUP($F33,Sheet3!$H$2:$O$200,R$1,FALSE))),$I$1),$I$1)</f>
        <v>0</v>
      </c>
      <c r="S33" s="15">
        <f>IFERROR(IF(ISBLANK(L33),IFERROR(VLOOKUP($D33,Sheet3!$H$2:$O$200,S$1,FALSE),IFERROR(VLOOKUP($E33,Sheet3!$H$2:$O$200,S$1,FALSE),VLOOKUP($F33,Sheet3!$H$2:$O$200,S$1,FALSE))),$I$1),$I$1)</f>
        <v>0</v>
      </c>
      <c r="T33" s="15">
        <f>IFERROR(IF(ISBLANK(M33),IFERROR(VLOOKUP($D33,Sheet3!$H$2:$O$200,T$1,FALSE),IFERROR(VLOOKUP($E33,Sheet3!$H$2:$O$200,T$1,FALSE),VLOOKUP($F33,Sheet3!$H$2:$O$200,T$1,FALSE))),$I$1),$I$1)</f>
        <v>0</v>
      </c>
      <c r="U33" s="15">
        <f>IFERROR(IF(ISBLANK(N33),IFERROR(VLOOKUP($D33,Sheet3!$H$2:$O$200,U$1,FALSE),IFERROR(VLOOKUP($E33,Sheet3!$H$2:$O$200,U$1,FALSE),VLOOKUP($F33,Sheet3!$H$2:$O$200,U$1,FALSE))),$I$1),$I$1)</f>
        <v>0</v>
      </c>
      <c r="V33" s="15">
        <f>IFERROR(IF(ISBLANK(O33),IFERROR(VLOOKUP($D33,Sheet3!$H$2:$O$200,V$1,FALSE),IFERROR(VLOOKUP($E33,Sheet3!$H$2:$O$200,V$1,FALSE),VLOOKUP($F33,Sheet3!$H$2:$O$200,V$1,FALSE))),$I$1),$I$1)</f>
        <v>0</v>
      </c>
      <c r="W33" s="15">
        <f>IFERROR(IF(ISBLANK(P33),IFERROR(VLOOKUP($D33,Sheet3!$H$2:$O$200,W$1,FALSE),IFERROR(VLOOKUP($E33,Sheet3!$H$2:$O$200,W$1,FALSE),VLOOKUP($F33,Sheet3!$H$2:$O$200,W$1,FALSE))),$I$1),$I$1)</f>
        <v>0</v>
      </c>
      <c r="X33" s="15">
        <f>IFERROR(IF(ISBLANK(Q33),IFERROR(VLOOKUP($E33,Sheet3!$H$2:$O$200,X$1,FALSE),IFERROR(VLOOKUP($F33,Sheet3!$H$2:$O$200,X$1,FALSE),VLOOKUP($G33,Sheet3!$H$2:$O$200,X$1,FALSE))),$I$1),$I$1)</f>
        <v>0</v>
      </c>
      <c r="Y33" s="15">
        <f>IFERROR(IF(ISBLANK(R33),IFERROR(VLOOKUP($E33,Sheet3!$H$2:$O$200,Y$1,FALSE),IFERROR(VLOOKUP($F33,Sheet3!$H$2:$O$200,Y$1,FALSE),VLOOKUP($G33,Sheet3!$H$2:$O$200,Y$1,FALSE))),$I$1),$I$1)</f>
        <v>0</v>
      </c>
      <c r="Z33" s="15">
        <f>IFERROR(IF(ISBLANK(S33),IFERROR(VLOOKUP($E33,Sheet3!$H$2:$O$200,Z$1,FALSE),IFERROR(VLOOKUP($F33,Sheet3!$H$2:$O$200,Z$1,FALSE),VLOOKUP($G33,Sheet3!$H$2:$O$200,Z$1,FALSE))),$I$1),$I$1)</f>
        <v>0</v>
      </c>
      <c r="AA33" s="15">
        <f>IFERROR(IF(ISBLANK(T33),IFERROR(VLOOKUP($E33,Sheet3!$H$2:$O$200,AA$1,FALSE),IFERROR(VLOOKUP($F33,Sheet3!$H$2:$O$200,AA$1,FALSE),VLOOKUP($G33,Sheet3!$H$2:$O$200,AA$1,FALSE))),$I$1),$I$1)</f>
        <v>0</v>
      </c>
      <c r="AB33" s="15">
        <f>IFERROR(IF(ISBLANK(U33),IFERROR(VLOOKUP($E33,Sheet3!$H$2:$O$200,AB$1,FALSE),IFERROR(VLOOKUP($F33,Sheet3!$H$2:$O$200,AB$1,FALSE),VLOOKUP($G33,Sheet3!$H$2:$O$200,AB$1,FALSE))),$I$1),$I$1)</f>
        <v>0</v>
      </c>
      <c r="AC33" s="15">
        <f>IFERROR(IF(ISBLANK(V33),IFERROR(VLOOKUP($E33,Sheet3!$H$2:$O$200,AC$1,FALSE),IFERROR(VLOOKUP($F33,Sheet3!$H$2:$O$200,AC$1,FALSE),VLOOKUP($G33,Sheet3!$H$2:$O$200,AC$1,FALSE))),$I$1),$I$1)</f>
        <v>0</v>
      </c>
      <c r="AD33" s="15">
        <f>IFERROR(IF(ISBLANK(W33),IFERROR(VLOOKUP($E33,Sheet3!$H$2:$O$200,AD$1,FALSE),IFERROR(VLOOKUP($F33,Sheet3!$H$2:$O$200,AD$1,FALSE),VLOOKUP($G33,Sheet3!$H$2:$O$200,AD$1,FALSE))),$I$1),$I$1)</f>
        <v>0</v>
      </c>
      <c r="AE33" s="15">
        <f>IFERROR(IF(ISBLANK(X33),IFERROR(VLOOKUP($F33,Sheet3!$H$2:$O$200,AE$1,FALSE),VLOOKUP($G33,Sheet3!$H$2:$O$200,AE$1,FALSE)),$I$1),$I$1)</f>
        <v>0</v>
      </c>
      <c r="AF33" s="15">
        <f>IFERROR(IF(ISBLANK(Y33),IFERROR(VLOOKUP($F33,Sheet3!$H$2:$O$200,AF$1,FALSE),VLOOKUP($G33,Sheet3!$H$2:$O$200,AF$1,FALSE)),$I$1),$I$1)</f>
        <v>0</v>
      </c>
      <c r="AG33" s="15">
        <f>IFERROR(IF(ISBLANK(Z33),IFERROR(VLOOKUP($F33,Sheet3!$H$2:$O$200,AG$1,FALSE),VLOOKUP($G33,Sheet3!$H$2:$O$200,AG$1,FALSE)),$I$1),$I$1)</f>
        <v>0</v>
      </c>
      <c r="AH33" s="15">
        <f>IFERROR(IF(ISBLANK(AA33),IFERROR(VLOOKUP($F33,Sheet3!$H$2:$O$200,AH$1,FALSE),VLOOKUP($G33,Sheet3!$H$2:$O$200,AH$1,FALSE)),$I$1),$I$1)</f>
        <v>0</v>
      </c>
      <c r="AI33" s="15">
        <f>IFERROR(IF(ISBLANK(AB33),IFERROR(VLOOKUP($F33,Sheet3!$H$2:$O$200,AI$1,FALSE),VLOOKUP($G33,Sheet3!$H$2:$O$200,AI$1,FALSE)),$I$1),$I$1)</f>
        <v>0</v>
      </c>
      <c r="AJ33" s="15">
        <f>IFERROR(IF(ISBLANK(AC33),IFERROR(VLOOKUP($F33,Sheet3!$H$2:$O$200,AJ$1,FALSE),VLOOKUP($G33,Sheet3!$H$2:$O$200,AJ$1,FALSE)),$I$1),$I$1)</f>
        <v>0</v>
      </c>
      <c r="AK33" s="15">
        <f>IFERROR(IF(ISBLANK(AD33),IFERROR(VLOOKUP($F33,Sheet3!$H$2:$O$200,AK$1,FALSE),VLOOKUP($G33,Sheet3!$H$2:$O$200,AK$1,FALSE)),$I$1),$I$1)</f>
        <v>0</v>
      </c>
      <c r="AL33" s="15">
        <f>IFERROR(IF(ISBLANK(AE33),VLOOKUP($G33,Sheet3!$H$2:$O$200,AL$1,FALSE),$I$1),$I$1)</f>
        <v>0</v>
      </c>
      <c r="AM33" s="15">
        <f>IFERROR(IF(ISBLANK(AF33),VLOOKUP($G33,Sheet3!$H$2:$O$200,AM$1,FALSE),$I$1),$I$1)</f>
        <v>0</v>
      </c>
      <c r="AN33" s="15">
        <f>IFERROR(IF(ISBLANK(AG33),VLOOKUP($G33,Sheet3!$H$2:$O$200,AN$1,FALSE),$I$1),$I$1)</f>
        <v>0</v>
      </c>
      <c r="AO33" s="15">
        <f>IFERROR(IF(ISBLANK(AH33),VLOOKUP($G33,Sheet3!$H$2:$O$200,AO$1,FALSE),$I$1),$I$1)</f>
        <v>0</v>
      </c>
      <c r="AP33" s="15">
        <f>IFERROR(IF(ISBLANK(AI33),VLOOKUP($G33,Sheet3!$H$2:$O$200,AP$1,FALSE),$I$1),$I$1)</f>
        <v>0</v>
      </c>
      <c r="AQ33" s="15">
        <f>IFERROR(IF(ISBLANK(AJ33),VLOOKUP($G33,Sheet3!$H$2:$O$200,AQ$1,FALSE),$I$1),$I$1)</f>
        <v>0</v>
      </c>
      <c r="AR33" s="15">
        <f>IFERROR(IF(ISBLANK(AK33),VLOOKUP($G33,Sheet3!$H$2:$O$200,AR$1,FALSE),$I$1),$I$1)</f>
        <v>0</v>
      </c>
      <c r="AS33" s="15">
        <f t="shared" ref="AS33:AY33" si="35">IFERROR(IF(ISBLANK(J33),IF(ISBLANK(Q33),IF(ISBLANK(X33),IF(ISBLANK(AE33),IF(ISBLANK(AL33),$BB$1,AL33),AE33),X33),Q33),J33),$BB$1)</f>
        <v>0</v>
      </c>
      <c r="AT33" s="15" t="str">
        <f t="shared" si="35"/>
        <v>club soda</v>
      </c>
      <c r="AU33" s="15">
        <f t="shared" si="35"/>
        <v>0</v>
      </c>
      <c r="AV33" s="15">
        <f t="shared" si="35"/>
        <v>0</v>
      </c>
      <c r="AW33" s="15">
        <f t="shared" si="35"/>
        <v>0</v>
      </c>
      <c r="AX33" s="15">
        <f t="shared" si="35"/>
        <v>0</v>
      </c>
      <c r="AY33" s="15">
        <f t="shared" si="35"/>
        <v>0</v>
      </c>
      <c r="BA33" s="13">
        <f t="shared" si="1"/>
        <v>35</v>
      </c>
      <c r="BB33" s="15" t="b">
        <f t="shared" si="2"/>
        <v>0</v>
      </c>
    </row>
    <row r="34" spans="1:54" x14ac:dyDescent="0.2">
      <c r="A34" s="19" t="s">
        <v>110</v>
      </c>
      <c r="B34" s="19" t="s">
        <v>49</v>
      </c>
      <c r="C34" s="19" t="s">
        <v>108</v>
      </c>
      <c r="D34" s="19" t="s">
        <v>38</v>
      </c>
      <c r="E34" s="19" t="s">
        <v>52</v>
      </c>
      <c r="F34" s="19"/>
      <c r="G34" s="19"/>
      <c r="H34" s="19" t="s">
        <v>110</v>
      </c>
      <c r="I34" s="15">
        <v>3</v>
      </c>
      <c r="J34" s="15">
        <f>IFERROR(VLOOKUP($C34,Sheet3!$H$2:$O$200,J$1,FALSE),IFERROR(VLOOKUP($D34,Sheet3!$H$2:$O$200,J$1,FALSE),VLOOKUP($E34,Sheet3!$H$2:$O$200,J$1,FALSE)))</f>
        <v>0</v>
      </c>
      <c r="K34" s="15">
        <f>IFERROR(VLOOKUP($C34,Sheet3!$H$2:$O$200,K$1,FALSE),IFERROR(VLOOKUP($D34,Sheet3!$H$2:$O$200,K$1,FALSE),VLOOKUP($E34,Sheet3!$H$2:$O$200,K$1,FALSE)))</f>
        <v>0</v>
      </c>
      <c r="L34" s="15">
        <f>IFERROR(VLOOKUP($C34,Sheet3!$H$2:$O$200,L$1,FALSE),IFERROR(VLOOKUP($D34,Sheet3!$H$2:$O$200,L$1,FALSE),VLOOKUP($E34,Sheet3!$H$2:$O$200,L$1,FALSE)))</f>
        <v>0</v>
      </c>
      <c r="M34" s="15" t="str">
        <f>IFERROR(VLOOKUP($C34,Sheet3!$H$2:$O$200,M$1,FALSE),IFERROR(VLOOKUP($D34,Sheet3!$H$2:$O$200,M$1,FALSE),VLOOKUP($E34,Sheet3!$H$2:$O$200,M$1,FALSE)))</f>
        <v>crème de cassis</v>
      </c>
      <c r="N34" s="15">
        <f>IFERROR(VLOOKUP($C34,Sheet3!$H$2:$O$200,N$1,FALSE),IFERROR(VLOOKUP($D34,Sheet3!$H$2:$O$200,N$1,FALSE),VLOOKUP($E34,Sheet3!$H$2:$O$200,N$1,FALSE)))</f>
        <v>0</v>
      </c>
      <c r="O34" s="15">
        <f>IFERROR(VLOOKUP($C34,Sheet3!$H$2:$O$200,O$1,FALSE),IFERROR(VLOOKUP($D34,Sheet3!$H$2:$O$200,O$1,FALSE),VLOOKUP($E34,Sheet3!$H$2:$O$200,O$1,FALSE)))</f>
        <v>0</v>
      </c>
      <c r="P34" s="15">
        <f>IFERROR(VLOOKUP($C34,Sheet3!$H$2:$O$200,P$1,FALSE),IFERROR(VLOOKUP($D34,Sheet3!$H$2:$O$200,P$1,FALSE),VLOOKUP($E34,Sheet3!$H$2:$O$200,P$1,FALSE)))</f>
        <v>0</v>
      </c>
      <c r="Q34" s="15">
        <f>IFERROR(IF(ISBLANK(J34),IFERROR(VLOOKUP($D34,Sheet3!$H$2:$O$200,Q$1,FALSE),IFERROR(VLOOKUP($E34,Sheet3!$H$2:$O$200,Q$1,FALSE),VLOOKUP($F34,Sheet3!$H$2:$O$200,Q$1,FALSE))),$I$1),$I$1)</f>
        <v>0</v>
      </c>
      <c r="R34" s="15">
        <f>IFERROR(IF(ISBLANK(K34),IFERROR(VLOOKUP($D34,Sheet3!$H$2:$O$200,R$1,FALSE),IFERROR(VLOOKUP($E34,Sheet3!$H$2:$O$200,R$1,FALSE),VLOOKUP($F34,Sheet3!$H$2:$O$200,R$1,FALSE))),$I$1),$I$1)</f>
        <v>0</v>
      </c>
      <c r="S34" s="15">
        <f>IFERROR(IF(ISBLANK(L34),IFERROR(VLOOKUP($D34,Sheet3!$H$2:$O$200,S$1,FALSE),IFERROR(VLOOKUP($E34,Sheet3!$H$2:$O$200,S$1,FALSE),VLOOKUP($F34,Sheet3!$H$2:$O$200,S$1,FALSE))),$I$1),$I$1)</f>
        <v>0</v>
      </c>
      <c r="T34" s="15">
        <f>IFERROR(IF(ISBLANK(M34),IFERROR(VLOOKUP($D34,Sheet3!$H$2:$O$200,T$1,FALSE),IFERROR(VLOOKUP($E34,Sheet3!$H$2:$O$200,T$1,FALSE),VLOOKUP($F34,Sheet3!$H$2:$O$200,T$1,FALSE))),$I$1),$I$1)</f>
        <v>0</v>
      </c>
      <c r="U34" s="15">
        <f>IFERROR(IF(ISBLANK(N34),IFERROR(VLOOKUP($D34,Sheet3!$H$2:$O$200,U$1,FALSE),IFERROR(VLOOKUP($E34,Sheet3!$H$2:$O$200,U$1,FALSE),VLOOKUP($F34,Sheet3!$H$2:$O$200,U$1,FALSE))),$I$1),$I$1)</f>
        <v>0</v>
      </c>
      <c r="V34" s="15">
        <f>IFERROR(IF(ISBLANK(O34),IFERROR(VLOOKUP($D34,Sheet3!$H$2:$O$200,V$1,FALSE),IFERROR(VLOOKUP($E34,Sheet3!$H$2:$O$200,V$1,FALSE),VLOOKUP($F34,Sheet3!$H$2:$O$200,V$1,FALSE))),$I$1),$I$1)</f>
        <v>0</v>
      </c>
      <c r="W34" s="15">
        <f>IFERROR(IF(ISBLANK(P34),IFERROR(VLOOKUP($D34,Sheet3!$H$2:$O$200,W$1,FALSE),IFERROR(VLOOKUP($E34,Sheet3!$H$2:$O$200,W$1,FALSE),VLOOKUP($F34,Sheet3!$H$2:$O$200,W$1,FALSE))),$I$1),$I$1)</f>
        <v>0</v>
      </c>
      <c r="X34" s="15">
        <f>IFERROR(IF(ISBLANK(Q34),IFERROR(VLOOKUP($E34,Sheet3!$H$2:$O$200,X$1,FALSE),IFERROR(VLOOKUP($F34,Sheet3!$H$2:$O$200,X$1,FALSE),VLOOKUP($G34,Sheet3!$H$2:$O$200,X$1,FALSE))),$I$1),$I$1)</f>
        <v>0</v>
      </c>
      <c r="Y34" s="15">
        <f>IFERROR(IF(ISBLANK(R34),IFERROR(VLOOKUP($E34,Sheet3!$H$2:$O$200,Y$1,FALSE),IFERROR(VLOOKUP($F34,Sheet3!$H$2:$O$200,Y$1,FALSE),VLOOKUP($G34,Sheet3!$H$2:$O$200,Y$1,FALSE))),$I$1),$I$1)</f>
        <v>0</v>
      </c>
      <c r="Z34" s="15">
        <f>IFERROR(IF(ISBLANK(S34),IFERROR(VLOOKUP($E34,Sheet3!$H$2:$O$200,Z$1,FALSE),IFERROR(VLOOKUP($F34,Sheet3!$H$2:$O$200,Z$1,FALSE),VLOOKUP($G34,Sheet3!$H$2:$O$200,Z$1,FALSE))),$I$1),$I$1)</f>
        <v>0</v>
      </c>
      <c r="AA34" s="15">
        <f>IFERROR(IF(ISBLANK(T34),IFERROR(VLOOKUP($E34,Sheet3!$H$2:$O$200,AA$1,FALSE),IFERROR(VLOOKUP($F34,Sheet3!$H$2:$O$200,AA$1,FALSE),VLOOKUP($G34,Sheet3!$H$2:$O$200,AA$1,FALSE))),$I$1),$I$1)</f>
        <v>0</v>
      </c>
      <c r="AB34" s="15">
        <f>IFERROR(IF(ISBLANK(U34),IFERROR(VLOOKUP($E34,Sheet3!$H$2:$O$200,AB$1,FALSE),IFERROR(VLOOKUP($F34,Sheet3!$H$2:$O$200,AB$1,FALSE),VLOOKUP($G34,Sheet3!$H$2:$O$200,AB$1,FALSE))),$I$1),$I$1)</f>
        <v>0</v>
      </c>
      <c r="AC34" s="15">
        <f>IFERROR(IF(ISBLANK(V34),IFERROR(VLOOKUP($E34,Sheet3!$H$2:$O$200,AC$1,FALSE),IFERROR(VLOOKUP($F34,Sheet3!$H$2:$O$200,AC$1,FALSE),VLOOKUP($G34,Sheet3!$H$2:$O$200,AC$1,FALSE))),$I$1),$I$1)</f>
        <v>0</v>
      </c>
      <c r="AD34" s="15">
        <f>IFERROR(IF(ISBLANK(W34),IFERROR(VLOOKUP($E34,Sheet3!$H$2:$O$200,AD$1,FALSE),IFERROR(VLOOKUP($F34,Sheet3!$H$2:$O$200,AD$1,FALSE),VLOOKUP($G34,Sheet3!$H$2:$O$200,AD$1,FALSE))),$I$1),$I$1)</f>
        <v>0</v>
      </c>
      <c r="AE34" s="15">
        <f>IFERROR(IF(ISBLANK(X34),IFERROR(VLOOKUP($F34,Sheet3!$H$2:$O$200,AE$1,FALSE),VLOOKUP($G34,Sheet3!$H$2:$O$200,AE$1,FALSE)),$I$1),$I$1)</f>
        <v>0</v>
      </c>
      <c r="AF34" s="15">
        <f>IFERROR(IF(ISBLANK(Y34),IFERROR(VLOOKUP($F34,Sheet3!$H$2:$O$200,AF$1,FALSE),VLOOKUP($G34,Sheet3!$H$2:$O$200,AF$1,FALSE)),$I$1),$I$1)</f>
        <v>0</v>
      </c>
      <c r="AG34" s="15">
        <f>IFERROR(IF(ISBLANK(Z34),IFERROR(VLOOKUP($F34,Sheet3!$H$2:$O$200,AG$1,FALSE),VLOOKUP($G34,Sheet3!$H$2:$O$200,AG$1,FALSE)),$I$1),$I$1)</f>
        <v>0</v>
      </c>
      <c r="AH34" s="15">
        <f>IFERROR(IF(ISBLANK(AA34),IFERROR(VLOOKUP($F34,Sheet3!$H$2:$O$200,AH$1,FALSE),VLOOKUP($G34,Sheet3!$H$2:$O$200,AH$1,FALSE)),$I$1),$I$1)</f>
        <v>0</v>
      </c>
      <c r="AI34" s="15">
        <f>IFERROR(IF(ISBLANK(AB34),IFERROR(VLOOKUP($F34,Sheet3!$H$2:$O$200,AI$1,FALSE),VLOOKUP($G34,Sheet3!$H$2:$O$200,AI$1,FALSE)),$I$1),$I$1)</f>
        <v>0</v>
      </c>
      <c r="AJ34" s="15">
        <f>IFERROR(IF(ISBLANK(AC34),IFERROR(VLOOKUP($F34,Sheet3!$H$2:$O$200,AJ$1,FALSE),VLOOKUP($G34,Sheet3!$H$2:$O$200,AJ$1,FALSE)),$I$1),$I$1)</f>
        <v>0</v>
      </c>
      <c r="AK34" s="15">
        <f>IFERROR(IF(ISBLANK(AD34),IFERROR(VLOOKUP($F34,Sheet3!$H$2:$O$200,AK$1,FALSE),VLOOKUP($G34,Sheet3!$H$2:$O$200,AK$1,FALSE)),$I$1),$I$1)</f>
        <v>0</v>
      </c>
      <c r="AL34" s="15">
        <f>IFERROR(IF(ISBLANK(AE34),VLOOKUP($G34,Sheet3!$H$2:$O$200,AL$1,FALSE),$I$1),$I$1)</f>
        <v>0</v>
      </c>
      <c r="AM34" s="15">
        <f>IFERROR(IF(ISBLANK(AF34),VLOOKUP($G34,Sheet3!$H$2:$O$200,AM$1,FALSE),$I$1),$I$1)</f>
        <v>0</v>
      </c>
      <c r="AN34" s="15">
        <f>IFERROR(IF(ISBLANK(AG34),VLOOKUP($G34,Sheet3!$H$2:$O$200,AN$1,FALSE),$I$1),$I$1)</f>
        <v>0</v>
      </c>
      <c r="AO34" s="15">
        <f>IFERROR(IF(ISBLANK(AH34),VLOOKUP($G34,Sheet3!$H$2:$O$200,AO$1,FALSE),$I$1),$I$1)</f>
        <v>0</v>
      </c>
      <c r="AP34" s="15">
        <f>IFERROR(IF(ISBLANK(AI34),VLOOKUP($G34,Sheet3!$H$2:$O$200,AP$1,FALSE),$I$1),$I$1)</f>
        <v>0</v>
      </c>
      <c r="AQ34" s="15">
        <f>IFERROR(IF(ISBLANK(AJ34),VLOOKUP($G34,Sheet3!$H$2:$O$200,AQ$1,FALSE),$I$1),$I$1)</f>
        <v>0</v>
      </c>
      <c r="AR34" s="15">
        <f>IFERROR(IF(ISBLANK(AK34),VLOOKUP($G34,Sheet3!$H$2:$O$200,AR$1,FALSE),$I$1),$I$1)</f>
        <v>0</v>
      </c>
      <c r="AS34" s="15">
        <f t="shared" ref="AS34:AY34" si="36">IFERROR(IF(ISBLANK(J34),IF(ISBLANK(Q34),IF(ISBLANK(X34),IF(ISBLANK(AE34),IF(ISBLANK(AL34),$BB$1,AL34),AE34),X34),Q34),J34),$BB$1)</f>
        <v>0</v>
      </c>
      <c r="AT34" s="15">
        <f t="shared" si="36"/>
        <v>0</v>
      </c>
      <c r="AU34" s="15">
        <f t="shared" si="36"/>
        <v>0</v>
      </c>
      <c r="AV34" s="15" t="str">
        <f t="shared" si="36"/>
        <v>crème de cassis</v>
      </c>
      <c r="AW34" s="15">
        <f t="shared" si="36"/>
        <v>0</v>
      </c>
      <c r="AX34" s="15">
        <f t="shared" si="36"/>
        <v>0</v>
      </c>
      <c r="AY34" s="15">
        <f t="shared" si="36"/>
        <v>0</v>
      </c>
      <c r="BA34" s="13">
        <f t="shared" si="1"/>
        <v>35</v>
      </c>
      <c r="BB34" s="15" t="b">
        <f t="shared" si="2"/>
        <v>0</v>
      </c>
    </row>
    <row r="35" spans="1:54" x14ac:dyDescent="0.2">
      <c r="A35" s="19" t="s">
        <v>111</v>
      </c>
      <c r="B35" s="19" t="s">
        <v>49</v>
      </c>
      <c r="C35" s="19" t="s">
        <v>112</v>
      </c>
      <c r="D35" s="19" t="s">
        <v>113</v>
      </c>
      <c r="E35" s="19" t="s">
        <v>114</v>
      </c>
      <c r="F35" s="19"/>
      <c r="G35" s="19"/>
      <c r="H35" s="19" t="s">
        <v>111</v>
      </c>
      <c r="I35" s="15">
        <v>3</v>
      </c>
      <c r="J35" s="15">
        <f>IFERROR(VLOOKUP($C35,Sheet3!$H$2:$O$200,J$1,FALSE),IFERROR(VLOOKUP($D35,Sheet3!$H$2:$O$200,J$1,FALSE),VLOOKUP($E35,Sheet3!$H$2:$O$200,J$1,FALSE)))</f>
        <v>0</v>
      </c>
      <c r="K35" s="15">
        <f>IFERROR(VLOOKUP($C35,Sheet3!$H$2:$O$200,K$1,FALSE),IFERROR(VLOOKUP($D35,Sheet3!$H$2:$O$200,K$1,FALSE),VLOOKUP($E35,Sheet3!$H$2:$O$200,K$1,FALSE)))</f>
        <v>0</v>
      </c>
      <c r="L35" s="15">
        <f>IFERROR(VLOOKUP($C35,Sheet3!$H$2:$O$200,L$1,FALSE),IFERROR(VLOOKUP($D35,Sheet3!$H$2:$O$200,L$1,FALSE),VLOOKUP($E35,Sheet3!$H$2:$O$200,L$1,FALSE)))</f>
        <v>0</v>
      </c>
      <c r="M35" s="15" t="str">
        <f>IFERROR(VLOOKUP($C35,Sheet3!$H$2:$O$200,M$1,FALSE),IFERROR(VLOOKUP($D35,Sheet3!$H$2:$O$200,M$1,FALSE),VLOOKUP($E35,Sheet3!$H$2:$O$200,M$1,FALSE)))</f>
        <v>Tuaca</v>
      </c>
      <c r="N35" s="15">
        <f>IFERROR(VLOOKUP($C35,Sheet3!$H$2:$O$200,N$1,FALSE),IFERROR(VLOOKUP($D35,Sheet3!$H$2:$O$200,N$1,FALSE),VLOOKUP($E35,Sheet3!$H$2:$O$200,N$1,FALSE)))</f>
        <v>0</v>
      </c>
      <c r="O35" s="15">
        <f>IFERROR(VLOOKUP($C35,Sheet3!$H$2:$O$200,O$1,FALSE),IFERROR(VLOOKUP($D35,Sheet3!$H$2:$O$200,O$1,FALSE),VLOOKUP($E35,Sheet3!$H$2:$O$200,O$1,FALSE)))</f>
        <v>0</v>
      </c>
      <c r="P35" s="15">
        <f>IFERROR(VLOOKUP($C35,Sheet3!$H$2:$O$200,P$1,FALSE),IFERROR(VLOOKUP($D35,Sheet3!$H$2:$O$200,P$1,FALSE),VLOOKUP($E35,Sheet3!$H$2:$O$200,P$1,FALSE)))</f>
        <v>0</v>
      </c>
      <c r="Q35" s="15">
        <f>IFERROR(IF(ISBLANK(J35),IFERROR(VLOOKUP($D35,Sheet3!$H$2:$O$200,Q$1,FALSE),IFERROR(VLOOKUP($E35,Sheet3!$H$2:$O$200,Q$1,FALSE),VLOOKUP($F35,Sheet3!$H$2:$O$200,Q$1,FALSE))),$I$1),$I$1)</f>
        <v>0</v>
      </c>
      <c r="R35" s="15">
        <f>IFERROR(IF(ISBLANK(K35),IFERROR(VLOOKUP($D35,Sheet3!$H$2:$O$200,R$1,FALSE),IFERROR(VLOOKUP($E35,Sheet3!$H$2:$O$200,R$1,FALSE),VLOOKUP($F35,Sheet3!$H$2:$O$200,R$1,FALSE))),$I$1),$I$1)</f>
        <v>0</v>
      </c>
      <c r="S35" s="15">
        <f>IFERROR(IF(ISBLANK(L35),IFERROR(VLOOKUP($D35,Sheet3!$H$2:$O$200,S$1,FALSE),IFERROR(VLOOKUP($E35,Sheet3!$H$2:$O$200,S$1,FALSE),VLOOKUP($F35,Sheet3!$H$2:$O$200,S$1,FALSE))),$I$1),$I$1)</f>
        <v>0</v>
      </c>
      <c r="T35" s="15">
        <f>IFERROR(IF(ISBLANK(M35),IFERROR(VLOOKUP($D35,Sheet3!$H$2:$O$200,T$1,FALSE),IFERROR(VLOOKUP($E35,Sheet3!$H$2:$O$200,T$1,FALSE),VLOOKUP($F35,Sheet3!$H$2:$O$200,T$1,FALSE))),$I$1),$I$1)</f>
        <v>0</v>
      </c>
      <c r="U35" s="15">
        <f>IFERROR(IF(ISBLANK(N35),IFERROR(VLOOKUP($D35,Sheet3!$H$2:$O$200,U$1,FALSE),IFERROR(VLOOKUP($E35,Sheet3!$H$2:$O$200,U$1,FALSE),VLOOKUP($F35,Sheet3!$H$2:$O$200,U$1,FALSE))),$I$1),$I$1)</f>
        <v>0</v>
      </c>
      <c r="V35" s="15">
        <f>IFERROR(IF(ISBLANK(O35),IFERROR(VLOOKUP($D35,Sheet3!$H$2:$O$200,V$1,FALSE),IFERROR(VLOOKUP($E35,Sheet3!$H$2:$O$200,V$1,FALSE),VLOOKUP($F35,Sheet3!$H$2:$O$200,V$1,FALSE))),$I$1),$I$1)</f>
        <v>0</v>
      </c>
      <c r="W35" s="15">
        <f>IFERROR(IF(ISBLANK(P35),IFERROR(VLOOKUP($D35,Sheet3!$H$2:$O$200,W$1,FALSE),IFERROR(VLOOKUP($E35,Sheet3!$H$2:$O$200,W$1,FALSE),VLOOKUP($F35,Sheet3!$H$2:$O$200,W$1,FALSE))),$I$1),$I$1)</f>
        <v>0</v>
      </c>
      <c r="X35" s="15">
        <f>IFERROR(IF(ISBLANK(Q35),IFERROR(VLOOKUP($E35,Sheet3!$H$2:$O$200,X$1,FALSE),IFERROR(VLOOKUP($F35,Sheet3!$H$2:$O$200,X$1,FALSE),VLOOKUP($G35,Sheet3!$H$2:$O$200,X$1,FALSE))),$I$1),$I$1)</f>
        <v>0</v>
      </c>
      <c r="Y35" s="15">
        <f>IFERROR(IF(ISBLANK(R35),IFERROR(VLOOKUP($E35,Sheet3!$H$2:$O$200,Y$1,FALSE),IFERROR(VLOOKUP($F35,Sheet3!$H$2:$O$200,Y$1,FALSE),VLOOKUP($G35,Sheet3!$H$2:$O$200,Y$1,FALSE))),$I$1),$I$1)</f>
        <v>0</v>
      </c>
      <c r="Z35" s="15">
        <f>IFERROR(IF(ISBLANK(S35),IFERROR(VLOOKUP($E35,Sheet3!$H$2:$O$200,Z$1,FALSE),IFERROR(VLOOKUP($F35,Sheet3!$H$2:$O$200,Z$1,FALSE),VLOOKUP($G35,Sheet3!$H$2:$O$200,Z$1,FALSE))),$I$1),$I$1)</f>
        <v>0</v>
      </c>
      <c r="AA35" s="15">
        <f>IFERROR(IF(ISBLANK(T35),IFERROR(VLOOKUP($E35,Sheet3!$H$2:$O$200,AA$1,FALSE),IFERROR(VLOOKUP($F35,Sheet3!$H$2:$O$200,AA$1,FALSE),VLOOKUP($G35,Sheet3!$H$2:$O$200,AA$1,FALSE))),$I$1),$I$1)</f>
        <v>0</v>
      </c>
      <c r="AB35" s="15">
        <f>IFERROR(IF(ISBLANK(U35),IFERROR(VLOOKUP($E35,Sheet3!$H$2:$O$200,AB$1,FALSE),IFERROR(VLOOKUP($F35,Sheet3!$H$2:$O$200,AB$1,FALSE),VLOOKUP($G35,Sheet3!$H$2:$O$200,AB$1,FALSE))),$I$1),$I$1)</f>
        <v>0</v>
      </c>
      <c r="AC35" s="15">
        <f>IFERROR(IF(ISBLANK(V35),IFERROR(VLOOKUP($E35,Sheet3!$H$2:$O$200,AC$1,FALSE),IFERROR(VLOOKUP($F35,Sheet3!$H$2:$O$200,AC$1,FALSE),VLOOKUP($G35,Sheet3!$H$2:$O$200,AC$1,FALSE))),$I$1),$I$1)</f>
        <v>0</v>
      </c>
      <c r="AD35" s="15">
        <f>IFERROR(IF(ISBLANK(W35),IFERROR(VLOOKUP($E35,Sheet3!$H$2:$O$200,AD$1,FALSE),IFERROR(VLOOKUP($F35,Sheet3!$H$2:$O$200,AD$1,FALSE),VLOOKUP($G35,Sheet3!$H$2:$O$200,AD$1,FALSE))),$I$1),$I$1)</f>
        <v>0</v>
      </c>
      <c r="AE35" s="15">
        <f>IFERROR(IF(ISBLANK(X35),IFERROR(VLOOKUP($F35,Sheet3!$H$2:$O$200,AE$1,FALSE),VLOOKUP($G35,Sheet3!$H$2:$O$200,AE$1,FALSE)),$I$1),$I$1)</f>
        <v>0</v>
      </c>
      <c r="AF35" s="15">
        <f>IFERROR(IF(ISBLANK(Y35),IFERROR(VLOOKUP($F35,Sheet3!$H$2:$O$200,AF$1,FALSE),VLOOKUP($G35,Sheet3!$H$2:$O$200,AF$1,FALSE)),$I$1),$I$1)</f>
        <v>0</v>
      </c>
      <c r="AG35" s="15">
        <f>IFERROR(IF(ISBLANK(Z35),IFERROR(VLOOKUP($F35,Sheet3!$H$2:$O$200,AG$1,FALSE),VLOOKUP($G35,Sheet3!$H$2:$O$200,AG$1,FALSE)),$I$1),$I$1)</f>
        <v>0</v>
      </c>
      <c r="AH35" s="15">
        <f>IFERROR(IF(ISBLANK(AA35),IFERROR(VLOOKUP($F35,Sheet3!$H$2:$O$200,AH$1,FALSE),VLOOKUP($G35,Sheet3!$H$2:$O$200,AH$1,FALSE)),$I$1),$I$1)</f>
        <v>0</v>
      </c>
      <c r="AI35" s="15">
        <f>IFERROR(IF(ISBLANK(AB35),IFERROR(VLOOKUP($F35,Sheet3!$H$2:$O$200,AI$1,FALSE),VLOOKUP($G35,Sheet3!$H$2:$O$200,AI$1,FALSE)),$I$1),$I$1)</f>
        <v>0</v>
      </c>
      <c r="AJ35" s="15">
        <f>IFERROR(IF(ISBLANK(AC35),IFERROR(VLOOKUP($F35,Sheet3!$H$2:$O$200,AJ$1,FALSE),VLOOKUP($G35,Sheet3!$H$2:$O$200,AJ$1,FALSE)),$I$1),$I$1)</f>
        <v>0</v>
      </c>
      <c r="AK35" s="15">
        <f>IFERROR(IF(ISBLANK(AD35),IFERROR(VLOOKUP($F35,Sheet3!$H$2:$O$200,AK$1,FALSE),VLOOKUP($G35,Sheet3!$H$2:$O$200,AK$1,FALSE)),$I$1),$I$1)</f>
        <v>0</v>
      </c>
      <c r="AL35" s="15">
        <f>IFERROR(IF(ISBLANK(AE35),VLOOKUP($G35,Sheet3!$H$2:$O$200,AL$1,FALSE),$I$1),$I$1)</f>
        <v>0</v>
      </c>
      <c r="AM35" s="15">
        <f>IFERROR(IF(ISBLANK(AF35),VLOOKUP($G35,Sheet3!$H$2:$O$200,AM$1,FALSE),$I$1),$I$1)</f>
        <v>0</v>
      </c>
      <c r="AN35" s="15">
        <f>IFERROR(IF(ISBLANK(AG35),VLOOKUP($G35,Sheet3!$H$2:$O$200,AN$1,FALSE),$I$1),$I$1)</f>
        <v>0</v>
      </c>
      <c r="AO35" s="15">
        <f>IFERROR(IF(ISBLANK(AH35),VLOOKUP($G35,Sheet3!$H$2:$O$200,AO$1,FALSE),$I$1),$I$1)</f>
        <v>0</v>
      </c>
      <c r="AP35" s="15">
        <f>IFERROR(IF(ISBLANK(AI35),VLOOKUP($G35,Sheet3!$H$2:$O$200,AP$1,FALSE),$I$1),$I$1)</f>
        <v>0</v>
      </c>
      <c r="AQ35" s="15">
        <f>IFERROR(IF(ISBLANK(AJ35),VLOOKUP($G35,Sheet3!$H$2:$O$200,AQ$1,FALSE),$I$1),$I$1)</f>
        <v>0</v>
      </c>
      <c r="AR35" s="15">
        <f>IFERROR(IF(ISBLANK(AK35),VLOOKUP($G35,Sheet3!$H$2:$O$200,AR$1,FALSE),$I$1),$I$1)</f>
        <v>0</v>
      </c>
      <c r="AS35" s="15">
        <f t="shared" ref="AS35:AX35" si="37">IFERROR(IF(ISBLANK(J35),IF(ISBLANK(Q35),IF(ISBLANK(X35),IF(ISBLANK(AE35),IF(ISBLANK(AL35),$BB$1,AL35),AE35),X35),Q35),J35),$BB$1)</f>
        <v>0</v>
      </c>
      <c r="AT35" s="15">
        <f t="shared" si="37"/>
        <v>0</v>
      </c>
      <c r="AU35" s="15">
        <f t="shared" si="37"/>
        <v>0</v>
      </c>
      <c r="AV35" s="15" t="str">
        <f t="shared" si="37"/>
        <v>Tuaca</v>
      </c>
      <c r="AW35" s="15">
        <f t="shared" si="37"/>
        <v>0</v>
      </c>
      <c r="AX35" s="15">
        <f t="shared" si="37"/>
        <v>0</v>
      </c>
      <c r="AY35" s="11" t="s">
        <v>114</v>
      </c>
      <c r="BA35" s="13">
        <f t="shared" si="1"/>
        <v>35</v>
      </c>
      <c r="BB35" s="15" t="b">
        <f t="shared" si="2"/>
        <v>0</v>
      </c>
    </row>
    <row r="36" spans="1:54" x14ac:dyDescent="0.2">
      <c r="A36" s="20" t="s">
        <v>116</v>
      </c>
      <c r="B36" s="20" t="s">
        <v>49</v>
      </c>
      <c r="C36" s="20" t="s">
        <v>100</v>
      </c>
      <c r="D36" s="20" t="s">
        <v>38</v>
      </c>
      <c r="E36" s="20"/>
      <c r="F36" s="20"/>
      <c r="G36" s="20"/>
      <c r="H36" s="20" t="s">
        <v>116</v>
      </c>
      <c r="I36" s="15">
        <v>2</v>
      </c>
      <c r="J36" s="15">
        <f>IFERROR(VLOOKUP($C36,Sheet3!$H$2:$O$200,J$1,FALSE),IFERROR(VLOOKUP($D36,Sheet3!$H$2:$O$200,J$1,FALSE),VLOOKUP($E36,Sheet3!$H$2:$O$200,J$1,FALSE)))</f>
        <v>0</v>
      </c>
      <c r="K36" s="15">
        <f>IFERROR(VLOOKUP($C36,Sheet3!$H$2:$O$200,K$1,FALSE),IFERROR(VLOOKUP($D36,Sheet3!$H$2:$O$200,K$1,FALSE),VLOOKUP($E36,Sheet3!$H$2:$O$200,K$1,FALSE)))</f>
        <v>0</v>
      </c>
      <c r="L36" s="15">
        <f>IFERROR(VLOOKUP($C36,Sheet3!$H$2:$O$200,L$1,FALSE),IFERROR(VLOOKUP($D36,Sheet3!$H$2:$O$200,L$1,FALSE),VLOOKUP($E36,Sheet3!$H$2:$O$200,L$1,FALSE)))</f>
        <v>0</v>
      </c>
      <c r="M36" s="15" t="str">
        <f>IFERROR(VLOOKUP($C36,Sheet3!$H$2:$O$200,M$1,FALSE),IFERROR(VLOOKUP($D36,Sheet3!$H$2:$O$200,M$1,FALSE),VLOOKUP($E36,Sheet3!$H$2:$O$200,M$1,FALSE)))</f>
        <v>triple sec</v>
      </c>
      <c r="N36" s="15">
        <f>IFERROR(VLOOKUP($C36,Sheet3!$H$2:$O$200,N$1,FALSE),IFERROR(VLOOKUP($D36,Sheet3!$H$2:$O$200,N$1,FALSE),VLOOKUP($E36,Sheet3!$H$2:$O$200,N$1,FALSE)))</f>
        <v>0</v>
      </c>
      <c r="O36" s="15">
        <f>IFERROR(VLOOKUP($C36,Sheet3!$H$2:$O$200,O$1,FALSE),IFERROR(VLOOKUP($D36,Sheet3!$H$2:$O$200,O$1,FALSE),VLOOKUP($E36,Sheet3!$H$2:$O$200,O$1,FALSE)))</f>
        <v>0</v>
      </c>
      <c r="P36" s="15">
        <f>IFERROR(VLOOKUP($C36,Sheet3!$H$2:$O$200,P$1,FALSE),IFERROR(VLOOKUP($D36,Sheet3!$H$2:$O$200,P$1,FALSE),VLOOKUP($E36,Sheet3!$H$2:$O$200,P$1,FALSE)))</f>
        <v>0</v>
      </c>
      <c r="Q36" s="15">
        <f>IFERROR(IF(ISBLANK(J36),IFERROR(VLOOKUP($D36,Sheet3!$H$2:$O$200,Q$1,FALSE),IFERROR(VLOOKUP($E36,Sheet3!$H$2:$O$200,Q$1,FALSE),VLOOKUP($F36,Sheet3!$H$2:$O$200,Q$1,FALSE))),$I$1),$I$1)</f>
        <v>0</v>
      </c>
      <c r="R36" s="15">
        <f>IFERROR(IF(ISBLANK(K36),IFERROR(VLOOKUP($D36,Sheet3!$H$2:$O$200,R$1,FALSE),IFERROR(VLOOKUP($E36,Sheet3!$H$2:$O$200,R$1,FALSE),VLOOKUP($F36,Sheet3!$H$2:$O$200,R$1,FALSE))),$I$1),$I$1)</f>
        <v>0</v>
      </c>
      <c r="S36" s="15">
        <f>IFERROR(IF(ISBLANK(L36),IFERROR(VLOOKUP($D36,Sheet3!$H$2:$O$200,S$1,FALSE),IFERROR(VLOOKUP($E36,Sheet3!$H$2:$O$200,S$1,FALSE),VLOOKUP($F36,Sheet3!$H$2:$O$200,S$1,FALSE))),$I$1),$I$1)</f>
        <v>0</v>
      </c>
      <c r="T36" s="15">
        <f>IFERROR(IF(ISBLANK(M36),IFERROR(VLOOKUP($D36,Sheet3!$H$2:$O$200,T$1,FALSE),IFERROR(VLOOKUP($E36,Sheet3!$H$2:$O$200,T$1,FALSE),VLOOKUP($F36,Sheet3!$H$2:$O$200,T$1,FALSE))),$I$1),$I$1)</f>
        <v>0</v>
      </c>
      <c r="U36" s="15">
        <f>IFERROR(IF(ISBLANK(N36),IFERROR(VLOOKUP($D36,Sheet3!$H$2:$O$200,U$1,FALSE),IFERROR(VLOOKUP($E36,Sheet3!$H$2:$O$200,U$1,FALSE),VLOOKUP($F36,Sheet3!$H$2:$O$200,U$1,FALSE))),$I$1),$I$1)</f>
        <v>0</v>
      </c>
      <c r="V36" s="15">
        <f>IFERROR(IF(ISBLANK(O36),IFERROR(VLOOKUP($D36,Sheet3!$H$2:$O$200,V$1,FALSE),IFERROR(VLOOKUP($E36,Sheet3!$H$2:$O$200,V$1,FALSE),VLOOKUP($F36,Sheet3!$H$2:$O$200,V$1,FALSE))),$I$1),$I$1)</f>
        <v>0</v>
      </c>
      <c r="W36" s="15">
        <f>IFERROR(IF(ISBLANK(P36),IFERROR(VLOOKUP($D36,Sheet3!$H$2:$O$200,W$1,FALSE),IFERROR(VLOOKUP($E36,Sheet3!$H$2:$O$200,W$1,FALSE),VLOOKUP($F36,Sheet3!$H$2:$O$200,W$1,FALSE))),$I$1),$I$1)</f>
        <v>0</v>
      </c>
      <c r="X36" s="15">
        <f>IFERROR(IF(ISBLANK(Q36),IFERROR(VLOOKUP($E36,Sheet3!$H$2:$O$200,X$1,FALSE),IFERROR(VLOOKUP($F36,Sheet3!$H$2:$O$200,X$1,FALSE),VLOOKUP($G36,Sheet3!$H$2:$O$200,X$1,FALSE))),$I$1),$I$1)</f>
        <v>0</v>
      </c>
      <c r="Y36" s="15">
        <f>IFERROR(IF(ISBLANK(R36),IFERROR(VLOOKUP($E36,Sheet3!$H$2:$O$200,Y$1,FALSE),IFERROR(VLOOKUP($F36,Sheet3!$H$2:$O$200,Y$1,FALSE),VLOOKUP($G36,Sheet3!$H$2:$O$200,Y$1,FALSE))),$I$1),$I$1)</f>
        <v>0</v>
      </c>
      <c r="Z36" s="15">
        <f>IFERROR(IF(ISBLANK(S36),IFERROR(VLOOKUP($E36,Sheet3!$H$2:$O$200,Z$1,FALSE),IFERROR(VLOOKUP($F36,Sheet3!$H$2:$O$200,Z$1,FALSE),VLOOKUP($G36,Sheet3!$H$2:$O$200,Z$1,FALSE))),$I$1),$I$1)</f>
        <v>0</v>
      </c>
      <c r="AA36" s="15">
        <f>IFERROR(IF(ISBLANK(T36),IFERROR(VLOOKUP($E36,Sheet3!$H$2:$O$200,AA$1,FALSE),IFERROR(VLOOKUP($F36,Sheet3!$H$2:$O$200,AA$1,FALSE),VLOOKUP($G36,Sheet3!$H$2:$O$200,AA$1,FALSE))),$I$1),$I$1)</f>
        <v>0</v>
      </c>
      <c r="AB36" s="15">
        <f>IFERROR(IF(ISBLANK(U36),IFERROR(VLOOKUP($E36,Sheet3!$H$2:$O$200,AB$1,FALSE),IFERROR(VLOOKUP($F36,Sheet3!$H$2:$O$200,AB$1,FALSE),VLOOKUP($G36,Sheet3!$H$2:$O$200,AB$1,FALSE))),$I$1),$I$1)</f>
        <v>0</v>
      </c>
      <c r="AC36" s="15">
        <f>IFERROR(IF(ISBLANK(V36),IFERROR(VLOOKUP($E36,Sheet3!$H$2:$O$200,AC$1,FALSE),IFERROR(VLOOKUP($F36,Sheet3!$H$2:$O$200,AC$1,FALSE),VLOOKUP($G36,Sheet3!$H$2:$O$200,AC$1,FALSE))),$I$1),$I$1)</f>
        <v>0</v>
      </c>
      <c r="AD36" s="15">
        <f>IFERROR(IF(ISBLANK(W36),IFERROR(VLOOKUP($E36,Sheet3!$H$2:$O$200,AD$1,FALSE),IFERROR(VLOOKUP($F36,Sheet3!$H$2:$O$200,AD$1,FALSE),VLOOKUP($G36,Sheet3!$H$2:$O$200,AD$1,FALSE))),$I$1),$I$1)</f>
        <v>0</v>
      </c>
      <c r="AE36" s="15">
        <f>IFERROR(IF(ISBLANK(X36),IFERROR(VLOOKUP($F36,Sheet3!$H$2:$O$200,AE$1,FALSE),VLOOKUP($G36,Sheet3!$H$2:$O$200,AE$1,FALSE)),$I$1),$I$1)</f>
        <v>0</v>
      </c>
      <c r="AF36" s="15">
        <f>IFERROR(IF(ISBLANK(Y36),IFERROR(VLOOKUP($F36,Sheet3!$H$2:$O$200,AF$1,FALSE),VLOOKUP($G36,Sheet3!$H$2:$O$200,AF$1,FALSE)),$I$1),$I$1)</f>
        <v>0</v>
      </c>
      <c r="AG36" s="15">
        <f>IFERROR(IF(ISBLANK(Z36),IFERROR(VLOOKUP($F36,Sheet3!$H$2:$O$200,AG$1,FALSE),VLOOKUP($G36,Sheet3!$H$2:$O$200,AG$1,FALSE)),$I$1),$I$1)</f>
        <v>0</v>
      </c>
      <c r="AH36" s="15">
        <f>IFERROR(IF(ISBLANK(AA36),IFERROR(VLOOKUP($F36,Sheet3!$H$2:$O$200,AH$1,FALSE),VLOOKUP($G36,Sheet3!$H$2:$O$200,AH$1,FALSE)),$I$1),$I$1)</f>
        <v>0</v>
      </c>
      <c r="AI36" s="15">
        <f>IFERROR(IF(ISBLANK(AB36),IFERROR(VLOOKUP($F36,Sheet3!$H$2:$O$200,AI$1,FALSE),VLOOKUP($G36,Sheet3!$H$2:$O$200,AI$1,FALSE)),$I$1),$I$1)</f>
        <v>0</v>
      </c>
      <c r="AJ36" s="15">
        <f>IFERROR(IF(ISBLANK(AC36),IFERROR(VLOOKUP($F36,Sheet3!$H$2:$O$200,AJ$1,FALSE),VLOOKUP($G36,Sheet3!$H$2:$O$200,AJ$1,FALSE)),$I$1),$I$1)</f>
        <v>0</v>
      </c>
      <c r="AK36" s="15">
        <f>IFERROR(IF(ISBLANK(AD36),IFERROR(VLOOKUP($F36,Sheet3!$H$2:$O$200,AK$1,FALSE),VLOOKUP($G36,Sheet3!$H$2:$O$200,AK$1,FALSE)),$I$1),$I$1)</f>
        <v>0</v>
      </c>
      <c r="AL36" s="15">
        <f>IFERROR(IF(ISBLANK(AE36),VLOOKUP($G36,Sheet3!$H$2:$O$200,AL$1,FALSE),$I$1),$I$1)</f>
        <v>0</v>
      </c>
      <c r="AM36" s="15">
        <f>IFERROR(IF(ISBLANK(AF36),VLOOKUP($G36,Sheet3!$H$2:$O$200,AM$1,FALSE),$I$1),$I$1)</f>
        <v>0</v>
      </c>
      <c r="AN36" s="15">
        <f>IFERROR(IF(ISBLANK(AG36),VLOOKUP($G36,Sheet3!$H$2:$O$200,AN$1,FALSE),$I$1),$I$1)</f>
        <v>0</v>
      </c>
      <c r="AO36" s="15">
        <f>IFERROR(IF(ISBLANK(AH36),VLOOKUP($G36,Sheet3!$H$2:$O$200,AO$1,FALSE),$I$1),$I$1)</f>
        <v>0</v>
      </c>
      <c r="AP36" s="15">
        <f>IFERROR(IF(ISBLANK(AI36),VLOOKUP($G36,Sheet3!$H$2:$O$200,AP$1,FALSE),$I$1),$I$1)</f>
        <v>0</v>
      </c>
      <c r="AQ36" s="15">
        <f>IFERROR(IF(ISBLANK(AJ36),VLOOKUP($G36,Sheet3!$H$2:$O$200,AQ$1,FALSE),$I$1),$I$1)</f>
        <v>0</v>
      </c>
      <c r="AR36" s="15">
        <f>IFERROR(IF(ISBLANK(AK36),VLOOKUP($G36,Sheet3!$H$2:$O$200,AR$1,FALSE),$I$1),$I$1)</f>
        <v>0</v>
      </c>
      <c r="AS36" s="15">
        <f t="shared" ref="AS36:AY36" si="38">IFERROR(IF(ISBLANK(J36),IF(ISBLANK(Q36),IF(ISBLANK(X36),IF(ISBLANK(AE36),IF(ISBLANK(AL36),$BB$1,AL36),AE36),X36),Q36),J36),$BB$1)</f>
        <v>0</v>
      </c>
      <c r="AT36" s="15">
        <f t="shared" si="38"/>
        <v>0</v>
      </c>
      <c r="AU36" s="15">
        <f t="shared" si="38"/>
        <v>0</v>
      </c>
      <c r="AV36" s="15" t="str">
        <f t="shared" si="38"/>
        <v>triple sec</v>
      </c>
      <c r="AW36" s="15">
        <f t="shared" si="38"/>
        <v>0</v>
      </c>
      <c r="AX36" s="15">
        <f t="shared" si="38"/>
        <v>0</v>
      </c>
      <c r="AY36" s="15">
        <f t="shared" si="38"/>
        <v>0</v>
      </c>
      <c r="BA36" s="13">
        <f t="shared" si="1"/>
        <v>35</v>
      </c>
      <c r="BB36" s="15" t="b">
        <f t="shared" si="2"/>
        <v>0</v>
      </c>
    </row>
    <row r="37" spans="1:54" x14ac:dyDescent="0.2">
      <c r="A37" s="19" t="s">
        <v>117</v>
      </c>
      <c r="B37" s="19" t="s">
        <v>49</v>
      </c>
      <c r="C37" s="19" t="s">
        <v>100</v>
      </c>
      <c r="D37" s="19" t="s">
        <v>38</v>
      </c>
      <c r="E37" s="19" t="s">
        <v>118</v>
      </c>
      <c r="F37" s="19"/>
      <c r="G37" s="19"/>
      <c r="H37" s="19" t="s">
        <v>117</v>
      </c>
      <c r="I37" s="15">
        <v>3</v>
      </c>
      <c r="J37" s="15">
        <f>IFERROR(VLOOKUP($C37,Sheet3!$H$2:$O$200,J$1,FALSE),IFERROR(VLOOKUP($D37,Sheet3!$H$2:$O$200,J$1,FALSE),VLOOKUP($E37,Sheet3!$H$2:$O$200,J$1,FALSE)))</f>
        <v>0</v>
      </c>
      <c r="K37" s="15">
        <f>IFERROR(VLOOKUP($C37,Sheet3!$H$2:$O$200,K$1,FALSE),IFERROR(VLOOKUP($D37,Sheet3!$H$2:$O$200,K$1,FALSE),VLOOKUP($E37,Sheet3!$H$2:$O$200,K$1,FALSE)))</f>
        <v>0</v>
      </c>
      <c r="L37" s="15">
        <f>IFERROR(VLOOKUP($C37,Sheet3!$H$2:$O$200,L$1,FALSE),IFERROR(VLOOKUP($D37,Sheet3!$H$2:$O$200,L$1,FALSE),VLOOKUP($E37,Sheet3!$H$2:$O$200,L$1,FALSE)))</f>
        <v>0</v>
      </c>
      <c r="M37" s="15" t="str">
        <f>IFERROR(VLOOKUP($C37,Sheet3!$H$2:$O$200,M$1,FALSE),IFERROR(VLOOKUP($D37,Sheet3!$H$2:$O$200,M$1,FALSE),VLOOKUP($E37,Sheet3!$H$2:$O$200,M$1,FALSE)))</f>
        <v>triple sec</v>
      </c>
      <c r="N37" s="15">
        <f>IFERROR(VLOOKUP($C37,Sheet3!$H$2:$O$200,N$1,FALSE),IFERROR(VLOOKUP($D37,Sheet3!$H$2:$O$200,N$1,FALSE),VLOOKUP($E37,Sheet3!$H$2:$O$200,N$1,FALSE)))</f>
        <v>0</v>
      </c>
      <c r="O37" s="15">
        <f>IFERROR(VLOOKUP($C37,Sheet3!$H$2:$O$200,O$1,FALSE),IFERROR(VLOOKUP($D37,Sheet3!$H$2:$O$200,O$1,FALSE),VLOOKUP($E37,Sheet3!$H$2:$O$200,O$1,FALSE)))</f>
        <v>0</v>
      </c>
      <c r="P37" s="15">
        <f>IFERROR(VLOOKUP($C37,Sheet3!$H$2:$O$200,P$1,FALSE),IFERROR(VLOOKUP($D37,Sheet3!$H$2:$O$200,P$1,FALSE),VLOOKUP($E37,Sheet3!$H$2:$O$200,P$1,FALSE)))</f>
        <v>0</v>
      </c>
      <c r="Q37" s="15">
        <f>IFERROR(IF(ISBLANK(J37),IFERROR(VLOOKUP($D37,Sheet3!$H$2:$O$200,Q$1,FALSE),IFERROR(VLOOKUP($E37,Sheet3!$H$2:$O$200,Q$1,FALSE),VLOOKUP($F37,Sheet3!$H$2:$O$200,Q$1,FALSE))),$I$1),$I$1)</f>
        <v>0</v>
      </c>
      <c r="R37" s="15">
        <f>IFERROR(IF(ISBLANK(K37),IFERROR(VLOOKUP($D37,Sheet3!$H$2:$O$200,R$1,FALSE),IFERROR(VLOOKUP($E37,Sheet3!$H$2:$O$200,R$1,FALSE),VLOOKUP($F37,Sheet3!$H$2:$O$200,R$1,FALSE))),$I$1),$I$1)</f>
        <v>0</v>
      </c>
      <c r="S37" s="15">
        <f>IFERROR(IF(ISBLANK(L37),IFERROR(VLOOKUP($D37,Sheet3!$H$2:$O$200,S$1,FALSE),IFERROR(VLOOKUP($E37,Sheet3!$H$2:$O$200,S$1,FALSE),VLOOKUP($F37,Sheet3!$H$2:$O$200,S$1,FALSE))),$I$1),$I$1)</f>
        <v>0</v>
      </c>
      <c r="T37" s="15">
        <f>IFERROR(IF(ISBLANK(M37),IFERROR(VLOOKUP($D37,Sheet3!$H$2:$O$200,T$1,FALSE),IFERROR(VLOOKUP($E37,Sheet3!$H$2:$O$200,T$1,FALSE),VLOOKUP($F37,Sheet3!$H$2:$O$200,T$1,FALSE))),$I$1),$I$1)</f>
        <v>0</v>
      </c>
      <c r="U37" s="15">
        <f>IFERROR(IF(ISBLANK(N37),IFERROR(VLOOKUP($D37,Sheet3!$H$2:$O$200,U$1,FALSE),IFERROR(VLOOKUP($E37,Sheet3!$H$2:$O$200,U$1,FALSE),VLOOKUP($F37,Sheet3!$H$2:$O$200,U$1,FALSE))),$I$1),$I$1)</f>
        <v>0</v>
      </c>
      <c r="V37" s="15">
        <f>IFERROR(IF(ISBLANK(O37),IFERROR(VLOOKUP($D37,Sheet3!$H$2:$O$200,V$1,FALSE),IFERROR(VLOOKUP($E37,Sheet3!$H$2:$O$200,V$1,FALSE),VLOOKUP($F37,Sheet3!$H$2:$O$200,V$1,FALSE))),$I$1),$I$1)</f>
        <v>0</v>
      </c>
      <c r="W37" s="15">
        <f>IFERROR(IF(ISBLANK(P37),IFERROR(VLOOKUP($D37,Sheet3!$H$2:$O$200,W$1,FALSE),IFERROR(VLOOKUP($E37,Sheet3!$H$2:$O$200,W$1,FALSE),VLOOKUP($F37,Sheet3!$H$2:$O$200,W$1,FALSE))),$I$1),$I$1)</f>
        <v>0</v>
      </c>
      <c r="X37" s="15">
        <f>IFERROR(IF(ISBLANK(Q37),IFERROR(VLOOKUP($E37,Sheet3!$H$2:$O$200,X$1,FALSE),IFERROR(VLOOKUP($F37,Sheet3!$H$2:$O$200,X$1,FALSE),VLOOKUP($G37,Sheet3!$H$2:$O$200,X$1,FALSE))),$I$1),$I$1)</f>
        <v>0</v>
      </c>
      <c r="Y37" s="15">
        <f>IFERROR(IF(ISBLANK(R37),IFERROR(VLOOKUP($E37,Sheet3!$H$2:$O$200,Y$1,FALSE),IFERROR(VLOOKUP($F37,Sheet3!$H$2:$O$200,Y$1,FALSE),VLOOKUP($G37,Sheet3!$H$2:$O$200,Y$1,FALSE))),$I$1),$I$1)</f>
        <v>0</v>
      </c>
      <c r="Z37" s="15">
        <f>IFERROR(IF(ISBLANK(S37),IFERROR(VLOOKUP($E37,Sheet3!$H$2:$O$200,Z$1,FALSE),IFERROR(VLOOKUP($F37,Sheet3!$H$2:$O$200,Z$1,FALSE),VLOOKUP($G37,Sheet3!$H$2:$O$200,Z$1,FALSE))),$I$1),$I$1)</f>
        <v>0</v>
      </c>
      <c r="AA37" s="15">
        <f>IFERROR(IF(ISBLANK(T37),IFERROR(VLOOKUP($E37,Sheet3!$H$2:$O$200,AA$1,FALSE),IFERROR(VLOOKUP($F37,Sheet3!$H$2:$O$200,AA$1,FALSE),VLOOKUP($G37,Sheet3!$H$2:$O$200,AA$1,FALSE))),$I$1),$I$1)</f>
        <v>0</v>
      </c>
      <c r="AB37" s="15">
        <f>IFERROR(IF(ISBLANK(U37),IFERROR(VLOOKUP($E37,Sheet3!$H$2:$O$200,AB$1,FALSE),IFERROR(VLOOKUP($F37,Sheet3!$H$2:$O$200,AB$1,FALSE),VLOOKUP($G37,Sheet3!$H$2:$O$200,AB$1,FALSE))),$I$1),$I$1)</f>
        <v>0</v>
      </c>
      <c r="AC37" s="15">
        <f>IFERROR(IF(ISBLANK(V37),IFERROR(VLOOKUP($E37,Sheet3!$H$2:$O$200,AC$1,FALSE),IFERROR(VLOOKUP($F37,Sheet3!$H$2:$O$200,AC$1,FALSE),VLOOKUP($G37,Sheet3!$H$2:$O$200,AC$1,FALSE))),$I$1),$I$1)</f>
        <v>0</v>
      </c>
      <c r="AD37" s="15">
        <f>IFERROR(IF(ISBLANK(W37),IFERROR(VLOOKUP($E37,Sheet3!$H$2:$O$200,AD$1,FALSE),IFERROR(VLOOKUP($F37,Sheet3!$H$2:$O$200,AD$1,FALSE),VLOOKUP($G37,Sheet3!$H$2:$O$200,AD$1,FALSE))),$I$1),$I$1)</f>
        <v>0</v>
      </c>
      <c r="AE37" s="15">
        <f>IFERROR(IF(ISBLANK(X37),IFERROR(VLOOKUP($F37,Sheet3!$H$2:$O$200,AE$1,FALSE),VLOOKUP($G37,Sheet3!$H$2:$O$200,AE$1,FALSE)),$I$1),$I$1)</f>
        <v>0</v>
      </c>
      <c r="AF37" s="15">
        <f>IFERROR(IF(ISBLANK(Y37),IFERROR(VLOOKUP($F37,Sheet3!$H$2:$O$200,AF$1,FALSE),VLOOKUP($G37,Sheet3!$H$2:$O$200,AF$1,FALSE)),$I$1),$I$1)</f>
        <v>0</v>
      </c>
      <c r="AG37" s="15">
        <f>IFERROR(IF(ISBLANK(Z37),IFERROR(VLOOKUP($F37,Sheet3!$H$2:$O$200,AG$1,FALSE),VLOOKUP($G37,Sheet3!$H$2:$O$200,AG$1,FALSE)),$I$1),$I$1)</f>
        <v>0</v>
      </c>
      <c r="AH37" s="15">
        <f>IFERROR(IF(ISBLANK(AA37),IFERROR(VLOOKUP($F37,Sheet3!$H$2:$O$200,AH$1,FALSE),VLOOKUP($G37,Sheet3!$H$2:$O$200,AH$1,FALSE)),$I$1),$I$1)</f>
        <v>0</v>
      </c>
      <c r="AI37" s="15">
        <f>IFERROR(IF(ISBLANK(AB37),IFERROR(VLOOKUP($F37,Sheet3!$H$2:$O$200,AI$1,FALSE),VLOOKUP($G37,Sheet3!$H$2:$O$200,AI$1,FALSE)),$I$1),$I$1)</f>
        <v>0</v>
      </c>
      <c r="AJ37" s="15">
        <f>IFERROR(IF(ISBLANK(AC37),IFERROR(VLOOKUP($F37,Sheet3!$H$2:$O$200,AJ$1,FALSE),VLOOKUP($G37,Sheet3!$H$2:$O$200,AJ$1,FALSE)),$I$1),$I$1)</f>
        <v>0</v>
      </c>
      <c r="AK37" s="15">
        <f>IFERROR(IF(ISBLANK(AD37),IFERROR(VLOOKUP($F37,Sheet3!$H$2:$O$200,AK$1,FALSE),VLOOKUP($G37,Sheet3!$H$2:$O$200,AK$1,FALSE)),$I$1),$I$1)</f>
        <v>0</v>
      </c>
      <c r="AL37" s="15">
        <f>IFERROR(IF(ISBLANK(AE37),VLOOKUP($G37,Sheet3!$H$2:$O$200,AL$1,FALSE),$I$1),$I$1)</f>
        <v>0</v>
      </c>
      <c r="AM37" s="15">
        <f>IFERROR(IF(ISBLANK(AF37),VLOOKUP($G37,Sheet3!$H$2:$O$200,AM$1,FALSE),$I$1),$I$1)</f>
        <v>0</v>
      </c>
      <c r="AN37" s="15">
        <f>IFERROR(IF(ISBLANK(AG37),VLOOKUP($G37,Sheet3!$H$2:$O$200,AN$1,FALSE),$I$1),$I$1)</f>
        <v>0</v>
      </c>
      <c r="AO37" s="15">
        <f>IFERROR(IF(ISBLANK(AH37),VLOOKUP($G37,Sheet3!$H$2:$O$200,AO$1,FALSE),$I$1),$I$1)</f>
        <v>0</v>
      </c>
      <c r="AP37" s="15">
        <f>IFERROR(IF(ISBLANK(AI37),VLOOKUP($G37,Sheet3!$H$2:$O$200,AP$1,FALSE),$I$1),$I$1)</f>
        <v>0</v>
      </c>
      <c r="AQ37" s="15">
        <f>IFERROR(IF(ISBLANK(AJ37),VLOOKUP($G37,Sheet3!$H$2:$O$200,AQ$1,FALSE),$I$1),$I$1)</f>
        <v>0</v>
      </c>
      <c r="AR37" s="15">
        <f>IFERROR(IF(ISBLANK(AK37),VLOOKUP($G37,Sheet3!$H$2:$O$200,AR$1,FALSE),$I$1),$I$1)</f>
        <v>0</v>
      </c>
      <c r="AS37" s="15">
        <f t="shared" ref="AS37:AY37" si="39">IFERROR(IF(ISBLANK(J37),IF(ISBLANK(Q37),IF(ISBLANK(X37),IF(ISBLANK(AE37),IF(ISBLANK(AL37),$BB$1,AL37),AE37),X37),Q37),J37),$BB$1)</f>
        <v>0</v>
      </c>
      <c r="AT37" s="15">
        <f t="shared" si="39"/>
        <v>0</v>
      </c>
      <c r="AU37" s="15">
        <f t="shared" si="39"/>
        <v>0</v>
      </c>
      <c r="AV37" s="15" t="str">
        <f t="shared" si="39"/>
        <v>triple sec</v>
      </c>
      <c r="AW37" s="15">
        <f t="shared" si="39"/>
        <v>0</v>
      </c>
      <c r="AX37" s="15">
        <f t="shared" si="39"/>
        <v>0</v>
      </c>
      <c r="AY37" s="15">
        <f t="shared" si="39"/>
        <v>0</v>
      </c>
      <c r="BA37" s="13">
        <f t="shared" si="1"/>
        <v>35</v>
      </c>
      <c r="BB37" s="15" t="b">
        <f t="shared" si="2"/>
        <v>0</v>
      </c>
    </row>
    <row r="38" spans="1:54" x14ac:dyDescent="0.2">
      <c r="A38" s="19" t="s">
        <v>119</v>
      </c>
      <c r="B38" s="19" t="s">
        <v>49</v>
      </c>
      <c r="C38" s="19" t="s">
        <v>100</v>
      </c>
      <c r="D38" s="19" t="s">
        <v>38</v>
      </c>
      <c r="E38" s="19" t="s">
        <v>120</v>
      </c>
      <c r="F38" s="19"/>
      <c r="G38" s="19"/>
      <c r="H38" s="19" t="s">
        <v>119</v>
      </c>
      <c r="I38" s="15">
        <v>3</v>
      </c>
      <c r="J38" s="15">
        <f>IFERROR(VLOOKUP($C38,Sheet3!$H$2:$O$200,J$1,FALSE),IFERROR(VLOOKUP($D38,Sheet3!$H$2:$O$200,J$1,FALSE),VLOOKUP($E38,Sheet3!$H$2:$O$200,J$1,FALSE)))</f>
        <v>0</v>
      </c>
      <c r="K38" s="15">
        <f>IFERROR(VLOOKUP($C38,Sheet3!$H$2:$O$200,K$1,FALSE),IFERROR(VLOOKUP($D38,Sheet3!$H$2:$O$200,K$1,FALSE),VLOOKUP($E38,Sheet3!$H$2:$O$200,K$1,FALSE)))</f>
        <v>0</v>
      </c>
      <c r="L38" s="15">
        <f>IFERROR(VLOOKUP($C38,Sheet3!$H$2:$O$200,L$1,FALSE),IFERROR(VLOOKUP($D38,Sheet3!$H$2:$O$200,L$1,FALSE),VLOOKUP($E38,Sheet3!$H$2:$O$200,L$1,FALSE)))</f>
        <v>0</v>
      </c>
      <c r="M38" s="15" t="str">
        <f>IFERROR(VLOOKUP($C38,Sheet3!$H$2:$O$200,M$1,FALSE),IFERROR(VLOOKUP($D38,Sheet3!$H$2:$O$200,M$1,FALSE),VLOOKUP($E38,Sheet3!$H$2:$O$200,M$1,FALSE)))</f>
        <v>triple sec</v>
      </c>
      <c r="N38" s="15">
        <f>IFERROR(VLOOKUP($C38,Sheet3!$H$2:$O$200,N$1,FALSE),IFERROR(VLOOKUP($D38,Sheet3!$H$2:$O$200,N$1,FALSE),VLOOKUP($E38,Sheet3!$H$2:$O$200,N$1,FALSE)))</f>
        <v>0</v>
      </c>
      <c r="O38" s="15">
        <f>IFERROR(VLOOKUP($C38,Sheet3!$H$2:$O$200,O$1,FALSE),IFERROR(VLOOKUP($D38,Sheet3!$H$2:$O$200,O$1,FALSE),VLOOKUP($E38,Sheet3!$H$2:$O$200,O$1,FALSE)))</f>
        <v>0</v>
      </c>
      <c r="P38" s="15">
        <f>IFERROR(VLOOKUP($C38,Sheet3!$H$2:$O$200,P$1,FALSE),IFERROR(VLOOKUP($D38,Sheet3!$H$2:$O$200,P$1,FALSE),VLOOKUP($E38,Sheet3!$H$2:$O$200,P$1,FALSE)))</f>
        <v>0</v>
      </c>
      <c r="Q38" s="15">
        <f>IFERROR(IF(ISBLANK(J38),IFERROR(VLOOKUP($D38,Sheet3!$H$2:$O$200,Q$1,FALSE),IFERROR(VLOOKUP($E38,Sheet3!$H$2:$O$200,Q$1,FALSE),VLOOKUP($F38,Sheet3!$H$2:$O$200,Q$1,FALSE))),$I$1),$I$1)</f>
        <v>0</v>
      </c>
      <c r="R38" s="15">
        <f>IFERROR(IF(ISBLANK(K38),IFERROR(VLOOKUP($D38,Sheet3!$H$2:$O$200,R$1,FALSE),IFERROR(VLOOKUP($E38,Sheet3!$H$2:$O$200,R$1,FALSE),VLOOKUP($F38,Sheet3!$H$2:$O$200,R$1,FALSE))),$I$1),$I$1)</f>
        <v>0</v>
      </c>
      <c r="S38" s="15">
        <f>IFERROR(IF(ISBLANK(L38),IFERROR(VLOOKUP($D38,Sheet3!$H$2:$O$200,S$1,FALSE),IFERROR(VLOOKUP($E38,Sheet3!$H$2:$O$200,S$1,FALSE),VLOOKUP($F38,Sheet3!$H$2:$O$200,S$1,FALSE))),$I$1),$I$1)</f>
        <v>0</v>
      </c>
      <c r="T38" s="15">
        <f>IFERROR(IF(ISBLANK(M38),IFERROR(VLOOKUP($D38,Sheet3!$H$2:$O$200,T$1,FALSE),IFERROR(VLOOKUP($E38,Sheet3!$H$2:$O$200,T$1,FALSE),VLOOKUP($F38,Sheet3!$H$2:$O$200,T$1,FALSE))),$I$1),$I$1)</f>
        <v>0</v>
      </c>
      <c r="U38" s="15">
        <f>IFERROR(IF(ISBLANK(N38),IFERROR(VLOOKUP($D38,Sheet3!$H$2:$O$200,U$1,FALSE),IFERROR(VLOOKUP($E38,Sheet3!$H$2:$O$200,U$1,FALSE),VLOOKUP($F38,Sheet3!$H$2:$O$200,U$1,FALSE))),$I$1),$I$1)</f>
        <v>0</v>
      </c>
      <c r="V38" s="15">
        <f>IFERROR(IF(ISBLANK(O38),IFERROR(VLOOKUP($D38,Sheet3!$H$2:$O$200,V$1,FALSE),IFERROR(VLOOKUP($E38,Sheet3!$H$2:$O$200,V$1,FALSE),VLOOKUP($F38,Sheet3!$H$2:$O$200,V$1,FALSE))),$I$1),$I$1)</f>
        <v>0</v>
      </c>
      <c r="W38" s="15">
        <f>IFERROR(IF(ISBLANK(P38),IFERROR(VLOOKUP($D38,Sheet3!$H$2:$O$200,W$1,FALSE),IFERROR(VLOOKUP($E38,Sheet3!$H$2:$O$200,W$1,FALSE),VLOOKUP($F38,Sheet3!$H$2:$O$200,W$1,FALSE))),$I$1),$I$1)</f>
        <v>0</v>
      </c>
      <c r="X38" s="15">
        <f>IFERROR(IF(ISBLANK(Q38),IFERROR(VLOOKUP($E38,Sheet3!$H$2:$O$200,X$1,FALSE),IFERROR(VLOOKUP($F38,Sheet3!$H$2:$O$200,X$1,FALSE),VLOOKUP($G38,Sheet3!$H$2:$O$200,X$1,FALSE))),$I$1),$I$1)</f>
        <v>0</v>
      </c>
      <c r="Y38" s="15">
        <f>IFERROR(IF(ISBLANK(R38),IFERROR(VLOOKUP($E38,Sheet3!$H$2:$O$200,Y$1,FALSE),IFERROR(VLOOKUP($F38,Sheet3!$H$2:$O$200,Y$1,FALSE),VLOOKUP($G38,Sheet3!$H$2:$O$200,Y$1,FALSE))),$I$1),$I$1)</f>
        <v>0</v>
      </c>
      <c r="Z38" s="15">
        <f>IFERROR(IF(ISBLANK(S38),IFERROR(VLOOKUP($E38,Sheet3!$H$2:$O$200,Z$1,FALSE),IFERROR(VLOOKUP($F38,Sheet3!$H$2:$O$200,Z$1,FALSE),VLOOKUP($G38,Sheet3!$H$2:$O$200,Z$1,FALSE))),$I$1),$I$1)</f>
        <v>0</v>
      </c>
      <c r="AA38" s="15">
        <f>IFERROR(IF(ISBLANK(T38),IFERROR(VLOOKUP($E38,Sheet3!$H$2:$O$200,AA$1,FALSE),IFERROR(VLOOKUP($F38,Sheet3!$H$2:$O$200,AA$1,FALSE),VLOOKUP($G38,Sheet3!$H$2:$O$200,AA$1,FALSE))),$I$1),$I$1)</f>
        <v>0</v>
      </c>
      <c r="AB38" s="15">
        <f>IFERROR(IF(ISBLANK(U38),IFERROR(VLOOKUP($E38,Sheet3!$H$2:$O$200,AB$1,FALSE),IFERROR(VLOOKUP($F38,Sheet3!$H$2:$O$200,AB$1,FALSE),VLOOKUP($G38,Sheet3!$H$2:$O$200,AB$1,FALSE))),$I$1),$I$1)</f>
        <v>0</v>
      </c>
      <c r="AC38" s="15">
        <f>IFERROR(IF(ISBLANK(V38),IFERROR(VLOOKUP($E38,Sheet3!$H$2:$O$200,AC$1,FALSE),IFERROR(VLOOKUP($F38,Sheet3!$H$2:$O$200,AC$1,FALSE),VLOOKUP($G38,Sheet3!$H$2:$O$200,AC$1,FALSE))),$I$1),$I$1)</f>
        <v>0</v>
      </c>
      <c r="AD38" s="15">
        <f>IFERROR(IF(ISBLANK(W38),IFERROR(VLOOKUP($E38,Sheet3!$H$2:$O$200,AD$1,FALSE),IFERROR(VLOOKUP($F38,Sheet3!$H$2:$O$200,AD$1,FALSE),VLOOKUP($G38,Sheet3!$H$2:$O$200,AD$1,FALSE))),$I$1),$I$1)</f>
        <v>0</v>
      </c>
      <c r="AE38" s="15">
        <f>IFERROR(IF(ISBLANK(X38),IFERROR(VLOOKUP($F38,Sheet3!$H$2:$O$200,AE$1,FALSE),VLOOKUP($G38,Sheet3!$H$2:$O$200,AE$1,FALSE)),$I$1),$I$1)</f>
        <v>0</v>
      </c>
      <c r="AF38" s="15">
        <f>IFERROR(IF(ISBLANK(Y38),IFERROR(VLOOKUP($F38,Sheet3!$H$2:$O$200,AF$1,FALSE),VLOOKUP($G38,Sheet3!$H$2:$O$200,AF$1,FALSE)),$I$1),$I$1)</f>
        <v>0</v>
      </c>
      <c r="AG38" s="15">
        <f>IFERROR(IF(ISBLANK(Z38),IFERROR(VLOOKUP($F38,Sheet3!$H$2:$O$200,AG$1,FALSE),VLOOKUP($G38,Sheet3!$H$2:$O$200,AG$1,FALSE)),$I$1),$I$1)</f>
        <v>0</v>
      </c>
      <c r="AH38" s="15">
        <f>IFERROR(IF(ISBLANK(AA38),IFERROR(VLOOKUP($F38,Sheet3!$H$2:$O$200,AH$1,FALSE),VLOOKUP($G38,Sheet3!$H$2:$O$200,AH$1,FALSE)),$I$1),$I$1)</f>
        <v>0</v>
      </c>
      <c r="AI38" s="15">
        <f>IFERROR(IF(ISBLANK(AB38),IFERROR(VLOOKUP($F38,Sheet3!$H$2:$O$200,AI$1,FALSE),VLOOKUP($G38,Sheet3!$H$2:$O$200,AI$1,FALSE)),$I$1),$I$1)</f>
        <v>0</v>
      </c>
      <c r="AJ38" s="15">
        <f>IFERROR(IF(ISBLANK(AC38),IFERROR(VLOOKUP($F38,Sheet3!$H$2:$O$200,AJ$1,FALSE),VLOOKUP($G38,Sheet3!$H$2:$O$200,AJ$1,FALSE)),$I$1),$I$1)</f>
        <v>0</v>
      </c>
      <c r="AK38" s="15">
        <f>IFERROR(IF(ISBLANK(AD38),IFERROR(VLOOKUP($F38,Sheet3!$H$2:$O$200,AK$1,FALSE),VLOOKUP($G38,Sheet3!$H$2:$O$200,AK$1,FALSE)),$I$1),$I$1)</f>
        <v>0</v>
      </c>
      <c r="AL38" s="15">
        <f>IFERROR(IF(ISBLANK(AE38),VLOOKUP($G38,Sheet3!$H$2:$O$200,AL$1,FALSE),$I$1),$I$1)</f>
        <v>0</v>
      </c>
      <c r="AM38" s="15">
        <f>IFERROR(IF(ISBLANK(AF38),VLOOKUP($G38,Sheet3!$H$2:$O$200,AM$1,FALSE),$I$1),$I$1)</f>
        <v>0</v>
      </c>
      <c r="AN38" s="15">
        <f>IFERROR(IF(ISBLANK(AG38),VLOOKUP($G38,Sheet3!$H$2:$O$200,AN$1,FALSE),$I$1),$I$1)</f>
        <v>0</v>
      </c>
      <c r="AO38" s="15">
        <f>IFERROR(IF(ISBLANK(AH38),VLOOKUP($G38,Sheet3!$H$2:$O$200,AO$1,FALSE),$I$1),$I$1)</f>
        <v>0</v>
      </c>
      <c r="AP38" s="15">
        <f>IFERROR(IF(ISBLANK(AI38),VLOOKUP($G38,Sheet3!$H$2:$O$200,AP$1,FALSE),$I$1),$I$1)</f>
        <v>0</v>
      </c>
      <c r="AQ38" s="15">
        <f>IFERROR(IF(ISBLANK(AJ38),VLOOKUP($G38,Sheet3!$H$2:$O$200,AQ$1,FALSE),$I$1),$I$1)</f>
        <v>0</v>
      </c>
      <c r="AR38" s="15">
        <f>IFERROR(IF(ISBLANK(AK38),VLOOKUP($G38,Sheet3!$H$2:$O$200,AR$1,FALSE),$I$1),$I$1)</f>
        <v>0</v>
      </c>
      <c r="AS38" s="15">
        <f t="shared" ref="AS38:AY38" si="40">IFERROR(IF(ISBLANK(J38),IF(ISBLANK(Q38),IF(ISBLANK(X38),IF(ISBLANK(AE38),IF(ISBLANK(AL38),$BB$1,AL38),AE38),X38),Q38),J38),$BB$1)</f>
        <v>0</v>
      </c>
      <c r="AT38" s="15">
        <f t="shared" si="40"/>
        <v>0</v>
      </c>
      <c r="AU38" s="15">
        <f t="shared" si="40"/>
        <v>0</v>
      </c>
      <c r="AV38" s="15" t="str">
        <f t="shared" si="40"/>
        <v>triple sec</v>
      </c>
      <c r="AW38" s="15">
        <f t="shared" si="40"/>
        <v>0</v>
      </c>
      <c r="AX38" s="15">
        <f t="shared" si="40"/>
        <v>0</v>
      </c>
      <c r="AY38" s="15">
        <f t="shared" si="40"/>
        <v>0</v>
      </c>
      <c r="BA38" s="13">
        <f t="shared" si="1"/>
        <v>35</v>
      </c>
      <c r="BB38" s="15" t="b">
        <f t="shared" si="2"/>
        <v>0</v>
      </c>
    </row>
    <row r="39" spans="1:54" x14ac:dyDescent="0.2">
      <c r="A39" s="19" t="s">
        <v>121</v>
      </c>
      <c r="B39" s="19" t="s">
        <v>49</v>
      </c>
      <c r="C39" s="19" t="s">
        <v>100</v>
      </c>
      <c r="D39" s="19" t="s">
        <v>38</v>
      </c>
      <c r="E39" s="19" t="s">
        <v>70</v>
      </c>
      <c r="F39" s="19"/>
      <c r="G39" s="19"/>
      <c r="H39" s="19" t="s">
        <v>121</v>
      </c>
      <c r="I39" s="15">
        <v>3</v>
      </c>
      <c r="J39" s="15">
        <f>IFERROR(VLOOKUP($C39,Sheet3!$H$2:$O$200,J$1,FALSE),IFERROR(VLOOKUP($D39,Sheet3!$H$2:$O$200,J$1,FALSE),VLOOKUP($E39,Sheet3!$H$2:$O$200,J$1,FALSE)))</f>
        <v>0</v>
      </c>
      <c r="K39" s="15">
        <f>IFERROR(VLOOKUP($C39,Sheet3!$H$2:$O$200,K$1,FALSE),IFERROR(VLOOKUP($D39,Sheet3!$H$2:$O$200,K$1,FALSE),VLOOKUP($E39,Sheet3!$H$2:$O$200,K$1,FALSE)))</f>
        <v>0</v>
      </c>
      <c r="L39" s="15">
        <f>IFERROR(VLOOKUP($C39,Sheet3!$H$2:$O$200,L$1,FALSE),IFERROR(VLOOKUP($D39,Sheet3!$H$2:$O$200,L$1,FALSE),VLOOKUP($E39,Sheet3!$H$2:$O$200,L$1,FALSE)))</f>
        <v>0</v>
      </c>
      <c r="M39" s="15" t="str">
        <f>IFERROR(VLOOKUP($C39,Sheet3!$H$2:$O$200,M$1,FALSE),IFERROR(VLOOKUP($D39,Sheet3!$H$2:$O$200,M$1,FALSE),VLOOKUP($E39,Sheet3!$H$2:$O$200,M$1,FALSE)))</f>
        <v>triple sec</v>
      </c>
      <c r="N39" s="15">
        <f>IFERROR(VLOOKUP($C39,Sheet3!$H$2:$O$200,N$1,FALSE),IFERROR(VLOOKUP($D39,Sheet3!$H$2:$O$200,N$1,FALSE),VLOOKUP($E39,Sheet3!$H$2:$O$200,N$1,FALSE)))</f>
        <v>0</v>
      </c>
      <c r="O39" s="15">
        <f>IFERROR(VLOOKUP($C39,Sheet3!$H$2:$O$200,O$1,FALSE),IFERROR(VLOOKUP($D39,Sheet3!$H$2:$O$200,O$1,FALSE),VLOOKUP($E39,Sheet3!$H$2:$O$200,O$1,FALSE)))</f>
        <v>0</v>
      </c>
      <c r="P39" s="15">
        <f>IFERROR(VLOOKUP($C39,Sheet3!$H$2:$O$200,P$1,FALSE),IFERROR(VLOOKUP($D39,Sheet3!$H$2:$O$200,P$1,FALSE),VLOOKUP($E39,Sheet3!$H$2:$O$200,P$1,FALSE)))</f>
        <v>0</v>
      </c>
      <c r="Q39" s="15">
        <f>IFERROR(IF(ISBLANK(J39),IFERROR(VLOOKUP($D39,Sheet3!$H$2:$O$200,Q$1,FALSE),IFERROR(VLOOKUP($E39,Sheet3!$H$2:$O$200,Q$1,FALSE),VLOOKUP($F39,Sheet3!$H$2:$O$200,Q$1,FALSE))),$I$1),$I$1)</f>
        <v>0</v>
      </c>
      <c r="R39" s="15">
        <f>IFERROR(IF(ISBLANK(K39),IFERROR(VLOOKUP($D39,Sheet3!$H$2:$O$200,R$1,FALSE),IFERROR(VLOOKUP($E39,Sheet3!$H$2:$O$200,R$1,FALSE),VLOOKUP($F39,Sheet3!$H$2:$O$200,R$1,FALSE))),$I$1),$I$1)</f>
        <v>0</v>
      </c>
      <c r="S39" s="15">
        <f>IFERROR(IF(ISBLANK(L39),IFERROR(VLOOKUP($D39,Sheet3!$H$2:$O$200,S$1,FALSE),IFERROR(VLOOKUP($E39,Sheet3!$H$2:$O$200,S$1,FALSE),VLOOKUP($F39,Sheet3!$H$2:$O$200,S$1,FALSE))),$I$1),$I$1)</f>
        <v>0</v>
      </c>
      <c r="T39" s="15">
        <f>IFERROR(IF(ISBLANK(M39),IFERROR(VLOOKUP($D39,Sheet3!$H$2:$O$200,T$1,FALSE),IFERROR(VLOOKUP($E39,Sheet3!$H$2:$O$200,T$1,FALSE),VLOOKUP($F39,Sheet3!$H$2:$O$200,T$1,FALSE))),$I$1),$I$1)</f>
        <v>0</v>
      </c>
      <c r="U39" s="15">
        <f>IFERROR(IF(ISBLANK(N39),IFERROR(VLOOKUP($D39,Sheet3!$H$2:$O$200,U$1,FALSE),IFERROR(VLOOKUP($E39,Sheet3!$H$2:$O$200,U$1,FALSE),VLOOKUP($F39,Sheet3!$H$2:$O$200,U$1,FALSE))),$I$1),$I$1)</f>
        <v>0</v>
      </c>
      <c r="V39" s="15">
        <f>IFERROR(IF(ISBLANK(O39),IFERROR(VLOOKUP($D39,Sheet3!$H$2:$O$200,V$1,FALSE),IFERROR(VLOOKUP($E39,Sheet3!$H$2:$O$200,V$1,FALSE),VLOOKUP($F39,Sheet3!$H$2:$O$200,V$1,FALSE))),$I$1),$I$1)</f>
        <v>0</v>
      </c>
      <c r="W39" s="15">
        <f>IFERROR(IF(ISBLANK(P39),IFERROR(VLOOKUP($D39,Sheet3!$H$2:$O$200,W$1,FALSE),IFERROR(VLOOKUP($E39,Sheet3!$H$2:$O$200,W$1,FALSE),VLOOKUP($F39,Sheet3!$H$2:$O$200,W$1,FALSE))),$I$1),$I$1)</f>
        <v>0</v>
      </c>
      <c r="X39" s="15">
        <f>IFERROR(IF(ISBLANK(Q39),IFERROR(VLOOKUP($E39,Sheet3!$H$2:$O$200,X$1,FALSE),IFERROR(VLOOKUP($F39,Sheet3!$H$2:$O$200,X$1,FALSE),VLOOKUP($G39,Sheet3!$H$2:$O$200,X$1,FALSE))),$I$1),$I$1)</f>
        <v>0</v>
      </c>
      <c r="Y39" s="15">
        <f>IFERROR(IF(ISBLANK(R39),IFERROR(VLOOKUP($E39,Sheet3!$H$2:$O$200,Y$1,FALSE),IFERROR(VLOOKUP($F39,Sheet3!$H$2:$O$200,Y$1,FALSE),VLOOKUP($G39,Sheet3!$H$2:$O$200,Y$1,FALSE))),$I$1),$I$1)</f>
        <v>0</v>
      </c>
      <c r="Z39" s="15">
        <f>IFERROR(IF(ISBLANK(S39),IFERROR(VLOOKUP($E39,Sheet3!$H$2:$O$200,Z$1,FALSE),IFERROR(VLOOKUP($F39,Sheet3!$H$2:$O$200,Z$1,FALSE),VLOOKUP($G39,Sheet3!$H$2:$O$200,Z$1,FALSE))),$I$1),$I$1)</f>
        <v>0</v>
      </c>
      <c r="AA39" s="15">
        <f>IFERROR(IF(ISBLANK(T39),IFERROR(VLOOKUP($E39,Sheet3!$H$2:$O$200,AA$1,FALSE),IFERROR(VLOOKUP($F39,Sheet3!$H$2:$O$200,AA$1,FALSE),VLOOKUP($G39,Sheet3!$H$2:$O$200,AA$1,FALSE))),$I$1),$I$1)</f>
        <v>0</v>
      </c>
      <c r="AB39" s="15">
        <f>IFERROR(IF(ISBLANK(U39),IFERROR(VLOOKUP($E39,Sheet3!$H$2:$O$200,AB$1,FALSE),IFERROR(VLOOKUP($F39,Sheet3!$H$2:$O$200,AB$1,FALSE),VLOOKUP($G39,Sheet3!$H$2:$O$200,AB$1,FALSE))),$I$1),$I$1)</f>
        <v>0</v>
      </c>
      <c r="AC39" s="15">
        <f>IFERROR(IF(ISBLANK(V39),IFERROR(VLOOKUP($E39,Sheet3!$H$2:$O$200,AC$1,FALSE),IFERROR(VLOOKUP($F39,Sheet3!$H$2:$O$200,AC$1,FALSE),VLOOKUP($G39,Sheet3!$H$2:$O$200,AC$1,FALSE))),$I$1),$I$1)</f>
        <v>0</v>
      </c>
      <c r="AD39" s="15">
        <f>IFERROR(IF(ISBLANK(W39),IFERROR(VLOOKUP($E39,Sheet3!$H$2:$O$200,AD$1,FALSE),IFERROR(VLOOKUP($F39,Sheet3!$H$2:$O$200,AD$1,FALSE),VLOOKUP($G39,Sheet3!$H$2:$O$200,AD$1,FALSE))),$I$1),$I$1)</f>
        <v>0</v>
      </c>
      <c r="AE39" s="15">
        <f>IFERROR(IF(ISBLANK(X39),IFERROR(VLOOKUP($F39,Sheet3!$H$2:$O$200,AE$1,FALSE),VLOOKUP($G39,Sheet3!$H$2:$O$200,AE$1,FALSE)),$I$1),$I$1)</f>
        <v>0</v>
      </c>
      <c r="AF39" s="15">
        <f>IFERROR(IF(ISBLANK(Y39),IFERROR(VLOOKUP($F39,Sheet3!$H$2:$O$200,AF$1,FALSE),VLOOKUP($G39,Sheet3!$H$2:$O$200,AF$1,FALSE)),$I$1),$I$1)</f>
        <v>0</v>
      </c>
      <c r="AG39" s="15">
        <f>IFERROR(IF(ISBLANK(Z39),IFERROR(VLOOKUP($F39,Sheet3!$H$2:$O$200,AG$1,FALSE),VLOOKUP($G39,Sheet3!$H$2:$O$200,AG$1,FALSE)),$I$1),$I$1)</f>
        <v>0</v>
      </c>
      <c r="AH39" s="15">
        <f>IFERROR(IF(ISBLANK(AA39),IFERROR(VLOOKUP($F39,Sheet3!$H$2:$O$200,AH$1,FALSE),VLOOKUP($G39,Sheet3!$H$2:$O$200,AH$1,FALSE)),$I$1),$I$1)</f>
        <v>0</v>
      </c>
      <c r="AI39" s="15">
        <f>IFERROR(IF(ISBLANK(AB39),IFERROR(VLOOKUP($F39,Sheet3!$H$2:$O$200,AI$1,FALSE),VLOOKUP($G39,Sheet3!$H$2:$O$200,AI$1,FALSE)),$I$1),$I$1)</f>
        <v>0</v>
      </c>
      <c r="AJ39" s="15">
        <f>IFERROR(IF(ISBLANK(AC39),IFERROR(VLOOKUP($F39,Sheet3!$H$2:$O$200,AJ$1,FALSE),VLOOKUP($G39,Sheet3!$H$2:$O$200,AJ$1,FALSE)),$I$1),$I$1)</f>
        <v>0</v>
      </c>
      <c r="AK39" s="15">
        <f>IFERROR(IF(ISBLANK(AD39),IFERROR(VLOOKUP($F39,Sheet3!$H$2:$O$200,AK$1,FALSE),VLOOKUP($G39,Sheet3!$H$2:$O$200,AK$1,FALSE)),$I$1),$I$1)</f>
        <v>0</v>
      </c>
      <c r="AL39" s="15">
        <f>IFERROR(IF(ISBLANK(AE39),VLOOKUP($G39,Sheet3!$H$2:$O$200,AL$1,FALSE),$I$1),$I$1)</f>
        <v>0</v>
      </c>
      <c r="AM39" s="15">
        <f>IFERROR(IF(ISBLANK(AF39),VLOOKUP($G39,Sheet3!$H$2:$O$200,AM$1,FALSE),$I$1),$I$1)</f>
        <v>0</v>
      </c>
      <c r="AN39" s="15">
        <f>IFERROR(IF(ISBLANK(AG39),VLOOKUP($G39,Sheet3!$H$2:$O$200,AN$1,FALSE),$I$1),$I$1)</f>
        <v>0</v>
      </c>
      <c r="AO39" s="15">
        <f>IFERROR(IF(ISBLANK(AH39),VLOOKUP($G39,Sheet3!$H$2:$O$200,AO$1,FALSE),$I$1),$I$1)</f>
        <v>0</v>
      </c>
      <c r="AP39" s="15">
        <f>IFERROR(IF(ISBLANK(AI39),VLOOKUP($G39,Sheet3!$H$2:$O$200,AP$1,FALSE),$I$1),$I$1)</f>
        <v>0</v>
      </c>
      <c r="AQ39" s="15">
        <f>IFERROR(IF(ISBLANK(AJ39),VLOOKUP($G39,Sheet3!$H$2:$O$200,AQ$1,FALSE),$I$1),$I$1)</f>
        <v>0</v>
      </c>
      <c r="AR39" s="15">
        <f>IFERROR(IF(ISBLANK(AK39),VLOOKUP($G39,Sheet3!$H$2:$O$200,AR$1,FALSE),$I$1),$I$1)</f>
        <v>0</v>
      </c>
      <c r="AS39" s="15">
        <f t="shared" ref="AS39:AY39" si="41">IFERROR(IF(ISBLANK(J39),IF(ISBLANK(Q39),IF(ISBLANK(X39),IF(ISBLANK(AE39),IF(ISBLANK(AL39),$BB$1,AL39),AE39),X39),Q39),J39),$BB$1)</f>
        <v>0</v>
      </c>
      <c r="AT39" s="15">
        <f t="shared" si="41"/>
        <v>0</v>
      </c>
      <c r="AU39" s="15">
        <f t="shared" si="41"/>
        <v>0</v>
      </c>
      <c r="AV39" s="15" t="str">
        <f t="shared" si="41"/>
        <v>triple sec</v>
      </c>
      <c r="AW39" s="15">
        <f t="shared" si="41"/>
        <v>0</v>
      </c>
      <c r="AX39" s="15">
        <f t="shared" si="41"/>
        <v>0</v>
      </c>
      <c r="AY39" s="15">
        <f t="shared" si="41"/>
        <v>0</v>
      </c>
      <c r="BA39" s="13">
        <f t="shared" si="1"/>
        <v>35</v>
      </c>
      <c r="BB39" s="15" t="b">
        <f t="shared" si="2"/>
        <v>0</v>
      </c>
    </row>
    <row r="40" spans="1:54" x14ac:dyDescent="0.2">
      <c r="A40" s="19" t="s">
        <v>122</v>
      </c>
      <c r="B40" s="19" t="s">
        <v>49</v>
      </c>
      <c r="C40" s="19" t="s">
        <v>100</v>
      </c>
      <c r="D40" s="19" t="s">
        <v>38</v>
      </c>
      <c r="E40" s="19" t="s">
        <v>66</v>
      </c>
      <c r="F40" s="19" t="s">
        <v>78</v>
      </c>
      <c r="G40" s="19"/>
      <c r="H40" s="19" t="s">
        <v>122</v>
      </c>
      <c r="I40" s="15">
        <v>4</v>
      </c>
      <c r="J40" s="15">
        <f>IFERROR(VLOOKUP($C40,Sheet3!$H$2:$O$200,J$1,FALSE),IFERROR(VLOOKUP($D40,Sheet3!$H$2:$O$200,J$1,FALSE),VLOOKUP($E40,Sheet3!$H$2:$O$200,J$1,FALSE)))</f>
        <v>0</v>
      </c>
      <c r="K40" s="15">
        <f>IFERROR(VLOOKUP($C40,Sheet3!$H$2:$O$200,K$1,FALSE),IFERROR(VLOOKUP($D40,Sheet3!$H$2:$O$200,K$1,FALSE),VLOOKUP($E40,Sheet3!$H$2:$O$200,K$1,FALSE)))</f>
        <v>0</v>
      </c>
      <c r="L40" s="15">
        <f>IFERROR(VLOOKUP($C40,Sheet3!$H$2:$O$200,L$1,FALSE),IFERROR(VLOOKUP($D40,Sheet3!$H$2:$O$200,L$1,FALSE),VLOOKUP($E40,Sheet3!$H$2:$O$200,L$1,FALSE)))</f>
        <v>0</v>
      </c>
      <c r="M40" s="15" t="str">
        <f>IFERROR(VLOOKUP($C40,Sheet3!$H$2:$O$200,M$1,FALSE),IFERROR(VLOOKUP($D40,Sheet3!$H$2:$O$200,M$1,FALSE),VLOOKUP($E40,Sheet3!$H$2:$O$200,M$1,FALSE)))</f>
        <v>triple sec</v>
      </c>
      <c r="N40" s="15">
        <f>IFERROR(VLOOKUP($C40,Sheet3!$H$2:$O$200,N$1,FALSE),IFERROR(VLOOKUP($D40,Sheet3!$H$2:$O$200,N$1,FALSE),VLOOKUP($E40,Sheet3!$H$2:$O$200,N$1,FALSE)))</f>
        <v>0</v>
      </c>
      <c r="O40" s="15">
        <f>IFERROR(VLOOKUP($C40,Sheet3!$H$2:$O$200,O$1,FALSE),IFERROR(VLOOKUP($D40,Sheet3!$H$2:$O$200,O$1,FALSE),VLOOKUP($E40,Sheet3!$H$2:$O$200,O$1,FALSE)))</f>
        <v>0</v>
      </c>
      <c r="P40" s="15">
        <f>IFERROR(VLOOKUP($C40,Sheet3!$H$2:$O$200,P$1,FALSE),IFERROR(VLOOKUP($D40,Sheet3!$H$2:$O$200,P$1,FALSE),VLOOKUP($E40,Sheet3!$H$2:$O$200,P$1,FALSE)))</f>
        <v>0</v>
      </c>
      <c r="Q40" s="15">
        <f>IFERROR(IF(ISBLANK(J40),IFERROR(VLOOKUP($D40,Sheet3!$H$2:$O$200,Q$1,FALSE),IFERROR(VLOOKUP($E40,Sheet3!$H$2:$O$200,Q$1,FALSE),VLOOKUP($F40,Sheet3!$H$2:$O$200,Q$1,FALSE))),$I$1),$I$1)</f>
        <v>0</v>
      </c>
      <c r="R40" s="15">
        <f>IFERROR(IF(ISBLANK(K40),IFERROR(VLOOKUP($D40,Sheet3!$H$2:$O$200,R$1,FALSE),IFERROR(VLOOKUP($E40,Sheet3!$H$2:$O$200,R$1,FALSE),VLOOKUP($F40,Sheet3!$H$2:$O$200,R$1,FALSE))),$I$1),$I$1)</f>
        <v>0</v>
      </c>
      <c r="S40" s="15">
        <f>IFERROR(IF(ISBLANK(L40),IFERROR(VLOOKUP($D40,Sheet3!$H$2:$O$200,S$1,FALSE),IFERROR(VLOOKUP($E40,Sheet3!$H$2:$O$200,S$1,FALSE),VLOOKUP($F40,Sheet3!$H$2:$O$200,S$1,FALSE))),$I$1),$I$1)</f>
        <v>0</v>
      </c>
      <c r="T40" s="15">
        <f>IFERROR(IF(ISBLANK(M40),IFERROR(VLOOKUP($D40,Sheet3!$H$2:$O$200,T$1,FALSE),IFERROR(VLOOKUP($E40,Sheet3!$H$2:$O$200,T$1,FALSE),VLOOKUP($F40,Sheet3!$H$2:$O$200,T$1,FALSE))),$I$1),$I$1)</f>
        <v>0</v>
      </c>
      <c r="U40" s="15">
        <f>IFERROR(IF(ISBLANK(N40),IFERROR(VLOOKUP($D40,Sheet3!$H$2:$O$200,U$1,FALSE),IFERROR(VLOOKUP($E40,Sheet3!$H$2:$O$200,U$1,FALSE),VLOOKUP($F40,Sheet3!$H$2:$O$200,U$1,FALSE))),$I$1),$I$1)</f>
        <v>0</v>
      </c>
      <c r="V40" s="15">
        <f>IFERROR(IF(ISBLANK(O40),IFERROR(VLOOKUP($D40,Sheet3!$H$2:$O$200,V$1,FALSE),IFERROR(VLOOKUP($E40,Sheet3!$H$2:$O$200,V$1,FALSE),VLOOKUP($F40,Sheet3!$H$2:$O$200,V$1,FALSE))),$I$1),$I$1)</f>
        <v>0</v>
      </c>
      <c r="W40" s="15">
        <f>IFERROR(IF(ISBLANK(P40),IFERROR(VLOOKUP($D40,Sheet3!$H$2:$O$200,W$1,FALSE),IFERROR(VLOOKUP($E40,Sheet3!$H$2:$O$200,W$1,FALSE),VLOOKUP($F40,Sheet3!$H$2:$O$200,W$1,FALSE))),$I$1),$I$1)</f>
        <v>0</v>
      </c>
      <c r="X40" s="15">
        <f>IFERROR(IF(ISBLANK(Q40),IFERROR(VLOOKUP($E40,Sheet3!$H$2:$O$200,X$1,FALSE),IFERROR(VLOOKUP($F40,Sheet3!$H$2:$O$200,X$1,FALSE),VLOOKUP($G40,Sheet3!$H$2:$O$200,X$1,FALSE))),$I$1),$I$1)</f>
        <v>0</v>
      </c>
      <c r="Y40" s="15">
        <f>IFERROR(IF(ISBLANK(R40),IFERROR(VLOOKUP($E40,Sheet3!$H$2:$O$200,Y$1,FALSE),IFERROR(VLOOKUP($F40,Sheet3!$H$2:$O$200,Y$1,FALSE),VLOOKUP($G40,Sheet3!$H$2:$O$200,Y$1,FALSE))),$I$1),$I$1)</f>
        <v>0</v>
      </c>
      <c r="Z40" s="15">
        <f>IFERROR(IF(ISBLANK(S40),IFERROR(VLOOKUP($E40,Sheet3!$H$2:$O$200,Z$1,FALSE),IFERROR(VLOOKUP($F40,Sheet3!$H$2:$O$200,Z$1,FALSE),VLOOKUP($G40,Sheet3!$H$2:$O$200,Z$1,FALSE))),$I$1),$I$1)</f>
        <v>0</v>
      </c>
      <c r="AA40" s="15">
        <f>IFERROR(IF(ISBLANK(T40),IFERROR(VLOOKUP($E40,Sheet3!$H$2:$O$200,AA$1,FALSE),IFERROR(VLOOKUP($F40,Sheet3!$H$2:$O$200,AA$1,FALSE),VLOOKUP($G40,Sheet3!$H$2:$O$200,AA$1,FALSE))),$I$1),$I$1)</f>
        <v>0</v>
      </c>
      <c r="AB40" s="15">
        <f>IFERROR(IF(ISBLANK(U40),IFERROR(VLOOKUP($E40,Sheet3!$H$2:$O$200,AB$1,FALSE),IFERROR(VLOOKUP($F40,Sheet3!$H$2:$O$200,AB$1,FALSE),VLOOKUP($G40,Sheet3!$H$2:$O$200,AB$1,FALSE))),$I$1),$I$1)</f>
        <v>0</v>
      </c>
      <c r="AC40" s="15">
        <f>IFERROR(IF(ISBLANK(V40),IFERROR(VLOOKUP($E40,Sheet3!$H$2:$O$200,AC$1,FALSE),IFERROR(VLOOKUP($F40,Sheet3!$H$2:$O$200,AC$1,FALSE),VLOOKUP($G40,Sheet3!$H$2:$O$200,AC$1,FALSE))),$I$1),$I$1)</f>
        <v>0</v>
      </c>
      <c r="AD40" s="15">
        <f>IFERROR(IF(ISBLANK(W40),IFERROR(VLOOKUP($E40,Sheet3!$H$2:$O$200,AD$1,FALSE),IFERROR(VLOOKUP($F40,Sheet3!$H$2:$O$200,AD$1,FALSE),VLOOKUP($G40,Sheet3!$H$2:$O$200,AD$1,FALSE))),$I$1),$I$1)</f>
        <v>0</v>
      </c>
      <c r="AE40" s="15">
        <f>IFERROR(IF(ISBLANK(X40),IFERROR(VLOOKUP($F40,Sheet3!$H$2:$O$200,AE$1,FALSE),VLOOKUP($G40,Sheet3!$H$2:$O$200,AE$1,FALSE)),$I$1),$I$1)</f>
        <v>0</v>
      </c>
      <c r="AF40" s="15">
        <f>IFERROR(IF(ISBLANK(Y40),IFERROR(VLOOKUP($F40,Sheet3!$H$2:$O$200,AF$1,FALSE),VLOOKUP($G40,Sheet3!$H$2:$O$200,AF$1,FALSE)),$I$1),$I$1)</f>
        <v>0</v>
      </c>
      <c r="AG40" s="15">
        <f>IFERROR(IF(ISBLANK(Z40),IFERROR(VLOOKUP($F40,Sheet3!$H$2:$O$200,AG$1,FALSE),VLOOKUP($G40,Sheet3!$H$2:$O$200,AG$1,FALSE)),$I$1),$I$1)</f>
        <v>0</v>
      </c>
      <c r="AH40" s="15">
        <f>IFERROR(IF(ISBLANK(AA40),IFERROR(VLOOKUP($F40,Sheet3!$H$2:$O$200,AH$1,FALSE),VLOOKUP($G40,Sheet3!$H$2:$O$200,AH$1,FALSE)),$I$1),$I$1)</f>
        <v>0</v>
      </c>
      <c r="AI40" s="15">
        <f>IFERROR(IF(ISBLANK(AB40),IFERROR(VLOOKUP($F40,Sheet3!$H$2:$O$200,AI$1,FALSE),VLOOKUP($G40,Sheet3!$H$2:$O$200,AI$1,FALSE)),$I$1),$I$1)</f>
        <v>0</v>
      </c>
      <c r="AJ40" s="15">
        <f>IFERROR(IF(ISBLANK(AC40),IFERROR(VLOOKUP($F40,Sheet3!$H$2:$O$200,AJ$1,FALSE),VLOOKUP($G40,Sheet3!$H$2:$O$200,AJ$1,FALSE)),$I$1),$I$1)</f>
        <v>0</v>
      </c>
      <c r="AK40" s="15">
        <f>IFERROR(IF(ISBLANK(AD40),IFERROR(VLOOKUP($F40,Sheet3!$H$2:$O$200,AK$1,FALSE),VLOOKUP($G40,Sheet3!$H$2:$O$200,AK$1,FALSE)),$I$1),$I$1)</f>
        <v>0</v>
      </c>
      <c r="AL40" s="15">
        <f>IFERROR(IF(ISBLANK(AE40),VLOOKUP($G40,Sheet3!$H$2:$O$200,AL$1,FALSE),$I$1),$I$1)</f>
        <v>0</v>
      </c>
      <c r="AM40" s="15">
        <f>IFERROR(IF(ISBLANK(AF40),VLOOKUP($G40,Sheet3!$H$2:$O$200,AM$1,FALSE),$I$1),$I$1)</f>
        <v>0</v>
      </c>
      <c r="AN40" s="15">
        <f>IFERROR(IF(ISBLANK(AG40),VLOOKUP($G40,Sheet3!$H$2:$O$200,AN$1,FALSE),$I$1),$I$1)</f>
        <v>0</v>
      </c>
      <c r="AO40" s="15">
        <f>IFERROR(IF(ISBLANK(AH40),VLOOKUP($G40,Sheet3!$H$2:$O$200,AO$1,FALSE),$I$1),$I$1)</f>
        <v>0</v>
      </c>
      <c r="AP40" s="15">
        <f>IFERROR(IF(ISBLANK(AI40),VLOOKUP($G40,Sheet3!$H$2:$O$200,AP$1,FALSE),$I$1),$I$1)</f>
        <v>0</v>
      </c>
      <c r="AQ40" s="15">
        <f>IFERROR(IF(ISBLANK(AJ40),VLOOKUP($G40,Sheet3!$H$2:$O$200,AQ$1,FALSE),$I$1),$I$1)</f>
        <v>0</v>
      </c>
      <c r="AR40" s="15">
        <f>IFERROR(IF(ISBLANK(AK40),VLOOKUP($G40,Sheet3!$H$2:$O$200,AR$1,FALSE),$I$1),$I$1)</f>
        <v>0</v>
      </c>
      <c r="AS40" s="15">
        <f t="shared" ref="AS40:AY40" si="42">IFERROR(IF(ISBLANK(J40),IF(ISBLANK(Q40),IF(ISBLANK(X40),IF(ISBLANK(AE40),IF(ISBLANK(AL40),$BB$1,AL40),AE40),X40),Q40),J40),$BB$1)</f>
        <v>0</v>
      </c>
      <c r="AT40" s="15">
        <f t="shared" si="42"/>
        <v>0</v>
      </c>
      <c r="AU40" s="15">
        <f t="shared" si="42"/>
        <v>0</v>
      </c>
      <c r="AV40" s="15" t="str">
        <f t="shared" si="42"/>
        <v>triple sec</v>
      </c>
      <c r="AW40" s="15">
        <f t="shared" si="42"/>
        <v>0</v>
      </c>
      <c r="AX40" s="15">
        <f t="shared" si="42"/>
        <v>0</v>
      </c>
      <c r="AY40" s="15">
        <f t="shared" si="42"/>
        <v>0</v>
      </c>
      <c r="BA40" s="13">
        <f t="shared" si="1"/>
        <v>35</v>
      </c>
      <c r="BB40" s="15" t="b">
        <f t="shared" si="2"/>
        <v>0</v>
      </c>
    </row>
    <row r="41" spans="1:54" x14ac:dyDescent="0.2">
      <c r="A41" s="19" t="s">
        <v>123</v>
      </c>
      <c r="B41" s="19" t="s">
        <v>49</v>
      </c>
      <c r="C41" s="19" t="s">
        <v>57</v>
      </c>
      <c r="D41" s="19" t="s">
        <v>38</v>
      </c>
      <c r="E41" s="19"/>
      <c r="F41" s="19"/>
      <c r="G41" s="19"/>
      <c r="H41" s="19" t="s">
        <v>123</v>
      </c>
      <c r="I41" s="15">
        <v>2</v>
      </c>
      <c r="J41" s="15">
        <f>IFERROR(VLOOKUP($C41,Sheet3!$H$2:$O$200,J$1,FALSE),IFERROR(VLOOKUP($D41,Sheet3!$H$2:$O$200,J$1,FALSE),VLOOKUP($E41,Sheet3!$H$2:$O$200,J$1,FALSE)))</f>
        <v>0</v>
      </c>
      <c r="K41" s="15">
        <f>IFERROR(VLOOKUP($C41,Sheet3!$H$2:$O$200,K$1,FALSE),IFERROR(VLOOKUP($D41,Sheet3!$H$2:$O$200,K$1,FALSE),VLOOKUP($E41,Sheet3!$H$2:$O$200,K$1,FALSE)))</f>
        <v>0</v>
      </c>
      <c r="L41" s="15">
        <f>IFERROR(VLOOKUP($C41,Sheet3!$H$2:$O$200,L$1,FALSE),IFERROR(VLOOKUP($D41,Sheet3!$H$2:$O$200,L$1,FALSE),VLOOKUP($E41,Sheet3!$H$2:$O$200,L$1,FALSE)))</f>
        <v>0</v>
      </c>
      <c r="M41" s="15" t="str">
        <f>IFERROR(VLOOKUP($C41,Sheet3!$H$2:$O$200,M$1,FALSE),IFERROR(VLOOKUP($D41,Sheet3!$H$2:$O$200,M$1,FALSE),VLOOKUP($E41,Sheet3!$H$2:$O$200,M$1,FALSE)))</f>
        <v>crème de noyau</v>
      </c>
      <c r="N41" s="15">
        <f>IFERROR(VLOOKUP($C41,Sheet3!$H$2:$O$200,N$1,FALSE),IFERROR(VLOOKUP($D41,Sheet3!$H$2:$O$200,N$1,FALSE),VLOOKUP($E41,Sheet3!$H$2:$O$200,N$1,FALSE)))</f>
        <v>0</v>
      </c>
      <c r="O41" s="15">
        <f>IFERROR(VLOOKUP($C41,Sheet3!$H$2:$O$200,O$1,FALSE),IFERROR(VLOOKUP($D41,Sheet3!$H$2:$O$200,O$1,FALSE),VLOOKUP($E41,Sheet3!$H$2:$O$200,O$1,FALSE)))</f>
        <v>0</v>
      </c>
      <c r="P41" s="15">
        <f>IFERROR(VLOOKUP($C41,Sheet3!$H$2:$O$200,P$1,FALSE),IFERROR(VLOOKUP($D41,Sheet3!$H$2:$O$200,P$1,FALSE),VLOOKUP($E41,Sheet3!$H$2:$O$200,P$1,FALSE)))</f>
        <v>0</v>
      </c>
      <c r="Q41" s="15">
        <f>IFERROR(IF(ISBLANK(J41),IFERROR(VLOOKUP($D41,Sheet3!$H$2:$O$200,Q$1,FALSE),IFERROR(VLOOKUP($E41,Sheet3!$H$2:$O$200,Q$1,FALSE),VLOOKUP($F41,Sheet3!$H$2:$O$200,Q$1,FALSE))),$I$1),$I$1)</f>
        <v>0</v>
      </c>
      <c r="R41" s="15">
        <f>IFERROR(IF(ISBLANK(K41),IFERROR(VLOOKUP($D41,Sheet3!$H$2:$O$200,R$1,FALSE),IFERROR(VLOOKUP($E41,Sheet3!$H$2:$O$200,R$1,FALSE),VLOOKUP($F41,Sheet3!$H$2:$O$200,R$1,FALSE))),$I$1),$I$1)</f>
        <v>0</v>
      </c>
      <c r="S41" s="15">
        <f>IFERROR(IF(ISBLANK(L41),IFERROR(VLOOKUP($D41,Sheet3!$H$2:$O$200,S$1,FALSE),IFERROR(VLOOKUP($E41,Sheet3!$H$2:$O$200,S$1,FALSE),VLOOKUP($F41,Sheet3!$H$2:$O$200,S$1,FALSE))),$I$1),$I$1)</f>
        <v>0</v>
      </c>
      <c r="T41" s="15">
        <f>IFERROR(IF(ISBLANK(M41),IFERROR(VLOOKUP($D41,Sheet3!$H$2:$O$200,T$1,FALSE),IFERROR(VLOOKUP($E41,Sheet3!$H$2:$O$200,T$1,FALSE),VLOOKUP($F41,Sheet3!$H$2:$O$200,T$1,FALSE))),$I$1),$I$1)</f>
        <v>0</v>
      </c>
      <c r="U41" s="15">
        <f>IFERROR(IF(ISBLANK(N41),IFERROR(VLOOKUP($D41,Sheet3!$H$2:$O$200,U$1,FALSE),IFERROR(VLOOKUP($E41,Sheet3!$H$2:$O$200,U$1,FALSE),VLOOKUP($F41,Sheet3!$H$2:$O$200,U$1,FALSE))),$I$1),$I$1)</f>
        <v>0</v>
      </c>
      <c r="V41" s="15">
        <f>IFERROR(IF(ISBLANK(O41),IFERROR(VLOOKUP($D41,Sheet3!$H$2:$O$200,V$1,FALSE),IFERROR(VLOOKUP($E41,Sheet3!$H$2:$O$200,V$1,FALSE),VLOOKUP($F41,Sheet3!$H$2:$O$200,V$1,FALSE))),$I$1),$I$1)</f>
        <v>0</v>
      </c>
      <c r="W41" s="15">
        <f>IFERROR(IF(ISBLANK(P41),IFERROR(VLOOKUP($D41,Sheet3!$H$2:$O$200,W$1,FALSE),IFERROR(VLOOKUP($E41,Sheet3!$H$2:$O$200,W$1,FALSE),VLOOKUP($F41,Sheet3!$H$2:$O$200,W$1,FALSE))),$I$1),$I$1)</f>
        <v>0</v>
      </c>
      <c r="X41" s="15">
        <f>IFERROR(IF(ISBLANK(Q41),IFERROR(VLOOKUP($E41,Sheet3!$H$2:$O$200,X$1,FALSE),IFERROR(VLOOKUP($F41,Sheet3!$H$2:$O$200,X$1,FALSE),VLOOKUP($G41,Sheet3!$H$2:$O$200,X$1,FALSE))),$I$1),$I$1)</f>
        <v>0</v>
      </c>
      <c r="Y41" s="15">
        <f>IFERROR(IF(ISBLANK(R41),IFERROR(VLOOKUP($E41,Sheet3!$H$2:$O$200,Y$1,FALSE),IFERROR(VLOOKUP($F41,Sheet3!$H$2:$O$200,Y$1,FALSE),VLOOKUP($G41,Sheet3!$H$2:$O$200,Y$1,FALSE))),$I$1),$I$1)</f>
        <v>0</v>
      </c>
      <c r="Z41" s="15">
        <f>IFERROR(IF(ISBLANK(S41),IFERROR(VLOOKUP($E41,Sheet3!$H$2:$O$200,Z$1,FALSE),IFERROR(VLOOKUP($F41,Sheet3!$H$2:$O$200,Z$1,FALSE),VLOOKUP($G41,Sheet3!$H$2:$O$200,Z$1,FALSE))),$I$1),$I$1)</f>
        <v>0</v>
      </c>
      <c r="AA41" s="15">
        <f>IFERROR(IF(ISBLANK(T41),IFERROR(VLOOKUP($E41,Sheet3!$H$2:$O$200,AA$1,FALSE),IFERROR(VLOOKUP($F41,Sheet3!$H$2:$O$200,AA$1,FALSE),VLOOKUP($G41,Sheet3!$H$2:$O$200,AA$1,FALSE))),$I$1),$I$1)</f>
        <v>0</v>
      </c>
      <c r="AB41" s="15">
        <f>IFERROR(IF(ISBLANK(U41),IFERROR(VLOOKUP($E41,Sheet3!$H$2:$O$200,AB$1,FALSE),IFERROR(VLOOKUP($F41,Sheet3!$H$2:$O$200,AB$1,FALSE),VLOOKUP($G41,Sheet3!$H$2:$O$200,AB$1,FALSE))),$I$1),$I$1)</f>
        <v>0</v>
      </c>
      <c r="AC41" s="15">
        <f>IFERROR(IF(ISBLANK(V41),IFERROR(VLOOKUP($E41,Sheet3!$H$2:$O$200,AC$1,FALSE),IFERROR(VLOOKUP($F41,Sheet3!$H$2:$O$200,AC$1,FALSE),VLOOKUP($G41,Sheet3!$H$2:$O$200,AC$1,FALSE))),$I$1),$I$1)</f>
        <v>0</v>
      </c>
      <c r="AD41" s="15">
        <f>IFERROR(IF(ISBLANK(W41),IFERROR(VLOOKUP($E41,Sheet3!$H$2:$O$200,AD$1,FALSE),IFERROR(VLOOKUP($F41,Sheet3!$H$2:$O$200,AD$1,FALSE),VLOOKUP($G41,Sheet3!$H$2:$O$200,AD$1,FALSE))),$I$1),$I$1)</f>
        <v>0</v>
      </c>
      <c r="AE41" s="15">
        <f>IFERROR(IF(ISBLANK(X41),IFERROR(VLOOKUP($F41,Sheet3!$H$2:$O$200,AE$1,FALSE),VLOOKUP($G41,Sheet3!$H$2:$O$200,AE$1,FALSE)),$I$1),$I$1)</f>
        <v>0</v>
      </c>
      <c r="AF41" s="15">
        <f>IFERROR(IF(ISBLANK(Y41),IFERROR(VLOOKUP($F41,Sheet3!$H$2:$O$200,AF$1,FALSE),VLOOKUP($G41,Sheet3!$H$2:$O$200,AF$1,FALSE)),$I$1),$I$1)</f>
        <v>0</v>
      </c>
      <c r="AG41" s="15">
        <f>IFERROR(IF(ISBLANK(Z41),IFERROR(VLOOKUP($F41,Sheet3!$H$2:$O$200,AG$1,FALSE),VLOOKUP($G41,Sheet3!$H$2:$O$200,AG$1,FALSE)),$I$1),$I$1)</f>
        <v>0</v>
      </c>
      <c r="AH41" s="15">
        <f>IFERROR(IF(ISBLANK(AA41),IFERROR(VLOOKUP($F41,Sheet3!$H$2:$O$200,AH$1,FALSE),VLOOKUP($G41,Sheet3!$H$2:$O$200,AH$1,FALSE)),$I$1),$I$1)</f>
        <v>0</v>
      </c>
      <c r="AI41" s="15">
        <f>IFERROR(IF(ISBLANK(AB41),IFERROR(VLOOKUP($F41,Sheet3!$H$2:$O$200,AI$1,FALSE),VLOOKUP($G41,Sheet3!$H$2:$O$200,AI$1,FALSE)),$I$1),$I$1)</f>
        <v>0</v>
      </c>
      <c r="AJ41" s="15">
        <f>IFERROR(IF(ISBLANK(AC41),IFERROR(VLOOKUP($F41,Sheet3!$H$2:$O$200,AJ$1,FALSE),VLOOKUP($G41,Sheet3!$H$2:$O$200,AJ$1,FALSE)),$I$1),$I$1)</f>
        <v>0</v>
      </c>
      <c r="AK41" s="15">
        <f>IFERROR(IF(ISBLANK(AD41),IFERROR(VLOOKUP($F41,Sheet3!$H$2:$O$200,AK$1,FALSE),VLOOKUP($G41,Sheet3!$H$2:$O$200,AK$1,FALSE)),$I$1),$I$1)</f>
        <v>0</v>
      </c>
      <c r="AL41" s="15">
        <f>IFERROR(IF(ISBLANK(AE41),VLOOKUP($G41,Sheet3!$H$2:$O$200,AL$1,FALSE),$I$1),$I$1)</f>
        <v>0</v>
      </c>
      <c r="AM41" s="15">
        <f>IFERROR(IF(ISBLANK(AF41),VLOOKUP($G41,Sheet3!$H$2:$O$200,AM$1,FALSE),$I$1),$I$1)</f>
        <v>0</v>
      </c>
      <c r="AN41" s="15">
        <f>IFERROR(IF(ISBLANK(AG41),VLOOKUP($G41,Sheet3!$H$2:$O$200,AN$1,FALSE),$I$1),$I$1)</f>
        <v>0</v>
      </c>
      <c r="AO41" s="15">
        <f>IFERROR(IF(ISBLANK(AH41),VLOOKUP($G41,Sheet3!$H$2:$O$200,AO$1,FALSE),$I$1),$I$1)</f>
        <v>0</v>
      </c>
      <c r="AP41" s="15">
        <f>IFERROR(IF(ISBLANK(AI41),VLOOKUP($G41,Sheet3!$H$2:$O$200,AP$1,FALSE),$I$1),$I$1)</f>
        <v>0</v>
      </c>
      <c r="AQ41" s="15">
        <f>IFERROR(IF(ISBLANK(AJ41),VLOOKUP($G41,Sheet3!$H$2:$O$200,AQ$1,FALSE),$I$1),$I$1)</f>
        <v>0</v>
      </c>
      <c r="AR41" s="15">
        <f>IFERROR(IF(ISBLANK(AK41),VLOOKUP($G41,Sheet3!$H$2:$O$200,AR$1,FALSE),$I$1),$I$1)</f>
        <v>0</v>
      </c>
      <c r="AS41" s="15">
        <f t="shared" ref="AS41:AY41" si="43">IFERROR(IF(ISBLANK(J41),IF(ISBLANK(Q41),IF(ISBLANK(X41),IF(ISBLANK(AE41),IF(ISBLANK(AL41),$BB$1,AL41),AE41),X41),Q41),J41),$BB$1)</f>
        <v>0</v>
      </c>
      <c r="AT41" s="15">
        <f t="shared" si="43"/>
        <v>0</v>
      </c>
      <c r="AU41" s="15">
        <f t="shared" si="43"/>
        <v>0</v>
      </c>
      <c r="AV41" s="15" t="str">
        <f t="shared" si="43"/>
        <v>crème de noyau</v>
      </c>
      <c r="AW41" s="15">
        <f t="shared" si="43"/>
        <v>0</v>
      </c>
      <c r="AX41" s="15">
        <f t="shared" si="43"/>
        <v>0</v>
      </c>
      <c r="AY41" s="15">
        <f t="shared" si="43"/>
        <v>0</v>
      </c>
      <c r="BA41" s="13">
        <f t="shared" si="1"/>
        <v>35</v>
      </c>
      <c r="BB41" s="15" t="b">
        <f t="shared" si="2"/>
        <v>0</v>
      </c>
    </row>
    <row r="42" spans="1:54" x14ac:dyDescent="0.2">
      <c r="A42" s="19" t="s">
        <v>124</v>
      </c>
      <c r="B42" s="19" t="s">
        <v>125</v>
      </c>
      <c r="C42" s="19" t="s">
        <v>100</v>
      </c>
      <c r="D42" s="19" t="s">
        <v>38</v>
      </c>
      <c r="E42" s="19" t="s">
        <v>74</v>
      </c>
      <c r="F42" s="19" t="s">
        <v>126</v>
      </c>
      <c r="G42" s="19"/>
      <c r="H42" s="19" t="s">
        <v>124</v>
      </c>
      <c r="I42" s="15">
        <v>4</v>
      </c>
      <c r="J42" s="15">
        <f>IFERROR(VLOOKUP($C42,Sheet3!$H$2:$O$200,J$1,FALSE),IFERROR(VLOOKUP($D42,Sheet3!$H$2:$O$200,J$1,FALSE),VLOOKUP($E42,Sheet3!$H$2:$O$200,J$1,FALSE)))</f>
        <v>0</v>
      </c>
      <c r="K42" s="15">
        <f>IFERROR(VLOOKUP($C42,Sheet3!$H$2:$O$200,K$1,FALSE),IFERROR(VLOOKUP($D42,Sheet3!$H$2:$O$200,K$1,FALSE),VLOOKUP($E42,Sheet3!$H$2:$O$200,K$1,FALSE)))</f>
        <v>0</v>
      </c>
      <c r="L42" s="15">
        <f>IFERROR(VLOOKUP($C42,Sheet3!$H$2:$O$200,L$1,FALSE),IFERROR(VLOOKUP($D42,Sheet3!$H$2:$O$200,L$1,FALSE),VLOOKUP($E42,Sheet3!$H$2:$O$200,L$1,FALSE)))</f>
        <v>0</v>
      </c>
      <c r="M42" s="15" t="str">
        <f>IFERROR(VLOOKUP($C42,Sheet3!$H$2:$O$200,M$1,FALSE),IFERROR(VLOOKUP($D42,Sheet3!$H$2:$O$200,M$1,FALSE),VLOOKUP($E42,Sheet3!$H$2:$O$200,M$1,FALSE)))</f>
        <v>triple sec</v>
      </c>
      <c r="N42" s="15">
        <f>IFERROR(VLOOKUP($C42,Sheet3!$H$2:$O$200,N$1,FALSE),IFERROR(VLOOKUP($D42,Sheet3!$H$2:$O$200,N$1,FALSE),VLOOKUP($E42,Sheet3!$H$2:$O$200,N$1,FALSE)))</f>
        <v>0</v>
      </c>
      <c r="O42" s="15">
        <f>IFERROR(VLOOKUP($C42,Sheet3!$H$2:$O$200,O$1,FALSE),IFERROR(VLOOKUP($D42,Sheet3!$H$2:$O$200,O$1,FALSE),VLOOKUP($E42,Sheet3!$H$2:$O$200,O$1,FALSE)))</f>
        <v>0</v>
      </c>
      <c r="P42" s="15">
        <f>IFERROR(VLOOKUP($C42,Sheet3!$H$2:$O$200,P$1,FALSE),IFERROR(VLOOKUP($D42,Sheet3!$H$2:$O$200,P$1,FALSE),VLOOKUP($E42,Sheet3!$H$2:$O$200,P$1,FALSE)))</f>
        <v>0</v>
      </c>
      <c r="Q42" s="15">
        <f>IFERROR(IF(ISBLANK(J42),IFERROR(VLOOKUP($D42,Sheet3!$H$2:$O$200,Q$1,FALSE),IFERROR(VLOOKUP($E42,Sheet3!$H$2:$O$200,Q$1,FALSE),VLOOKUP($F42,Sheet3!$H$2:$O$200,Q$1,FALSE))),$I$1),$I$1)</f>
        <v>0</v>
      </c>
      <c r="R42" s="15">
        <f>IFERROR(IF(ISBLANK(K42),IFERROR(VLOOKUP($D42,Sheet3!$H$2:$O$200,R$1,FALSE),IFERROR(VLOOKUP($E42,Sheet3!$H$2:$O$200,R$1,FALSE),VLOOKUP($F42,Sheet3!$H$2:$O$200,R$1,FALSE))),$I$1),$I$1)</f>
        <v>0</v>
      </c>
      <c r="S42" s="15">
        <f>IFERROR(IF(ISBLANK(L42),IFERROR(VLOOKUP($D42,Sheet3!$H$2:$O$200,S$1,FALSE),IFERROR(VLOOKUP($E42,Sheet3!$H$2:$O$200,S$1,FALSE),VLOOKUP($F42,Sheet3!$H$2:$O$200,S$1,FALSE))),$I$1),$I$1)</f>
        <v>0</v>
      </c>
      <c r="T42" s="15">
        <f>IFERROR(IF(ISBLANK(M42),IFERROR(VLOOKUP($D42,Sheet3!$H$2:$O$200,T$1,FALSE),IFERROR(VLOOKUP($E42,Sheet3!$H$2:$O$200,T$1,FALSE),VLOOKUP($F42,Sheet3!$H$2:$O$200,T$1,FALSE))),$I$1),$I$1)</f>
        <v>0</v>
      </c>
      <c r="U42" s="15">
        <f>IFERROR(IF(ISBLANK(N42),IFERROR(VLOOKUP($D42,Sheet3!$H$2:$O$200,U$1,FALSE),IFERROR(VLOOKUP($E42,Sheet3!$H$2:$O$200,U$1,FALSE),VLOOKUP($F42,Sheet3!$H$2:$O$200,U$1,FALSE))),$I$1),$I$1)</f>
        <v>0</v>
      </c>
      <c r="V42" s="15">
        <f>IFERROR(IF(ISBLANK(O42),IFERROR(VLOOKUP($D42,Sheet3!$H$2:$O$200,V$1,FALSE),IFERROR(VLOOKUP($E42,Sheet3!$H$2:$O$200,V$1,FALSE),VLOOKUP($F42,Sheet3!$H$2:$O$200,V$1,FALSE))),$I$1),$I$1)</f>
        <v>0</v>
      </c>
      <c r="W42" s="15">
        <f>IFERROR(IF(ISBLANK(P42),IFERROR(VLOOKUP($D42,Sheet3!$H$2:$O$200,W$1,FALSE),IFERROR(VLOOKUP($E42,Sheet3!$H$2:$O$200,W$1,FALSE),VLOOKUP($F42,Sheet3!$H$2:$O$200,W$1,FALSE))),$I$1),$I$1)</f>
        <v>0</v>
      </c>
      <c r="X42" s="15">
        <f>IFERROR(IF(ISBLANK(Q42),IFERROR(VLOOKUP($E42,Sheet3!$H$2:$O$200,X$1,FALSE),IFERROR(VLOOKUP($F42,Sheet3!$H$2:$O$200,X$1,FALSE),VLOOKUP($G42,Sheet3!$H$2:$O$200,X$1,FALSE))),$I$1),$I$1)</f>
        <v>0</v>
      </c>
      <c r="Y42" s="15">
        <f>IFERROR(IF(ISBLANK(R42),IFERROR(VLOOKUP($E42,Sheet3!$H$2:$O$200,Y$1,FALSE),IFERROR(VLOOKUP($F42,Sheet3!$H$2:$O$200,Y$1,FALSE),VLOOKUP($G42,Sheet3!$H$2:$O$200,Y$1,FALSE))),$I$1),$I$1)</f>
        <v>0</v>
      </c>
      <c r="Z42" s="15">
        <f>IFERROR(IF(ISBLANK(S42),IFERROR(VLOOKUP($E42,Sheet3!$H$2:$O$200,Z$1,FALSE),IFERROR(VLOOKUP($F42,Sheet3!$H$2:$O$200,Z$1,FALSE),VLOOKUP($G42,Sheet3!$H$2:$O$200,Z$1,FALSE))),$I$1),$I$1)</f>
        <v>0</v>
      </c>
      <c r="AA42" s="15">
        <f>IFERROR(IF(ISBLANK(T42),IFERROR(VLOOKUP($E42,Sheet3!$H$2:$O$200,AA$1,FALSE),IFERROR(VLOOKUP($F42,Sheet3!$H$2:$O$200,AA$1,FALSE),VLOOKUP($G42,Sheet3!$H$2:$O$200,AA$1,FALSE))),$I$1),$I$1)</f>
        <v>0</v>
      </c>
      <c r="AB42" s="15">
        <f>IFERROR(IF(ISBLANK(U42),IFERROR(VLOOKUP($E42,Sheet3!$H$2:$O$200,AB$1,FALSE),IFERROR(VLOOKUP($F42,Sheet3!$H$2:$O$200,AB$1,FALSE),VLOOKUP($G42,Sheet3!$H$2:$O$200,AB$1,FALSE))),$I$1),$I$1)</f>
        <v>0</v>
      </c>
      <c r="AC42" s="15">
        <f>IFERROR(IF(ISBLANK(V42),IFERROR(VLOOKUP($E42,Sheet3!$H$2:$O$200,AC$1,FALSE),IFERROR(VLOOKUP($F42,Sheet3!$H$2:$O$200,AC$1,FALSE),VLOOKUP($G42,Sheet3!$H$2:$O$200,AC$1,FALSE))),$I$1),$I$1)</f>
        <v>0</v>
      </c>
      <c r="AD42" s="15">
        <f>IFERROR(IF(ISBLANK(W42),IFERROR(VLOOKUP($E42,Sheet3!$H$2:$O$200,AD$1,FALSE),IFERROR(VLOOKUP($F42,Sheet3!$H$2:$O$200,AD$1,FALSE),VLOOKUP($G42,Sheet3!$H$2:$O$200,AD$1,FALSE))),$I$1),$I$1)</f>
        <v>0</v>
      </c>
      <c r="AE42" s="15">
        <f>IFERROR(IF(ISBLANK(X42),IFERROR(VLOOKUP($F42,Sheet3!$H$2:$O$200,AE$1,FALSE),VLOOKUP($G42,Sheet3!$H$2:$O$200,AE$1,FALSE)),$I$1),$I$1)</f>
        <v>0</v>
      </c>
      <c r="AF42" s="15">
        <f>IFERROR(IF(ISBLANK(Y42),IFERROR(VLOOKUP($F42,Sheet3!$H$2:$O$200,AF$1,FALSE),VLOOKUP($G42,Sheet3!$H$2:$O$200,AF$1,FALSE)),$I$1),$I$1)</f>
        <v>0</v>
      </c>
      <c r="AG42" s="15">
        <f>IFERROR(IF(ISBLANK(Z42),IFERROR(VLOOKUP($F42,Sheet3!$H$2:$O$200,AG$1,FALSE),VLOOKUP($G42,Sheet3!$H$2:$O$200,AG$1,FALSE)),$I$1),$I$1)</f>
        <v>0</v>
      </c>
      <c r="AH42" s="15">
        <f>IFERROR(IF(ISBLANK(AA42),IFERROR(VLOOKUP($F42,Sheet3!$H$2:$O$200,AH$1,FALSE),VLOOKUP($G42,Sheet3!$H$2:$O$200,AH$1,FALSE)),$I$1),$I$1)</f>
        <v>0</v>
      </c>
      <c r="AI42" s="15">
        <f>IFERROR(IF(ISBLANK(AB42),IFERROR(VLOOKUP($F42,Sheet3!$H$2:$O$200,AI$1,FALSE),VLOOKUP($G42,Sheet3!$H$2:$O$200,AI$1,FALSE)),$I$1),$I$1)</f>
        <v>0</v>
      </c>
      <c r="AJ42" s="15">
        <f>IFERROR(IF(ISBLANK(AC42),IFERROR(VLOOKUP($F42,Sheet3!$H$2:$O$200,AJ$1,FALSE),VLOOKUP($G42,Sheet3!$H$2:$O$200,AJ$1,FALSE)),$I$1),$I$1)</f>
        <v>0</v>
      </c>
      <c r="AK42" s="15">
        <f>IFERROR(IF(ISBLANK(AD42),IFERROR(VLOOKUP($F42,Sheet3!$H$2:$O$200,AK$1,FALSE),VLOOKUP($G42,Sheet3!$H$2:$O$200,AK$1,FALSE)),$I$1),$I$1)</f>
        <v>0</v>
      </c>
      <c r="AL42" s="15">
        <f>IFERROR(IF(ISBLANK(AE42),VLOOKUP($G42,Sheet3!$H$2:$O$200,AL$1,FALSE),$I$1),$I$1)</f>
        <v>0</v>
      </c>
      <c r="AM42" s="15">
        <f>IFERROR(IF(ISBLANK(AF42),VLOOKUP($G42,Sheet3!$H$2:$O$200,AM$1,FALSE),$I$1),$I$1)</f>
        <v>0</v>
      </c>
      <c r="AN42" s="15">
        <f>IFERROR(IF(ISBLANK(AG42),VLOOKUP($G42,Sheet3!$H$2:$O$200,AN$1,FALSE),$I$1),$I$1)</f>
        <v>0</v>
      </c>
      <c r="AO42" s="15">
        <f>IFERROR(IF(ISBLANK(AH42),VLOOKUP($G42,Sheet3!$H$2:$O$200,AO$1,FALSE),$I$1),$I$1)</f>
        <v>0</v>
      </c>
      <c r="AP42" s="15">
        <f>IFERROR(IF(ISBLANK(AI42),VLOOKUP($G42,Sheet3!$H$2:$O$200,AP$1,FALSE),$I$1),$I$1)</f>
        <v>0</v>
      </c>
      <c r="AQ42" s="15">
        <f>IFERROR(IF(ISBLANK(AJ42),VLOOKUP($G42,Sheet3!$H$2:$O$200,AQ$1,FALSE),$I$1),$I$1)</f>
        <v>0</v>
      </c>
      <c r="AR42" s="15">
        <f>IFERROR(IF(ISBLANK(AK42),VLOOKUP($G42,Sheet3!$H$2:$O$200,AR$1,FALSE),$I$1),$I$1)</f>
        <v>0</v>
      </c>
      <c r="AS42" s="15">
        <f t="shared" ref="AS42:AY42" si="44">IFERROR(IF(ISBLANK(J42),IF(ISBLANK(Q42),IF(ISBLANK(X42),IF(ISBLANK(AE42),IF(ISBLANK(AL42),$BB$1,AL42),AE42),X42),Q42),J42),$BB$1)</f>
        <v>0</v>
      </c>
      <c r="AT42" s="15">
        <f t="shared" si="44"/>
        <v>0</v>
      </c>
      <c r="AU42" s="15">
        <f t="shared" si="44"/>
        <v>0</v>
      </c>
      <c r="AV42" s="15" t="str">
        <f t="shared" si="44"/>
        <v>triple sec</v>
      </c>
      <c r="AW42" s="15">
        <f t="shared" si="44"/>
        <v>0</v>
      </c>
      <c r="AX42" s="15">
        <f t="shared" si="44"/>
        <v>0</v>
      </c>
      <c r="AY42" s="15">
        <f t="shared" si="44"/>
        <v>0</v>
      </c>
      <c r="BA42" s="13">
        <f t="shared" si="1"/>
        <v>35</v>
      </c>
      <c r="BB42" s="15" t="b">
        <f t="shared" si="2"/>
        <v>0</v>
      </c>
    </row>
    <row r="43" spans="1:54" x14ac:dyDescent="0.2">
      <c r="A43" s="19" t="s">
        <v>127</v>
      </c>
      <c r="B43" s="19" t="s">
        <v>128</v>
      </c>
      <c r="C43" s="19" t="s">
        <v>100</v>
      </c>
      <c r="D43" s="19" t="s">
        <v>90</v>
      </c>
      <c r="E43" s="19" t="s">
        <v>66</v>
      </c>
      <c r="F43" s="19" t="s">
        <v>129</v>
      </c>
      <c r="G43" s="19"/>
      <c r="H43" s="19" t="s">
        <v>127</v>
      </c>
      <c r="I43" s="15">
        <v>4</v>
      </c>
      <c r="J43" s="15">
        <f>IFERROR(VLOOKUP($C43,Sheet3!$H$2:$O$200,J$1,FALSE),IFERROR(VLOOKUP($D43,Sheet3!$H$2:$O$200,J$1,FALSE),VLOOKUP($E43,Sheet3!$H$2:$O$200,J$1,FALSE)))</f>
        <v>0</v>
      </c>
      <c r="K43" s="15">
        <f>IFERROR(VLOOKUP($C43,Sheet3!$H$2:$O$200,K$1,FALSE),IFERROR(VLOOKUP($D43,Sheet3!$H$2:$O$200,K$1,FALSE),VLOOKUP($E43,Sheet3!$H$2:$O$200,K$1,FALSE)))</f>
        <v>0</v>
      </c>
      <c r="L43" s="15">
        <f>IFERROR(VLOOKUP($C43,Sheet3!$H$2:$O$200,L$1,FALSE),IFERROR(VLOOKUP($D43,Sheet3!$H$2:$O$200,L$1,FALSE),VLOOKUP($E43,Sheet3!$H$2:$O$200,L$1,FALSE)))</f>
        <v>0</v>
      </c>
      <c r="M43" s="15" t="str">
        <f>IFERROR(VLOOKUP($C43,Sheet3!$H$2:$O$200,M$1,FALSE),IFERROR(VLOOKUP($D43,Sheet3!$H$2:$O$200,M$1,FALSE),VLOOKUP($E43,Sheet3!$H$2:$O$200,M$1,FALSE)))</f>
        <v>triple sec</v>
      </c>
      <c r="N43" s="15">
        <f>IFERROR(VLOOKUP($C43,Sheet3!$H$2:$O$200,N$1,FALSE),IFERROR(VLOOKUP($D43,Sheet3!$H$2:$O$200,N$1,FALSE),VLOOKUP($E43,Sheet3!$H$2:$O$200,N$1,FALSE)))</f>
        <v>0</v>
      </c>
      <c r="O43" s="15">
        <f>IFERROR(VLOOKUP($C43,Sheet3!$H$2:$O$200,O$1,FALSE),IFERROR(VLOOKUP($D43,Sheet3!$H$2:$O$200,O$1,FALSE),VLOOKUP($E43,Sheet3!$H$2:$O$200,O$1,FALSE)))</f>
        <v>0</v>
      </c>
      <c r="P43" s="15">
        <f>IFERROR(VLOOKUP($C43,Sheet3!$H$2:$O$200,P$1,FALSE),IFERROR(VLOOKUP($D43,Sheet3!$H$2:$O$200,P$1,FALSE),VLOOKUP($E43,Sheet3!$H$2:$O$200,P$1,FALSE)))</f>
        <v>0</v>
      </c>
      <c r="Q43" s="15">
        <f>IFERROR(IF(ISBLANK(J43),IFERROR(VLOOKUP($D43,Sheet3!$H$2:$O$200,Q$1,FALSE),IFERROR(VLOOKUP($E43,Sheet3!$H$2:$O$200,Q$1,FALSE),VLOOKUP($F43,Sheet3!$H$2:$O$200,Q$1,FALSE))),$I$1),$I$1)</f>
        <v>0</v>
      </c>
      <c r="R43" s="15">
        <f>IFERROR(IF(ISBLANK(K43),IFERROR(VLOOKUP($D43,Sheet3!$H$2:$O$200,R$1,FALSE),IFERROR(VLOOKUP($E43,Sheet3!$H$2:$O$200,R$1,FALSE),VLOOKUP($F43,Sheet3!$H$2:$O$200,R$1,FALSE))),$I$1),$I$1)</f>
        <v>0</v>
      </c>
      <c r="S43" s="15">
        <f>IFERROR(IF(ISBLANK(L43),IFERROR(VLOOKUP($D43,Sheet3!$H$2:$O$200,S$1,FALSE),IFERROR(VLOOKUP($E43,Sheet3!$H$2:$O$200,S$1,FALSE),VLOOKUP($F43,Sheet3!$H$2:$O$200,S$1,FALSE))),$I$1),$I$1)</f>
        <v>0</v>
      </c>
      <c r="T43" s="15">
        <f>IFERROR(IF(ISBLANK(M43),IFERROR(VLOOKUP($D43,Sheet3!$H$2:$O$200,T$1,FALSE),IFERROR(VLOOKUP($E43,Sheet3!$H$2:$O$200,T$1,FALSE),VLOOKUP($F43,Sheet3!$H$2:$O$200,T$1,FALSE))),$I$1),$I$1)</f>
        <v>0</v>
      </c>
      <c r="U43" s="15">
        <f>IFERROR(IF(ISBLANK(N43),IFERROR(VLOOKUP($D43,Sheet3!$H$2:$O$200,U$1,FALSE),IFERROR(VLOOKUP($E43,Sheet3!$H$2:$O$200,U$1,FALSE),VLOOKUP($F43,Sheet3!$H$2:$O$200,U$1,FALSE))),$I$1),$I$1)</f>
        <v>0</v>
      </c>
      <c r="V43" s="15">
        <f>IFERROR(IF(ISBLANK(O43),IFERROR(VLOOKUP($D43,Sheet3!$H$2:$O$200,V$1,FALSE),IFERROR(VLOOKUP($E43,Sheet3!$H$2:$O$200,V$1,FALSE),VLOOKUP($F43,Sheet3!$H$2:$O$200,V$1,FALSE))),$I$1),$I$1)</f>
        <v>0</v>
      </c>
      <c r="W43" s="15">
        <f>IFERROR(IF(ISBLANK(P43),IFERROR(VLOOKUP($D43,Sheet3!$H$2:$O$200,W$1,FALSE),IFERROR(VLOOKUP($E43,Sheet3!$H$2:$O$200,W$1,FALSE),VLOOKUP($F43,Sheet3!$H$2:$O$200,W$1,FALSE))),$I$1),$I$1)</f>
        <v>0</v>
      </c>
      <c r="X43" s="15">
        <f>IFERROR(IF(ISBLANK(Q43),IFERROR(VLOOKUP($E43,Sheet3!$H$2:$O$200,X$1,FALSE),IFERROR(VLOOKUP($F43,Sheet3!$H$2:$O$200,X$1,FALSE),VLOOKUP($G43,Sheet3!$H$2:$O$200,X$1,FALSE))),$I$1),$I$1)</f>
        <v>0</v>
      </c>
      <c r="Y43" s="15">
        <f>IFERROR(IF(ISBLANK(R43),IFERROR(VLOOKUP($E43,Sheet3!$H$2:$O$200,Y$1,FALSE),IFERROR(VLOOKUP($F43,Sheet3!$H$2:$O$200,Y$1,FALSE),VLOOKUP($G43,Sheet3!$H$2:$O$200,Y$1,FALSE))),$I$1),$I$1)</f>
        <v>0</v>
      </c>
      <c r="Z43" s="15">
        <f>IFERROR(IF(ISBLANK(S43),IFERROR(VLOOKUP($E43,Sheet3!$H$2:$O$200,Z$1,FALSE),IFERROR(VLOOKUP($F43,Sheet3!$H$2:$O$200,Z$1,FALSE),VLOOKUP($G43,Sheet3!$H$2:$O$200,Z$1,FALSE))),$I$1),$I$1)</f>
        <v>0</v>
      </c>
      <c r="AA43" s="15">
        <f>IFERROR(IF(ISBLANK(T43),IFERROR(VLOOKUP($E43,Sheet3!$H$2:$O$200,AA$1,FALSE),IFERROR(VLOOKUP($F43,Sheet3!$H$2:$O$200,AA$1,FALSE),VLOOKUP($G43,Sheet3!$H$2:$O$200,AA$1,FALSE))),$I$1),$I$1)</f>
        <v>0</v>
      </c>
      <c r="AB43" s="15">
        <f>IFERROR(IF(ISBLANK(U43),IFERROR(VLOOKUP($E43,Sheet3!$H$2:$O$200,AB$1,FALSE),IFERROR(VLOOKUP($F43,Sheet3!$H$2:$O$200,AB$1,FALSE),VLOOKUP($G43,Sheet3!$H$2:$O$200,AB$1,FALSE))),$I$1),$I$1)</f>
        <v>0</v>
      </c>
      <c r="AC43" s="15">
        <f>IFERROR(IF(ISBLANK(V43),IFERROR(VLOOKUP($E43,Sheet3!$H$2:$O$200,AC$1,FALSE),IFERROR(VLOOKUP($F43,Sheet3!$H$2:$O$200,AC$1,FALSE),VLOOKUP($G43,Sheet3!$H$2:$O$200,AC$1,FALSE))),$I$1),$I$1)</f>
        <v>0</v>
      </c>
      <c r="AD43" s="15">
        <f>IFERROR(IF(ISBLANK(W43),IFERROR(VLOOKUP($E43,Sheet3!$H$2:$O$200,AD$1,FALSE),IFERROR(VLOOKUP($F43,Sheet3!$H$2:$O$200,AD$1,FALSE),VLOOKUP($G43,Sheet3!$H$2:$O$200,AD$1,FALSE))),$I$1),$I$1)</f>
        <v>0</v>
      </c>
      <c r="AE43" s="15">
        <f>IFERROR(IF(ISBLANK(X43),IFERROR(VLOOKUP($F43,Sheet3!$H$2:$O$200,AE$1,FALSE),VLOOKUP($G43,Sheet3!$H$2:$O$200,AE$1,FALSE)),$I$1),$I$1)</f>
        <v>0</v>
      </c>
      <c r="AF43" s="15">
        <f>IFERROR(IF(ISBLANK(Y43),IFERROR(VLOOKUP($F43,Sheet3!$H$2:$O$200,AF$1,FALSE),VLOOKUP($G43,Sheet3!$H$2:$O$200,AF$1,FALSE)),$I$1),$I$1)</f>
        <v>0</v>
      </c>
      <c r="AG43" s="15">
        <f>IFERROR(IF(ISBLANK(Z43),IFERROR(VLOOKUP($F43,Sheet3!$H$2:$O$200,AG$1,FALSE),VLOOKUP($G43,Sheet3!$H$2:$O$200,AG$1,FALSE)),$I$1),$I$1)</f>
        <v>0</v>
      </c>
      <c r="AH43" s="15">
        <f>IFERROR(IF(ISBLANK(AA43),IFERROR(VLOOKUP($F43,Sheet3!$H$2:$O$200,AH$1,FALSE),VLOOKUP($G43,Sheet3!$H$2:$O$200,AH$1,FALSE)),$I$1),$I$1)</f>
        <v>0</v>
      </c>
      <c r="AI43" s="15">
        <f>IFERROR(IF(ISBLANK(AB43),IFERROR(VLOOKUP($F43,Sheet3!$H$2:$O$200,AI$1,FALSE),VLOOKUP($G43,Sheet3!$H$2:$O$200,AI$1,FALSE)),$I$1),$I$1)</f>
        <v>0</v>
      </c>
      <c r="AJ43" s="15">
        <f>IFERROR(IF(ISBLANK(AC43),IFERROR(VLOOKUP($F43,Sheet3!$H$2:$O$200,AJ$1,FALSE),VLOOKUP($G43,Sheet3!$H$2:$O$200,AJ$1,FALSE)),$I$1),$I$1)</f>
        <v>0</v>
      </c>
      <c r="AK43" s="15">
        <f>IFERROR(IF(ISBLANK(AD43),IFERROR(VLOOKUP($F43,Sheet3!$H$2:$O$200,AK$1,FALSE),VLOOKUP($G43,Sheet3!$H$2:$O$200,AK$1,FALSE)),$I$1),$I$1)</f>
        <v>0</v>
      </c>
      <c r="AL43" s="15">
        <f>IFERROR(IF(ISBLANK(AE43),VLOOKUP($G43,Sheet3!$H$2:$O$200,AL$1,FALSE),$I$1),$I$1)</f>
        <v>0</v>
      </c>
      <c r="AM43" s="15">
        <f>IFERROR(IF(ISBLANK(AF43),VLOOKUP($G43,Sheet3!$H$2:$O$200,AM$1,FALSE),$I$1),$I$1)</f>
        <v>0</v>
      </c>
      <c r="AN43" s="15">
        <f>IFERROR(IF(ISBLANK(AG43),VLOOKUP($G43,Sheet3!$H$2:$O$200,AN$1,FALSE),$I$1),$I$1)</f>
        <v>0</v>
      </c>
      <c r="AO43" s="15">
        <f>IFERROR(IF(ISBLANK(AH43),VLOOKUP($G43,Sheet3!$H$2:$O$200,AO$1,FALSE),$I$1),$I$1)</f>
        <v>0</v>
      </c>
      <c r="AP43" s="15">
        <f>IFERROR(IF(ISBLANK(AI43),VLOOKUP($G43,Sheet3!$H$2:$O$200,AP$1,FALSE),$I$1),$I$1)</f>
        <v>0</v>
      </c>
      <c r="AQ43" s="15">
        <f>IFERROR(IF(ISBLANK(AJ43),VLOOKUP($G43,Sheet3!$H$2:$O$200,AQ$1,FALSE),$I$1),$I$1)</f>
        <v>0</v>
      </c>
      <c r="AR43" s="15">
        <f>IFERROR(IF(ISBLANK(AK43),VLOOKUP($G43,Sheet3!$H$2:$O$200,AR$1,FALSE),$I$1),$I$1)</f>
        <v>0</v>
      </c>
      <c r="AS43" s="15">
        <f t="shared" ref="AS43:AX43" si="45">IFERROR(IF(ISBLANK(J43),IF(ISBLANK(Q43),IF(ISBLANK(X43),IF(ISBLANK(AE43),IF(ISBLANK(AL43),$BB$1,AL43),AE43),X43),Q43),J43),$BB$1)</f>
        <v>0</v>
      </c>
      <c r="AT43" s="15">
        <f t="shared" si="45"/>
        <v>0</v>
      </c>
      <c r="AU43" s="15">
        <f t="shared" si="45"/>
        <v>0</v>
      </c>
      <c r="AV43" s="15" t="str">
        <f t="shared" si="45"/>
        <v>triple sec</v>
      </c>
      <c r="AW43" s="15">
        <f t="shared" si="45"/>
        <v>0</v>
      </c>
      <c r="AX43" s="15">
        <f t="shared" si="45"/>
        <v>0</v>
      </c>
      <c r="AY43" s="11" t="s">
        <v>45</v>
      </c>
      <c r="BA43" s="13">
        <f t="shared" si="1"/>
        <v>35</v>
      </c>
      <c r="BB43" s="15" t="b">
        <f t="shared" si="2"/>
        <v>0</v>
      </c>
    </row>
    <row r="44" spans="1:54" x14ac:dyDescent="0.2">
      <c r="A44" s="19" t="s">
        <v>130</v>
      </c>
      <c r="B44" s="19" t="s">
        <v>131</v>
      </c>
      <c r="C44" s="19"/>
      <c r="D44" s="19" t="s">
        <v>38</v>
      </c>
      <c r="E44" s="19" t="s">
        <v>86</v>
      </c>
      <c r="F44" s="19"/>
      <c r="G44" s="19"/>
      <c r="H44" s="19" t="s">
        <v>130</v>
      </c>
      <c r="I44" s="15">
        <v>2</v>
      </c>
      <c r="J44" s="15">
        <f>IFERROR(VLOOKUP($C44,Sheet3!$H$2:$O$200,J$1,FALSE),IFERROR(VLOOKUP($D44,Sheet3!$H$2:$O$200,J$1,FALSE),VLOOKUP($E44,Sheet3!$H$2:$O$200,J$1,FALSE)))</f>
        <v>0</v>
      </c>
      <c r="K44" s="15">
        <f>IFERROR(VLOOKUP($C44,Sheet3!$H$2:$O$200,K$1,FALSE),IFERROR(VLOOKUP($D44,Sheet3!$H$2:$O$200,K$1,FALSE),VLOOKUP($E44,Sheet3!$H$2:$O$200,K$1,FALSE)))</f>
        <v>0</v>
      </c>
      <c r="L44" s="15" t="str">
        <f>IFERROR(VLOOKUP($C44,Sheet3!$H$2:$O$200,L$1,FALSE),IFERROR(VLOOKUP($D44,Sheet3!$H$2:$O$200,L$1,FALSE),VLOOKUP($E44,Sheet3!$H$2:$O$200,L$1,FALSE)))</f>
        <v>lemon juice</v>
      </c>
      <c r="M44" s="15">
        <f>IFERROR(VLOOKUP($C44,Sheet3!$H$2:$O$200,M$1,FALSE),IFERROR(VLOOKUP($D44,Sheet3!$H$2:$O$200,M$1,FALSE),VLOOKUP($E44,Sheet3!$H$2:$O$200,M$1,FALSE)))</f>
        <v>0</v>
      </c>
      <c r="N44" s="15">
        <f>IFERROR(VLOOKUP($C44,Sheet3!$H$2:$O$200,N$1,FALSE),IFERROR(VLOOKUP($D44,Sheet3!$H$2:$O$200,N$1,FALSE),VLOOKUP($E44,Sheet3!$H$2:$O$200,N$1,FALSE)))</f>
        <v>0</v>
      </c>
      <c r="O44" s="15">
        <f>IFERROR(VLOOKUP($C44,Sheet3!$H$2:$O$200,O$1,FALSE),IFERROR(VLOOKUP($D44,Sheet3!$H$2:$O$200,O$1,FALSE),VLOOKUP($E44,Sheet3!$H$2:$O$200,O$1,FALSE)))</f>
        <v>0</v>
      </c>
      <c r="P44" s="15">
        <f>IFERROR(VLOOKUP($C44,Sheet3!$H$2:$O$200,P$1,FALSE),IFERROR(VLOOKUP($D44,Sheet3!$H$2:$O$200,P$1,FALSE),VLOOKUP($E44,Sheet3!$H$2:$O$200,P$1,FALSE)))</f>
        <v>0</v>
      </c>
      <c r="Q44" s="15">
        <f>IFERROR(IF(ISBLANK(J44),IFERROR(VLOOKUP($D44,Sheet3!$H$2:$O$200,Q$1,FALSE),IFERROR(VLOOKUP($E44,Sheet3!$H$2:$O$200,Q$1,FALSE),VLOOKUP($F44,Sheet3!$H$2:$O$200,Q$1,FALSE))),$I$1),$I$1)</f>
        <v>0</v>
      </c>
      <c r="R44" s="15">
        <f>IFERROR(IF(ISBLANK(K44),IFERROR(VLOOKUP($D44,Sheet3!$H$2:$O$200,R$1,FALSE),IFERROR(VLOOKUP($E44,Sheet3!$H$2:$O$200,R$1,FALSE),VLOOKUP($F44,Sheet3!$H$2:$O$200,R$1,FALSE))),$I$1),$I$1)</f>
        <v>0</v>
      </c>
      <c r="S44" s="15">
        <f>IFERROR(IF(ISBLANK(L44),IFERROR(VLOOKUP($D44,Sheet3!$H$2:$O$200,S$1,FALSE),IFERROR(VLOOKUP($E44,Sheet3!$H$2:$O$200,S$1,FALSE),VLOOKUP($F44,Sheet3!$H$2:$O$200,S$1,FALSE))),$I$1),$I$1)</f>
        <v>0</v>
      </c>
      <c r="T44" s="15">
        <f>IFERROR(IF(ISBLANK(M44),IFERROR(VLOOKUP($D44,Sheet3!$H$2:$O$200,T$1,FALSE),IFERROR(VLOOKUP($E44,Sheet3!$H$2:$O$200,T$1,FALSE),VLOOKUP($F44,Sheet3!$H$2:$O$200,T$1,FALSE))),$I$1),$I$1)</f>
        <v>0</v>
      </c>
      <c r="U44" s="15">
        <f>IFERROR(IF(ISBLANK(N44),IFERROR(VLOOKUP($D44,Sheet3!$H$2:$O$200,U$1,FALSE),IFERROR(VLOOKUP($E44,Sheet3!$H$2:$O$200,U$1,FALSE),VLOOKUP($F44,Sheet3!$H$2:$O$200,U$1,FALSE))),$I$1),$I$1)</f>
        <v>0</v>
      </c>
      <c r="V44" s="15">
        <f>IFERROR(IF(ISBLANK(O44),IFERROR(VLOOKUP($D44,Sheet3!$H$2:$O$200,V$1,FALSE),IFERROR(VLOOKUP($E44,Sheet3!$H$2:$O$200,V$1,FALSE),VLOOKUP($F44,Sheet3!$H$2:$O$200,V$1,FALSE))),$I$1),$I$1)</f>
        <v>0</v>
      </c>
      <c r="W44" s="15">
        <f>IFERROR(IF(ISBLANK(P44),IFERROR(VLOOKUP($D44,Sheet3!$H$2:$O$200,W$1,FALSE),IFERROR(VLOOKUP($E44,Sheet3!$H$2:$O$200,W$1,FALSE),VLOOKUP($F44,Sheet3!$H$2:$O$200,W$1,FALSE))),$I$1),$I$1)</f>
        <v>0</v>
      </c>
      <c r="X44" s="15">
        <f>IFERROR(IF(ISBLANK(Q44),IFERROR(VLOOKUP($E44,Sheet3!$H$2:$O$200,X$1,FALSE),IFERROR(VLOOKUP($F44,Sheet3!$H$2:$O$200,X$1,FALSE),VLOOKUP($G44,Sheet3!$H$2:$O$200,X$1,FALSE))),$I$1),$I$1)</f>
        <v>0</v>
      </c>
      <c r="Y44" s="15">
        <f>IFERROR(IF(ISBLANK(R44),IFERROR(VLOOKUP($E44,Sheet3!$H$2:$O$200,Y$1,FALSE),IFERROR(VLOOKUP($F44,Sheet3!$H$2:$O$200,Y$1,FALSE),VLOOKUP($G44,Sheet3!$H$2:$O$200,Y$1,FALSE))),$I$1),$I$1)</f>
        <v>0</v>
      </c>
      <c r="Z44" s="15">
        <f>IFERROR(IF(ISBLANK(S44),IFERROR(VLOOKUP($E44,Sheet3!$H$2:$O$200,Z$1,FALSE),IFERROR(VLOOKUP($F44,Sheet3!$H$2:$O$200,Z$1,FALSE),VLOOKUP($G44,Sheet3!$H$2:$O$200,Z$1,FALSE))),$I$1),$I$1)</f>
        <v>0</v>
      </c>
      <c r="AA44" s="15">
        <f>IFERROR(IF(ISBLANK(T44),IFERROR(VLOOKUP($E44,Sheet3!$H$2:$O$200,AA$1,FALSE),IFERROR(VLOOKUP($F44,Sheet3!$H$2:$O$200,AA$1,FALSE),VLOOKUP($G44,Sheet3!$H$2:$O$200,AA$1,FALSE))),$I$1),$I$1)</f>
        <v>0</v>
      </c>
      <c r="AB44" s="15">
        <f>IFERROR(IF(ISBLANK(U44),IFERROR(VLOOKUP($E44,Sheet3!$H$2:$O$200,AB$1,FALSE),IFERROR(VLOOKUP($F44,Sheet3!$H$2:$O$200,AB$1,FALSE),VLOOKUP($G44,Sheet3!$H$2:$O$200,AB$1,FALSE))),$I$1),$I$1)</f>
        <v>0</v>
      </c>
      <c r="AC44" s="15">
        <f>IFERROR(IF(ISBLANK(V44),IFERROR(VLOOKUP($E44,Sheet3!$H$2:$O$200,AC$1,FALSE),IFERROR(VLOOKUP($F44,Sheet3!$H$2:$O$200,AC$1,FALSE),VLOOKUP($G44,Sheet3!$H$2:$O$200,AC$1,FALSE))),$I$1),$I$1)</f>
        <v>0</v>
      </c>
      <c r="AD44" s="15">
        <f>IFERROR(IF(ISBLANK(W44),IFERROR(VLOOKUP($E44,Sheet3!$H$2:$O$200,AD$1,FALSE),IFERROR(VLOOKUP($F44,Sheet3!$H$2:$O$200,AD$1,FALSE),VLOOKUP($G44,Sheet3!$H$2:$O$200,AD$1,FALSE))),$I$1),$I$1)</f>
        <v>0</v>
      </c>
      <c r="AE44" s="15">
        <f>IFERROR(IF(ISBLANK(X44),IFERROR(VLOOKUP($F44,Sheet3!$H$2:$O$200,AE$1,FALSE),VLOOKUP($G44,Sheet3!$H$2:$O$200,AE$1,FALSE)),$I$1),$I$1)</f>
        <v>0</v>
      </c>
      <c r="AF44" s="15">
        <f>IFERROR(IF(ISBLANK(Y44),IFERROR(VLOOKUP($F44,Sheet3!$H$2:$O$200,AF$1,FALSE),VLOOKUP($G44,Sheet3!$H$2:$O$200,AF$1,FALSE)),$I$1),$I$1)</f>
        <v>0</v>
      </c>
      <c r="AG44" s="15">
        <f>IFERROR(IF(ISBLANK(Z44),IFERROR(VLOOKUP($F44,Sheet3!$H$2:$O$200,AG$1,FALSE),VLOOKUP($G44,Sheet3!$H$2:$O$200,AG$1,FALSE)),$I$1),$I$1)</f>
        <v>0</v>
      </c>
      <c r="AH44" s="15">
        <f>IFERROR(IF(ISBLANK(AA44),IFERROR(VLOOKUP($F44,Sheet3!$H$2:$O$200,AH$1,FALSE),VLOOKUP($G44,Sheet3!$H$2:$O$200,AH$1,FALSE)),$I$1),$I$1)</f>
        <v>0</v>
      </c>
      <c r="AI44" s="15">
        <f>IFERROR(IF(ISBLANK(AB44),IFERROR(VLOOKUP($F44,Sheet3!$H$2:$O$200,AI$1,FALSE),VLOOKUP($G44,Sheet3!$H$2:$O$200,AI$1,FALSE)),$I$1),$I$1)</f>
        <v>0</v>
      </c>
      <c r="AJ44" s="15">
        <f>IFERROR(IF(ISBLANK(AC44),IFERROR(VLOOKUP($F44,Sheet3!$H$2:$O$200,AJ$1,FALSE),VLOOKUP($G44,Sheet3!$H$2:$O$200,AJ$1,FALSE)),$I$1),$I$1)</f>
        <v>0</v>
      </c>
      <c r="AK44" s="15">
        <f>IFERROR(IF(ISBLANK(AD44),IFERROR(VLOOKUP($F44,Sheet3!$H$2:$O$200,AK$1,FALSE),VLOOKUP($G44,Sheet3!$H$2:$O$200,AK$1,FALSE)),$I$1),$I$1)</f>
        <v>0</v>
      </c>
      <c r="AL44" s="15">
        <f>IFERROR(IF(ISBLANK(AE44),VLOOKUP($G44,Sheet3!$H$2:$O$200,AL$1,FALSE),$I$1),$I$1)</f>
        <v>0</v>
      </c>
      <c r="AM44" s="15">
        <f>IFERROR(IF(ISBLANK(AF44),VLOOKUP($G44,Sheet3!$H$2:$O$200,AM$1,FALSE),$I$1),$I$1)</f>
        <v>0</v>
      </c>
      <c r="AN44" s="15">
        <f>IFERROR(IF(ISBLANK(AG44),VLOOKUP($G44,Sheet3!$H$2:$O$200,AN$1,FALSE),$I$1),$I$1)</f>
        <v>0</v>
      </c>
      <c r="AO44" s="15">
        <f>IFERROR(IF(ISBLANK(AH44),VLOOKUP($G44,Sheet3!$H$2:$O$200,AO$1,FALSE),$I$1),$I$1)</f>
        <v>0</v>
      </c>
      <c r="AP44" s="15">
        <f>IFERROR(IF(ISBLANK(AI44),VLOOKUP($G44,Sheet3!$H$2:$O$200,AP$1,FALSE),$I$1),$I$1)</f>
        <v>0</v>
      </c>
      <c r="AQ44" s="15">
        <f>IFERROR(IF(ISBLANK(AJ44),VLOOKUP($G44,Sheet3!$H$2:$O$200,AQ$1,FALSE),$I$1),$I$1)</f>
        <v>0</v>
      </c>
      <c r="AR44" s="15">
        <f>IFERROR(IF(ISBLANK(AK44),VLOOKUP($G44,Sheet3!$H$2:$O$200,AR$1,FALSE),$I$1),$I$1)</f>
        <v>0</v>
      </c>
      <c r="AS44" s="15">
        <f t="shared" ref="AS44:AY44" si="46">IFERROR(IF(ISBLANK(J44),IF(ISBLANK(Q44),IF(ISBLANK(X44),IF(ISBLANK(AE44),IF(ISBLANK(AL44),$BB$1,AL44),AE44),X44),Q44),J44),$BB$1)</f>
        <v>0</v>
      </c>
      <c r="AT44" s="15">
        <f t="shared" si="46"/>
        <v>0</v>
      </c>
      <c r="AU44" s="15" t="str">
        <f t="shared" si="46"/>
        <v>lemon juice</v>
      </c>
      <c r="AV44" s="15">
        <f t="shared" si="46"/>
        <v>0</v>
      </c>
      <c r="AW44" s="15">
        <f t="shared" si="46"/>
        <v>0</v>
      </c>
      <c r="AX44" s="15">
        <f t="shared" si="46"/>
        <v>0</v>
      </c>
      <c r="AY44" s="15">
        <f t="shared" si="46"/>
        <v>0</v>
      </c>
      <c r="BA44" s="13">
        <f t="shared" si="1"/>
        <v>35</v>
      </c>
      <c r="BB44" s="15" t="b">
        <f t="shared" si="2"/>
        <v>0</v>
      </c>
    </row>
    <row r="45" spans="1:54" x14ac:dyDescent="0.2">
      <c r="A45" s="20" t="s">
        <v>132</v>
      </c>
      <c r="B45" s="20" t="s">
        <v>131</v>
      </c>
      <c r="C45" s="20" t="s">
        <v>100</v>
      </c>
      <c r="D45" s="20" t="s">
        <v>90</v>
      </c>
      <c r="E45" s="20" t="s">
        <v>45</v>
      </c>
      <c r="F45" s="20"/>
      <c r="G45" s="20"/>
      <c r="H45" s="20" t="s">
        <v>132</v>
      </c>
      <c r="I45" s="15">
        <v>3</v>
      </c>
      <c r="J45" s="15">
        <f>IFERROR(VLOOKUP($C45,Sheet3!$H$2:$O$200,J$1,FALSE),IFERROR(VLOOKUP($D45,Sheet3!$H$2:$O$200,J$1,FALSE),VLOOKUP($E45,Sheet3!$H$2:$O$200,J$1,FALSE)))</f>
        <v>0</v>
      </c>
      <c r="K45" s="15">
        <f>IFERROR(VLOOKUP($C45,Sheet3!$H$2:$O$200,K$1,FALSE),IFERROR(VLOOKUP($D45,Sheet3!$H$2:$O$200,K$1,FALSE),VLOOKUP($E45,Sheet3!$H$2:$O$200,K$1,FALSE)))</f>
        <v>0</v>
      </c>
      <c r="L45" s="15">
        <f>IFERROR(VLOOKUP($C45,Sheet3!$H$2:$O$200,L$1,FALSE),IFERROR(VLOOKUP($D45,Sheet3!$H$2:$O$200,L$1,FALSE),VLOOKUP($E45,Sheet3!$H$2:$O$200,L$1,FALSE)))</f>
        <v>0</v>
      </c>
      <c r="M45" s="15" t="str">
        <f>IFERROR(VLOOKUP($C45,Sheet3!$H$2:$O$200,M$1,FALSE),IFERROR(VLOOKUP($D45,Sheet3!$H$2:$O$200,M$1,FALSE),VLOOKUP($E45,Sheet3!$H$2:$O$200,M$1,FALSE)))</f>
        <v>triple sec</v>
      </c>
      <c r="N45" s="15">
        <f>IFERROR(VLOOKUP($C45,Sheet3!$H$2:$O$200,N$1,FALSE),IFERROR(VLOOKUP($D45,Sheet3!$H$2:$O$200,N$1,FALSE),VLOOKUP($E45,Sheet3!$H$2:$O$200,N$1,FALSE)))</f>
        <v>0</v>
      </c>
      <c r="O45" s="15">
        <f>IFERROR(VLOOKUP($C45,Sheet3!$H$2:$O$200,O$1,FALSE),IFERROR(VLOOKUP($D45,Sheet3!$H$2:$O$200,O$1,FALSE),VLOOKUP($E45,Sheet3!$H$2:$O$200,O$1,FALSE)))</f>
        <v>0</v>
      </c>
      <c r="P45" s="15">
        <f>IFERROR(VLOOKUP($C45,Sheet3!$H$2:$O$200,P$1,FALSE),IFERROR(VLOOKUP($D45,Sheet3!$H$2:$O$200,P$1,FALSE),VLOOKUP($E45,Sheet3!$H$2:$O$200,P$1,FALSE)))</f>
        <v>0</v>
      </c>
      <c r="Q45" s="15">
        <f>IFERROR(IF(ISBLANK(J45),IFERROR(VLOOKUP($D45,Sheet3!$H$2:$O$200,Q$1,FALSE),IFERROR(VLOOKUP($E45,Sheet3!$H$2:$O$200,Q$1,FALSE),VLOOKUP($F45,Sheet3!$H$2:$O$200,Q$1,FALSE))),$I$1),$I$1)</f>
        <v>0</v>
      </c>
      <c r="R45" s="15">
        <f>IFERROR(IF(ISBLANK(K45),IFERROR(VLOOKUP($D45,Sheet3!$H$2:$O$200,R$1,FALSE),IFERROR(VLOOKUP($E45,Sheet3!$H$2:$O$200,R$1,FALSE),VLOOKUP($F45,Sheet3!$H$2:$O$200,R$1,FALSE))),$I$1),$I$1)</f>
        <v>0</v>
      </c>
      <c r="S45" s="15">
        <f>IFERROR(IF(ISBLANK(L45),IFERROR(VLOOKUP($D45,Sheet3!$H$2:$O$200,S$1,FALSE),IFERROR(VLOOKUP($E45,Sheet3!$H$2:$O$200,S$1,FALSE),VLOOKUP($F45,Sheet3!$H$2:$O$200,S$1,FALSE))),$I$1),$I$1)</f>
        <v>0</v>
      </c>
      <c r="T45" s="15">
        <f>IFERROR(IF(ISBLANK(M45),IFERROR(VLOOKUP($D45,Sheet3!$H$2:$O$200,T$1,FALSE),IFERROR(VLOOKUP($E45,Sheet3!$H$2:$O$200,T$1,FALSE),VLOOKUP($F45,Sheet3!$H$2:$O$200,T$1,FALSE))),$I$1),$I$1)</f>
        <v>0</v>
      </c>
      <c r="U45" s="15">
        <f>IFERROR(IF(ISBLANK(N45),IFERROR(VLOOKUP($D45,Sheet3!$H$2:$O$200,U$1,FALSE),IFERROR(VLOOKUP($E45,Sheet3!$H$2:$O$200,U$1,FALSE),VLOOKUP($F45,Sheet3!$H$2:$O$200,U$1,FALSE))),$I$1),$I$1)</f>
        <v>0</v>
      </c>
      <c r="V45" s="15">
        <f>IFERROR(IF(ISBLANK(O45),IFERROR(VLOOKUP($D45,Sheet3!$H$2:$O$200,V$1,FALSE),IFERROR(VLOOKUP($E45,Sheet3!$H$2:$O$200,V$1,FALSE),VLOOKUP($F45,Sheet3!$H$2:$O$200,V$1,FALSE))),$I$1),$I$1)</f>
        <v>0</v>
      </c>
      <c r="W45" s="15">
        <f>IFERROR(IF(ISBLANK(P45),IFERROR(VLOOKUP($D45,Sheet3!$H$2:$O$200,W$1,FALSE),IFERROR(VLOOKUP($E45,Sheet3!$H$2:$O$200,W$1,FALSE),VLOOKUP($F45,Sheet3!$H$2:$O$200,W$1,FALSE))),$I$1),$I$1)</f>
        <v>0</v>
      </c>
      <c r="X45" s="15">
        <f>IFERROR(IF(ISBLANK(Q45),IFERROR(VLOOKUP($E45,Sheet3!$H$2:$O$200,X$1,FALSE),IFERROR(VLOOKUP($F45,Sheet3!$H$2:$O$200,X$1,FALSE),VLOOKUP($G45,Sheet3!$H$2:$O$200,X$1,FALSE))),$I$1),$I$1)</f>
        <v>0</v>
      </c>
      <c r="Y45" s="15">
        <f>IFERROR(IF(ISBLANK(R45),IFERROR(VLOOKUP($E45,Sheet3!$H$2:$O$200,Y$1,FALSE),IFERROR(VLOOKUP($F45,Sheet3!$H$2:$O$200,Y$1,FALSE),VLOOKUP($G45,Sheet3!$H$2:$O$200,Y$1,FALSE))),$I$1),$I$1)</f>
        <v>0</v>
      </c>
      <c r="Z45" s="15">
        <f>IFERROR(IF(ISBLANK(S45),IFERROR(VLOOKUP($E45,Sheet3!$H$2:$O$200,Z$1,FALSE),IFERROR(VLOOKUP($F45,Sheet3!$H$2:$O$200,Z$1,FALSE),VLOOKUP($G45,Sheet3!$H$2:$O$200,Z$1,FALSE))),$I$1),$I$1)</f>
        <v>0</v>
      </c>
      <c r="AA45" s="15">
        <f>IFERROR(IF(ISBLANK(T45),IFERROR(VLOOKUP($E45,Sheet3!$H$2:$O$200,AA$1,FALSE),IFERROR(VLOOKUP($F45,Sheet3!$H$2:$O$200,AA$1,FALSE),VLOOKUP($G45,Sheet3!$H$2:$O$200,AA$1,FALSE))),$I$1),$I$1)</f>
        <v>0</v>
      </c>
      <c r="AB45" s="15">
        <f>IFERROR(IF(ISBLANK(U45),IFERROR(VLOOKUP($E45,Sheet3!$H$2:$O$200,AB$1,FALSE),IFERROR(VLOOKUP($F45,Sheet3!$H$2:$O$200,AB$1,FALSE),VLOOKUP($G45,Sheet3!$H$2:$O$200,AB$1,FALSE))),$I$1),$I$1)</f>
        <v>0</v>
      </c>
      <c r="AC45" s="15">
        <f>IFERROR(IF(ISBLANK(V45),IFERROR(VLOOKUP($E45,Sheet3!$H$2:$O$200,AC$1,FALSE),IFERROR(VLOOKUP($F45,Sheet3!$H$2:$O$200,AC$1,FALSE),VLOOKUP($G45,Sheet3!$H$2:$O$200,AC$1,FALSE))),$I$1),$I$1)</f>
        <v>0</v>
      </c>
      <c r="AD45" s="15">
        <f>IFERROR(IF(ISBLANK(W45),IFERROR(VLOOKUP($E45,Sheet3!$H$2:$O$200,AD$1,FALSE),IFERROR(VLOOKUP($F45,Sheet3!$H$2:$O$200,AD$1,FALSE),VLOOKUP($G45,Sheet3!$H$2:$O$200,AD$1,FALSE))),$I$1),$I$1)</f>
        <v>0</v>
      </c>
      <c r="AE45" s="15">
        <f>IFERROR(IF(ISBLANK(X45),IFERROR(VLOOKUP($F45,Sheet3!$H$2:$O$200,AE$1,FALSE),VLOOKUP($G45,Sheet3!$H$2:$O$200,AE$1,FALSE)),$I$1),$I$1)</f>
        <v>0</v>
      </c>
      <c r="AF45" s="15">
        <f>IFERROR(IF(ISBLANK(Y45),IFERROR(VLOOKUP($F45,Sheet3!$H$2:$O$200,AF$1,FALSE),VLOOKUP($G45,Sheet3!$H$2:$O$200,AF$1,FALSE)),$I$1),$I$1)</f>
        <v>0</v>
      </c>
      <c r="AG45" s="15">
        <f>IFERROR(IF(ISBLANK(Z45),IFERROR(VLOOKUP($F45,Sheet3!$H$2:$O$200,AG$1,FALSE),VLOOKUP($G45,Sheet3!$H$2:$O$200,AG$1,FALSE)),$I$1),$I$1)</f>
        <v>0</v>
      </c>
      <c r="AH45" s="15">
        <f>IFERROR(IF(ISBLANK(AA45),IFERROR(VLOOKUP($F45,Sheet3!$H$2:$O$200,AH$1,FALSE),VLOOKUP($G45,Sheet3!$H$2:$O$200,AH$1,FALSE)),$I$1),$I$1)</f>
        <v>0</v>
      </c>
      <c r="AI45" s="15">
        <f>IFERROR(IF(ISBLANK(AB45),IFERROR(VLOOKUP($F45,Sheet3!$H$2:$O$200,AI$1,FALSE),VLOOKUP($G45,Sheet3!$H$2:$O$200,AI$1,FALSE)),$I$1),$I$1)</f>
        <v>0</v>
      </c>
      <c r="AJ45" s="15">
        <f>IFERROR(IF(ISBLANK(AC45),IFERROR(VLOOKUP($F45,Sheet3!$H$2:$O$200,AJ$1,FALSE),VLOOKUP($G45,Sheet3!$H$2:$O$200,AJ$1,FALSE)),$I$1),$I$1)</f>
        <v>0</v>
      </c>
      <c r="AK45" s="15">
        <f>IFERROR(IF(ISBLANK(AD45),IFERROR(VLOOKUP($F45,Sheet3!$H$2:$O$200,AK$1,FALSE),VLOOKUP($G45,Sheet3!$H$2:$O$200,AK$1,FALSE)),$I$1),$I$1)</f>
        <v>0</v>
      </c>
      <c r="AL45" s="15">
        <f>IFERROR(IF(ISBLANK(AE45),VLOOKUP($G45,Sheet3!$H$2:$O$200,AL$1,FALSE),$I$1),$I$1)</f>
        <v>0</v>
      </c>
      <c r="AM45" s="15">
        <f>IFERROR(IF(ISBLANK(AF45),VLOOKUP($G45,Sheet3!$H$2:$O$200,AM$1,FALSE),$I$1),$I$1)</f>
        <v>0</v>
      </c>
      <c r="AN45" s="15">
        <f>IFERROR(IF(ISBLANK(AG45),VLOOKUP($G45,Sheet3!$H$2:$O$200,AN$1,FALSE),$I$1),$I$1)</f>
        <v>0</v>
      </c>
      <c r="AO45" s="15">
        <f>IFERROR(IF(ISBLANK(AH45),VLOOKUP($G45,Sheet3!$H$2:$O$200,AO$1,FALSE),$I$1),$I$1)</f>
        <v>0</v>
      </c>
      <c r="AP45" s="15">
        <f>IFERROR(IF(ISBLANK(AI45),VLOOKUP($G45,Sheet3!$H$2:$O$200,AP$1,FALSE),$I$1),$I$1)</f>
        <v>0</v>
      </c>
      <c r="AQ45" s="15">
        <f>IFERROR(IF(ISBLANK(AJ45),VLOOKUP($G45,Sheet3!$H$2:$O$200,AQ$1,FALSE),$I$1),$I$1)</f>
        <v>0</v>
      </c>
      <c r="AR45" s="15">
        <f>IFERROR(IF(ISBLANK(AK45),VLOOKUP($G45,Sheet3!$H$2:$O$200,AR$1,FALSE),$I$1),$I$1)</f>
        <v>0</v>
      </c>
      <c r="AS45" s="15">
        <f t="shared" ref="AS45:AV45" si="47">IFERROR(IF(ISBLANK(J45),IF(ISBLANK(Q45),IF(ISBLANK(X45),IF(ISBLANK(AE45),IF(ISBLANK(AL45),$BB$1,AL45),AE45),X45),Q45),J45),$BB$1)</f>
        <v>0</v>
      </c>
      <c r="AT45" s="15">
        <f t="shared" si="47"/>
        <v>0</v>
      </c>
      <c r="AU45" s="15">
        <f t="shared" si="47"/>
        <v>0</v>
      </c>
      <c r="AV45" s="15" t="str">
        <f t="shared" si="47"/>
        <v>triple sec</v>
      </c>
      <c r="AW45" s="11" t="s">
        <v>45</v>
      </c>
      <c r="AX45" s="15">
        <f t="shared" ref="AX45:AY45" si="48">IFERROR(IF(ISBLANK(O45),IF(ISBLANK(V45),IF(ISBLANK(AC45),IF(ISBLANK(AJ45),IF(ISBLANK(AQ45),$BB$1,AQ45),AJ45),AC45),V45),O45),$BB$1)</f>
        <v>0</v>
      </c>
      <c r="AY45" s="15">
        <f t="shared" si="48"/>
        <v>0</v>
      </c>
      <c r="BA45" s="13">
        <f t="shared" si="1"/>
        <v>35</v>
      </c>
      <c r="BB45" s="15" t="b">
        <f t="shared" si="2"/>
        <v>0</v>
      </c>
    </row>
    <row r="46" spans="1:54" x14ac:dyDescent="0.2">
      <c r="A46" s="19" t="s">
        <v>133</v>
      </c>
      <c r="B46" s="19" t="s">
        <v>131</v>
      </c>
      <c r="C46" s="19" t="s">
        <v>100</v>
      </c>
      <c r="D46" s="19" t="s">
        <v>90</v>
      </c>
      <c r="E46" s="19" t="s">
        <v>134</v>
      </c>
      <c r="F46" s="19"/>
      <c r="G46" s="19"/>
      <c r="H46" s="19" t="s">
        <v>133</v>
      </c>
      <c r="I46" s="15">
        <v>3</v>
      </c>
      <c r="J46" s="15">
        <f>IFERROR(VLOOKUP($C46,Sheet3!$H$2:$O$200,J$1,FALSE),IFERROR(VLOOKUP($D46,Sheet3!$H$2:$O$200,J$1,FALSE),VLOOKUP($E46,Sheet3!$H$2:$O$200,J$1,FALSE)))</f>
        <v>0</v>
      </c>
      <c r="K46" s="15">
        <f>IFERROR(VLOOKUP($C46,Sheet3!$H$2:$O$200,K$1,FALSE),IFERROR(VLOOKUP($D46,Sheet3!$H$2:$O$200,K$1,FALSE),VLOOKUP($E46,Sheet3!$H$2:$O$200,K$1,FALSE)))</f>
        <v>0</v>
      </c>
      <c r="L46" s="15">
        <f>IFERROR(VLOOKUP($C46,Sheet3!$H$2:$O$200,L$1,FALSE),IFERROR(VLOOKUP($D46,Sheet3!$H$2:$O$200,L$1,FALSE),VLOOKUP($E46,Sheet3!$H$2:$O$200,L$1,FALSE)))</f>
        <v>0</v>
      </c>
      <c r="M46" s="15" t="str">
        <f>IFERROR(VLOOKUP($C46,Sheet3!$H$2:$O$200,M$1,FALSE),IFERROR(VLOOKUP($D46,Sheet3!$H$2:$O$200,M$1,FALSE),VLOOKUP($E46,Sheet3!$H$2:$O$200,M$1,FALSE)))</f>
        <v>triple sec</v>
      </c>
      <c r="N46" s="15">
        <f>IFERROR(VLOOKUP($C46,Sheet3!$H$2:$O$200,N$1,FALSE),IFERROR(VLOOKUP($D46,Sheet3!$H$2:$O$200,N$1,FALSE),VLOOKUP($E46,Sheet3!$H$2:$O$200,N$1,FALSE)))</f>
        <v>0</v>
      </c>
      <c r="O46" s="15">
        <f>IFERROR(VLOOKUP($C46,Sheet3!$H$2:$O$200,O$1,FALSE),IFERROR(VLOOKUP($D46,Sheet3!$H$2:$O$200,O$1,FALSE),VLOOKUP($E46,Sheet3!$H$2:$O$200,O$1,FALSE)))</f>
        <v>0</v>
      </c>
      <c r="P46" s="15">
        <f>IFERROR(VLOOKUP($C46,Sheet3!$H$2:$O$200,P$1,FALSE),IFERROR(VLOOKUP($D46,Sheet3!$H$2:$O$200,P$1,FALSE),VLOOKUP($E46,Sheet3!$H$2:$O$200,P$1,FALSE)))</f>
        <v>0</v>
      </c>
      <c r="Q46" s="15">
        <f>IFERROR(IF(ISBLANK(J46),IFERROR(VLOOKUP($D46,Sheet3!$H$2:$O$200,Q$1,FALSE),IFERROR(VLOOKUP($E46,Sheet3!$H$2:$O$200,Q$1,FALSE),VLOOKUP($F46,Sheet3!$H$2:$O$200,Q$1,FALSE))),$I$1),$I$1)</f>
        <v>0</v>
      </c>
      <c r="R46" s="15">
        <f>IFERROR(IF(ISBLANK(K46),IFERROR(VLOOKUP($D46,Sheet3!$H$2:$O$200,R$1,FALSE),IFERROR(VLOOKUP($E46,Sheet3!$H$2:$O$200,R$1,FALSE),VLOOKUP($F46,Sheet3!$H$2:$O$200,R$1,FALSE))),$I$1),$I$1)</f>
        <v>0</v>
      </c>
      <c r="S46" s="15">
        <f>IFERROR(IF(ISBLANK(L46),IFERROR(VLOOKUP($D46,Sheet3!$H$2:$O$200,S$1,FALSE),IFERROR(VLOOKUP($E46,Sheet3!$H$2:$O$200,S$1,FALSE),VLOOKUP($F46,Sheet3!$H$2:$O$200,S$1,FALSE))),$I$1),$I$1)</f>
        <v>0</v>
      </c>
      <c r="T46" s="15">
        <f>IFERROR(IF(ISBLANK(M46),IFERROR(VLOOKUP($D46,Sheet3!$H$2:$O$200,T$1,FALSE),IFERROR(VLOOKUP($E46,Sheet3!$H$2:$O$200,T$1,FALSE),VLOOKUP($F46,Sheet3!$H$2:$O$200,T$1,FALSE))),$I$1),$I$1)</f>
        <v>0</v>
      </c>
      <c r="U46" s="15">
        <f>IFERROR(IF(ISBLANK(N46),IFERROR(VLOOKUP($D46,Sheet3!$H$2:$O$200,U$1,FALSE),IFERROR(VLOOKUP($E46,Sheet3!$H$2:$O$200,U$1,FALSE),VLOOKUP($F46,Sheet3!$H$2:$O$200,U$1,FALSE))),$I$1),$I$1)</f>
        <v>0</v>
      </c>
      <c r="V46" s="15">
        <f>IFERROR(IF(ISBLANK(O46),IFERROR(VLOOKUP($D46,Sheet3!$H$2:$O$200,V$1,FALSE),IFERROR(VLOOKUP($E46,Sheet3!$H$2:$O$200,V$1,FALSE),VLOOKUP($F46,Sheet3!$H$2:$O$200,V$1,FALSE))),$I$1),$I$1)</f>
        <v>0</v>
      </c>
      <c r="W46" s="15">
        <f>IFERROR(IF(ISBLANK(P46),IFERROR(VLOOKUP($D46,Sheet3!$H$2:$O$200,W$1,FALSE),IFERROR(VLOOKUP($E46,Sheet3!$H$2:$O$200,W$1,FALSE),VLOOKUP($F46,Sheet3!$H$2:$O$200,W$1,FALSE))),$I$1),$I$1)</f>
        <v>0</v>
      </c>
      <c r="X46" s="15">
        <f>IFERROR(IF(ISBLANK(Q46),IFERROR(VLOOKUP($E46,Sheet3!$H$2:$O$200,X$1,FALSE),IFERROR(VLOOKUP($F46,Sheet3!$H$2:$O$200,X$1,FALSE),VLOOKUP($G46,Sheet3!$H$2:$O$200,X$1,FALSE))),$I$1),$I$1)</f>
        <v>0</v>
      </c>
      <c r="Y46" s="15">
        <f>IFERROR(IF(ISBLANK(R46),IFERROR(VLOOKUP($E46,Sheet3!$H$2:$O$200,Y$1,FALSE),IFERROR(VLOOKUP($F46,Sheet3!$H$2:$O$200,Y$1,FALSE),VLOOKUP($G46,Sheet3!$H$2:$O$200,Y$1,FALSE))),$I$1),$I$1)</f>
        <v>0</v>
      </c>
      <c r="Z46" s="15">
        <f>IFERROR(IF(ISBLANK(S46),IFERROR(VLOOKUP($E46,Sheet3!$H$2:$O$200,Z$1,FALSE),IFERROR(VLOOKUP($F46,Sheet3!$H$2:$O$200,Z$1,FALSE),VLOOKUP($G46,Sheet3!$H$2:$O$200,Z$1,FALSE))),$I$1),$I$1)</f>
        <v>0</v>
      </c>
      <c r="AA46" s="15">
        <f>IFERROR(IF(ISBLANK(T46),IFERROR(VLOOKUP($E46,Sheet3!$H$2:$O$200,AA$1,FALSE),IFERROR(VLOOKUP($F46,Sheet3!$H$2:$O$200,AA$1,FALSE),VLOOKUP($G46,Sheet3!$H$2:$O$200,AA$1,FALSE))),$I$1),$I$1)</f>
        <v>0</v>
      </c>
      <c r="AB46" s="15">
        <f>IFERROR(IF(ISBLANK(U46),IFERROR(VLOOKUP($E46,Sheet3!$H$2:$O$200,AB$1,FALSE),IFERROR(VLOOKUP($F46,Sheet3!$H$2:$O$200,AB$1,FALSE),VLOOKUP($G46,Sheet3!$H$2:$O$200,AB$1,FALSE))),$I$1),$I$1)</f>
        <v>0</v>
      </c>
      <c r="AC46" s="15">
        <f>IFERROR(IF(ISBLANK(V46),IFERROR(VLOOKUP($E46,Sheet3!$H$2:$O$200,AC$1,FALSE),IFERROR(VLOOKUP($F46,Sheet3!$H$2:$O$200,AC$1,FALSE),VLOOKUP($G46,Sheet3!$H$2:$O$200,AC$1,FALSE))),$I$1),$I$1)</f>
        <v>0</v>
      </c>
      <c r="AD46" s="15">
        <f>IFERROR(IF(ISBLANK(W46),IFERROR(VLOOKUP($E46,Sheet3!$H$2:$O$200,AD$1,FALSE),IFERROR(VLOOKUP($F46,Sheet3!$H$2:$O$200,AD$1,FALSE),VLOOKUP($G46,Sheet3!$H$2:$O$200,AD$1,FALSE))),$I$1),$I$1)</f>
        <v>0</v>
      </c>
      <c r="AE46" s="15">
        <f>IFERROR(IF(ISBLANK(X46),IFERROR(VLOOKUP($F46,Sheet3!$H$2:$O$200,AE$1,FALSE),VLOOKUP($G46,Sheet3!$H$2:$O$200,AE$1,FALSE)),$I$1),$I$1)</f>
        <v>0</v>
      </c>
      <c r="AF46" s="15">
        <f>IFERROR(IF(ISBLANK(Y46),IFERROR(VLOOKUP($F46,Sheet3!$H$2:$O$200,AF$1,FALSE),VLOOKUP($G46,Sheet3!$H$2:$O$200,AF$1,FALSE)),$I$1),$I$1)</f>
        <v>0</v>
      </c>
      <c r="AG46" s="15">
        <f>IFERROR(IF(ISBLANK(Z46),IFERROR(VLOOKUP($F46,Sheet3!$H$2:$O$200,AG$1,FALSE),VLOOKUP($G46,Sheet3!$H$2:$O$200,AG$1,FALSE)),$I$1),$I$1)</f>
        <v>0</v>
      </c>
      <c r="AH46" s="15">
        <f>IFERROR(IF(ISBLANK(AA46),IFERROR(VLOOKUP($F46,Sheet3!$H$2:$O$200,AH$1,FALSE),VLOOKUP($G46,Sheet3!$H$2:$O$200,AH$1,FALSE)),$I$1),$I$1)</f>
        <v>0</v>
      </c>
      <c r="AI46" s="15">
        <f>IFERROR(IF(ISBLANK(AB46),IFERROR(VLOOKUP($F46,Sheet3!$H$2:$O$200,AI$1,FALSE),VLOOKUP($G46,Sheet3!$H$2:$O$200,AI$1,FALSE)),$I$1),$I$1)</f>
        <v>0</v>
      </c>
      <c r="AJ46" s="15">
        <f>IFERROR(IF(ISBLANK(AC46),IFERROR(VLOOKUP($F46,Sheet3!$H$2:$O$200,AJ$1,FALSE),VLOOKUP($G46,Sheet3!$H$2:$O$200,AJ$1,FALSE)),$I$1),$I$1)</f>
        <v>0</v>
      </c>
      <c r="AK46" s="15">
        <f>IFERROR(IF(ISBLANK(AD46),IFERROR(VLOOKUP($F46,Sheet3!$H$2:$O$200,AK$1,FALSE),VLOOKUP($G46,Sheet3!$H$2:$O$200,AK$1,FALSE)),$I$1),$I$1)</f>
        <v>0</v>
      </c>
      <c r="AL46" s="15">
        <f>IFERROR(IF(ISBLANK(AE46),VLOOKUP($G46,Sheet3!$H$2:$O$200,AL$1,FALSE),$I$1),$I$1)</f>
        <v>0</v>
      </c>
      <c r="AM46" s="15">
        <f>IFERROR(IF(ISBLANK(AF46),VLOOKUP($G46,Sheet3!$H$2:$O$200,AM$1,FALSE),$I$1),$I$1)</f>
        <v>0</v>
      </c>
      <c r="AN46" s="15">
        <f>IFERROR(IF(ISBLANK(AG46),VLOOKUP($G46,Sheet3!$H$2:$O$200,AN$1,FALSE),$I$1),$I$1)</f>
        <v>0</v>
      </c>
      <c r="AO46" s="15">
        <f>IFERROR(IF(ISBLANK(AH46),VLOOKUP($G46,Sheet3!$H$2:$O$200,AO$1,FALSE),$I$1),$I$1)</f>
        <v>0</v>
      </c>
      <c r="AP46" s="15">
        <f>IFERROR(IF(ISBLANK(AI46),VLOOKUP($G46,Sheet3!$H$2:$O$200,AP$1,FALSE),$I$1),$I$1)</f>
        <v>0</v>
      </c>
      <c r="AQ46" s="15">
        <f>IFERROR(IF(ISBLANK(AJ46),VLOOKUP($G46,Sheet3!$H$2:$O$200,AQ$1,FALSE),$I$1),$I$1)</f>
        <v>0</v>
      </c>
      <c r="AR46" s="15">
        <f>IFERROR(IF(ISBLANK(AK46),VLOOKUP($G46,Sheet3!$H$2:$O$200,AR$1,FALSE),$I$1),$I$1)</f>
        <v>0</v>
      </c>
      <c r="AS46" s="15">
        <f t="shared" ref="AS46:AV46" si="49">IFERROR(IF(ISBLANK(J46),IF(ISBLANK(Q46),IF(ISBLANK(X46),IF(ISBLANK(AE46),IF(ISBLANK(AL46),$BB$1,AL46),AE46),X46),Q46),J46),$BB$1)</f>
        <v>0</v>
      </c>
      <c r="AT46" s="15">
        <f t="shared" si="49"/>
        <v>0</v>
      </c>
      <c r="AU46" s="15">
        <f t="shared" si="49"/>
        <v>0</v>
      </c>
      <c r="AV46" s="15" t="str">
        <f t="shared" si="49"/>
        <v>triple sec</v>
      </c>
      <c r="AW46" s="11" t="s">
        <v>134</v>
      </c>
      <c r="AX46" s="15">
        <f t="shared" ref="AX46:AY46" si="50">IFERROR(IF(ISBLANK(O46),IF(ISBLANK(V46),IF(ISBLANK(AC46),IF(ISBLANK(AJ46),IF(ISBLANK(AQ46),$BB$1,AQ46),AJ46),AC46),V46),O46),$BB$1)</f>
        <v>0</v>
      </c>
      <c r="AY46" s="15">
        <f t="shared" si="50"/>
        <v>0</v>
      </c>
      <c r="BA46" s="13">
        <f t="shared" si="1"/>
        <v>35</v>
      </c>
      <c r="BB46" s="15" t="b">
        <f t="shared" si="2"/>
        <v>0</v>
      </c>
    </row>
    <row r="47" spans="1:54" x14ac:dyDescent="0.2">
      <c r="A47" s="19" t="s">
        <v>135</v>
      </c>
      <c r="B47" s="19" t="s">
        <v>136</v>
      </c>
      <c r="C47" s="19" t="s">
        <v>137</v>
      </c>
      <c r="D47" s="19"/>
      <c r="E47" s="19" t="s">
        <v>32</v>
      </c>
      <c r="F47" s="19"/>
      <c r="G47" s="19"/>
      <c r="H47" s="19" t="s">
        <v>135</v>
      </c>
      <c r="I47" s="15">
        <v>2</v>
      </c>
      <c r="J47" s="15">
        <f>IFERROR(VLOOKUP($C47,Sheet3!$H$2:$O$200,J$1,FALSE),IFERROR(VLOOKUP($D47,Sheet3!$H$2:$O$200,J$1,FALSE),VLOOKUP($E47,Sheet3!$H$2:$O$200,J$1,FALSE)))</f>
        <v>0</v>
      </c>
      <c r="K47" s="15">
        <f>IFERROR(VLOOKUP($C47,Sheet3!$H$2:$O$200,K$1,FALSE),IFERROR(VLOOKUP($D47,Sheet3!$H$2:$O$200,K$1,FALSE),VLOOKUP($E47,Sheet3!$H$2:$O$200,K$1,FALSE)))</f>
        <v>0</v>
      </c>
      <c r="L47" s="15">
        <f>IFERROR(VLOOKUP($C47,Sheet3!$H$2:$O$200,L$1,FALSE),IFERROR(VLOOKUP($D47,Sheet3!$H$2:$O$200,L$1,FALSE),VLOOKUP($E47,Sheet3!$H$2:$O$200,L$1,FALSE)))</f>
        <v>0</v>
      </c>
      <c r="M47" s="15" t="str">
        <f>IFERROR(VLOOKUP($C47,Sheet3!$H$2:$O$200,M$1,FALSE),IFERROR(VLOOKUP($D47,Sheet3!$H$2:$O$200,M$1,FALSE),VLOOKUP($E47,Sheet3!$H$2:$O$200,M$1,FALSE)))</f>
        <v>dark crème de cacao</v>
      </c>
      <c r="N47" s="15">
        <f>IFERROR(VLOOKUP($C47,Sheet3!$H$2:$O$200,N$1,FALSE),IFERROR(VLOOKUP($D47,Sheet3!$H$2:$O$200,N$1,FALSE),VLOOKUP($E47,Sheet3!$H$2:$O$200,N$1,FALSE)))</f>
        <v>0</v>
      </c>
      <c r="O47" s="15">
        <f>IFERROR(VLOOKUP($C47,Sheet3!$H$2:$O$200,O$1,FALSE),IFERROR(VLOOKUP($D47,Sheet3!$H$2:$O$200,O$1,FALSE),VLOOKUP($E47,Sheet3!$H$2:$O$200,O$1,FALSE)))</f>
        <v>0</v>
      </c>
      <c r="P47" s="15">
        <f>IFERROR(VLOOKUP($C47,Sheet3!$H$2:$O$200,P$1,FALSE),IFERROR(VLOOKUP($D47,Sheet3!$H$2:$O$200,P$1,FALSE),VLOOKUP($E47,Sheet3!$H$2:$O$200,P$1,FALSE)))</f>
        <v>0</v>
      </c>
      <c r="Q47" s="15">
        <f>IFERROR(IF(ISBLANK(J47),IFERROR(VLOOKUP($D47,Sheet3!$H$2:$O$200,Q$1,FALSE),IFERROR(VLOOKUP($E47,Sheet3!$H$2:$O$200,Q$1,FALSE),VLOOKUP($F47,Sheet3!$H$2:$O$200,Q$1,FALSE))),$I$1),$I$1)</f>
        <v>0</v>
      </c>
      <c r="R47" s="15">
        <f>IFERROR(IF(ISBLANK(K47),IFERROR(VLOOKUP($D47,Sheet3!$H$2:$O$200,R$1,FALSE),IFERROR(VLOOKUP($E47,Sheet3!$H$2:$O$200,R$1,FALSE),VLOOKUP($F47,Sheet3!$H$2:$O$200,R$1,FALSE))),$I$1),$I$1)</f>
        <v>0</v>
      </c>
      <c r="S47" s="15">
        <f>IFERROR(IF(ISBLANK(L47),IFERROR(VLOOKUP($D47,Sheet3!$H$2:$O$200,S$1,FALSE),IFERROR(VLOOKUP($E47,Sheet3!$H$2:$O$200,S$1,FALSE),VLOOKUP($F47,Sheet3!$H$2:$O$200,S$1,FALSE))),$I$1),$I$1)</f>
        <v>0</v>
      </c>
      <c r="T47" s="15">
        <f>IFERROR(IF(ISBLANK(M47),IFERROR(VLOOKUP($D47,Sheet3!$H$2:$O$200,T$1,FALSE),IFERROR(VLOOKUP($E47,Sheet3!$H$2:$O$200,T$1,FALSE),VLOOKUP($F47,Sheet3!$H$2:$O$200,T$1,FALSE))),$I$1),$I$1)</f>
        <v>0</v>
      </c>
      <c r="U47" s="15">
        <f>IFERROR(IF(ISBLANK(N47),IFERROR(VLOOKUP($D47,Sheet3!$H$2:$O$200,U$1,FALSE),IFERROR(VLOOKUP($E47,Sheet3!$H$2:$O$200,U$1,FALSE),VLOOKUP($F47,Sheet3!$H$2:$O$200,U$1,FALSE))),$I$1),$I$1)</f>
        <v>0</v>
      </c>
      <c r="V47" s="15">
        <f>IFERROR(IF(ISBLANK(O47),IFERROR(VLOOKUP($D47,Sheet3!$H$2:$O$200,V$1,FALSE),IFERROR(VLOOKUP($E47,Sheet3!$H$2:$O$200,V$1,FALSE),VLOOKUP($F47,Sheet3!$H$2:$O$200,V$1,FALSE))),$I$1),$I$1)</f>
        <v>0</v>
      </c>
      <c r="W47" s="15">
        <f>IFERROR(IF(ISBLANK(P47),IFERROR(VLOOKUP($D47,Sheet3!$H$2:$O$200,W$1,FALSE),IFERROR(VLOOKUP($E47,Sheet3!$H$2:$O$200,W$1,FALSE),VLOOKUP($F47,Sheet3!$H$2:$O$200,W$1,FALSE))),$I$1),$I$1)</f>
        <v>0</v>
      </c>
      <c r="X47" s="15">
        <f>IFERROR(IF(ISBLANK(Q47),IFERROR(VLOOKUP($E47,Sheet3!$H$2:$O$200,X$1,FALSE),IFERROR(VLOOKUP($F47,Sheet3!$H$2:$O$200,X$1,FALSE),VLOOKUP($G47,Sheet3!$H$2:$O$200,X$1,FALSE))),$I$1),$I$1)</f>
        <v>0</v>
      </c>
      <c r="Y47" s="15">
        <f>IFERROR(IF(ISBLANK(R47),IFERROR(VLOOKUP($E47,Sheet3!$H$2:$O$200,Y$1,FALSE),IFERROR(VLOOKUP($F47,Sheet3!$H$2:$O$200,Y$1,FALSE),VLOOKUP($G47,Sheet3!$H$2:$O$200,Y$1,FALSE))),$I$1),$I$1)</f>
        <v>0</v>
      </c>
      <c r="Z47" s="15">
        <f>IFERROR(IF(ISBLANK(S47),IFERROR(VLOOKUP($E47,Sheet3!$H$2:$O$200,Z$1,FALSE),IFERROR(VLOOKUP($F47,Sheet3!$H$2:$O$200,Z$1,FALSE),VLOOKUP($G47,Sheet3!$H$2:$O$200,Z$1,FALSE))),$I$1),$I$1)</f>
        <v>0</v>
      </c>
      <c r="AA47" s="15">
        <f>IFERROR(IF(ISBLANK(T47),IFERROR(VLOOKUP($E47,Sheet3!$H$2:$O$200,AA$1,FALSE),IFERROR(VLOOKUP($F47,Sheet3!$H$2:$O$200,AA$1,FALSE),VLOOKUP($G47,Sheet3!$H$2:$O$200,AA$1,FALSE))),$I$1),$I$1)</f>
        <v>0</v>
      </c>
      <c r="AB47" s="15">
        <f>IFERROR(IF(ISBLANK(U47),IFERROR(VLOOKUP($E47,Sheet3!$H$2:$O$200,AB$1,FALSE),IFERROR(VLOOKUP($F47,Sheet3!$H$2:$O$200,AB$1,FALSE),VLOOKUP($G47,Sheet3!$H$2:$O$200,AB$1,FALSE))),$I$1),$I$1)</f>
        <v>0</v>
      </c>
      <c r="AC47" s="15">
        <f>IFERROR(IF(ISBLANK(V47),IFERROR(VLOOKUP($E47,Sheet3!$H$2:$O$200,AC$1,FALSE),IFERROR(VLOOKUP($F47,Sheet3!$H$2:$O$200,AC$1,FALSE),VLOOKUP($G47,Sheet3!$H$2:$O$200,AC$1,FALSE))),$I$1),$I$1)</f>
        <v>0</v>
      </c>
      <c r="AD47" s="15">
        <f>IFERROR(IF(ISBLANK(W47),IFERROR(VLOOKUP($E47,Sheet3!$H$2:$O$200,AD$1,FALSE),IFERROR(VLOOKUP($F47,Sheet3!$H$2:$O$200,AD$1,FALSE),VLOOKUP($G47,Sheet3!$H$2:$O$200,AD$1,FALSE))),$I$1),$I$1)</f>
        <v>0</v>
      </c>
      <c r="AE47" s="15">
        <f>IFERROR(IF(ISBLANK(X47),IFERROR(VLOOKUP($F47,Sheet3!$H$2:$O$200,AE$1,FALSE),VLOOKUP($G47,Sheet3!$H$2:$O$200,AE$1,FALSE)),$I$1),$I$1)</f>
        <v>0</v>
      </c>
      <c r="AF47" s="15">
        <f>IFERROR(IF(ISBLANK(Y47),IFERROR(VLOOKUP($F47,Sheet3!$H$2:$O$200,AF$1,FALSE),VLOOKUP($G47,Sheet3!$H$2:$O$200,AF$1,FALSE)),$I$1),$I$1)</f>
        <v>0</v>
      </c>
      <c r="AG47" s="15">
        <f>IFERROR(IF(ISBLANK(Z47),IFERROR(VLOOKUP($F47,Sheet3!$H$2:$O$200,AG$1,FALSE),VLOOKUP($G47,Sheet3!$H$2:$O$200,AG$1,FALSE)),$I$1),$I$1)</f>
        <v>0</v>
      </c>
      <c r="AH47" s="15">
        <f>IFERROR(IF(ISBLANK(AA47),IFERROR(VLOOKUP($F47,Sheet3!$H$2:$O$200,AH$1,FALSE),VLOOKUP($G47,Sheet3!$H$2:$O$200,AH$1,FALSE)),$I$1),$I$1)</f>
        <v>0</v>
      </c>
      <c r="AI47" s="15">
        <f>IFERROR(IF(ISBLANK(AB47),IFERROR(VLOOKUP($F47,Sheet3!$H$2:$O$200,AI$1,FALSE),VLOOKUP($G47,Sheet3!$H$2:$O$200,AI$1,FALSE)),$I$1),$I$1)</f>
        <v>0</v>
      </c>
      <c r="AJ47" s="15">
        <f>IFERROR(IF(ISBLANK(AC47),IFERROR(VLOOKUP($F47,Sheet3!$H$2:$O$200,AJ$1,FALSE),VLOOKUP($G47,Sheet3!$H$2:$O$200,AJ$1,FALSE)),$I$1),$I$1)</f>
        <v>0</v>
      </c>
      <c r="AK47" s="15">
        <f>IFERROR(IF(ISBLANK(AD47),IFERROR(VLOOKUP($F47,Sheet3!$H$2:$O$200,AK$1,FALSE),VLOOKUP($G47,Sheet3!$H$2:$O$200,AK$1,FALSE)),$I$1),$I$1)</f>
        <v>0</v>
      </c>
      <c r="AL47" s="15">
        <f>IFERROR(IF(ISBLANK(AE47),VLOOKUP($G47,Sheet3!$H$2:$O$200,AL$1,FALSE),$I$1),$I$1)</f>
        <v>0</v>
      </c>
      <c r="AM47" s="15">
        <f>IFERROR(IF(ISBLANK(AF47),VLOOKUP($G47,Sheet3!$H$2:$O$200,AM$1,FALSE),$I$1),$I$1)</f>
        <v>0</v>
      </c>
      <c r="AN47" s="15">
        <f>IFERROR(IF(ISBLANK(AG47),VLOOKUP($G47,Sheet3!$H$2:$O$200,AN$1,FALSE),$I$1),$I$1)</f>
        <v>0</v>
      </c>
      <c r="AO47" s="15">
        <f>IFERROR(IF(ISBLANK(AH47),VLOOKUP($G47,Sheet3!$H$2:$O$200,AO$1,FALSE),$I$1),$I$1)</f>
        <v>0</v>
      </c>
      <c r="AP47" s="15">
        <f>IFERROR(IF(ISBLANK(AI47),VLOOKUP($G47,Sheet3!$H$2:$O$200,AP$1,FALSE),$I$1),$I$1)</f>
        <v>0</v>
      </c>
      <c r="AQ47" s="15">
        <f>IFERROR(IF(ISBLANK(AJ47),VLOOKUP($G47,Sheet3!$H$2:$O$200,AQ$1,FALSE),$I$1),$I$1)</f>
        <v>0</v>
      </c>
      <c r="AR47" s="15">
        <f>IFERROR(IF(ISBLANK(AK47),VLOOKUP($G47,Sheet3!$H$2:$O$200,AR$1,FALSE),$I$1),$I$1)</f>
        <v>0</v>
      </c>
      <c r="AS47" s="15">
        <f t="shared" ref="AS47:AY47" si="51">IFERROR(IF(ISBLANK(J47),IF(ISBLANK(Q47),IF(ISBLANK(X47),IF(ISBLANK(AE47),IF(ISBLANK(AL47),$BB$1,AL47),AE47),X47),Q47),J47),$BB$1)</f>
        <v>0</v>
      </c>
      <c r="AT47" s="15">
        <f t="shared" si="51"/>
        <v>0</v>
      </c>
      <c r="AU47" s="15">
        <f t="shared" si="51"/>
        <v>0</v>
      </c>
      <c r="AV47" s="15" t="str">
        <f t="shared" si="51"/>
        <v>dark crème de cacao</v>
      </c>
      <c r="AW47" s="15">
        <f t="shared" si="51"/>
        <v>0</v>
      </c>
      <c r="AX47" s="15">
        <f t="shared" si="51"/>
        <v>0</v>
      </c>
      <c r="AY47" s="15">
        <f t="shared" si="51"/>
        <v>0</v>
      </c>
      <c r="BA47" s="13">
        <f t="shared" si="1"/>
        <v>35</v>
      </c>
      <c r="BB47" s="15" t="b">
        <f t="shared" si="2"/>
        <v>0</v>
      </c>
    </row>
    <row r="48" spans="1:54" x14ac:dyDescent="0.2">
      <c r="A48" s="19" t="s">
        <v>138</v>
      </c>
      <c r="B48" s="19" t="s">
        <v>136</v>
      </c>
      <c r="C48" s="19" t="s">
        <v>139</v>
      </c>
      <c r="D48" s="19"/>
      <c r="E48" s="19"/>
      <c r="F48" s="19"/>
      <c r="G48" s="19"/>
      <c r="H48" s="19" t="s">
        <v>138</v>
      </c>
      <c r="I48" s="15">
        <v>1</v>
      </c>
      <c r="J48" s="15">
        <f>IFERROR(VLOOKUP($C48,Sheet3!$H$2:$O$200,J$1,FALSE),IFERROR(VLOOKUP($D48,Sheet3!$H$2:$O$200,J$1,FALSE),VLOOKUP($E48,Sheet3!$H$2:$O$200,J$1,FALSE)))</f>
        <v>0</v>
      </c>
      <c r="K48" s="15">
        <f>IFERROR(VLOOKUP($C48,Sheet3!$H$2:$O$200,K$1,FALSE),IFERROR(VLOOKUP($D48,Sheet3!$H$2:$O$200,K$1,FALSE),VLOOKUP($E48,Sheet3!$H$2:$O$200,K$1,FALSE)))</f>
        <v>0</v>
      </c>
      <c r="L48" s="15">
        <f>IFERROR(VLOOKUP($C48,Sheet3!$H$2:$O$200,L$1,FALSE),IFERROR(VLOOKUP($D48,Sheet3!$H$2:$O$200,L$1,FALSE),VLOOKUP($E48,Sheet3!$H$2:$O$200,L$1,FALSE)))</f>
        <v>0</v>
      </c>
      <c r="M48" s="15" t="str">
        <f>IFERROR(VLOOKUP($C48,Sheet3!$H$2:$O$200,M$1,FALSE),IFERROR(VLOOKUP($D48,Sheet3!$H$2:$O$200,M$1,FALSE),VLOOKUP($E48,Sheet3!$H$2:$O$200,M$1,FALSE)))</f>
        <v>Grand Marnier</v>
      </c>
      <c r="N48" s="15">
        <f>IFERROR(VLOOKUP($C48,Sheet3!$H$2:$O$200,N$1,FALSE),IFERROR(VLOOKUP($D48,Sheet3!$H$2:$O$200,N$1,FALSE),VLOOKUP($E48,Sheet3!$H$2:$O$200,N$1,FALSE)))</f>
        <v>0</v>
      </c>
      <c r="O48" s="15">
        <f>IFERROR(VLOOKUP($C48,Sheet3!$H$2:$O$200,O$1,FALSE),IFERROR(VLOOKUP($D48,Sheet3!$H$2:$O$200,O$1,FALSE),VLOOKUP($E48,Sheet3!$H$2:$O$200,O$1,FALSE)))</f>
        <v>0</v>
      </c>
      <c r="P48" s="15">
        <f>IFERROR(VLOOKUP($C48,Sheet3!$H$2:$O$200,P$1,FALSE),IFERROR(VLOOKUP($D48,Sheet3!$H$2:$O$200,P$1,FALSE),VLOOKUP($E48,Sheet3!$H$2:$O$200,P$1,FALSE)))</f>
        <v>0</v>
      </c>
      <c r="Q48" s="15">
        <f>IFERROR(IF(ISBLANK(J48),IFERROR(VLOOKUP($D48,Sheet3!$H$2:$O$200,Q$1,FALSE),IFERROR(VLOOKUP($E48,Sheet3!$H$2:$O$200,Q$1,FALSE),VLOOKUP($F48,Sheet3!$H$2:$O$200,Q$1,FALSE))),$I$1),$I$1)</f>
        <v>0</v>
      </c>
      <c r="R48" s="15">
        <f>IFERROR(IF(ISBLANK(K48),IFERROR(VLOOKUP($D48,Sheet3!$H$2:$O$200,R$1,FALSE),IFERROR(VLOOKUP($E48,Sheet3!$H$2:$O$200,R$1,FALSE),VLOOKUP($F48,Sheet3!$H$2:$O$200,R$1,FALSE))),$I$1),$I$1)</f>
        <v>0</v>
      </c>
      <c r="S48" s="15">
        <f>IFERROR(IF(ISBLANK(L48),IFERROR(VLOOKUP($D48,Sheet3!$H$2:$O$200,S$1,FALSE),IFERROR(VLOOKUP($E48,Sheet3!$H$2:$O$200,S$1,FALSE),VLOOKUP($F48,Sheet3!$H$2:$O$200,S$1,FALSE))),$I$1),$I$1)</f>
        <v>0</v>
      </c>
      <c r="T48" s="15">
        <f>IFERROR(IF(ISBLANK(M48),IFERROR(VLOOKUP($D48,Sheet3!$H$2:$O$200,T$1,FALSE),IFERROR(VLOOKUP($E48,Sheet3!$H$2:$O$200,T$1,FALSE),VLOOKUP($F48,Sheet3!$H$2:$O$200,T$1,FALSE))),$I$1),$I$1)</f>
        <v>0</v>
      </c>
      <c r="U48" s="15">
        <f>IFERROR(IF(ISBLANK(N48),IFERROR(VLOOKUP($D48,Sheet3!$H$2:$O$200,U$1,FALSE),IFERROR(VLOOKUP($E48,Sheet3!$H$2:$O$200,U$1,FALSE),VLOOKUP($F48,Sheet3!$H$2:$O$200,U$1,FALSE))),$I$1),$I$1)</f>
        <v>0</v>
      </c>
      <c r="V48" s="15">
        <f>IFERROR(IF(ISBLANK(O48),IFERROR(VLOOKUP($D48,Sheet3!$H$2:$O$200,V$1,FALSE),IFERROR(VLOOKUP($E48,Sheet3!$H$2:$O$200,V$1,FALSE),VLOOKUP($F48,Sheet3!$H$2:$O$200,V$1,FALSE))),$I$1),$I$1)</f>
        <v>0</v>
      </c>
      <c r="W48" s="15">
        <f>IFERROR(IF(ISBLANK(P48),IFERROR(VLOOKUP($D48,Sheet3!$H$2:$O$200,W$1,FALSE),IFERROR(VLOOKUP($E48,Sheet3!$H$2:$O$200,W$1,FALSE),VLOOKUP($F48,Sheet3!$H$2:$O$200,W$1,FALSE))),$I$1),$I$1)</f>
        <v>0</v>
      </c>
      <c r="X48" s="15">
        <f>IFERROR(IF(ISBLANK(Q48),IFERROR(VLOOKUP($E48,Sheet3!$H$2:$O$200,X$1,FALSE),IFERROR(VLOOKUP($F48,Sheet3!$H$2:$O$200,X$1,FALSE),VLOOKUP($G48,Sheet3!$H$2:$O$200,X$1,FALSE))),$I$1),$I$1)</f>
        <v>0</v>
      </c>
      <c r="Y48" s="15">
        <f>IFERROR(IF(ISBLANK(R48),IFERROR(VLOOKUP($E48,Sheet3!$H$2:$O$200,Y$1,FALSE),IFERROR(VLOOKUP($F48,Sheet3!$H$2:$O$200,Y$1,FALSE),VLOOKUP($G48,Sheet3!$H$2:$O$200,Y$1,FALSE))),$I$1),$I$1)</f>
        <v>0</v>
      </c>
      <c r="Z48" s="15">
        <f>IFERROR(IF(ISBLANK(S48),IFERROR(VLOOKUP($E48,Sheet3!$H$2:$O$200,Z$1,FALSE),IFERROR(VLOOKUP($F48,Sheet3!$H$2:$O$200,Z$1,FALSE),VLOOKUP($G48,Sheet3!$H$2:$O$200,Z$1,FALSE))),$I$1),$I$1)</f>
        <v>0</v>
      </c>
      <c r="AA48" s="15">
        <f>IFERROR(IF(ISBLANK(T48),IFERROR(VLOOKUP($E48,Sheet3!$H$2:$O$200,AA$1,FALSE),IFERROR(VLOOKUP($F48,Sheet3!$H$2:$O$200,AA$1,FALSE),VLOOKUP($G48,Sheet3!$H$2:$O$200,AA$1,FALSE))),$I$1),$I$1)</f>
        <v>0</v>
      </c>
      <c r="AB48" s="15">
        <f>IFERROR(IF(ISBLANK(U48),IFERROR(VLOOKUP($E48,Sheet3!$H$2:$O$200,AB$1,FALSE),IFERROR(VLOOKUP($F48,Sheet3!$H$2:$O$200,AB$1,FALSE),VLOOKUP($G48,Sheet3!$H$2:$O$200,AB$1,FALSE))),$I$1),$I$1)</f>
        <v>0</v>
      </c>
      <c r="AC48" s="15">
        <f>IFERROR(IF(ISBLANK(V48),IFERROR(VLOOKUP($E48,Sheet3!$H$2:$O$200,AC$1,FALSE),IFERROR(VLOOKUP($F48,Sheet3!$H$2:$O$200,AC$1,FALSE),VLOOKUP($G48,Sheet3!$H$2:$O$200,AC$1,FALSE))),$I$1),$I$1)</f>
        <v>0</v>
      </c>
      <c r="AD48" s="15">
        <f>IFERROR(IF(ISBLANK(W48),IFERROR(VLOOKUP($E48,Sheet3!$H$2:$O$200,AD$1,FALSE),IFERROR(VLOOKUP($F48,Sheet3!$H$2:$O$200,AD$1,FALSE),VLOOKUP($G48,Sheet3!$H$2:$O$200,AD$1,FALSE))),$I$1),$I$1)</f>
        <v>0</v>
      </c>
      <c r="AE48" s="15">
        <f>IFERROR(IF(ISBLANK(X48),IFERROR(VLOOKUP($F48,Sheet3!$H$2:$O$200,AE$1,FALSE),VLOOKUP($G48,Sheet3!$H$2:$O$200,AE$1,FALSE)),$I$1),$I$1)</f>
        <v>0</v>
      </c>
      <c r="AF48" s="15">
        <f>IFERROR(IF(ISBLANK(Y48),IFERROR(VLOOKUP($F48,Sheet3!$H$2:$O$200,AF$1,FALSE),VLOOKUP($G48,Sheet3!$H$2:$O$200,AF$1,FALSE)),$I$1),$I$1)</f>
        <v>0</v>
      </c>
      <c r="AG48" s="15">
        <f>IFERROR(IF(ISBLANK(Z48),IFERROR(VLOOKUP($F48,Sheet3!$H$2:$O$200,AG$1,FALSE),VLOOKUP($G48,Sheet3!$H$2:$O$200,AG$1,FALSE)),$I$1),$I$1)</f>
        <v>0</v>
      </c>
      <c r="AH48" s="15">
        <f>IFERROR(IF(ISBLANK(AA48),IFERROR(VLOOKUP($F48,Sheet3!$H$2:$O$200,AH$1,FALSE),VLOOKUP($G48,Sheet3!$H$2:$O$200,AH$1,FALSE)),$I$1),$I$1)</f>
        <v>0</v>
      </c>
      <c r="AI48" s="15">
        <f>IFERROR(IF(ISBLANK(AB48),IFERROR(VLOOKUP($F48,Sheet3!$H$2:$O$200,AI$1,FALSE),VLOOKUP($G48,Sheet3!$H$2:$O$200,AI$1,FALSE)),$I$1),$I$1)</f>
        <v>0</v>
      </c>
      <c r="AJ48" s="15">
        <f>IFERROR(IF(ISBLANK(AC48),IFERROR(VLOOKUP($F48,Sheet3!$H$2:$O$200,AJ$1,FALSE),VLOOKUP($G48,Sheet3!$H$2:$O$200,AJ$1,FALSE)),$I$1),$I$1)</f>
        <v>0</v>
      </c>
      <c r="AK48" s="15">
        <f>IFERROR(IF(ISBLANK(AD48),IFERROR(VLOOKUP($F48,Sheet3!$H$2:$O$200,AK$1,FALSE),VLOOKUP($G48,Sheet3!$H$2:$O$200,AK$1,FALSE)),$I$1),$I$1)</f>
        <v>0</v>
      </c>
      <c r="AL48" s="15">
        <f>IFERROR(IF(ISBLANK(AE48),VLOOKUP($G48,Sheet3!$H$2:$O$200,AL$1,FALSE),$I$1),$I$1)</f>
        <v>0</v>
      </c>
      <c r="AM48" s="15">
        <f>IFERROR(IF(ISBLANK(AF48),VLOOKUP($G48,Sheet3!$H$2:$O$200,AM$1,FALSE),$I$1),$I$1)</f>
        <v>0</v>
      </c>
      <c r="AN48" s="15">
        <f>IFERROR(IF(ISBLANK(AG48),VLOOKUP($G48,Sheet3!$H$2:$O$200,AN$1,FALSE),$I$1),$I$1)</f>
        <v>0</v>
      </c>
      <c r="AO48" s="15">
        <f>IFERROR(IF(ISBLANK(AH48),VLOOKUP($G48,Sheet3!$H$2:$O$200,AO$1,FALSE),$I$1),$I$1)</f>
        <v>0</v>
      </c>
      <c r="AP48" s="15">
        <f>IFERROR(IF(ISBLANK(AI48),VLOOKUP($G48,Sheet3!$H$2:$O$200,AP$1,FALSE),$I$1),$I$1)</f>
        <v>0</v>
      </c>
      <c r="AQ48" s="15">
        <f>IFERROR(IF(ISBLANK(AJ48),VLOOKUP($G48,Sheet3!$H$2:$O$200,AQ$1,FALSE),$I$1),$I$1)</f>
        <v>0</v>
      </c>
      <c r="AR48" s="15">
        <f>IFERROR(IF(ISBLANK(AK48),VLOOKUP($G48,Sheet3!$H$2:$O$200,AR$1,FALSE),$I$1),$I$1)</f>
        <v>0</v>
      </c>
      <c r="AS48" s="15">
        <f t="shared" ref="AS48:AY48" si="52">IFERROR(IF(ISBLANK(J48),IF(ISBLANK(Q48),IF(ISBLANK(X48),IF(ISBLANK(AE48),IF(ISBLANK(AL48),$BB$1,AL48),AE48),X48),Q48),J48),$BB$1)</f>
        <v>0</v>
      </c>
      <c r="AT48" s="15">
        <f t="shared" si="52"/>
        <v>0</v>
      </c>
      <c r="AU48" s="15">
        <f t="shared" si="52"/>
        <v>0</v>
      </c>
      <c r="AV48" s="15" t="str">
        <f t="shared" si="52"/>
        <v>Grand Marnier</v>
      </c>
      <c r="AW48" s="15">
        <f t="shared" si="52"/>
        <v>0</v>
      </c>
      <c r="AX48" s="15">
        <f t="shared" si="52"/>
        <v>0</v>
      </c>
      <c r="AY48" s="15">
        <f t="shared" si="52"/>
        <v>0</v>
      </c>
      <c r="BA48" s="13">
        <f t="shared" si="1"/>
        <v>35</v>
      </c>
      <c r="BB48" s="15" t="b">
        <f t="shared" si="2"/>
        <v>0</v>
      </c>
    </row>
    <row r="49" spans="1:54" x14ac:dyDescent="0.2">
      <c r="A49" s="19" t="s">
        <v>140</v>
      </c>
      <c r="B49" s="19" t="s">
        <v>136</v>
      </c>
      <c r="C49" s="19" t="s">
        <v>104</v>
      </c>
      <c r="D49" s="19"/>
      <c r="E49" s="19"/>
      <c r="F49" s="19"/>
      <c r="G49" s="19"/>
      <c r="H49" s="19" t="s">
        <v>140</v>
      </c>
      <c r="I49" s="15">
        <v>1</v>
      </c>
      <c r="J49" s="15">
        <f>IFERROR(VLOOKUP($C49,Sheet3!$H$2:$O$200,J$1,FALSE),IFERROR(VLOOKUP($D49,Sheet3!$H$2:$O$200,J$1,FALSE),VLOOKUP($E49,Sheet3!$H$2:$O$200,J$1,FALSE)))</f>
        <v>0</v>
      </c>
      <c r="K49" s="15">
        <f>IFERROR(VLOOKUP($C49,Sheet3!$H$2:$O$200,K$1,FALSE),IFERROR(VLOOKUP($D49,Sheet3!$H$2:$O$200,K$1,FALSE),VLOOKUP($E49,Sheet3!$H$2:$O$200,K$1,FALSE)))</f>
        <v>0</v>
      </c>
      <c r="L49" s="15">
        <f>IFERROR(VLOOKUP($C49,Sheet3!$H$2:$O$200,L$1,FALSE),IFERROR(VLOOKUP($D49,Sheet3!$H$2:$O$200,L$1,FALSE),VLOOKUP($E49,Sheet3!$H$2:$O$200,L$1,FALSE)))</f>
        <v>0</v>
      </c>
      <c r="M49" s="15" t="str">
        <f>IFERROR(VLOOKUP($C49,Sheet3!$H$2:$O$200,M$1,FALSE),IFERROR(VLOOKUP($D49,Sheet3!$H$2:$O$200,M$1,FALSE),VLOOKUP($E49,Sheet3!$H$2:$O$200,M$1,FALSE)))</f>
        <v>absinthe</v>
      </c>
      <c r="N49" s="15">
        <f>IFERROR(VLOOKUP($C49,Sheet3!$H$2:$O$200,N$1,FALSE),IFERROR(VLOOKUP($D49,Sheet3!$H$2:$O$200,N$1,FALSE),VLOOKUP($E49,Sheet3!$H$2:$O$200,N$1,FALSE)))</f>
        <v>0</v>
      </c>
      <c r="O49" s="15">
        <f>IFERROR(VLOOKUP($C49,Sheet3!$H$2:$O$200,O$1,FALSE),IFERROR(VLOOKUP($D49,Sheet3!$H$2:$O$200,O$1,FALSE),VLOOKUP($E49,Sheet3!$H$2:$O$200,O$1,FALSE)))</f>
        <v>0</v>
      </c>
      <c r="P49" s="15">
        <f>IFERROR(VLOOKUP($C49,Sheet3!$H$2:$O$200,P$1,FALSE),IFERROR(VLOOKUP($D49,Sheet3!$H$2:$O$200,P$1,FALSE),VLOOKUP($E49,Sheet3!$H$2:$O$200,P$1,FALSE)))</f>
        <v>0</v>
      </c>
      <c r="Q49" s="15">
        <f>IFERROR(IF(ISBLANK(J49),IFERROR(VLOOKUP($D49,Sheet3!$H$2:$O$200,Q$1,FALSE),IFERROR(VLOOKUP($E49,Sheet3!$H$2:$O$200,Q$1,FALSE),VLOOKUP($F49,Sheet3!$H$2:$O$200,Q$1,FALSE))),$I$1),$I$1)</f>
        <v>0</v>
      </c>
      <c r="R49" s="15">
        <f>IFERROR(IF(ISBLANK(K49),IFERROR(VLOOKUP($D49,Sheet3!$H$2:$O$200,R$1,FALSE),IFERROR(VLOOKUP($E49,Sheet3!$H$2:$O$200,R$1,FALSE),VLOOKUP($F49,Sheet3!$H$2:$O$200,R$1,FALSE))),$I$1),$I$1)</f>
        <v>0</v>
      </c>
      <c r="S49" s="15">
        <f>IFERROR(IF(ISBLANK(L49),IFERROR(VLOOKUP($D49,Sheet3!$H$2:$O$200,S$1,FALSE),IFERROR(VLOOKUP($E49,Sheet3!$H$2:$O$200,S$1,FALSE),VLOOKUP($F49,Sheet3!$H$2:$O$200,S$1,FALSE))),$I$1),$I$1)</f>
        <v>0</v>
      </c>
      <c r="T49" s="15">
        <f>IFERROR(IF(ISBLANK(M49),IFERROR(VLOOKUP($D49,Sheet3!$H$2:$O$200,T$1,FALSE),IFERROR(VLOOKUP($E49,Sheet3!$H$2:$O$200,T$1,FALSE),VLOOKUP($F49,Sheet3!$H$2:$O$200,T$1,FALSE))),$I$1),$I$1)</f>
        <v>0</v>
      </c>
      <c r="U49" s="15">
        <f>IFERROR(IF(ISBLANK(N49),IFERROR(VLOOKUP($D49,Sheet3!$H$2:$O$200,U$1,FALSE),IFERROR(VLOOKUP($E49,Sheet3!$H$2:$O$200,U$1,FALSE),VLOOKUP($F49,Sheet3!$H$2:$O$200,U$1,FALSE))),$I$1),$I$1)</f>
        <v>0</v>
      </c>
      <c r="V49" s="15">
        <f>IFERROR(IF(ISBLANK(O49),IFERROR(VLOOKUP($D49,Sheet3!$H$2:$O$200,V$1,FALSE),IFERROR(VLOOKUP($E49,Sheet3!$H$2:$O$200,V$1,FALSE),VLOOKUP($F49,Sheet3!$H$2:$O$200,V$1,FALSE))),$I$1),$I$1)</f>
        <v>0</v>
      </c>
      <c r="W49" s="15">
        <f>IFERROR(IF(ISBLANK(P49),IFERROR(VLOOKUP($D49,Sheet3!$H$2:$O$200,W$1,FALSE),IFERROR(VLOOKUP($E49,Sheet3!$H$2:$O$200,W$1,FALSE),VLOOKUP($F49,Sheet3!$H$2:$O$200,W$1,FALSE))),$I$1),$I$1)</f>
        <v>0</v>
      </c>
      <c r="X49" s="15">
        <f>IFERROR(IF(ISBLANK(Q49),IFERROR(VLOOKUP($E49,Sheet3!$H$2:$O$200,X$1,FALSE),IFERROR(VLOOKUP($F49,Sheet3!$H$2:$O$200,X$1,FALSE),VLOOKUP($G49,Sheet3!$H$2:$O$200,X$1,FALSE))),$I$1),$I$1)</f>
        <v>0</v>
      </c>
      <c r="Y49" s="15">
        <f>IFERROR(IF(ISBLANK(R49),IFERROR(VLOOKUP($E49,Sheet3!$H$2:$O$200,Y$1,FALSE),IFERROR(VLOOKUP($F49,Sheet3!$H$2:$O$200,Y$1,FALSE),VLOOKUP($G49,Sheet3!$H$2:$O$200,Y$1,FALSE))),$I$1),$I$1)</f>
        <v>0</v>
      </c>
      <c r="Z49" s="15">
        <f>IFERROR(IF(ISBLANK(S49),IFERROR(VLOOKUP($E49,Sheet3!$H$2:$O$200,Z$1,FALSE),IFERROR(VLOOKUP($F49,Sheet3!$H$2:$O$200,Z$1,FALSE),VLOOKUP($G49,Sheet3!$H$2:$O$200,Z$1,FALSE))),$I$1),$I$1)</f>
        <v>0</v>
      </c>
      <c r="AA49" s="15">
        <f>IFERROR(IF(ISBLANK(T49),IFERROR(VLOOKUP($E49,Sheet3!$H$2:$O$200,AA$1,FALSE),IFERROR(VLOOKUP($F49,Sheet3!$H$2:$O$200,AA$1,FALSE),VLOOKUP($G49,Sheet3!$H$2:$O$200,AA$1,FALSE))),$I$1),$I$1)</f>
        <v>0</v>
      </c>
      <c r="AB49" s="15">
        <f>IFERROR(IF(ISBLANK(U49),IFERROR(VLOOKUP($E49,Sheet3!$H$2:$O$200,AB$1,FALSE),IFERROR(VLOOKUP($F49,Sheet3!$H$2:$O$200,AB$1,FALSE),VLOOKUP($G49,Sheet3!$H$2:$O$200,AB$1,FALSE))),$I$1),$I$1)</f>
        <v>0</v>
      </c>
      <c r="AC49" s="15">
        <f>IFERROR(IF(ISBLANK(V49),IFERROR(VLOOKUP($E49,Sheet3!$H$2:$O$200,AC$1,FALSE),IFERROR(VLOOKUP($F49,Sheet3!$H$2:$O$200,AC$1,FALSE),VLOOKUP($G49,Sheet3!$H$2:$O$200,AC$1,FALSE))),$I$1),$I$1)</f>
        <v>0</v>
      </c>
      <c r="AD49" s="15">
        <f>IFERROR(IF(ISBLANK(W49),IFERROR(VLOOKUP($E49,Sheet3!$H$2:$O$200,AD$1,FALSE),IFERROR(VLOOKUP($F49,Sheet3!$H$2:$O$200,AD$1,FALSE),VLOOKUP($G49,Sheet3!$H$2:$O$200,AD$1,FALSE))),$I$1),$I$1)</f>
        <v>0</v>
      </c>
      <c r="AE49" s="15">
        <f>IFERROR(IF(ISBLANK(X49),IFERROR(VLOOKUP($F49,Sheet3!$H$2:$O$200,AE$1,FALSE),VLOOKUP($G49,Sheet3!$H$2:$O$200,AE$1,FALSE)),$I$1),$I$1)</f>
        <v>0</v>
      </c>
      <c r="AF49" s="15">
        <f>IFERROR(IF(ISBLANK(Y49),IFERROR(VLOOKUP($F49,Sheet3!$H$2:$O$200,AF$1,FALSE),VLOOKUP($G49,Sheet3!$H$2:$O$200,AF$1,FALSE)),$I$1),$I$1)</f>
        <v>0</v>
      </c>
      <c r="AG49" s="15">
        <f>IFERROR(IF(ISBLANK(Z49),IFERROR(VLOOKUP($F49,Sheet3!$H$2:$O$200,AG$1,FALSE),VLOOKUP($G49,Sheet3!$H$2:$O$200,AG$1,FALSE)),$I$1),$I$1)</f>
        <v>0</v>
      </c>
      <c r="AH49" s="15">
        <f>IFERROR(IF(ISBLANK(AA49),IFERROR(VLOOKUP($F49,Sheet3!$H$2:$O$200,AH$1,FALSE),VLOOKUP($G49,Sheet3!$H$2:$O$200,AH$1,FALSE)),$I$1),$I$1)</f>
        <v>0</v>
      </c>
      <c r="AI49" s="15">
        <f>IFERROR(IF(ISBLANK(AB49),IFERROR(VLOOKUP($F49,Sheet3!$H$2:$O$200,AI$1,FALSE),VLOOKUP($G49,Sheet3!$H$2:$O$200,AI$1,FALSE)),$I$1),$I$1)</f>
        <v>0</v>
      </c>
      <c r="AJ49" s="15">
        <f>IFERROR(IF(ISBLANK(AC49),IFERROR(VLOOKUP($F49,Sheet3!$H$2:$O$200,AJ$1,FALSE),VLOOKUP($G49,Sheet3!$H$2:$O$200,AJ$1,FALSE)),$I$1),$I$1)</f>
        <v>0</v>
      </c>
      <c r="AK49" s="15">
        <f>IFERROR(IF(ISBLANK(AD49),IFERROR(VLOOKUP($F49,Sheet3!$H$2:$O$200,AK$1,FALSE),VLOOKUP($G49,Sheet3!$H$2:$O$200,AK$1,FALSE)),$I$1),$I$1)</f>
        <v>0</v>
      </c>
      <c r="AL49" s="15">
        <f>IFERROR(IF(ISBLANK(AE49),VLOOKUP($G49,Sheet3!$H$2:$O$200,AL$1,FALSE),$I$1),$I$1)</f>
        <v>0</v>
      </c>
      <c r="AM49" s="15">
        <f>IFERROR(IF(ISBLANK(AF49),VLOOKUP($G49,Sheet3!$H$2:$O$200,AM$1,FALSE),$I$1),$I$1)</f>
        <v>0</v>
      </c>
      <c r="AN49" s="15">
        <f>IFERROR(IF(ISBLANK(AG49),VLOOKUP($G49,Sheet3!$H$2:$O$200,AN$1,FALSE),$I$1),$I$1)</f>
        <v>0</v>
      </c>
      <c r="AO49" s="15">
        <f>IFERROR(IF(ISBLANK(AH49),VLOOKUP($G49,Sheet3!$H$2:$O$200,AO$1,FALSE),$I$1),$I$1)</f>
        <v>0</v>
      </c>
      <c r="AP49" s="15">
        <f>IFERROR(IF(ISBLANK(AI49),VLOOKUP($G49,Sheet3!$H$2:$O$200,AP$1,FALSE),$I$1),$I$1)</f>
        <v>0</v>
      </c>
      <c r="AQ49" s="15">
        <f>IFERROR(IF(ISBLANK(AJ49),VLOOKUP($G49,Sheet3!$H$2:$O$200,AQ$1,FALSE),$I$1),$I$1)</f>
        <v>0</v>
      </c>
      <c r="AR49" s="15">
        <f>IFERROR(IF(ISBLANK(AK49),VLOOKUP($G49,Sheet3!$H$2:$O$200,AR$1,FALSE),$I$1),$I$1)</f>
        <v>0</v>
      </c>
      <c r="AS49" s="15">
        <f t="shared" ref="AS49:AY49" si="53">IFERROR(IF(ISBLANK(J49),IF(ISBLANK(Q49),IF(ISBLANK(X49),IF(ISBLANK(AE49),IF(ISBLANK(AL49),$BB$1,AL49),AE49),X49),Q49),J49),$BB$1)</f>
        <v>0</v>
      </c>
      <c r="AT49" s="15">
        <f t="shared" si="53"/>
        <v>0</v>
      </c>
      <c r="AU49" s="15">
        <f t="shared" si="53"/>
        <v>0</v>
      </c>
      <c r="AV49" s="15" t="str">
        <f t="shared" si="53"/>
        <v>absinthe</v>
      </c>
      <c r="AW49" s="15">
        <f t="shared" si="53"/>
        <v>0</v>
      </c>
      <c r="AX49" s="15">
        <f t="shared" si="53"/>
        <v>0</v>
      </c>
      <c r="AY49" s="15">
        <f t="shared" si="53"/>
        <v>0</v>
      </c>
      <c r="BA49" s="13">
        <f t="shared" si="1"/>
        <v>35</v>
      </c>
      <c r="BB49" s="15" t="b">
        <f t="shared" si="2"/>
        <v>0</v>
      </c>
    </row>
    <row r="50" spans="1:54" x14ac:dyDescent="0.2">
      <c r="A50" s="19" t="s">
        <v>141</v>
      </c>
      <c r="B50" s="19" t="s">
        <v>136</v>
      </c>
      <c r="C50" s="19" t="s">
        <v>114</v>
      </c>
      <c r="D50" s="19"/>
      <c r="E50" s="19"/>
      <c r="F50" s="19"/>
      <c r="G50" s="19"/>
      <c r="H50" s="19" t="s">
        <v>141</v>
      </c>
      <c r="I50" s="15">
        <v>1</v>
      </c>
      <c r="J50" s="15">
        <f>IFERROR(VLOOKUP($C50,Sheet3!$H$2:$O$200,J$1,FALSE),IFERROR(VLOOKUP($D50,Sheet3!$H$2:$O$200,J$1,FALSE),VLOOKUP($E50,Sheet3!$H$2:$O$200,J$1,FALSE)))</f>
        <v>0</v>
      </c>
      <c r="K50" s="15">
        <f>IFERROR(VLOOKUP($C50,Sheet3!$H$2:$O$200,K$1,FALSE),IFERROR(VLOOKUP($D50,Sheet3!$H$2:$O$200,K$1,FALSE),VLOOKUP($E50,Sheet3!$H$2:$O$200,K$1,FALSE)))</f>
        <v>0</v>
      </c>
      <c r="L50" s="15">
        <f>IFERROR(VLOOKUP($C50,Sheet3!$H$2:$O$200,L$1,FALSE),IFERROR(VLOOKUP($D50,Sheet3!$H$2:$O$200,L$1,FALSE),VLOOKUP($E50,Sheet3!$H$2:$O$200,L$1,FALSE)))</f>
        <v>0</v>
      </c>
      <c r="M50" s="15" t="str">
        <f>IFERROR(VLOOKUP($C50,Sheet3!$H$2:$O$200,M$1,FALSE),IFERROR(VLOOKUP($D50,Sheet3!$H$2:$O$200,M$1,FALSE),VLOOKUP($E50,Sheet3!$H$2:$O$200,M$1,FALSE)))</f>
        <v>Frangelico</v>
      </c>
      <c r="N50" s="15">
        <f>IFERROR(VLOOKUP($C50,Sheet3!$H$2:$O$200,N$1,FALSE),IFERROR(VLOOKUP($D50,Sheet3!$H$2:$O$200,N$1,FALSE),VLOOKUP($E50,Sheet3!$H$2:$O$200,N$1,FALSE)))</f>
        <v>0</v>
      </c>
      <c r="O50" s="15">
        <f>IFERROR(VLOOKUP($C50,Sheet3!$H$2:$O$200,O$1,FALSE),IFERROR(VLOOKUP($D50,Sheet3!$H$2:$O$200,O$1,FALSE),VLOOKUP($E50,Sheet3!$H$2:$O$200,O$1,FALSE)))</f>
        <v>0</v>
      </c>
      <c r="P50" s="15">
        <f>IFERROR(VLOOKUP($C50,Sheet3!$H$2:$O$200,P$1,FALSE),IFERROR(VLOOKUP($D50,Sheet3!$H$2:$O$200,P$1,FALSE),VLOOKUP($E50,Sheet3!$H$2:$O$200,P$1,FALSE)))</f>
        <v>0</v>
      </c>
      <c r="Q50" s="15">
        <f>IFERROR(IF(ISBLANK(J50),IFERROR(VLOOKUP($D50,Sheet3!$H$2:$O$200,Q$1,FALSE),IFERROR(VLOOKUP($E50,Sheet3!$H$2:$O$200,Q$1,FALSE),VLOOKUP($F50,Sheet3!$H$2:$O$200,Q$1,FALSE))),$I$1),$I$1)</f>
        <v>0</v>
      </c>
      <c r="R50" s="15">
        <f>IFERROR(IF(ISBLANK(K50),IFERROR(VLOOKUP($D50,Sheet3!$H$2:$O$200,R$1,FALSE),IFERROR(VLOOKUP($E50,Sheet3!$H$2:$O$200,R$1,FALSE),VLOOKUP($F50,Sheet3!$H$2:$O$200,R$1,FALSE))),$I$1),$I$1)</f>
        <v>0</v>
      </c>
      <c r="S50" s="15">
        <f>IFERROR(IF(ISBLANK(L50),IFERROR(VLOOKUP($D50,Sheet3!$H$2:$O$200,S$1,FALSE),IFERROR(VLOOKUP($E50,Sheet3!$H$2:$O$200,S$1,FALSE),VLOOKUP($F50,Sheet3!$H$2:$O$200,S$1,FALSE))),$I$1),$I$1)</f>
        <v>0</v>
      </c>
      <c r="T50" s="15">
        <f>IFERROR(IF(ISBLANK(M50),IFERROR(VLOOKUP($D50,Sheet3!$H$2:$O$200,T$1,FALSE),IFERROR(VLOOKUP($E50,Sheet3!$H$2:$O$200,T$1,FALSE),VLOOKUP($F50,Sheet3!$H$2:$O$200,T$1,FALSE))),$I$1),$I$1)</f>
        <v>0</v>
      </c>
      <c r="U50" s="15">
        <f>IFERROR(IF(ISBLANK(N50),IFERROR(VLOOKUP($D50,Sheet3!$H$2:$O$200,U$1,FALSE),IFERROR(VLOOKUP($E50,Sheet3!$H$2:$O$200,U$1,FALSE),VLOOKUP($F50,Sheet3!$H$2:$O$200,U$1,FALSE))),$I$1),$I$1)</f>
        <v>0</v>
      </c>
      <c r="V50" s="15">
        <f>IFERROR(IF(ISBLANK(O50),IFERROR(VLOOKUP($D50,Sheet3!$H$2:$O$200,V$1,FALSE),IFERROR(VLOOKUP($E50,Sheet3!$H$2:$O$200,V$1,FALSE),VLOOKUP($F50,Sheet3!$H$2:$O$200,V$1,FALSE))),$I$1),$I$1)</f>
        <v>0</v>
      </c>
      <c r="W50" s="15">
        <f>IFERROR(IF(ISBLANK(P50),IFERROR(VLOOKUP($D50,Sheet3!$H$2:$O$200,W$1,FALSE),IFERROR(VLOOKUP($E50,Sheet3!$H$2:$O$200,W$1,FALSE),VLOOKUP($F50,Sheet3!$H$2:$O$200,W$1,FALSE))),$I$1),$I$1)</f>
        <v>0</v>
      </c>
      <c r="X50" s="15">
        <f>IFERROR(IF(ISBLANK(Q50),IFERROR(VLOOKUP($E50,Sheet3!$H$2:$O$200,X$1,FALSE),IFERROR(VLOOKUP($F50,Sheet3!$H$2:$O$200,X$1,FALSE),VLOOKUP($G50,Sheet3!$H$2:$O$200,X$1,FALSE))),$I$1),$I$1)</f>
        <v>0</v>
      </c>
      <c r="Y50" s="15">
        <f>IFERROR(IF(ISBLANK(R50),IFERROR(VLOOKUP($E50,Sheet3!$H$2:$O$200,Y$1,FALSE),IFERROR(VLOOKUP($F50,Sheet3!$H$2:$O$200,Y$1,FALSE),VLOOKUP($G50,Sheet3!$H$2:$O$200,Y$1,FALSE))),$I$1),$I$1)</f>
        <v>0</v>
      </c>
      <c r="Z50" s="15">
        <f>IFERROR(IF(ISBLANK(S50),IFERROR(VLOOKUP($E50,Sheet3!$H$2:$O$200,Z$1,FALSE),IFERROR(VLOOKUP($F50,Sheet3!$H$2:$O$200,Z$1,FALSE),VLOOKUP($G50,Sheet3!$H$2:$O$200,Z$1,FALSE))),$I$1),$I$1)</f>
        <v>0</v>
      </c>
      <c r="AA50" s="15">
        <f>IFERROR(IF(ISBLANK(T50),IFERROR(VLOOKUP($E50,Sheet3!$H$2:$O$200,AA$1,FALSE),IFERROR(VLOOKUP($F50,Sheet3!$H$2:$O$200,AA$1,FALSE),VLOOKUP($G50,Sheet3!$H$2:$O$200,AA$1,FALSE))),$I$1),$I$1)</f>
        <v>0</v>
      </c>
      <c r="AB50" s="15">
        <f>IFERROR(IF(ISBLANK(U50),IFERROR(VLOOKUP($E50,Sheet3!$H$2:$O$200,AB$1,FALSE),IFERROR(VLOOKUP($F50,Sheet3!$H$2:$O$200,AB$1,FALSE),VLOOKUP($G50,Sheet3!$H$2:$O$200,AB$1,FALSE))),$I$1),$I$1)</f>
        <v>0</v>
      </c>
      <c r="AC50" s="15">
        <f>IFERROR(IF(ISBLANK(V50),IFERROR(VLOOKUP($E50,Sheet3!$H$2:$O$200,AC$1,FALSE),IFERROR(VLOOKUP($F50,Sheet3!$H$2:$O$200,AC$1,FALSE),VLOOKUP($G50,Sheet3!$H$2:$O$200,AC$1,FALSE))),$I$1),$I$1)</f>
        <v>0</v>
      </c>
      <c r="AD50" s="15">
        <f>IFERROR(IF(ISBLANK(W50),IFERROR(VLOOKUP($E50,Sheet3!$H$2:$O$200,AD$1,FALSE),IFERROR(VLOOKUP($F50,Sheet3!$H$2:$O$200,AD$1,FALSE),VLOOKUP($G50,Sheet3!$H$2:$O$200,AD$1,FALSE))),$I$1),$I$1)</f>
        <v>0</v>
      </c>
      <c r="AE50" s="15">
        <f>IFERROR(IF(ISBLANK(X50),IFERROR(VLOOKUP($F50,Sheet3!$H$2:$O$200,AE$1,FALSE),VLOOKUP($G50,Sheet3!$H$2:$O$200,AE$1,FALSE)),$I$1),$I$1)</f>
        <v>0</v>
      </c>
      <c r="AF50" s="15">
        <f>IFERROR(IF(ISBLANK(Y50),IFERROR(VLOOKUP($F50,Sheet3!$H$2:$O$200,AF$1,FALSE),VLOOKUP($G50,Sheet3!$H$2:$O$200,AF$1,FALSE)),$I$1),$I$1)</f>
        <v>0</v>
      </c>
      <c r="AG50" s="15">
        <f>IFERROR(IF(ISBLANK(Z50),IFERROR(VLOOKUP($F50,Sheet3!$H$2:$O$200,AG$1,FALSE),VLOOKUP($G50,Sheet3!$H$2:$O$200,AG$1,FALSE)),$I$1),$I$1)</f>
        <v>0</v>
      </c>
      <c r="AH50" s="15">
        <f>IFERROR(IF(ISBLANK(AA50),IFERROR(VLOOKUP($F50,Sheet3!$H$2:$O$200,AH$1,FALSE),VLOOKUP($G50,Sheet3!$H$2:$O$200,AH$1,FALSE)),$I$1),$I$1)</f>
        <v>0</v>
      </c>
      <c r="AI50" s="15">
        <f>IFERROR(IF(ISBLANK(AB50),IFERROR(VLOOKUP($F50,Sheet3!$H$2:$O$200,AI$1,FALSE),VLOOKUP($G50,Sheet3!$H$2:$O$200,AI$1,FALSE)),$I$1),$I$1)</f>
        <v>0</v>
      </c>
      <c r="AJ50" s="15">
        <f>IFERROR(IF(ISBLANK(AC50),IFERROR(VLOOKUP($F50,Sheet3!$H$2:$O$200,AJ$1,FALSE),VLOOKUP($G50,Sheet3!$H$2:$O$200,AJ$1,FALSE)),$I$1),$I$1)</f>
        <v>0</v>
      </c>
      <c r="AK50" s="15">
        <f>IFERROR(IF(ISBLANK(AD50),IFERROR(VLOOKUP($F50,Sheet3!$H$2:$O$200,AK$1,FALSE),VLOOKUP($G50,Sheet3!$H$2:$O$200,AK$1,FALSE)),$I$1),$I$1)</f>
        <v>0</v>
      </c>
      <c r="AL50" s="15">
        <f>IFERROR(IF(ISBLANK(AE50),VLOOKUP($G50,Sheet3!$H$2:$O$200,AL$1,FALSE),$I$1),$I$1)</f>
        <v>0</v>
      </c>
      <c r="AM50" s="15">
        <f>IFERROR(IF(ISBLANK(AF50),VLOOKUP($G50,Sheet3!$H$2:$O$200,AM$1,FALSE),$I$1),$I$1)</f>
        <v>0</v>
      </c>
      <c r="AN50" s="15">
        <f>IFERROR(IF(ISBLANK(AG50),VLOOKUP($G50,Sheet3!$H$2:$O$200,AN$1,FALSE),$I$1),$I$1)</f>
        <v>0</v>
      </c>
      <c r="AO50" s="15">
        <f>IFERROR(IF(ISBLANK(AH50),VLOOKUP($G50,Sheet3!$H$2:$O$200,AO$1,FALSE),$I$1),$I$1)</f>
        <v>0</v>
      </c>
      <c r="AP50" s="15">
        <f>IFERROR(IF(ISBLANK(AI50),VLOOKUP($G50,Sheet3!$H$2:$O$200,AP$1,FALSE),$I$1),$I$1)</f>
        <v>0</v>
      </c>
      <c r="AQ50" s="15">
        <f>IFERROR(IF(ISBLANK(AJ50),VLOOKUP($G50,Sheet3!$H$2:$O$200,AQ$1,FALSE),$I$1),$I$1)</f>
        <v>0</v>
      </c>
      <c r="AR50" s="15">
        <f>IFERROR(IF(ISBLANK(AK50),VLOOKUP($G50,Sheet3!$H$2:$O$200,AR$1,FALSE),$I$1),$I$1)</f>
        <v>0</v>
      </c>
      <c r="AS50" s="15">
        <f t="shared" ref="AS50:AY50" si="54">IFERROR(IF(ISBLANK(J50),IF(ISBLANK(Q50),IF(ISBLANK(X50),IF(ISBLANK(AE50),IF(ISBLANK(AL50),$BB$1,AL50),AE50),X50),Q50),J50),$BB$1)</f>
        <v>0</v>
      </c>
      <c r="AT50" s="15">
        <f t="shared" si="54"/>
        <v>0</v>
      </c>
      <c r="AU50" s="15">
        <f t="shared" si="54"/>
        <v>0</v>
      </c>
      <c r="AV50" s="15" t="str">
        <f t="shared" si="54"/>
        <v>Frangelico</v>
      </c>
      <c r="AW50" s="15">
        <f t="shared" si="54"/>
        <v>0</v>
      </c>
      <c r="AX50" s="15">
        <f t="shared" si="54"/>
        <v>0</v>
      </c>
      <c r="AY50" s="15">
        <f t="shared" si="54"/>
        <v>0</v>
      </c>
      <c r="BA50" s="13">
        <f t="shared" si="1"/>
        <v>35</v>
      </c>
      <c r="BB50" s="15" t="b">
        <f t="shared" si="2"/>
        <v>0</v>
      </c>
    </row>
    <row r="51" spans="1:54" x14ac:dyDescent="0.2">
      <c r="A51" s="19" t="s">
        <v>142</v>
      </c>
      <c r="B51" s="19" t="s">
        <v>57</v>
      </c>
      <c r="C51" s="19" t="s">
        <v>31</v>
      </c>
      <c r="D51" s="19"/>
      <c r="E51" s="19" t="s">
        <v>32</v>
      </c>
      <c r="F51" s="19"/>
      <c r="G51" s="19"/>
      <c r="H51" s="19" t="s">
        <v>142</v>
      </c>
      <c r="I51" s="15">
        <v>2</v>
      </c>
      <c r="J51" s="15">
        <f>IFERROR(VLOOKUP($C51,Sheet3!$H$2:$O$200,J$1,FALSE),IFERROR(VLOOKUP($D51,Sheet3!$H$2:$O$200,J$1,FALSE),VLOOKUP($E51,Sheet3!$H$2:$O$200,J$1,FALSE)))</f>
        <v>0</v>
      </c>
      <c r="K51" s="15">
        <f>IFERROR(VLOOKUP($C51,Sheet3!$H$2:$O$200,K$1,FALSE),IFERROR(VLOOKUP($D51,Sheet3!$H$2:$O$200,K$1,FALSE),VLOOKUP($E51,Sheet3!$H$2:$O$200,K$1,FALSE)))</f>
        <v>0</v>
      </c>
      <c r="L51" s="15">
        <f>IFERROR(VLOOKUP($C51,Sheet3!$H$2:$O$200,L$1,FALSE),IFERROR(VLOOKUP($D51,Sheet3!$H$2:$O$200,L$1,FALSE),VLOOKUP($E51,Sheet3!$H$2:$O$200,L$1,FALSE)))</f>
        <v>0</v>
      </c>
      <c r="M51" s="15" t="str">
        <f>IFERROR(VLOOKUP($C51,Sheet3!$H$2:$O$200,M$1,FALSE),IFERROR(VLOOKUP($D51,Sheet3!$H$2:$O$200,M$1,FALSE),VLOOKUP($E51,Sheet3!$H$2:$O$200,M$1,FALSE)))</f>
        <v>white crème de cacao</v>
      </c>
      <c r="N51" s="15">
        <f>IFERROR(VLOOKUP($C51,Sheet3!$H$2:$O$200,N$1,FALSE),IFERROR(VLOOKUP($D51,Sheet3!$H$2:$O$200,N$1,FALSE),VLOOKUP($E51,Sheet3!$H$2:$O$200,N$1,FALSE)))</f>
        <v>0</v>
      </c>
      <c r="O51" s="15">
        <f>IFERROR(VLOOKUP($C51,Sheet3!$H$2:$O$200,O$1,FALSE),IFERROR(VLOOKUP($D51,Sheet3!$H$2:$O$200,O$1,FALSE),VLOOKUP($E51,Sheet3!$H$2:$O$200,O$1,FALSE)))</f>
        <v>0</v>
      </c>
      <c r="P51" s="15">
        <f>IFERROR(VLOOKUP($C51,Sheet3!$H$2:$O$200,P$1,FALSE),IFERROR(VLOOKUP($D51,Sheet3!$H$2:$O$200,P$1,FALSE),VLOOKUP($E51,Sheet3!$H$2:$O$200,P$1,FALSE)))</f>
        <v>0</v>
      </c>
      <c r="Q51" s="15">
        <f>IFERROR(IF(ISBLANK(J51),IFERROR(VLOOKUP($D51,Sheet3!$H$2:$O$200,Q$1,FALSE),IFERROR(VLOOKUP($E51,Sheet3!$H$2:$O$200,Q$1,FALSE),VLOOKUP($F51,Sheet3!$H$2:$O$200,Q$1,FALSE))),$I$1),$I$1)</f>
        <v>0</v>
      </c>
      <c r="R51" s="15">
        <f>IFERROR(IF(ISBLANK(K51),IFERROR(VLOOKUP($D51,Sheet3!$H$2:$O$200,R$1,FALSE),IFERROR(VLOOKUP($E51,Sheet3!$H$2:$O$200,R$1,FALSE),VLOOKUP($F51,Sheet3!$H$2:$O$200,R$1,FALSE))),$I$1),$I$1)</f>
        <v>0</v>
      </c>
      <c r="S51" s="15">
        <f>IFERROR(IF(ISBLANK(L51),IFERROR(VLOOKUP($D51,Sheet3!$H$2:$O$200,S$1,FALSE),IFERROR(VLOOKUP($E51,Sheet3!$H$2:$O$200,S$1,FALSE),VLOOKUP($F51,Sheet3!$H$2:$O$200,S$1,FALSE))),$I$1),$I$1)</f>
        <v>0</v>
      </c>
      <c r="T51" s="15">
        <f>IFERROR(IF(ISBLANK(M51),IFERROR(VLOOKUP($D51,Sheet3!$H$2:$O$200,T$1,FALSE),IFERROR(VLOOKUP($E51,Sheet3!$H$2:$O$200,T$1,FALSE),VLOOKUP($F51,Sheet3!$H$2:$O$200,T$1,FALSE))),$I$1),$I$1)</f>
        <v>0</v>
      </c>
      <c r="U51" s="15">
        <f>IFERROR(IF(ISBLANK(N51),IFERROR(VLOOKUP($D51,Sheet3!$H$2:$O$200,U$1,FALSE),IFERROR(VLOOKUP($E51,Sheet3!$H$2:$O$200,U$1,FALSE),VLOOKUP($F51,Sheet3!$H$2:$O$200,U$1,FALSE))),$I$1),$I$1)</f>
        <v>0</v>
      </c>
      <c r="V51" s="15">
        <f>IFERROR(IF(ISBLANK(O51),IFERROR(VLOOKUP($D51,Sheet3!$H$2:$O$200,V$1,FALSE),IFERROR(VLOOKUP($E51,Sheet3!$H$2:$O$200,V$1,FALSE),VLOOKUP($F51,Sheet3!$H$2:$O$200,V$1,FALSE))),$I$1),$I$1)</f>
        <v>0</v>
      </c>
      <c r="W51" s="15">
        <f>IFERROR(IF(ISBLANK(P51),IFERROR(VLOOKUP($D51,Sheet3!$H$2:$O$200,W$1,FALSE),IFERROR(VLOOKUP($E51,Sheet3!$H$2:$O$200,W$1,FALSE),VLOOKUP($F51,Sheet3!$H$2:$O$200,W$1,FALSE))),$I$1),$I$1)</f>
        <v>0</v>
      </c>
      <c r="X51" s="15">
        <f>IFERROR(IF(ISBLANK(Q51),IFERROR(VLOOKUP($E51,Sheet3!$H$2:$O$200,X$1,FALSE),IFERROR(VLOOKUP($F51,Sheet3!$H$2:$O$200,X$1,FALSE),VLOOKUP($G51,Sheet3!$H$2:$O$200,X$1,FALSE))),$I$1),$I$1)</f>
        <v>0</v>
      </c>
      <c r="Y51" s="15">
        <f>IFERROR(IF(ISBLANK(R51),IFERROR(VLOOKUP($E51,Sheet3!$H$2:$O$200,Y$1,FALSE),IFERROR(VLOOKUP($F51,Sheet3!$H$2:$O$200,Y$1,FALSE),VLOOKUP($G51,Sheet3!$H$2:$O$200,Y$1,FALSE))),$I$1),$I$1)</f>
        <v>0</v>
      </c>
      <c r="Z51" s="15">
        <f>IFERROR(IF(ISBLANK(S51),IFERROR(VLOOKUP($E51,Sheet3!$H$2:$O$200,Z$1,FALSE),IFERROR(VLOOKUP($F51,Sheet3!$H$2:$O$200,Z$1,FALSE),VLOOKUP($G51,Sheet3!$H$2:$O$200,Z$1,FALSE))),$I$1),$I$1)</f>
        <v>0</v>
      </c>
      <c r="AA51" s="15">
        <f>IFERROR(IF(ISBLANK(T51),IFERROR(VLOOKUP($E51,Sheet3!$H$2:$O$200,AA$1,FALSE),IFERROR(VLOOKUP($F51,Sheet3!$H$2:$O$200,AA$1,FALSE),VLOOKUP($G51,Sheet3!$H$2:$O$200,AA$1,FALSE))),$I$1),$I$1)</f>
        <v>0</v>
      </c>
      <c r="AB51" s="15">
        <f>IFERROR(IF(ISBLANK(U51),IFERROR(VLOOKUP($E51,Sheet3!$H$2:$O$200,AB$1,FALSE),IFERROR(VLOOKUP($F51,Sheet3!$H$2:$O$200,AB$1,FALSE),VLOOKUP($G51,Sheet3!$H$2:$O$200,AB$1,FALSE))),$I$1),$I$1)</f>
        <v>0</v>
      </c>
      <c r="AC51" s="15">
        <f>IFERROR(IF(ISBLANK(V51),IFERROR(VLOOKUP($E51,Sheet3!$H$2:$O$200,AC$1,FALSE),IFERROR(VLOOKUP($F51,Sheet3!$H$2:$O$200,AC$1,FALSE),VLOOKUP($G51,Sheet3!$H$2:$O$200,AC$1,FALSE))),$I$1),$I$1)</f>
        <v>0</v>
      </c>
      <c r="AD51" s="15">
        <f>IFERROR(IF(ISBLANK(W51),IFERROR(VLOOKUP($E51,Sheet3!$H$2:$O$200,AD$1,FALSE),IFERROR(VLOOKUP($F51,Sheet3!$H$2:$O$200,AD$1,FALSE),VLOOKUP($G51,Sheet3!$H$2:$O$200,AD$1,FALSE))),$I$1),$I$1)</f>
        <v>0</v>
      </c>
      <c r="AE51" s="15">
        <f>IFERROR(IF(ISBLANK(X51),IFERROR(VLOOKUP($F51,Sheet3!$H$2:$O$200,AE$1,FALSE),VLOOKUP($G51,Sheet3!$H$2:$O$200,AE$1,FALSE)),$I$1),$I$1)</f>
        <v>0</v>
      </c>
      <c r="AF51" s="15">
        <f>IFERROR(IF(ISBLANK(Y51),IFERROR(VLOOKUP($F51,Sheet3!$H$2:$O$200,AF$1,FALSE),VLOOKUP($G51,Sheet3!$H$2:$O$200,AF$1,FALSE)),$I$1),$I$1)</f>
        <v>0</v>
      </c>
      <c r="AG51" s="15">
        <f>IFERROR(IF(ISBLANK(Z51),IFERROR(VLOOKUP($F51,Sheet3!$H$2:$O$200,AG$1,FALSE),VLOOKUP($G51,Sheet3!$H$2:$O$200,AG$1,FALSE)),$I$1),$I$1)</f>
        <v>0</v>
      </c>
      <c r="AH51" s="15">
        <f>IFERROR(IF(ISBLANK(AA51),IFERROR(VLOOKUP($F51,Sheet3!$H$2:$O$200,AH$1,FALSE),VLOOKUP($G51,Sheet3!$H$2:$O$200,AH$1,FALSE)),$I$1),$I$1)</f>
        <v>0</v>
      </c>
      <c r="AI51" s="15">
        <f>IFERROR(IF(ISBLANK(AB51),IFERROR(VLOOKUP($F51,Sheet3!$H$2:$O$200,AI$1,FALSE),VLOOKUP($G51,Sheet3!$H$2:$O$200,AI$1,FALSE)),$I$1),$I$1)</f>
        <v>0</v>
      </c>
      <c r="AJ51" s="15">
        <f>IFERROR(IF(ISBLANK(AC51),IFERROR(VLOOKUP($F51,Sheet3!$H$2:$O$200,AJ$1,FALSE),VLOOKUP($G51,Sheet3!$H$2:$O$200,AJ$1,FALSE)),$I$1),$I$1)</f>
        <v>0</v>
      </c>
      <c r="AK51" s="15">
        <f>IFERROR(IF(ISBLANK(AD51),IFERROR(VLOOKUP($F51,Sheet3!$H$2:$O$200,AK$1,FALSE),VLOOKUP($G51,Sheet3!$H$2:$O$200,AK$1,FALSE)),$I$1),$I$1)</f>
        <v>0</v>
      </c>
      <c r="AL51" s="15">
        <f>IFERROR(IF(ISBLANK(AE51),VLOOKUP($G51,Sheet3!$H$2:$O$200,AL$1,FALSE),$I$1),$I$1)</f>
        <v>0</v>
      </c>
      <c r="AM51" s="15">
        <f>IFERROR(IF(ISBLANK(AF51),VLOOKUP($G51,Sheet3!$H$2:$O$200,AM$1,FALSE),$I$1),$I$1)</f>
        <v>0</v>
      </c>
      <c r="AN51" s="15">
        <f>IFERROR(IF(ISBLANK(AG51),VLOOKUP($G51,Sheet3!$H$2:$O$200,AN$1,FALSE),$I$1),$I$1)</f>
        <v>0</v>
      </c>
      <c r="AO51" s="15">
        <f>IFERROR(IF(ISBLANK(AH51),VLOOKUP($G51,Sheet3!$H$2:$O$200,AO$1,FALSE),$I$1),$I$1)</f>
        <v>0</v>
      </c>
      <c r="AP51" s="15">
        <f>IFERROR(IF(ISBLANK(AI51),VLOOKUP($G51,Sheet3!$H$2:$O$200,AP$1,FALSE),$I$1),$I$1)</f>
        <v>0</v>
      </c>
      <c r="AQ51" s="15">
        <f>IFERROR(IF(ISBLANK(AJ51),VLOOKUP($G51,Sheet3!$H$2:$O$200,AQ$1,FALSE),$I$1),$I$1)</f>
        <v>0</v>
      </c>
      <c r="AR51" s="15">
        <f>IFERROR(IF(ISBLANK(AK51),VLOOKUP($G51,Sheet3!$H$2:$O$200,AR$1,FALSE),$I$1),$I$1)</f>
        <v>0</v>
      </c>
      <c r="AS51" s="15">
        <f t="shared" ref="AS51:AY51" si="55">IFERROR(IF(ISBLANK(J51),IF(ISBLANK(Q51),IF(ISBLANK(X51),IF(ISBLANK(AE51),IF(ISBLANK(AL51),$BB$1,AL51),AE51),X51),Q51),J51),$BB$1)</f>
        <v>0</v>
      </c>
      <c r="AT51" s="15">
        <f t="shared" si="55"/>
        <v>0</v>
      </c>
      <c r="AU51" s="15">
        <f t="shared" si="55"/>
        <v>0</v>
      </c>
      <c r="AV51" s="15" t="str">
        <f t="shared" si="55"/>
        <v>white crème de cacao</v>
      </c>
      <c r="AW51" s="15">
        <f t="shared" si="55"/>
        <v>0</v>
      </c>
      <c r="AX51" s="15">
        <f t="shared" si="55"/>
        <v>0</v>
      </c>
      <c r="AY51" s="15">
        <f t="shared" si="55"/>
        <v>0</v>
      </c>
      <c r="BA51" s="13">
        <f t="shared" si="1"/>
        <v>35</v>
      </c>
      <c r="BB51" s="15" t="b">
        <f t="shared" si="2"/>
        <v>0</v>
      </c>
    </row>
    <row r="52" spans="1:54" x14ac:dyDescent="0.2">
      <c r="A52" s="19" t="s">
        <v>143</v>
      </c>
      <c r="B52" s="19" t="s">
        <v>144</v>
      </c>
      <c r="C52" s="19" t="s">
        <v>100</v>
      </c>
      <c r="D52" s="19" t="s">
        <v>90</v>
      </c>
      <c r="E52" s="19" t="s">
        <v>45</v>
      </c>
      <c r="F52" s="19"/>
      <c r="G52" s="19"/>
      <c r="H52" s="19" t="s">
        <v>143</v>
      </c>
      <c r="I52" s="15">
        <v>3</v>
      </c>
      <c r="J52" s="15">
        <f>IFERROR(VLOOKUP($C52,Sheet3!$H$2:$O$200,J$1,FALSE),IFERROR(VLOOKUP($D52,Sheet3!$H$2:$O$200,J$1,FALSE),VLOOKUP($E52,Sheet3!$H$2:$O$200,J$1,FALSE)))</f>
        <v>0</v>
      </c>
      <c r="K52" s="15">
        <f>IFERROR(VLOOKUP($C52,Sheet3!$H$2:$O$200,K$1,FALSE),IFERROR(VLOOKUP($D52,Sheet3!$H$2:$O$200,K$1,FALSE),VLOOKUP($E52,Sheet3!$H$2:$O$200,K$1,FALSE)))</f>
        <v>0</v>
      </c>
      <c r="L52" s="15">
        <f>IFERROR(VLOOKUP($C52,Sheet3!$H$2:$O$200,L$1,FALSE),IFERROR(VLOOKUP($D52,Sheet3!$H$2:$O$200,L$1,FALSE),VLOOKUP($E52,Sheet3!$H$2:$O$200,L$1,FALSE)))</f>
        <v>0</v>
      </c>
      <c r="M52" s="15" t="str">
        <f>IFERROR(VLOOKUP($C52,Sheet3!$H$2:$O$200,M$1,FALSE),IFERROR(VLOOKUP($D52,Sheet3!$H$2:$O$200,M$1,FALSE),VLOOKUP($E52,Sheet3!$H$2:$O$200,M$1,FALSE)))</f>
        <v>triple sec</v>
      </c>
      <c r="N52" s="15">
        <f>IFERROR(VLOOKUP($C52,Sheet3!$H$2:$O$200,N$1,FALSE),IFERROR(VLOOKUP($D52,Sheet3!$H$2:$O$200,N$1,FALSE),VLOOKUP($E52,Sheet3!$H$2:$O$200,N$1,FALSE)))</f>
        <v>0</v>
      </c>
      <c r="O52" s="15">
        <f>IFERROR(VLOOKUP($C52,Sheet3!$H$2:$O$200,O$1,FALSE),IFERROR(VLOOKUP($D52,Sheet3!$H$2:$O$200,O$1,FALSE),VLOOKUP($E52,Sheet3!$H$2:$O$200,O$1,FALSE)))</f>
        <v>0</v>
      </c>
      <c r="P52" s="15">
        <f>IFERROR(VLOOKUP($C52,Sheet3!$H$2:$O$200,P$1,FALSE),IFERROR(VLOOKUP($D52,Sheet3!$H$2:$O$200,P$1,FALSE),VLOOKUP($E52,Sheet3!$H$2:$O$200,P$1,FALSE)))</f>
        <v>0</v>
      </c>
      <c r="Q52" s="15">
        <f>IFERROR(IF(ISBLANK(J52),IFERROR(VLOOKUP($D52,Sheet3!$H$2:$O$200,Q$1,FALSE),IFERROR(VLOOKUP($E52,Sheet3!$H$2:$O$200,Q$1,FALSE),VLOOKUP($F52,Sheet3!$H$2:$O$200,Q$1,FALSE))),$I$1),$I$1)</f>
        <v>0</v>
      </c>
      <c r="R52" s="15">
        <f>IFERROR(IF(ISBLANK(K52),IFERROR(VLOOKUP($D52,Sheet3!$H$2:$O$200,R$1,FALSE),IFERROR(VLOOKUP($E52,Sheet3!$H$2:$O$200,R$1,FALSE),VLOOKUP($F52,Sheet3!$H$2:$O$200,R$1,FALSE))),$I$1),$I$1)</f>
        <v>0</v>
      </c>
      <c r="S52" s="15">
        <f>IFERROR(IF(ISBLANK(L52),IFERROR(VLOOKUP($D52,Sheet3!$H$2:$O$200,S$1,FALSE),IFERROR(VLOOKUP($E52,Sheet3!$H$2:$O$200,S$1,FALSE),VLOOKUP($F52,Sheet3!$H$2:$O$200,S$1,FALSE))),$I$1),$I$1)</f>
        <v>0</v>
      </c>
      <c r="T52" s="15">
        <f>IFERROR(IF(ISBLANK(M52),IFERROR(VLOOKUP($D52,Sheet3!$H$2:$O$200,T$1,FALSE),IFERROR(VLOOKUP($E52,Sheet3!$H$2:$O$200,T$1,FALSE),VLOOKUP($F52,Sheet3!$H$2:$O$200,T$1,FALSE))),$I$1),$I$1)</f>
        <v>0</v>
      </c>
      <c r="U52" s="15">
        <f>IFERROR(IF(ISBLANK(N52),IFERROR(VLOOKUP($D52,Sheet3!$H$2:$O$200,U$1,FALSE),IFERROR(VLOOKUP($E52,Sheet3!$H$2:$O$200,U$1,FALSE),VLOOKUP($F52,Sheet3!$H$2:$O$200,U$1,FALSE))),$I$1),$I$1)</f>
        <v>0</v>
      </c>
      <c r="V52" s="15">
        <f>IFERROR(IF(ISBLANK(O52),IFERROR(VLOOKUP($D52,Sheet3!$H$2:$O$200,V$1,FALSE),IFERROR(VLOOKUP($E52,Sheet3!$H$2:$O$200,V$1,FALSE),VLOOKUP($F52,Sheet3!$H$2:$O$200,V$1,FALSE))),$I$1),$I$1)</f>
        <v>0</v>
      </c>
      <c r="W52" s="15">
        <f>IFERROR(IF(ISBLANK(P52),IFERROR(VLOOKUP($D52,Sheet3!$H$2:$O$200,W$1,FALSE),IFERROR(VLOOKUP($E52,Sheet3!$H$2:$O$200,W$1,FALSE),VLOOKUP($F52,Sheet3!$H$2:$O$200,W$1,FALSE))),$I$1),$I$1)</f>
        <v>0</v>
      </c>
      <c r="X52" s="15">
        <f>IFERROR(IF(ISBLANK(Q52),IFERROR(VLOOKUP($E52,Sheet3!$H$2:$O$200,X$1,FALSE),IFERROR(VLOOKUP($F52,Sheet3!$H$2:$O$200,X$1,FALSE),VLOOKUP($G52,Sheet3!$H$2:$O$200,X$1,FALSE))),$I$1),$I$1)</f>
        <v>0</v>
      </c>
      <c r="Y52" s="15">
        <f>IFERROR(IF(ISBLANK(R52),IFERROR(VLOOKUP($E52,Sheet3!$H$2:$O$200,Y$1,FALSE),IFERROR(VLOOKUP($F52,Sheet3!$H$2:$O$200,Y$1,FALSE),VLOOKUP($G52,Sheet3!$H$2:$O$200,Y$1,FALSE))),$I$1),$I$1)</f>
        <v>0</v>
      </c>
      <c r="Z52" s="15">
        <f>IFERROR(IF(ISBLANK(S52),IFERROR(VLOOKUP($E52,Sheet3!$H$2:$O$200,Z$1,FALSE),IFERROR(VLOOKUP($F52,Sheet3!$H$2:$O$200,Z$1,FALSE),VLOOKUP($G52,Sheet3!$H$2:$O$200,Z$1,FALSE))),$I$1),$I$1)</f>
        <v>0</v>
      </c>
      <c r="AA52" s="15">
        <f>IFERROR(IF(ISBLANK(T52),IFERROR(VLOOKUP($E52,Sheet3!$H$2:$O$200,AA$1,FALSE),IFERROR(VLOOKUP($F52,Sheet3!$H$2:$O$200,AA$1,FALSE),VLOOKUP($G52,Sheet3!$H$2:$O$200,AA$1,FALSE))),$I$1),$I$1)</f>
        <v>0</v>
      </c>
      <c r="AB52" s="15">
        <f>IFERROR(IF(ISBLANK(U52),IFERROR(VLOOKUP($E52,Sheet3!$H$2:$O$200,AB$1,FALSE),IFERROR(VLOOKUP($F52,Sheet3!$H$2:$O$200,AB$1,FALSE),VLOOKUP($G52,Sheet3!$H$2:$O$200,AB$1,FALSE))),$I$1),$I$1)</f>
        <v>0</v>
      </c>
      <c r="AC52" s="15">
        <f>IFERROR(IF(ISBLANK(V52),IFERROR(VLOOKUP($E52,Sheet3!$H$2:$O$200,AC$1,FALSE),IFERROR(VLOOKUP($F52,Sheet3!$H$2:$O$200,AC$1,FALSE),VLOOKUP($G52,Sheet3!$H$2:$O$200,AC$1,FALSE))),$I$1),$I$1)</f>
        <v>0</v>
      </c>
      <c r="AD52" s="15">
        <f>IFERROR(IF(ISBLANK(W52),IFERROR(VLOOKUP($E52,Sheet3!$H$2:$O$200,AD$1,FALSE),IFERROR(VLOOKUP($F52,Sheet3!$H$2:$O$200,AD$1,FALSE),VLOOKUP($G52,Sheet3!$H$2:$O$200,AD$1,FALSE))),$I$1),$I$1)</f>
        <v>0</v>
      </c>
      <c r="AE52" s="15">
        <f>IFERROR(IF(ISBLANK(X52),IFERROR(VLOOKUP($F52,Sheet3!$H$2:$O$200,AE$1,FALSE),VLOOKUP($G52,Sheet3!$H$2:$O$200,AE$1,FALSE)),$I$1),$I$1)</f>
        <v>0</v>
      </c>
      <c r="AF52" s="15">
        <f>IFERROR(IF(ISBLANK(Y52),IFERROR(VLOOKUP($F52,Sheet3!$H$2:$O$200,AF$1,FALSE),VLOOKUP($G52,Sheet3!$H$2:$O$200,AF$1,FALSE)),$I$1),$I$1)</f>
        <v>0</v>
      </c>
      <c r="AG52" s="15">
        <f>IFERROR(IF(ISBLANK(Z52),IFERROR(VLOOKUP($F52,Sheet3!$H$2:$O$200,AG$1,FALSE),VLOOKUP($G52,Sheet3!$H$2:$O$200,AG$1,FALSE)),$I$1),$I$1)</f>
        <v>0</v>
      </c>
      <c r="AH52" s="15">
        <f>IFERROR(IF(ISBLANK(AA52),IFERROR(VLOOKUP($F52,Sheet3!$H$2:$O$200,AH$1,FALSE),VLOOKUP($G52,Sheet3!$H$2:$O$200,AH$1,FALSE)),$I$1),$I$1)</f>
        <v>0</v>
      </c>
      <c r="AI52" s="15">
        <f>IFERROR(IF(ISBLANK(AB52),IFERROR(VLOOKUP($F52,Sheet3!$H$2:$O$200,AI$1,FALSE),VLOOKUP($G52,Sheet3!$H$2:$O$200,AI$1,FALSE)),$I$1),$I$1)</f>
        <v>0</v>
      </c>
      <c r="AJ52" s="15">
        <f>IFERROR(IF(ISBLANK(AC52),IFERROR(VLOOKUP($F52,Sheet3!$H$2:$O$200,AJ$1,FALSE),VLOOKUP($G52,Sheet3!$H$2:$O$200,AJ$1,FALSE)),$I$1),$I$1)</f>
        <v>0</v>
      </c>
      <c r="AK52" s="15">
        <f>IFERROR(IF(ISBLANK(AD52),IFERROR(VLOOKUP($F52,Sheet3!$H$2:$O$200,AK$1,FALSE),VLOOKUP($G52,Sheet3!$H$2:$O$200,AK$1,FALSE)),$I$1),$I$1)</f>
        <v>0</v>
      </c>
      <c r="AL52" s="15">
        <f>IFERROR(IF(ISBLANK(AE52),VLOOKUP($G52,Sheet3!$H$2:$O$200,AL$1,FALSE),$I$1),$I$1)</f>
        <v>0</v>
      </c>
      <c r="AM52" s="15">
        <f>IFERROR(IF(ISBLANK(AF52),VLOOKUP($G52,Sheet3!$H$2:$O$200,AM$1,FALSE),$I$1),$I$1)</f>
        <v>0</v>
      </c>
      <c r="AN52" s="15">
        <f>IFERROR(IF(ISBLANK(AG52),VLOOKUP($G52,Sheet3!$H$2:$O$200,AN$1,FALSE),$I$1),$I$1)</f>
        <v>0</v>
      </c>
      <c r="AO52" s="15">
        <f>IFERROR(IF(ISBLANK(AH52),VLOOKUP($G52,Sheet3!$H$2:$O$200,AO$1,FALSE),$I$1),$I$1)</f>
        <v>0</v>
      </c>
      <c r="AP52" s="15">
        <f>IFERROR(IF(ISBLANK(AI52),VLOOKUP($G52,Sheet3!$H$2:$O$200,AP$1,FALSE),$I$1),$I$1)</f>
        <v>0</v>
      </c>
      <c r="AQ52" s="15">
        <f>IFERROR(IF(ISBLANK(AJ52),VLOOKUP($G52,Sheet3!$H$2:$O$200,AQ$1,FALSE),$I$1),$I$1)</f>
        <v>0</v>
      </c>
      <c r="AR52" s="15">
        <f>IFERROR(IF(ISBLANK(AK52),VLOOKUP($G52,Sheet3!$H$2:$O$200,AR$1,FALSE),$I$1),$I$1)</f>
        <v>0</v>
      </c>
      <c r="AS52" s="15">
        <f t="shared" ref="AS52:AV52" si="56">IFERROR(IF(ISBLANK(J52),IF(ISBLANK(Q52),IF(ISBLANK(X52),IF(ISBLANK(AE52),IF(ISBLANK(AL52),$BB$1,AL52),AE52),X52),Q52),J52),$BB$1)</f>
        <v>0</v>
      </c>
      <c r="AT52" s="15">
        <f t="shared" si="56"/>
        <v>0</v>
      </c>
      <c r="AU52" s="15">
        <f t="shared" si="56"/>
        <v>0</v>
      </c>
      <c r="AV52" s="15" t="str">
        <f t="shared" si="56"/>
        <v>triple sec</v>
      </c>
      <c r="AW52" s="11" t="s">
        <v>45</v>
      </c>
      <c r="AX52" s="15">
        <f t="shared" ref="AX52:AY52" si="57">IFERROR(IF(ISBLANK(O52),IF(ISBLANK(V52),IF(ISBLANK(AC52),IF(ISBLANK(AJ52),IF(ISBLANK(AQ52),$BB$1,AQ52),AJ52),AC52),V52),O52),$BB$1)</f>
        <v>0</v>
      </c>
      <c r="AY52" s="15">
        <f t="shared" si="57"/>
        <v>0</v>
      </c>
      <c r="BA52" s="13">
        <f t="shared" si="1"/>
        <v>35</v>
      </c>
      <c r="BB52" s="15" t="b">
        <f t="shared" si="2"/>
        <v>0</v>
      </c>
    </row>
    <row r="53" spans="1:54" x14ac:dyDescent="0.2">
      <c r="A53" s="19" t="s">
        <v>145</v>
      </c>
      <c r="B53" s="19" t="s">
        <v>146</v>
      </c>
      <c r="C53" s="19" t="s">
        <v>31</v>
      </c>
      <c r="D53" s="19"/>
      <c r="E53" s="19" t="s">
        <v>32</v>
      </c>
      <c r="F53" s="19"/>
      <c r="G53" s="19"/>
      <c r="H53" s="19" t="s">
        <v>145</v>
      </c>
      <c r="I53" s="15">
        <v>2</v>
      </c>
      <c r="J53" s="15">
        <f>IFERROR(VLOOKUP($C53,Sheet3!$H$2:$O$200,J$1,FALSE),IFERROR(VLOOKUP($D53,Sheet3!$H$2:$O$200,J$1,FALSE),VLOOKUP($E53,Sheet3!$H$2:$O$200,J$1,FALSE)))</f>
        <v>0</v>
      </c>
      <c r="K53" s="15">
        <f>IFERROR(VLOOKUP($C53,Sheet3!$H$2:$O$200,K$1,FALSE),IFERROR(VLOOKUP($D53,Sheet3!$H$2:$O$200,K$1,FALSE),VLOOKUP($E53,Sheet3!$H$2:$O$200,K$1,FALSE)))</f>
        <v>0</v>
      </c>
      <c r="L53" s="15">
        <f>IFERROR(VLOOKUP($C53,Sheet3!$H$2:$O$200,L$1,FALSE),IFERROR(VLOOKUP($D53,Sheet3!$H$2:$O$200,L$1,FALSE),VLOOKUP($E53,Sheet3!$H$2:$O$200,L$1,FALSE)))</f>
        <v>0</v>
      </c>
      <c r="M53" s="15" t="str">
        <f>IFERROR(VLOOKUP($C53,Sheet3!$H$2:$O$200,M$1,FALSE),IFERROR(VLOOKUP($D53,Sheet3!$H$2:$O$200,M$1,FALSE),VLOOKUP($E53,Sheet3!$H$2:$O$200,M$1,FALSE)))</f>
        <v>white crème de cacao</v>
      </c>
      <c r="N53" s="15">
        <f>IFERROR(VLOOKUP($C53,Sheet3!$H$2:$O$200,N$1,FALSE),IFERROR(VLOOKUP($D53,Sheet3!$H$2:$O$200,N$1,FALSE),VLOOKUP($E53,Sheet3!$H$2:$O$200,N$1,FALSE)))</f>
        <v>0</v>
      </c>
      <c r="O53" s="15">
        <f>IFERROR(VLOOKUP($C53,Sheet3!$H$2:$O$200,O$1,FALSE),IFERROR(VLOOKUP($D53,Sheet3!$H$2:$O$200,O$1,FALSE),VLOOKUP($E53,Sheet3!$H$2:$O$200,O$1,FALSE)))</f>
        <v>0</v>
      </c>
      <c r="P53" s="15">
        <f>IFERROR(VLOOKUP($C53,Sheet3!$H$2:$O$200,P$1,FALSE),IFERROR(VLOOKUP($D53,Sheet3!$H$2:$O$200,P$1,FALSE),VLOOKUP($E53,Sheet3!$H$2:$O$200,P$1,FALSE)))</f>
        <v>0</v>
      </c>
      <c r="Q53" s="15">
        <f>IFERROR(IF(ISBLANK(J53),IFERROR(VLOOKUP($D53,Sheet3!$H$2:$O$200,Q$1,FALSE),IFERROR(VLOOKUP($E53,Sheet3!$H$2:$O$200,Q$1,FALSE),VLOOKUP($F53,Sheet3!$H$2:$O$200,Q$1,FALSE))),$I$1),$I$1)</f>
        <v>0</v>
      </c>
      <c r="R53" s="15">
        <f>IFERROR(IF(ISBLANK(K53),IFERROR(VLOOKUP($D53,Sheet3!$H$2:$O$200,R$1,FALSE),IFERROR(VLOOKUP($E53,Sheet3!$H$2:$O$200,R$1,FALSE),VLOOKUP($F53,Sheet3!$H$2:$O$200,R$1,FALSE))),$I$1),$I$1)</f>
        <v>0</v>
      </c>
      <c r="S53" s="15">
        <f>IFERROR(IF(ISBLANK(L53),IFERROR(VLOOKUP($D53,Sheet3!$H$2:$O$200,S$1,FALSE),IFERROR(VLOOKUP($E53,Sheet3!$H$2:$O$200,S$1,FALSE),VLOOKUP($F53,Sheet3!$H$2:$O$200,S$1,FALSE))),$I$1),$I$1)</f>
        <v>0</v>
      </c>
      <c r="T53" s="15">
        <f>IFERROR(IF(ISBLANK(M53),IFERROR(VLOOKUP($D53,Sheet3!$H$2:$O$200,T$1,FALSE),IFERROR(VLOOKUP($E53,Sheet3!$H$2:$O$200,T$1,FALSE),VLOOKUP($F53,Sheet3!$H$2:$O$200,T$1,FALSE))),$I$1),$I$1)</f>
        <v>0</v>
      </c>
      <c r="U53" s="15">
        <f>IFERROR(IF(ISBLANK(N53),IFERROR(VLOOKUP($D53,Sheet3!$H$2:$O$200,U$1,FALSE),IFERROR(VLOOKUP($E53,Sheet3!$H$2:$O$200,U$1,FALSE),VLOOKUP($F53,Sheet3!$H$2:$O$200,U$1,FALSE))),$I$1),$I$1)</f>
        <v>0</v>
      </c>
      <c r="V53" s="15">
        <f>IFERROR(IF(ISBLANK(O53),IFERROR(VLOOKUP($D53,Sheet3!$H$2:$O$200,V$1,FALSE),IFERROR(VLOOKUP($E53,Sheet3!$H$2:$O$200,V$1,FALSE),VLOOKUP($F53,Sheet3!$H$2:$O$200,V$1,FALSE))),$I$1),$I$1)</f>
        <v>0</v>
      </c>
      <c r="W53" s="15">
        <f>IFERROR(IF(ISBLANK(P53),IFERROR(VLOOKUP($D53,Sheet3!$H$2:$O$200,W$1,FALSE),IFERROR(VLOOKUP($E53,Sheet3!$H$2:$O$200,W$1,FALSE),VLOOKUP($F53,Sheet3!$H$2:$O$200,W$1,FALSE))),$I$1),$I$1)</f>
        <v>0</v>
      </c>
      <c r="X53" s="15">
        <f>IFERROR(IF(ISBLANK(Q53),IFERROR(VLOOKUP($E53,Sheet3!$H$2:$O$200,X$1,FALSE),IFERROR(VLOOKUP($F53,Sheet3!$H$2:$O$200,X$1,FALSE),VLOOKUP($G53,Sheet3!$H$2:$O$200,X$1,FALSE))),$I$1),$I$1)</f>
        <v>0</v>
      </c>
      <c r="Y53" s="15">
        <f>IFERROR(IF(ISBLANK(R53),IFERROR(VLOOKUP($E53,Sheet3!$H$2:$O$200,Y$1,FALSE),IFERROR(VLOOKUP($F53,Sheet3!$H$2:$O$200,Y$1,FALSE),VLOOKUP($G53,Sheet3!$H$2:$O$200,Y$1,FALSE))),$I$1),$I$1)</f>
        <v>0</v>
      </c>
      <c r="Z53" s="15">
        <f>IFERROR(IF(ISBLANK(S53),IFERROR(VLOOKUP($E53,Sheet3!$H$2:$O$200,Z$1,FALSE),IFERROR(VLOOKUP($F53,Sheet3!$H$2:$O$200,Z$1,FALSE),VLOOKUP($G53,Sheet3!$H$2:$O$200,Z$1,FALSE))),$I$1),$I$1)</f>
        <v>0</v>
      </c>
      <c r="AA53" s="15">
        <f>IFERROR(IF(ISBLANK(T53),IFERROR(VLOOKUP($E53,Sheet3!$H$2:$O$200,AA$1,FALSE),IFERROR(VLOOKUP($F53,Sheet3!$H$2:$O$200,AA$1,FALSE),VLOOKUP($G53,Sheet3!$H$2:$O$200,AA$1,FALSE))),$I$1),$I$1)</f>
        <v>0</v>
      </c>
      <c r="AB53" s="15">
        <f>IFERROR(IF(ISBLANK(U53),IFERROR(VLOOKUP($E53,Sheet3!$H$2:$O$200,AB$1,FALSE),IFERROR(VLOOKUP($F53,Sheet3!$H$2:$O$200,AB$1,FALSE),VLOOKUP($G53,Sheet3!$H$2:$O$200,AB$1,FALSE))),$I$1),$I$1)</f>
        <v>0</v>
      </c>
      <c r="AC53" s="15">
        <f>IFERROR(IF(ISBLANK(V53),IFERROR(VLOOKUP($E53,Sheet3!$H$2:$O$200,AC$1,FALSE),IFERROR(VLOOKUP($F53,Sheet3!$H$2:$O$200,AC$1,FALSE),VLOOKUP($G53,Sheet3!$H$2:$O$200,AC$1,FALSE))),$I$1),$I$1)</f>
        <v>0</v>
      </c>
      <c r="AD53" s="15">
        <f>IFERROR(IF(ISBLANK(W53),IFERROR(VLOOKUP($E53,Sheet3!$H$2:$O$200,AD$1,FALSE),IFERROR(VLOOKUP($F53,Sheet3!$H$2:$O$200,AD$1,FALSE),VLOOKUP($G53,Sheet3!$H$2:$O$200,AD$1,FALSE))),$I$1),$I$1)</f>
        <v>0</v>
      </c>
      <c r="AE53" s="15">
        <f>IFERROR(IF(ISBLANK(X53),IFERROR(VLOOKUP($F53,Sheet3!$H$2:$O$200,AE$1,FALSE),VLOOKUP($G53,Sheet3!$H$2:$O$200,AE$1,FALSE)),$I$1),$I$1)</f>
        <v>0</v>
      </c>
      <c r="AF53" s="15">
        <f>IFERROR(IF(ISBLANK(Y53),IFERROR(VLOOKUP($F53,Sheet3!$H$2:$O$200,AF$1,FALSE),VLOOKUP($G53,Sheet3!$H$2:$O$200,AF$1,FALSE)),$I$1),$I$1)</f>
        <v>0</v>
      </c>
      <c r="AG53" s="15">
        <f>IFERROR(IF(ISBLANK(Z53),IFERROR(VLOOKUP($F53,Sheet3!$H$2:$O$200,AG$1,FALSE),VLOOKUP($G53,Sheet3!$H$2:$O$200,AG$1,FALSE)),$I$1),$I$1)</f>
        <v>0</v>
      </c>
      <c r="AH53" s="15">
        <f>IFERROR(IF(ISBLANK(AA53),IFERROR(VLOOKUP($F53,Sheet3!$H$2:$O$200,AH$1,FALSE),VLOOKUP($G53,Sheet3!$H$2:$O$200,AH$1,FALSE)),$I$1),$I$1)</f>
        <v>0</v>
      </c>
      <c r="AI53" s="15">
        <f>IFERROR(IF(ISBLANK(AB53),IFERROR(VLOOKUP($F53,Sheet3!$H$2:$O$200,AI$1,FALSE),VLOOKUP($G53,Sheet3!$H$2:$O$200,AI$1,FALSE)),$I$1),$I$1)</f>
        <v>0</v>
      </c>
      <c r="AJ53" s="15">
        <f>IFERROR(IF(ISBLANK(AC53),IFERROR(VLOOKUP($F53,Sheet3!$H$2:$O$200,AJ$1,FALSE),VLOOKUP($G53,Sheet3!$H$2:$O$200,AJ$1,FALSE)),$I$1),$I$1)</f>
        <v>0</v>
      </c>
      <c r="AK53" s="15">
        <f>IFERROR(IF(ISBLANK(AD53),IFERROR(VLOOKUP($F53,Sheet3!$H$2:$O$200,AK$1,FALSE),VLOOKUP($G53,Sheet3!$H$2:$O$200,AK$1,FALSE)),$I$1),$I$1)</f>
        <v>0</v>
      </c>
      <c r="AL53" s="15">
        <f>IFERROR(IF(ISBLANK(AE53),VLOOKUP($G53,Sheet3!$H$2:$O$200,AL$1,FALSE),$I$1),$I$1)</f>
        <v>0</v>
      </c>
      <c r="AM53" s="15">
        <f>IFERROR(IF(ISBLANK(AF53),VLOOKUP($G53,Sheet3!$H$2:$O$200,AM$1,FALSE),$I$1),$I$1)</f>
        <v>0</v>
      </c>
      <c r="AN53" s="15">
        <f>IFERROR(IF(ISBLANK(AG53),VLOOKUP($G53,Sheet3!$H$2:$O$200,AN$1,FALSE),$I$1),$I$1)</f>
        <v>0</v>
      </c>
      <c r="AO53" s="15">
        <f>IFERROR(IF(ISBLANK(AH53),VLOOKUP($G53,Sheet3!$H$2:$O$200,AO$1,FALSE),$I$1),$I$1)</f>
        <v>0</v>
      </c>
      <c r="AP53" s="15">
        <f>IFERROR(IF(ISBLANK(AI53),VLOOKUP($G53,Sheet3!$H$2:$O$200,AP$1,FALSE),$I$1),$I$1)</f>
        <v>0</v>
      </c>
      <c r="AQ53" s="15">
        <f>IFERROR(IF(ISBLANK(AJ53),VLOOKUP($G53,Sheet3!$H$2:$O$200,AQ$1,FALSE),$I$1),$I$1)</f>
        <v>0</v>
      </c>
      <c r="AR53" s="15">
        <f>IFERROR(IF(ISBLANK(AK53),VLOOKUP($G53,Sheet3!$H$2:$O$200,AR$1,FALSE),$I$1),$I$1)</f>
        <v>0</v>
      </c>
      <c r="AS53" s="15">
        <f t="shared" ref="AS53:AY53" si="58">IFERROR(IF(ISBLANK(J53),IF(ISBLANK(Q53),IF(ISBLANK(X53),IF(ISBLANK(AE53),IF(ISBLANK(AL53),$BB$1,AL53),AE53),X53),Q53),J53),$BB$1)</f>
        <v>0</v>
      </c>
      <c r="AT53" s="15">
        <f t="shared" si="58"/>
        <v>0</v>
      </c>
      <c r="AU53" s="15">
        <f t="shared" si="58"/>
        <v>0</v>
      </c>
      <c r="AV53" s="15" t="str">
        <f t="shared" si="58"/>
        <v>white crème de cacao</v>
      </c>
      <c r="AW53" s="15">
        <f t="shared" si="58"/>
        <v>0</v>
      </c>
      <c r="AX53" s="15">
        <f t="shared" si="58"/>
        <v>0</v>
      </c>
      <c r="AY53" s="15">
        <f t="shared" si="58"/>
        <v>0</v>
      </c>
      <c r="BA53" s="13">
        <f t="shared" si="1"/>
        <v>35</v>
      </c>
      <c r="BB53" s="15" t="b">
        <f t="shared" si="2"/>
        <v>0</v>
      </c>
    </row>
    <row r="54" spans="1:54" x14ac:dyDescent="0.2">
      <c r="A54" s="19" t="s">
        <v>147</v>
      </c>
      <c r="B54" s="19" t="s">
        <v>148</v>
      </c>
      <c r="C54" s="19" t="s">
        <v>31</v>
      </c>
      <c r="D54" s="19"/>
      <c r="E54" s="19" t="s">
        <v>32</v>
      </c>
      <c r="F54" s="19"/>
      <c r="G54" s="19"/>
      <c r="H54" s="19" t="s">
        <v>147</v>
      </c>
      <c r="I54" s="15">
        <v>2</v>
      </c>
      <c r="J54" s="15">
        <f>IFERROR(VLOOKUP($C54,Sheet3!$H$2:$O$200,J$1,FALSE),IFERROR(VLOOKUP($D54,Sheet3!$H$2:$O$200,J$1,FALSE),VLOOKUP($E54,Sheet3!$H$2:$O$200,J$1,FALSE)))</f>
        <v>0</v>
      </c>
      <c r="K54" s="15">
        <f>IFERROR(VLOOKUP($C54,Sheet3!$H$2:$O$200,K$1,FALSE),IFERROR(VLOOKUP($D54,Sheet3!$H$2:$O$200,K$1,FALSE),VLOOKUP($E54,Sheet3!$H$2:$O$200,K$1,FALSE)))</f>
        <v>0</v>
      </c>
      <c r="L54" s="15">
        <f>IFERROR(VLOOKUP($C54,Sheet3!$H$2:$O$200,L$1,FALSE),IFERROR(VLOOKUP($D54,Sheet3!$H$2:$O$200,L$1,FALSE),VLOOKUP($E54,Sheet3!$H$2:$O$200,L$1,FALSE)))</f>
        <v>0</v>
      </c>
      <c r="M54" s="15" t="str">
        <f>IFERROR(VLOOKUP($C54,Sheet3!$H$2:$O$200,M$1,FALSE),IFERROR(VLOOKUP($D54,Sheet3!$H$2:$O$200,M$1,FALSE),VLOOKUP($E54,Sheet3!$H$2:$O$200,M$1,FALSE)))</f>
        <v>white crème de cacao</v>
      </c>
      <c r="N54" s="15">
        <f>IFERROR(VLOOKUP($C54,Sheet3!$H$2:$O$200,N$1,FALSE),IFERROR(VLOOKUP($D54,Sheet3!$H$2:$O$200,N$1,FALSE),VLOOKUP($E54,Sheet3!$H$2:$O$200,N$1,FALSE)))</f>
        <v>0</v>
      </c>
      <c r="O54" s="15">
        <f>IFERROR(VLOOKUP($C54,Sheet3!$H$2:$O$200,O$1,FALSE),IFERROR(VLOOKUP($D54,Sheet3!$H$2:$O$200,O$1,FALSE),VLOOKUP($E54,Sheet3!$H$2:$O$200,O$1,FALSE)))</f>
        <v>0</v>
      </c>
      <c r="P54" s="15">
        <f>IFERROR(VLOOKUP($C54,Sheet3!$H$2:$O$200,P$1,FALSE),IFERROR(VLOOKUP($D54,Sheet3!$H$2:$O$200,P$1,FALSE),VLOOKUP($E54,Sheet3!$H$2:$O$200,P$1,FALSE)))</f>
        <v>0</v>
      </c>
      <c r="Q54" s="15">
        <f>IFERROR(IF(ISBLANK(J54),IFERROR(VLOOKUP($D54,Sheet3!$H$2:$O$200,Q$1,FALSE),IFERROR(VLOOKUP($E54,Sheet3!$H$2:$O$200,Q$1,FALSE),VLOOKUP($F54,Sheet3!$H$2:$O$200,Q$1,FALSE))),$I$1),$I$1)</f>
        <v>0</v>
      </c>
      <c r="R54" s="15">
        <f>IFERROR(IF(ISBLANK(K54),IFERROR(VLOOKUP($D54,Sheet3!$H$2:$O$200,R$1,FALSE),IFERROR(VLOOKUP($E54,Sheet3!$H$2:$O$200,R$1,FALSE),VLOOKUP($F54,Sheet3!$H$2:$O$200,R$1,FALSE))),$I$1),$I$1)</f>
        <v>0</v>
      </c>
      <c r="S54" s="15">
        <f>IFERROR(IF(ISBLANK(L54),IFERROR(VLOOKUP($D54,Sheet3!$H$2:$O$200,S$1,FALSE),IFERROR(VLOOKUP($E54,Sheet3!$H$2:$O$200,S$1,FALSE),VLOOKUP($F54,Sheet3!$H$2:$O$200,S$1,FALSE))),$I$1),$I$1)</f>
        <v>0</v>
      </c>
      <c r="T54" s="15">
        <f>IFERROR(IF(ISBLANK(M54),IFERROR(VLOOKUP($D54,Sheet3!$H$2:$O$200,T$1,FALSE),IFERROR(VLOOKUP($E54,Sheet3!$H$2:$O$200,T$1,FALSE),VLOOKUP($F54,Sheet3!$H$2:$O$200,T$1,FALSE))),$I$1),$I$1)</f>
        <v>0</v>
      </c>
      <c r="U54" s="15">
        <f>IFERROR(IF(ISBLANK(N54),IFERROR(VLOOKUP($D54,Sheet3!$H$2:$O$200,U$1,FALSE),IFERROR(VLOOKUP($E54,Sheet3!$H$2:$O$200,U$1,FALSE),VLOOKUP($F54,Sheet3!$H$2:$O$200,U$1,FALSE))),$I$1),$I$1)</f>
        <v>0</v>
      </c>
      <c r="V54" s="15">
        <f>IFERROR(IF(ISBLANK(O54),IFERROR(VLOOKUP($D54,Sheet3!$H$2:$O$200,V$1,FALSE),IFERROR(VLOOKUP($E54,Sheet3!$H$2:$O$200,V$1,FALSE),VLOOKUP($F54,Sheet3!$H$2:$O$200,V$1,FALSE))),$I$1),$I$1)</f>
        <v>0</v>
      </c>
      <c r="W54" s="15">
        <f>IFERROR(IF(ISBLANK(P54),IFERROR(VLOOKUP($D54,Sheet3!$H$2:$O$200,W$1,FALSE),IFERROR(VLOOKUP($E54,Sheet3!$H$2:$O$200,W$1,FALSE),VLOOKUP($F54,Sheet3!$H$2:$O$200,W$1,FALSE))),$I$1),$I$1)</f>
        <v>0</v>
      </c>
      <c r="X54" s="15">
        <f>IFERROR(IF(ISBLANK(Q54),IFERROR(VLOOKUP($E54,Sheet3!$H$2:$O$200,X$1,FALSE),IFERROR(VLOOKUP($F54,Sheet3!$H$2:$O$200,X$1,FALSE),VLOOKUP($G54,Sheet3!$H$2:$O$200,X$1,FALSE))),$I$1),$I$1)</f>
        <v>0</v>
      </c>
      <c r="Y54" s="15">
        <f>IFERROR(IF(ISBLANK(R54),IFERROR(VLOOKUP($E54,Sheet3!$H$2:$O$200,Y$1,FALSE),IFERROR(VLOOKUP($F54,Sheet3!$H$2:$O$200,Y$1,FALSE),VLOOKUP($G54,Sheet3!$H$2:$O$200,Y$1,FALSE))),$I$1),$I$1)</f>
        <v>0</v>
      </c>
      <c r="Z54" s="15">
        <f>IFERROR(IF(ISBLANK(S54),IFERROR(VLOOKUP($E54,Sheet3!$H$2:$O$200,Z$1,FALSE),IFERROR(VLOOKUP($F54,Sheet3!$H$2:$O$200,Z$1,FALSE),VLOOKUP($G54,Sheet3!$H$2:$O$200,Z$1,FALSE))),$I$1),$I$1)</f>
        <v>0</v>
      </c>
      <c r="AA54" s="15">
        <f>IFERROR(IF(ISBLANK(T54),IFERROR(VLOOKUP($E54,Sheet3!$H$2:$O$200,AA$1,FALSE),IFERROR(VLOOKUP($F54,Sheet3!$H$2:$O$200,AA$1,FALSE),VLOOKUP($G54,Sheet3!$H$2:$O$200,AA$1,FALSE))),$I$1),$I$1)</f>
        <v>0</v>
      </c>
      <c r="AB54" s="15">
        <f>IFERROR(IF(ISBLANK(U54),IFERROR(VLOOKUP($E54,Sheet3!$H$2:$O$200,AB$1,FALSE),IFERROR(VLOOKUP($F54,Sheet3!$H$2:$O$200,AB$1,FALSE),VLOOKUP($G54,Sheet3!$H$2:$O$200,AB$1,FALSE))),$I$1),$I$1)</f>
        <v>0</v>
      </c>
      <c r="AC54" s="15">
        <f>IFERROR(IF(ISBLANK(V54),IFERROR(VLOOKUP($E54,Sheet3!$H$2:$O$200,AC$1,FALSE),IFERROR(VLOOKUP($F54,Sheet3!$H$2:$O$200,AC$1,FALSE),VLOOKUP($G54,Sheet3!$H$2:$O$200,AC$1,FALSE))),$I$1),$I$1)</f>
        <v>0</v>
      </c>
      <c r="AD54" s="15">
        <f>IFERROR(IF(ISBLANK(W54),IFERROR(VLOOKUP($E54,Sheet3!$H$2:$O$200,AD$1,FALSE),IFERROR(VLOOKUP($F54,Sheet3!$H$2:$O$200,AD$1,FALSE),VLOOKUP($G54,Sheet3!$H$2:$O$200,AD$1,FALSE))),$I$1),$I$1)</f>
        <v>0</v>
      </c>
      <c r="AE54" s="15">
        <f>IFERROR(IF(ISBLANK(X54),IFERROR(VLOOKUP($F54,Sheet3!$H$2:$O$200,AE$1,FALSE),VLOOKUP($G54,Sheet3!$H$2:$O$200,AE$1,FALSE)),$I$1),$I$1)</f>
        <v>0</v>
      </c>
      <c r="AF54" s="15">
        <f>IFERROR(IF(ISBLANK(Y54),IFERROR(VLOOKUP($F54,Sheet3!$H$2:$O$200,AF$1,FALSE),VLOOKUP($G54,Sheet3!$H$2:$O$200,AF$1,FALSE)),$I$1),$I$1)</f>
        <v>0</v>
      </c>
      <c r="AG54" s="15">
        <f>IFERROR(IF(ISBLANK(Z54),IFERROR(VLOOKUP($F54,Sheet3!$H$2:$O$200,AG$1,FALSE),VLOOKUP($G54,Sheet3!$H$2:$O$200,AG$1,FALSE)),$I$1),$I$1)</f>
        <v>0</v>
      </c>
      <c r="AH54" s="15">
        <f>IFERROR(IF(ISBLANK(AA54),IFERROR(VLOOKUP($F54,Sheet3!$H$2:$O$200,AH$1,FALSE),VLOOKUP($G54,Sheet3!$H$2:$O$200,AH$1,FALSE)),$I$1),$I$1)</f>
        <v>0</v>
      </c>
      <c r="AI54" s="15">
        <f>IFERROR(IF(ISBLANK(AB54),IFERROR(VLOOKUP($F54,Sheet3!$H$2:$O$200,AI$1,FALSE),VLOOKUP($G54,Sheet3!$H$2:$O$200,AI$1,FALSE)),$I$1),$I$1)</f>
        <v>0</v>
      </c>
      <c r="AJ54" s="15">
        <f>IFERROR(IF(ISBLANK(AC54),IFERROR(VLOOKUP($F54,Sheet3!$H$2:$O$200,AJ$1,FALSE),VLOOKUP($G54,Sheet3!$H$2:$O$200,AJ$1,FALSE)),$I$1),$I$1)</f>
        <v>0</v>
      </c>
      <c r="AK54" s="15">
        <f>IFERROR(IF(ISBLANK(AD54),IFERROR(VLOOKUP($F54,Sheet3!$H$2:$O$200,AK$1,FALSE),VLOOKUP($G54,Sheet3!$H$2:$O$200,AK$1,FALSE)),$I$1),$I$1)</f>
        <v>0</v>
      </c>
      <c r="AL54" s="15">
        <f>IFERROR(IF(ISBLANK(AE54),VLOOKUP($G54,Sheet3!$H$2:$O$200,AL$1,FALSE),$I$1),$I$1)</f>
        <v>0</v>
      </c>
      <c r="AM54" s="15">
        <f>IFERROR(IF(ISBLANK(AF54),VLOOKUP($G54,Sheet3!$H$2:$O$200,AM$1,FALSE),$I$1),$I$1)</f>
        <v>0</v>
      </c>
      <c r="AN54" s="15">
        <f>IFERROR(IF(ISBLANK(AG54),VLOOKUP($G54,Sheet3!$H$2:$O$200,AN$1,FALSE),$I$1),$I$1)</f>
        <v>0</v>
      </c>
      <c r="AO54" s="15">
        <f>IFERROR(IF(ISBLANK(AH54),VLOOKUP($G54,Sheet3!$H$2:$O$200,AO$1,FALSE),$I$1),$I$1)</f>
        <v>0</v>
      </c>
      <c r="AP54" s="15">
        <f>IFERROR(IF(ISBLANK(AI54),VLOOKUP($G54,Sheet3!$H$2:$O$200,AP$1,FALSE),$I$1),$I$1)</f>
        <v>0</v>
      </c>
      <c r="AQ54" s="15">
        <f>IFERROR(IF(ISBLANK(AJ54),VLOOKUP($G54,Sheet3!$H$2:$O$200,AQ$1,FALSE),$I$1),$I$1)</f>
        <v>0</v>
      </c>
      <c r="AR54" s="15">
        <f>IFERROR(IF(ISBLANK(AK54),VLOOKUP($G54,Sheet3!$H$2:$O$200,AR$1,FALSE),$I$1),$I$1)</f>
        <v>0</v>
      </c>
      <c r="AS54" s="15">
        <f t="shared" ref="AS54:AY54" si="59">IFERROR(IF(ISBLANK(J54),IF(ISBLANK(Q54),IF(ISBLANK(X54),IF(ISBLANK(AE54),IF(ISBLANK(AL54),$BB$1,AL54),AE54),X54),Q54),J54),$BB$1)</f>
        <v>0</v>
      </c>
      <c r="AT54" s="15">
        <f t="shared" si="59"/>
        <v>0</v>
      </c>
      <c r="AU54" s="15">
        <f t="shared" si="59"/>
        <v>0</v>
      </c>
      <c r="AV54" s="15" t="str">
        <f t="shared" si="59"/>
        <v>white crème de cacao</v>
      </c>
      <c r="AW54" s="15">
        <f t="shared" si="59"/>
        <v>0</v>
      </c>
      <c r="AX54" s="15">
        <f t="shared" si="59"/>
        <v>0</v>
      </c>
      <c r="AY54" s="15">
        <f t="shared" si="59"/>
        <v>0</v>
      </c>
      <c r="BA54" s="13">
        <f t="shared" si="1"/>
        <v>35</v>
      </c>
      <c r="BB54" s="15" t="b">
        <f t="shared" si="2"/>
        <v>0</v>
      </c>
    </row>
    <row r="55" spans="1:54" x14ac:dyDescent="0.2">
      <c r="A55" s="19" t="s">
        <v>149</v>
      </c>
      <c r="B55" s="19" t="s">
        <v>148</v>
      </c>
      <c r="C55" s="19" t="s">
        <v>53</v>
      </c>
      <c r="D55" s="19"/>
      <c r="E55" s="19"/>
      <c r="F55" s="19"/>
      <c r="G55" s="19"/>
      <c r="H55" s="19" t="s">
        <v>149</v>
      </c>
      <c r="I55" s="15">
        <v>1</v>
      </c>
      <c r="J55" s="15">
        <f>IFERROR(VLOOKUP($C55,Sheet3!$H$2:$O$200,J$1,FALSE),IFERROR(VLOOKUP($D55,Sheet3!$H$2:$O$200,J$1,FALSE),VLOOKUP($E55,Sheet3!$H$2:$O$200,J$1,FALSE)))</f>
        <v>0</v>
      </c>
      <c r="K55" s="15">
        <f>IFERROR(VLOOKUP($C55,Sheet3!$H$2:$O$200,K$1,FALSE),IFERROR(VLOOKUP($D55,Sheet3!$H$2:$O$200,K$1,FALSE),VLOOKUP($E55,Sheet3!$H$2:$O$200,K$1,FALSE)))</f>
        <v>0</v>
      </c>
      <c r="L55" s="15">
        <f>IFERROR(VLOOKUP($C55,Sheet3!$H$2:$O$200,L$1,FALSE),IFERROR(VLOOKUP($D55,Sheet3!$H$2:$O$200,L$1,FALSE),VLOOKUP($E55,Sheet3!$H$2:$O$200,L$1,FALSE)))</f>
        <v>0</v>
      </c>
      <c r="M55" s="15" t="str">
        <f>IFERROR(VLOOKUP($C55,Sheet3!$H$2:$O$200,M$1,FALSE),IFERROR(VLOOKUP($D55,Sheet3!$H$2:$O$200,M$1,FALSE),VLOOKUP($E55,Sheet3!$H$2:$O$200,M$1,FALSE)))</f>
        <v>Dubonnet</v>
      </c>
      <c r="N55" s="15">
        <f>IFERROR(VLOOKUP($C55,Sheet3!$H$2:$O$200,N$1,FALSE),IFERROR(VLOOKUP($D55,Sheet3!$H$2:$O$200,N$1,FALSE),VLOOKUP($E55,Sheet3!$H$2:$O$200,N$1,FALSE)))</f>
        <v>0</v>
      </c>
      <c r="O55" s="15">
        <f>IFERROR(VLOOKUP($C55,Sheet3!$H$2:$O$200,O$1,FALSE),IFERROR(VLOOKUP($D55,Sheet3!$H$2:$O$200,O$1,FALSE),VLOOKUP($E55,Sheet3!$H$2:$O$200,O$1,FALSE)))</f>
        <v>0</v>
      </c>
      <c r="P55" s="15">
        <f>IFERROR(VLOOKUP($C55,Sheet3!$H$2:$O$200,P$1,FALSE),IFERROR(VLOOKUP($D55,Sheet3!$H$2:$O$200,P$1,FALSE),VLOOKUP($E55,Sheet3!$H$2:$O$200,P$1,FALSE)))</f>
        <v>0</v>
      </c>
      <c r="Q55" s="15">
        <f>IFERROR(IF(ISBLANK(J55),IFERROR(VLOOKUP($D55,Sheet3!$H$2:$O$200,Q$1,FALSE),IFERROR(VLOOKUP($E55,Sheet3!$H$2:$O$200,Q$1,FALSE),VLOOKUP($F55,Sheet3!$H$2:$O$200,Q$1,FALSE))),$I$1),$I$1)</f>
        <v>0</v>
      </c>
      <c r="R55" s="15">
        <f>IFERROR(IF(ISBLANK(K55),IFERROR(VLOOKUP($D55,Sheet3!$H$2:$O$200,R$1,FALSE),IFERROR(VLOOKUP($E55,Sheet3!$H$2:$O$200,R$1,FALSE),VLOOKUP($F55,Sheet3!$H$2:$O$200,R$1,FALSE))),$I$1),$I$1)</f>
        <v>0</v>
      </c>
      <c r="S55" s="15">
        <f>IFERROR(IF(ISBLANK(L55),IFERROR(VLOOKUP($D55,Sheet3!$H$2:$O$200,S$1,FALSE),IFERROR(VLOOKUP($E55,Sheet3!$H$2:$O$200,S$1,FALSE),VLOOKUP($F55,Sheet3!$H$2:$O$200,S$1,FALSE))),$I$1),$I$1)</f>
        <v>0</v>
      </c>
      <c r="T55" s="15">
        <f>IFERROR(IF(ISBLANK(M55),IFERROR(VLOOKUP($D55,Sheet3!$H$2:$O$200,T$1,FALSE),IFERROR(VLOOKUP($E55,Sheet3!$H$2:$O$200,T$1,FALSE),VLOOKUP($F55,Sheet3!$H$2:$O$200,T$1,FALSE))),$I$1),$I$1)</f>
        <v>0</v>
      </c>
      <c r="U55" s="15">
        <f>IFERROR(IF(ISBLANK(N55),IFERROR(VLOOKUP($D55,Sheet3!$H$2:$O$200,U$1,FALSE),IFERROR(VLOOKUP($E55,Sheet3!$H$2:$O$200,U$1,FALSE),VLOOKUP($F55,Sheet3!$H$2:$O$200,U$1,FALSE))),$I$1),$I$1)</f>
        <v>0</v>
      </c>
      <c r="V55" s="15">
        <f>IFERROR(IF(ISBLANK(O55),IFERROR(VLOOKUP($D55,Sheet3!$H$2:$O$200,V$1,FALSE),IFERROR(VLOOKUP($E55,Sheet3!$H$2:$O$200,V$1,FALSE),VLOOKUP($F55,Sheet3!$H$2:$O$200,V$1,FALSE))),$I$1),$I$1)</f>
        <v>0</v>
      </c>
      <c r="W55" s="15">
        <f>IFERROR(IF(ISBLANK(P55),IFERROR(VLOOKUP($D55,Sheet3!$H$2:$O$200,W$1,FALSE),IFERROR(VLOOKUP($E55,Sheet3!$H$2:$O$200,W$1,FALSE),VLOOKUP($F55,Sheet3!$H$2:$O$200,W$1,FALSE))),$I$1),$I$1)</f>
        <v>0</v>
      </c>
      <c r="X55" s="15">
        <f>IFERROR(IF(ISBLANK(Q55),IFERROR(VLOOKUP($E55,Sheet3!$H$2:$O$200,X$1,FALSE),IFERROR(VLOOKUP($F55,Sheet3!$H$2:$O$200,X$1,FALSE),VLOOKUP($G55,Sheet3!$H$2:$O$200,X$1,FALSE))),$I$1),$I$1)</f>
        <v>0</v>
      </c>
      <c r="Y55" s="15">
        <f>IFERROR(IF(ISBLANK(R55),IFERROR(VLOOKUP($E55,Sheet3!$H$2:$O$200,Y$1,FALSE),IFERROR(VLOOKUP($F55,Sheet3!$H$2:$O$200,Y$1,FALSE),VLOOKUP($G55,Sheet3!$H$2:$O$200,Y$1,FALSE))),$I$1),$I$1)</f>
        <v>0</v>
      </c>
      <c r="Z55" s="15">
        <f>IFERROR(IF(ISBLANK(S55),IFERROR(VLOOKUP($E55,Sheet3!$H$2:$O$200,Z$1,FALSE),IFERROR(VLOOKUP($F55,Sheet3!$H$2:$O$200,Z$1,FALSE),VLOOKUP($G55,Sheet3!$H$2:$O$200,Z$1,FALSE))),$I$1),$I$1)</f>
        <v>0</v>
      </c>
      <c r="AA55" s="15">
        <f>IFERROR(IF(ISBLANK(T55),IFERROR(VLOOKUP($E55,Sheet3!$H$2:$O$200,AA$1,FALSE),IFERROR(VLOOKUP($F55,Sheet3!$H$2:$O$200,AA$1,FALSE),VLOOKUP($G55,Sheet3!$H$2:$O$200,AA$1,FALSE))),$I$1),$I$1)</f>
        <v>0</v>
      </c>
      <c r="AB55" s="15">
        <f>IFERROR(IF(ISBLANK(U55),IFERROR(VLOOKUP($E55,Sheet3!$H$2:$O$200,AB$1,FALSE),IFERROR(VLOOKUP($F55,Sheet3!$H$2:$O$200,AB$1,FALSE),VLOOKUP($G55,Sheet3!$H$2:$O$200,AB$1,FALSE))),$I$1),$I$1)</f>
        <v>0</v>
      </c>
      <c r="AC55" s="15">
        <f>IFERROR(IF(ISBLANK(V55),IFERROR(VLOOKUP($E55,Sheet3!$H$2:$O$200,AC$1,FALSE),IFERROR(VLOOKUP($F55,Sheet3!$H$2:$O$200,AC$1,FALSE),VLOOKUP($G55,Sheet3!$H$2:$O$200,AC$1,FALSE))),$I$1),$I$1)</f>
        <v>0</v>
      </c>
      <c r="AD55" s="15">
        <f>IFERROR(IF(ISBLANK(W55),IFERROR(VLOOKUP($E55,Sheet3!$H$2:$O$200,AD$1,FALSE),IFERROR(VLOOKUP($F55,Sheet3!$H$2:$O$200,AD$1,FALSE),VLOOKUP($G55,Sheet3!$H$2:$O$200,AD$1,FALSE))),$I$1),$I$1)</f>
        <v>0</v>
      </c>
      <c r="AE55" s="15">
        <f>IFERROR(IF(ISBLANK(X55),IFERROR(VLOOKUP($F55,Sheet3!$H$2:$O$200,AE$1,FALSE),VLOOKUP($G55,Sheet3!$H$2:$O$200,AE$1,FALSE)),$I$1),$I$1)</f>
        <v>0</v>
      </c>
      <c r="AF55" s="15">
        <f>IFERROR(IF(ISBLANK(Y55),IFERROR(VLOOKUP($F55,Sheet3!$H$2:$O$200,AF$1,FALSE),VLOOKUP($G55,Sheet3!$H$2:$O$200,AF$1,FALSE)),$I$1),$I$1)</f>
        <v>0</v>
      </c>
      <c r="AG55" s="15">
        <f>IFERROR(IF(ISBLANK(Z55),IFERROR(VLOOKUP($F55,Sheet3!$H$2:$O$200,AG$1,FALSE),VLOOKUP($G55,Sheet3!$H$2:$O$200,AG$1,FALSE)),$I$1),$I$1)</f>
        <v>0</v>
      </c>
      <c r="AH55" s="15">
        <f>IFERROR(IF(ISBLANK(AA55),IFERROR(VLOOKUP($F55,Sheet3!$H$2:$O$200,AH$1,FALSE),VLOOKUP($G55,Sheet3!$H$2:$O$200,AH$1,FALSE)),$I$1),$I$1)</f>
        <v>0</v>
      </c>
      <c r="AI55" s="15">
        <f>IFERROR(IF(ISBLANK(AB55),IFERROR(VLOOKUP($F55,Sheet3!$H$2:$O$200,AI$1,FALSE),VLOOKUP($G55,Sheet3!$H$2:$O$200,AI$1,FALSE)),$I$1),$I$1)</f>
        <v>0</v>
      </c>
      <c r="AJ55" s="15">
        <f>IFERROR(IF(ISBLANK(AC55),IFERROR(VLOOKUP($F55,Sheet3!$H$2:$O$200,AJ$1,FALSE),VLOOKUP($G55,Sheet3!$H$2:$O$200,AJ$1,FALSE)),$I$1),$I$1)</f>
        <v>0</v>
      </c>
      <c r="AK55" s="15">
        <f>IFERROR(IF(ISBLANK(AD55),IFERROR(VLOOKUP($F55,Sheet3!$H$2:$O$200,AK$1,FALSE),VLOOKUP($G55,Sheet3!$H$2:$O$200,AK$1,FALSE)),$I$1),$I$1)</f>
        <v>0</v>
      </c>
      <c r="AL55" s="15">
        <f>IFERROR(IF(ISBLANK(AE55),VLOOKUP($G55,Sheet3!$H$2:$O$200,AL$1,FALSE),$I$1),$I$1)</f>
        <v>0</v>
      </c>
      <c r="AM55" s="15">
        <f>IFERROR(IF(ISBLANK(AF55),VLOOKUP($G55,Sheet3!$H$2:$O$200,AM$1,FALSE),$I$1),$I$1)</f>
        <v>0</v>
      </c>
      <c r="AN55" s="15">
        <f>IFERROR(IF(ISBLANK(AG55),VLOOKUP($G55,Sheet3!$H$2:$O$200,AN$1,FALSE),$I$1),$I$1)</f>
        <v>0</v>
      </c>
      <c r="AO55" s="15">
        <f>IFERROR(IF(ISBLANK(AH55),VLOOKUP($G55,Sheet3!$H$2:$O$200,AO$1,FALSE),$I$1),$I$1)</f>
        <v>0</v>
      </c>
      <c r="AP55" s="15">
        <f>IFERROR(IF(ISBLANK(AI55),VLOOKUP($G55,Sheet3!$H$2:$O$200,AP$1,FALSE),$I$1),$I$1)</f>
        <v>0</v>
      </c>
      <c r="AQ55" s="15">
        <f>IFERROR(IF(ISBLANK(AJ55),VLOOKUP($G55,Sheet3!$H$2:$O$200,AQ$1,FALSE),$I$1),$I$1)</f>
        <v>0</v>
      </c>
      <c r="AR55" s="15">
        <f>IFERROR(IF(ISBLANK(AK55),VLOOKUP($G55,Sheet3!$H$2:$O$200,AR$1,FALSE),$I$1),$I$1)</f>
        <v>0</v>
      </c>
      <c r="AS55" s="15">
        <f t="shared" ref="AS55:AY55" si="60">IFERROR(IF(ISBLANK(J55),IF(ISBLANK(Q55),IF(ISBLANK(X55),IF(ISBLANK(AE55),IF(ISBLANK(AL55),$BB$1,AL55),AE55),X55),Q55),J55),$BB$1)</f>
        <v>0</v>
      </c>
      <c r="AT55" s="15">
        <f t="shared" si="60"/>
        <v>0</v>
      </c>
      <c r="AU55" s="15">
        <f t="shared" si="60"/>
        <v>0</v>
      </c>
      <c r="AV55" s="15" t="str">
        <f t="shared" si="60"/>
        <v>Dubonnet</v>
      </c>
      <c r="AW55" s="15">
        <f t="shared" si="60"/>
        <v>0</v>
      </c>
      <c r="AX55" s="15">
        <f t="shared" si="60"/>
        <v>0</v>
      </c>
      <c r="AY55" s="15">
        <f t="shared" si="60"/>
        <v>0</v>
      </c>
      <c r="BA55" s="13">
        <f t="shared" si="1"/>
        <v>35</v>
      </c>
      <c r="BB55" s="15" t="b">
        <f t="shared" si="2"/>
        <v>0</v>
      </c>
    </row>
    <row r="56" spans="1:54" x14ac:dyDescent="0.2">
      <c r="A56" s="19" t="s">
        <v>150</v>
      </c>
      <c r="B56" s="19" t="s">
        <v>148</v>
      </c>
      <c r="C56" s="19" t="s">
        <v>151</v>
      </c>
      <c r="D56" s="19"/>
      <c r="E56" s="19"/>
      <c r="F56" s="19"/>
      <c r="G56" s="19"/>
      <c r="H56" s="19" t="s">
        <v>150</v>
      </c>
      <c r="I56" s="15">
        <v>1</v>
      </c>
      <c r="J56" s="15">
        <f>IFERROR(VLOOKUP($C56,Sheet3!$H$2:$O$200,J$1,FALSE),IFERROR(VLOOKUP($D56,Sheet3!$H$2:$O$200,J$1,FALSE),VLOOKUP($E56,Sheet3!$H$2:$O$200,J$1,FALSE)))</f>
        <v>0</v>
      </c>
      <c r="K56" s="15">
        <f>IFERROR(VLOOKUP($C56,Sheet3!$H$2:$O$200,K$1,FALSE),IFERROR(VLOOKUP($D56,Sheet3!$H$2:$O$200,K$1,FALSE),VLOOKUP($E56,Sheet3!$H$2:$O$200,K$1,FALSE)))</f>
        <v>0</v>
      </c>
      <c r="L56" s="15">
        <f>IFERROR(VLOOKUP($C56,Sheet3!$H$2:$O$200,L$1,FALSE),IFERROR(VLOOKUP($D56,Sheet3!$H$2:$O$200,L$1,FALSE),VLOOKUP($E56,Sheet3!$H$2:$O$200,L$1,FALSE)))</f>
        <v>0</v>
      </c>
      <c r="M56" s="15" t="str">
        <f>IFERROR(VLOOKUP($C56,Sheet3!$H$2:$O$200,M$1,FALSE),IFERROR(VLOOKUP($D56,Sheet3!$H$2:$O$200,M$1,FALSE),VLOOKUP($E56,Sheet3!$H$2:$O$200,M$1,FALSE)))</f>
        <v>Goldschlager</v>
      </c>
      <c r="N56" s="15">
        <f>IFERROR(VLOOKUP($C56,Sheet3!$H$2:$O$200,N$1,FALSE),IFERROR(VLOOKUP($D56,Sheet3!$H$2:$O$200,N$1,FALSE),VLOOKUP($E56,Sheet3!$H$2:$O$200,N$1,FALSE)))</f>
        <v>0</v>
      </c>
      <c r="O56" s="15">
        <f>IFERROR(VLOOKUP($C56,Sheet3!$H$2:$O$200,O$1,FALSE),IFERROR(VLOOKUP($D56,Sheet3!$H$2:$O$200,O$1,FALSE),VLOOKUP($E56,Sheet3!$H$2:$O$200,O$1,FALSE)))</f>
        <v>0</v>
      </c>
      <c r="P56" s="15">
        <f>IFERROR(VLOOKUP($C56,Sheet3!$H$2:$O$200,P$1,FALSE),IFERROR(VLOOKUP($D56,Sheet3!$H$2:$O$200,P$1,FALSE),VLOOKUP($E56,Sheet3!$H$2:$O$200,P$1,FALSE)))</f>
        <v>0</v>
      </c>
      <c r="Q56" s="15">
        <f>IFERROR(IF(ISBLANK(J56),IFERROR(VLOOKUP($D56,Sheet3!$H$2:$O$200,Q$1,FALSE),IFERROR(VLOOKUP($E56,Sheet3!$H$2:$O$200,Q$1,FALSE),VLOOKUP($F56,Sheet3!$H$2:$O$200,Q$1,FALSE))),$I$1),$I$1)</f>
        <v>0</v>
      </c>
      <c r="R56" s="15">
        <f>IFERROR(IF(ISBLANK(K56),IFERROR(VLOOKUP($D56,Sheet3!$H$2:$O$200,R$1,FALSE),IFERROR(VLOOKUP($E56,Sheet3!$H$2:$O$200,R$1,FALSE),VLOOKUP($F56,Sheet3!$H$2:$O$200,R$1,FALSE))),$I$1),$I$1)</f>
        <v>0</v>
      </c>
      <c r="S56" s="15">
        <f>IFERROR(IF(ISBLANK(L56),IFERROR(VLOOKUP($D56,Sheet3!$H$2:$O$200,S$1,FALSE),IFERROR(VLOOKUP($E56,Sheet3!$H$2:$O$200,S$1,FALSE),VLOOKUP($F56,Sheet3!$H$2:$O$200,S$1,FALSE))),$I$1),$I$1)</f>
        <v>0</v>
      </c>
      <c r="T56" s="15">
        <f>IFERROR(IF(ISBLANK(M56),IFERROR(VLOOKUP($D56,Sheet3!$H$2:$O$200,T$1,FALSE),IFERROR(VLOOKUP($E56,Sheet3!$H$2:$O$200,T$1,FALSE),VLOOKUP($F56,Sheet3!$H$2:$O$200,T$1,FALSE))),$I$1),$I$1)</f>
        <v>0</v>
      </c>
      <c r="U56" s="15">
        <f>IFERROR(IF(ISBLANK(N56),IFERROR(VLOOKUP($D56,Sheet3!$H$2:$O$200,U$1,FALSE),IFERROR(VLOOKUP($E56,Sheet3!$H$2:$O$200,U$1,FALSE),VLOOKUP($F56,Sheet3!$H$2:$O$200,U$1,FALSE))),$I$1),$I$1)</f>
        <v>0</v>
      </c>
      <c r="V56" s="15">
        <f>IFERROR(IF(ISBLANK(O56),IFERROR(VLOOKUP($D56,Sheet3!$H$2:$O$200,V$1,FALSE),IFERROR(VLOOKUP($E56,Sheet3!$H$2:$O$200,V$1,FALSE),VLOOKUP($F56,Sheet3!$H$2:$O$200,V$1,FALSE))),$I$1),$I$1)</f>
        <v>0</v>
      </c>
      <c r="W56" s="15">
        <f>IFERROR(IF(ISBLANK(P56),IFERROR(VLOOKUP($D56,Sheet3!$H$2:$O$200,W$1,FALSE),IFERROR(VLOOKUP($E56,Sheet3!$H$2:$O$200,W$1,FALSE),VLOOKUP($F56,Sheet3!$H$2:$O$200,W$1,FALSE))),$I$1),$I$1)</f>
        <v>0</v>
      </c>
      <c r="X56" s="15">
        <f>IFERROR(IF(ISBLANK(Q56),IFERROR(VLOOKUP($E56,Sheet3!$H$2:$O$200,X$1,FALSE),IFERROR(VLOOKUP($F56,Sheet3!$H$2:$O$200,X$1,FALSE),VLOOKUP($G56,Sheet3!$H$2:$O$200,X$1,FALSE))),$I$1),$I$1)</f>
        <v>0</v>
      </c>
      <c r="Y56" s="15">
        <f>IFERROR(IF(ISBLANK(R56),IFERROR(VLOOKUP($E56,Sheet3!$H$2:$O$200,Y$1,FALSE),IFERROR(VLOOKUP($F56,Sheet3!$H$2:$O$200,Y$1,FALSE),VLOOKUP($G56,Sheet3!$H$2:$O$200,Y$1,FALSE))),$I$1),$I$1)</f>
        <v>0</v>
      </c>
      <c r="Z56" s="15">
        <f>IFERROR(IF(ISBLANK(S56),IFERROR(VLOOKUP($E56,Sheet3!$H$2:$O$200,Z$1,FALSE),IFERROR(VLOOKUP($F56,Sheet3!$H$2:$O$200,Z$1,FALSE),VLOOKUP($G56,Sheet3!$H$2:$O$200,Z$1,FALSE))),$I$1),$I$1)</f>
        <v>0</v>
      </c>
      <c r="AA56" s="15">
        <f>IFERROR(IF(ISBLANK(T56),IFERROR(VLOOKUP($E56,Sheet3!$H$2:$O$200,AA$1,FALSE),IFERROR(VLOOKUP($F56,Sheet3!$H$2:$O$200,AA$1,FALSE),VLOOKUP($G56,Sheet3!$H$2:$O$200,AA$1,FALSE))),$I$1),$I$1)</f>
        <v>0</v>
      </c>
      <c r="AB56" s="15">
        <f>IFERROR(IF(ISBLANK(U56),IFERROR(VLOOKUP($E56,Sheet3!$H$2:$O$200,AB$1,FALSE),IFERROR(VLOOKUP($F56,Sheet3!$H$2:$O$200,AB$1,FALSE),VLOOKUP($G56,Sheet3!$H$2:$O$200,AB$1,FALSE))),$I$1),$I$1)</f>
        <v>0</v>
      </c>
      <c r="AC56" s="15">
        <f>IFERROR(IF(ISBLANK(V56),IFERROR(VLOOKUP($E56,Sheet3!$H$2:$O$200,AC$1,FALSE),IFERROR(VLOOKUP($F56,Sheet3!$H$2:$O$200,AC$1,FALSE),VLOOKUP($G56,Sheet3!$H$2:$O$200,AC$1,FALSE))),$I$1),$I$1)</f>
        <v>0</v>
      </c>
      <c r="AD56" s="15">
        <f>IFERROR(IF(ISBLANK(W56),IFERROR(VLOOKUP($E56,Sheet3!$H$2:$O$200,AD$1,FALSE),IFERROR(VLOOKUP($F56,Sheet3!$H$2:$O$200,AD$1,FALSE),VLOOKUP($G56,Sheet3!$H$2:$O$200,AD$1,FALSE))),$I$1),$I$1)</f>
        <v>0</v>
      </c>
      <c r="AE56" s="15">
        <f>IFERROR(IF(ISBLANK(X56),IFERROR(VLOOKUP($F56,Sheet3!$H$2:$O$200,AE$1,FALSE),VLOOKUP($G56,Sheet3!$H$2:$O$200,AE$1,FALSE)),$I$1),$I$1)</f>
        <v>0</v>
      </c>
      <c r="AF56" s="15">
        <f>IFERROR(IF(ISBLANK(Y56),IFERROR(VLOOKUP($F56,Sheet3!$H$2:$O$200,AF$1,FALSE),VLOOKUP($G56,Sheet3!$H$2:$O$200,AF$1,FALSE)),$I$1),$I$1)</f>
        <v>0</v>
      </c>
      <c r="AG56" s="15">
        <f>IFERROR(IF(ISBLANK(Z56),IFERROR(VLOOKUP($F56,Sheet3!$H$2:$O$200,AG$1,FALSE),VLOOKUP($G56,Sheet3!$H$2:$O$200,AG$1,FALSE)),$I$1),$I$1)</f>
        <v>0</v>
      </c>
      <c r="AH56" s="15">
        <f>IFERROR(IF(ISBLANK(AA56),IFERROR(VLOOKUP($F56,Sheet3!$H$2:$O$200,AH$1,FALSE),VLOOKUP($G56,Sheet3!$H$2:$O$200,AH$1,FALSE)),$I$1),$I$1)</f>
        <v>0</v>
      </c>
      <c r="AI56" s="15">
        <f>IFERROR(IF(ISBLANK(AB56),IFERROR(VLOOKUP($F56,Sheet3!$H$2:$O$200,AI$1,FALSE),VLOOKUP($G56,Sheet3!$H$2:$O$200,AI$1,FALSE)),$I$1),$I$1)</f>
        <v>0</v>
      </c>
      <c r="AJ56" s="15">
        <f>IFERROR(IF(ISBLANK(AC56),IFERROR(VLOOKUP($F56,Sheet3!$H$2:$O$200,AJ$1,FALSE),VLOOKUP($G56,Sheet3!$H$2:$O$200,AJ$1,FALSE)),$I$1),$I$1)</f>
        <v>0</v>
      </c>
      <c r="AK56" s="15">
        <f>IFERROR(IF(ISBLANK(AD56),IFERROR(VLOOKUP($F56,Sheet3!$H$2:$O$200,AK$1,FALSE),VLOOKUP($G56,Sheet3!$H$2:$O$200,AK$1,FALSE)),$I$1),$I$1)</f>
        <v>0</v>
      </c>
      <c r="AL56" s="15">
        <f>IFERROR(IF(ISBLANK(AE56),VLOOKUP($G56,Sheet3!$H$2:$O$200,AL$1,FALSE),$I$1),$I$1)</f>
        <v>0</v>
      </c>
      <c r="AM56" s="15">
        <f>IFERROR(IF(ISBLANK(AF56),VLOOKUP($G56,Sheet3!$H$2:$O$200,AM$1,FALSE),$I$1),$I$1)</f>
        <v>0</v>
      </c>
      <c r="AN56" s="15">
        <f>IFERROR(IF(ISBLANK(AG56),VLOOKUP($G56,Sheet3!$H$2:$O$200,AN$1,FALSE),$I$1),$I$1)</f>
        <v>0</v>
      </c>
      <c r="AO56" s="15">
        <f>IFERROR(IF(ISBLANK(AH56),VLOOKUP($G56,Sheet3!$H$2:$O$200,AO$1,FALSE),$I$1),$I$1)</f>
        <v>0</v>
      </c>
      <c r="AP56" s="15">
        <f>IFERROR(IF(ISBLANK(AI56),VLOOKUP($G56,Sheet3!$H$2:$O$200,AP$1,FALSE),$I$1),$I$1)</f>
        <v>0</v>
      </c>
      <c r="AQ56" s="15">
        <f>IFERROR(IF(ISBLANK(AJ56),VLOOKUP($G56,Sheet3!$H$2:$O$200,AQ$1,FALSE),$I$1),$I$1)</f>
        <v>0</v>
      </c>
      <c r="AR56" s="15">
        <f>IFERROR(IF(ISBLANK(AK56),VLOOKUP($G56,Sheet3!$H$2:$O$200,AR$1,FALSE),$I$1),$I$1)</f>
        <v>0</v>
      </c>
      <c r="AS56" s="15">
        <f t="shared" ref="AS56:AY56" si="61">IFERROR(IF(ISBLANK(J56),IF(ISBLANK(Q56),IF(ISBLANK(X56),IF(ISBLANK(AE56),IF(ISBLANK(AL56),$BB$1,AL56),AE56),X56),Q56),J56),$BB$1)</f>
        <v>0</v>
      </c>
      <c r="AT56" s="15">
        <f t="shared" si="61"/>
        <v>0</v>
      </c>
      <c r="AU56" s="15">
        <f t="shared" si="61"/>
        <v>0</v>
      </c>
      <c r="AV56" s="15" t="str">
        <f t="shared" si="61"/>
        <v>Goldschlager</v>
      </c>
      <c r="AW56" s="15">
        <f t="shared" si="61"/>
        <v>0</v>
      </c>
      <c r="AX56" s="15">
        <f t="shared" si="61"/>
        <v>0</v>
      </c>
      <c r="AY56" s="15">
        <f t="shared" si="61"/>
        <v>0</v>
      </c>
      <c r="BA56" s="13">
        <f t="shared" si="1"/>
        <v>35</v>
      </c>
      <c r="BB56" s="15" t="b">
        <f t="shared" si="2"/>
        <v>0</v>
      </c>
    </row>
    <row r="57" spans="1:54" x14ac:dyDescent="0.2">
      <c r="A57" s="19" t="s">
        <v>152</v>
      </c>
      <c r="B57" s="19" t="s">
        <v>148</v>
      </c>
      <c r="C57" s="19" t="s">
        <v>153</v>
      </c>
      <c r="D57" s="19"/>
      <c r="E57" s="19"/>
      <c r="F57" s="19"/>
      <c r="G57" s="19"/>
      <c r="H57" s="19" t="s">
        <v>152</v>
      </c>
      <c r="I57" s="15">
        <v>1</v>
      </c>
      <c r="J57" s="15">
        <f>IFERROR(VLOOKUP($C57,Sheet3!$H$2:$O$200,J$1,FALSE),IFERROR(VLOOKUP($D57,Sheet3!$H$2:$O$200,J$1,FALSE),VLOOKUP($E57,Sheet3!$H$2:$O$200,J$1,FALSE)))</f>
        <v>0</v>
      </c>
      <c r="K57" s="15">
        <f>IFERROR(VLOOKUP($C57,Sheet3!$H$2:$O$200,K$1,FALSE),IFERROR(VLOOKUP($D57,Sheet3!$H$2:$O$200,K$1,FALSE),VLOOKUP($E57,Sheet3!$H$2:$O$200,K$1,FALSE)))</f>
        <v>0</v>
      </c>
      <c r="L57" s="15">
        <f>IFERROR(VLOOKUP($C57,Sheet3!$H$2:$O$200,L$1,FALSE),IFERROR(VLOOKUP($D57,Sheet3!$H$2:$O$200,L$1,FALSE),VLOOKUP($E57,Sheet3!$H$2:$O$200,L$1,FALSE)))</f>
        <v>0</v>
      </c>
      <c r="M57" s="15" t="str">
        <f>IFERROR(VLOOKUP($C57,Sheet3!$H$2:$O$200,M$1,FALSE),IFERROR(VLOOKUP($D57,Sheet3!$H$2:$O$200,M$1,FALSE),VLOOKUP($E57,Sheet3!$H$2:$O$200,M$1,FALSE)))</f>
        <v>yellow Chartreuse</v>
      </c>
      <c r="N57" s="15">
        <f>IFERROR(VLOOKUP($C57,Sheet3!$H$2:$O$200,N$1,FALSE),IFERROR(VLOOKUP($D57,Sheet3!$H$2:$O$200,N$1,FALSE),VLOOKUP($E57,Sheet3!$H$2:$O$200,N$1,FALSE)))</f>
        <v>0</v>
      </c>
      <c r="O57" s="15">
        <f>IFERROR(VLOOKUP($C57,Sheet3!$H$2:$O$200,O$1,FALSE),IFERROR(VLOOKUP($D57,Sheet3!$H$2:$O$200,O$1,FALSE),VLOOKUP($E57,Sheet3!$H$2:$O$200,O$1,FALSE)))</f>
        <v>0</v>
      </c>
      <c r="P57" s="15">
        <f>IFERROR(VLOOKUP($C57,Sheet3!$H$2:$O$200,P$1,FALSE),IFERROR(VLOOKUP($D57,Sheet3!$H$2:$O$200,P$1,FALSE),VLOOKUP($E57,Sheet3!$H$2:$O$200,P$1,FALSE)))</f>
        <v>0</v>
      </c>
      <c r="Q57" s="15">
        <f>IFERROR(IF(ISBLANK(J57),IFERROR(VLOOKUP($D57,Sheet3!$H$2:$O$200,Q$1,FALSE),IFERROR(VLOOKUP($E57,Sheet3!$H$2:$O$200,Q$1,FALSE),VLOOKUP($F57,Sheet3!$H$2:$O$200,Q$1,FALSE))),$I$1),$I$1)</f>
        <v>0</v>
      </c>
      <c r="R57" s="15">
        <f>IFERROR(IF(ISBLANK(K57),IFERROR(VLOOKUP($D57,Sheet3!$H$2:$O$200,R$1,FALSE),IFERROR(VLOOKUP($E57,Sheet3!$H$2:$O$200,R$1,FALSE),VLOOKUP($F57,Sheet3!$H$2:$O$200,R$1,FALSE))),$I$1),$I$1)</f>
        <v>0</v>
      </c>
      <c r="S57" s="15">
        <f>IFERROR(IF(ISBLANK(L57),IFERROR(VLOOKUP($D57,Sheet3!$H$2:$O$200,S$1,FALSE),IFERROR(VLOOKUP($E57,Sheet3!$H$2:$O$200,S$1,FALSE),VLOOKUP($F57,Sheet3!$H$2:$O$200,S$1,FALSE))),$I$1),$I$1)</f>
        <v>0</v>
      </c>
      <c r="T57" s="15">
        <f>IFERROR(IF(ISBLANK(M57),IFERROR(VLOOKUP($D57,Sheet3!$H$2:$O$200,T$1,FALSE),IFERROR(VLOOKUP($E57,Sheet3!$H$2:$O$200,T$1,FALSE),VLOOKUP($F57,Sheet3!$H$2:$O$200,T$1,FALSE))),$I$1),$I$1)</f>
        <v>0</v>
      </c>
      <c r="U57" s="15">
        <f>IFERROR(IF(ISBLANK(N57),IFERROR(VLOOKUP($D57,Sheet3!$H$2:$O$200,U$1,FALSE),IFERROR(VLOOKUP($E57,Sheet3!$H$2:$O$200,U$1,FALSE),VLOOKUP($F57,Sheet3!$H$2:$O$200,U$1,FALSE))),$I$1),$I$1)</f>
        <v>0</v>
      </c>
      <c r="V57" s="15">
        <f>IFERROR(IF(ISBLANK(O57),IFERROR(VLOOKUP($D57,Sheet3!$H$2:$O$200,V$1,FALSE),IFERROR(VLOOKUP($E57,Sheet3!$H$2:$O$200,V$1,FALSE),VLOOKUP($F57,Sheet3!$H$2:$O$200,V$1,FALSE))),$I$1),$I$1)</f>
        <v>0</v>
      </c>
      <c r="W57" s="15">
        <f>IFERROR(IF(ISBLANK(P57),IFERROR(VLOOKUP($D57,Sheet3!$H$2:$O$200,W$1,FALSE),IFERROR(VLOOKUP($E57,Sheet3!$H$2:$O$200,W$1,FALSE),VLOOKUP($F57,Sheet3!$H$2:$O$200,W$1,FALSE))),$I$1),$I$1)</f>
        <v>0</v>
      </c>
      <c r="X57" s="15">
        <f>IFERROR(IF(ISBLANK(Q57),IFERROR(VLOOKUP($E57,Sheet3!$H$2:$O$200,X$1,FALSE),IFERROR(VLOOKUP($F57,Sheet3!$H$2:$O$200,X$1,FALSE),VLOOKUP($G57,Sheet3!$H$2:$O$200,X$1,FALSE))),$I$1),$I$1)</f>
        <v>0</v>
      </c>
      <c r="Y57" s="15">
        <f>IFERROR(IF(ISBLANK(R57),IFERROR(VLOOKUP($E57,Sheet3!$H$2:$O$200,Y$1,FALSE),IFERROR(VLOOKUP($F57,Sheet3!$H$2:$O$200,Y$1,FALSE),VLOOKUP($G57,Sheet3!$H$2:$O$200,Y$1,FALSE))),$I$1),$I$1)</f>
        <v>0</v>
      </c>
      <c r="Z57" s="15">
        <f>IFERROR(IF(ISBLANK(S57),IFERROR(VLOOKUP($E57,Sheet3!$H$2:$O$200,Z$1,FALSE),IFERROR(VLOOKUP($F57,Sheet3!$H$2:$O$200,Z$1,FALSE),VLOOKUP($G57,Sheet3!$H$2:$O$200,Z$1,FALSE))),$I$1),$I$1)</f>
        <v>0</v>
      </c>
      <c r="AA57" s="15">
        <f>IFERROR(IF(ISBLANK(T57),IFERROR(VLOOKUP($E57,Sheet3!$H$2:$O$200,AA$1,FALSE),IFERROR(VLOOKUP($F57,Sheet3!$H$2:$O$200,AA$1,FALSE),VLOOKUP($G57,Sheet3!$H$2:$O$200,AA$1,FALSE))),$I$1),$I$1)</f>
        <v>0</v>
      </c>
      <c r="AB57" s="15">
        <f>IFERROR(IF(ISBLANK(U57),IFERROR(VLOOKUP($E57,Sheet3!$H$2:$O$200,AB$1,FALSE),IFERROR(VLOOKUP($F57,Sheet3!$H$2:$O$200,AB$1,FALSE),VLOOKUP($G57,Sheet3!$H$2:$O$200,AB$1,FALSE))),$I$1),$I$1)</f>
        <v>0</v>
      </c>
      <c r="AC57" s="15">
        <f>IFERROR(IF(ISBLANK(V57),IFERROR(VLOOKUP($E57,Sheet3!$H$2:$O$200,AC$1,FALSE),IFERROR(VLOOKUP($F57,Sheet3!$H$2:$O$200,AC$1,FALSE),VLOOKUP($G57,Sheet3!$H$2:$O$200,AC$1,FALSE))),$I$1),$I$1)</f>
        <v>0</v>
      </c>
      <c r="AD57" s="15">
        <f>IFERROR(IF(ISBLANK(W57),IFERROR(VLOOKUP($E57,Sheet3!$H$2:$O$200,AD$1,FALSE),IFERROR(VLOOKUP($F57,Sheet3!$H$2:$O$200,AD$1,FALSE),VLOOKUP($G57,Sheet3!$H$2:$O$200,AD$1,FALSE))),$I$1),$I$1)</f>
        <v>0</v>
      </c>
      <c r="AE57" s="15">
        <f>IFERROR(IF(ISBLANK(X57),IFERROR(VLOOKUP($F57,Sheet3!$H$2:$O$200,AE$1,FALSE),VLOOKUP($G57,Sheet3!$H$2:$O$200,AE$1,FALSE)),$I$1),$I$1)</f>
        <v>0</v>
      </c>
      <c r="AF57" s="15">
        <f>IFERROR(IF(ISBLANK(Y57),IFERROR(VLOOKUP($F57,Sheet3!$H$2:$O$200,AF$1,FALSE),VLOOKUP($G57,Sheet3!$H$2:$O$200,AF$1,FALSE)),$I$1),$I$1)</f>
        <v>0</v>
      </c>
      <c r="AG57" s="15">
        <f>IFERROR(IF(ISBLANK(Z57),IFERROR(VLOOKUP($F57,Sheet3!$H$2:$O$200,AG$1,FALSE),VLOOKUP($G57,Sheet3!$H$2:$O$200,AG$1,FALSE)),$I$1),$I$1)</f>
        <v>0</v>
      </c>
      <c r="AH57" s="15">
        <f>IFERROR(IF(ISBLANK(AA57),IFERROR(VLOOKUP($F57,Sheet3!$H$2:$O$200,AH$1,FALSE),VLOOKUP($G57,Sheet3!$H$2:$O$200,AH$1,FALSE)),$I$1),$I$1)</f>
        <v>0</v>
      </c>
      <c r="AI57" s="15">
        <f>IFERROR(IF(ISBLANK(AB57),IFERROR(VLOOKUP($F57,Sheet3!$H$2:$O$200,AI$1,FALSE),VLOOKUP($G57,Sheet3!$H$2:$O$200,AI$1,FALSE)),$I$1),$I$1)</f>
        <v>0</v>
      </c>
      <c r="AJ57" s="15">
        <f>IFERROR(IF(ISBLANK(AC57),IFERROR(VLOOKUP($F57,Sheet3!$H$2:$O$200,AJ$1,FALSE),VLOOKUP($G57,Sheet3!$H$2:$O$200,AJ$1,FALSE)),$I$1),$I$1)</f>
        <v>0</v>
      </c>
      <c r="AK57" s="15">
        <f>IFERROR(IF(ISBLANK(AD57),IFERROR(VLOOKUP($F57,Sheet3!$H$2:$O$200,AK$1,FALSE),VLOOKUP($G57,Sheet3!$H$2:$O$200,AK$1,FALSE)),$I$1),$I$1)</f>
        <v>0</v>
      </c>
      <c r="AL57" s="15">
        <f>IFERROR(IF(ISBLANK(AE57),VLOOKUP($G57,Sheet3!$H$2:$O$200,AL$1,FALSE),$I$1),$I$1)</f>
        <v>0</v>
      </c>
      <c r="AM57" s="15">
        <f>IFERROR(IF(ISBLANK(AF57),VLOOKUP($G57,Sheet3!$H$2:$O$200,AM$1,FALSE),$I$1),$I$1)</f>
        <v>0</v>
      </c>
      <c r="AN57" s="15">
        <f>IFERROR(IF(ISBLANK(AG57),VLOOKUP($G57,Sheet3!$H$2:$O$200,AN$1,FALSE),$I$1),$I$1)</f>
        <v>0</v>
      </c>
      <c r="AO57" s="15">
        <f>IFERROR(IF(ISBLANK(AH57),VLOOKUP($G57,Sheet3!$H$2:$O$200,AO$1,FALSE),$I$1),$I$1)</f>
        <v>0</v>
      </c>
      <c r="AP57" s="15">
        <f>IFERROR(IF(ISBLANK(AI57),VLOOKUP($G57,Sheet3!$H$2:$O$200,AP$1,FALSE),$I$1),$I$1)</f>
        <v>0</v>
      </c>
      <c r="AQ57" s="15">
        <f>IFERROR(IF(ISBLANK(AJ57),VLOOKUP($G57,Sheet3!$H$2:$O$200,AQ$1,FALSE),$I$1),$I$1)</f>
        <v>0</v>
      </c>
      <c r="AR57" s="15">
        <f>IFERROR(IF(ISBLANK(AK57),VLOOKUP($G57,Sheet3!$H$2:$O$200,AR$1,FALSE),$I$1),$I$1)</f>
        <v>0</v>
      </c>
      <c r="AS57" s="15">
        <f t="shared" ref="AS57:AY57" si="62">IFERROR(IF(ISBLANK(J57),IF(ISBLANK(Q57),IF(ISBLANK(X57),IF(ISBLANK(AE57),IF(ISBLANK(AL57),$BB$1,AL57),AE57),X57),Q57),J57),$BB$1)</f>
        <v>0</v>
      </c>
      <c r="AT57" s="15">
        <f t="shared" si="62"/>
        <v>0</v>
      </c>
      <c r="AU57" s="15">
        <f t="shared" si="62"/>
        <v>0</v>
      </c>
      <c r="AV57" s="15" t="str">
        <f t="shared" si="62"/>
        <v>yellow Chartreuse</v>
      </c>
      <c r="AW57" s="15">
        <f t="shared" si="62"/>
        <v>0</v>
      </c>
      <c r="AX57" s="15">
        <f t="shared" si="62"/>
        <v>0</v>
      </c>
      <c r="AY57" s="15">
        <f t="shared" si="62"/>
        <v>0</v>
      </c>
      <c r="BA57" s="13">
        <f t="shared" si="1"/>
        <v>35</v>
      </c>
      <c r="BB57" s="15" t="b">
        <f t="shared" si="2"/>
        <v>0</v>
      </c>
    </row>
    <row r="58" spans="1:54" x14ac:dyDescent="0.2">
      <c r="A58" s="19" t="s">
        <v>154</v>
      </c>
      <c r="B58" s="19" t="s">
        <v>148</v>
      </c>
      <c r="C58" s="19" t="s">
        <v>62</v>
      </c>
      <c r="D58" s="19" t="s">
        <v>90</v>
      </c>
      <c r="E58" s="19"/>
      <c r="F58" s="19"/>
      <c r="G58" s="19"/>
      <c r="H58" s="19" t="s">
        <v>154</v>
      </c>
      <c r="I58" s="15">
        <v>2</v>
      </c>
      <c r="J58" s="15">
        <f>IFERROR(VLOOKUP($C58,Sheet3!$H$2:$O$200,J$1,FALSE),IFERROR(VLOOKUP($D58,Sheet3!$H$2:$O$200,J$1,FALSE),VLOOKUP($E58,Sheet3!$H$2:$O$200,J$1,FALSE)))</f>
        <v>0</v>
      </c>
      <c r="K58" s="15" t="str">
        <f>IFERROR(VLOOKUP($C58,Sheet3!$H$2:$O$200,K$1,FALSE),IFERROR(VLOOKUP($D58,Sheet3!$H$2:$O$200,K$1,FALSE),VLOOKUP($E58,Sheet3!$H$2:$O$200,K$1,FALSE)))</f>
        <v>club soda</v>
      </c>
      <c r="L58" s="15">
        <f>IFERROR(VLOOKUP($C58,Sheet3!$H$2:$O$200,L$1,FALSE),IFERROR(VLOOKUP($D58,Sheet3!$H$2:$O$200,L$1,FALSE),VLOOKUP($E58,Sheet3!$H$2:$O$200,L$1,FALSE)))</f>
        <v>0</v>
      </c>
      <c r="M58" s="15">
        <f>IFERROR(VLOOKUP($C58,Sheet3!$H$2:$O$200,M$1,FALSE),IFERROR(VLOOKUP($D58,Sheet3!$H$2:$O$200,M$1,FALSE),VLOOKUP($E58,Sheet3!$H$2:$O$200,M$1,FALSE)))</f>
        <v>0</v>
      </c>
      <c r="N58" s="15">
        <f>IFERROR(VLOOKUP($C58,Sheet3!$H$2:$O$200,N$1,FALSE),IFERROR(VLOOKUP($D58,Sheet3!$H$2:$O$200,N$1,FALSE),VLOOKUP($E58,Sheet3!$H$2:$O$200,N$1,FALSE)))</f>
        <v>0</v>
      </c>
      <c r="O58" s="15">
        <f>IFERROR(VLOOKUP($C58,Sheet3!$H$2:$O$200,O$1,FALSE),IFERROR(VLOOKUP($D58,Sheet3!$H$2:$O$200,O$1,FALSE),VLOOKUP($E58,Sheet3!$H$2:$O$200,O$1,FALSE)))</f>
        <v>0</v>
      </c>
      <c r="P58" s="15">
        <f>IFERROR(VLOOKUP($C58,Sheet3!$H$2:$O$200,P$1,FALSE),IFERROR(VLOOKUP($D58,Sheet3!$H$2:$O$200,P$1,FALSE),VLOOKUP($E58,Sheet3!$H$2:$O$200,P$1,FALSE)))</f>
        <v>0</v>
      </c>
      <c r="Q58" s="15">
        <f>IFERROR(IF(ISBLANK(J58),IFERROR(VLOOKUP($D58,Sheet3!$H$2:$O$200,Q$1,FALSE),IFERROR(VLOOKUP($E58,Sheet3!$H$2:$O$200,Q$1,FALSE),VLOOKUP($F58,Sheet3!$H$2:$O$200,Q$1,FALSE))),$I$1),$I$1)</f>
        <v>0</v>
      </c>
      <c r="R58" s="15">
        <f>IFERROR(IF(ISBLANK(K58),IFERROR(VLOOKUP($D58,Sheet3!$H$2:$O$200,R$1,FALSE),IFERROR(VLOOKUP($E58,Sheet3!$H$2:$O$200,R$1,FALSE),VLOOKUP($F58,Sheet3!$H$2:$O$200,R$1,FALSE))),$I$1),$I$1)</f>
        <v>0</v>
      </c>
      <c r="S58" s="15">
        <f>IFERROR(IF(ISBLANK(L58),IFERROR(VLOOKUP($D58,Sheet3!$H$2:$O$200,S$1,FALSE),IFERROR(VLOOKUP($E58,Sheet3!$H$2:$O$200,S$1,FALSE),VLOOKUP($F58,Sheet3!$H$2:$O$200,S$1,FALSE))),$I$1),$I$1)</f>
        <v>0</v>
      </c>
      <c r="T58" s="15">
        <f>IFERROR(IF(ISBLANK(M58),IFERROR(VLOOKUP($D58,Sheet3!$H$2:$O$200,T$1,FALSE),IFERROR(VLOOKUP($E58,Sheet3!$H$2:$O$200,T$1,FALSE),VLOOKUP($F58,Sheet3!$H$2:$O$200,T$1,FALSE))),$I$1),$I$1)</f>
        <v>0</v>
      </c>
      <c r="U58" s="15">
        <f>IFERROR(IF(ISBLANK(N58),IFERROR(VLOOKUP($D58,Sheet3!$H$2:$O$200,U$1,FALSE),IFERROR(VLOOKUP($E58,Sheet3!$H$2:$O$200,U$1,FALSE),VLOOKUP($F58,Sheet3!$H$2:$O$200,U$1,FALSE))),$I$1),$I$1)</f>
        <v>0</v>
      </c>
      <c r="V58" s="15">
        <f>IFERROR(IF(ISBLANK(O58),IFERROR(VLOOKUP($D58,Sheet3!$H$2:$O$200,V$1,FALSE),IFERROR(VLOOKUP($E58,Sheet3!$H$2:$O$200,V$1,FALSE),VLOOKUP($F58,Sheet3!$H$2:$O$200,V$1,FALSE))),$I$1),$I$1)</f>
        <v>0</v>
      </c>
      <c r="W58" s="15">
        <f>IFERROR(IF(ISBLANK(P58),IFERROR(VLOOKUP($D58,Sheet3!$H$2:$O$200,W$1,FALSE),IFERROR(VLOOKUP($E58,Sheet3!$H$2:$O$200,W$1,FALSE),VLOOKUP($F58,Sheet3!$H$2:$O$200,W$1,FALSE))),$I$1),$I$1)</f>
        <v>0</v>
      </c>
      <c r="X58" s="15">
        <f>IFERROR(IF(ISBLANK(Q58),IFERROR(VLOOKUP($E58,Sheet3!$H$2:$O$200,X$1,FALSE),IFERROR(VLOOKUP($F58,Sheet3!$H$2:$O$200,X$1,FALSE),VLOOKUP($G58,Sheet3!$H$2:$O$200,X$1,FALSE))),$I$1),$I$1)</f>
        <v>0</v>
      </c>
      <c r="Y58" s="15">
        <f>IFERROR(IF(ISBLANK(R58),IFERROR(VLOOKUP($E58,Sheet3!$H$2:$O$200,Y$1,FALSE),IFERROR(VLOOKUP($F58,Sheet3!$H$2:$O$200,Y$1,FALSE),VLOOKUP($G58,Sheet3!$H$2:$O$200,Y$1,FALSE))),$I$1),$I$1)</f>
        <v>0</v>
      </c>
      <c r="Z58" s="15">
        <f>IFERROR(IF(ISBLANK(S58),IFERROR(VLOOKUP($E58,Sheet3!$H$2:$O$200,Z$1,FALSE),IFERROR(VLOOKUP($F58,Sheet3!$H$2:$O$200,Z$1,FALSE),VLOOKUP($G58,Sheet3!$H$2:$O$200,Z$1,FALSE))),$I$1),$I$1)</f>
        <v>0</v>
      </c>
      <c r="AA58" s="15">
        <f>IFERROR(IF(ISBLANK(T58),IFERROR(VLOOKUP($E58,Sheet3!$H$2:$O$200,AA$1,FALSE),IFERROR(VLOOKUP($F58,Sheet3!$H$2:$O$200,AA$1,FALSE),VLOOKUP($G58,Sheet3!$H$2:$O$200,AA$1,FALSE))),$I$1),$I$1)</f>
        <v>0</v>
      </c>
      <c r="AB58" s="15">
        <f>IFERROR(IF(ISBLANK(U58),IFERROR(VLOOKUP($E58,Sheet3!$H$2:$O$200,AB$1,FALSE),IFERROR(VLOOKUP($F58,Sheet3!$H$2:$O$200,AB$1,FALSE),VLOOKUP($G58,Sheet3!$H$2:$O$200,AB$1,FALSE))),$I$1),$I$1)</f>
        <v>0</v>
      </c>
      <c r="AC58" s="15">
        <f>IFERROR(IF(ISBLANK(V58),IFERROR(VLOOKUP($E58,Sheet3!$H$2:$O$200,AC$1,FALSE),IFERROR(VLOOKUP($F58,Sheet3!$H$2:$O$200,AC$1,FALSE),VLOOKUP($G58,Sheet3!$H$2:$O$200,AC$1,FALSE))),$I$1),$I$1)</f>
        <v>0</v>
      </c>
      <c r="AD58" s="15">
        <f>IFERROR(IF(ISBLANK(W58),IFERROR(VLOOKUP($E58,Sheet3!$H$2:$O$200,AD$1,FALSE),IFERROR(VLOOKUP($F58,Sheet3!$H$2:$O$200,AD$1,FALSE),VLOOKUP($G58,Sheet3!$H$2:$O$200,AD$1,FALSE))),$I$1),$I$1)</f>
        <v>0</v>
      </c>
      <c r="AE58" s="15">
        <f>IFERROR(IF(ISBLANK(X58),IFERROR(VLOOKUP($F58,Sheet3!$H$2:$O$200,AE$1,FALSE),VLOOKUP($G58,Sheet3!$H$2:$O$200,AE$1,FALSE)),$I$1),$I$1)</f>
        <v>0</v>
      </c>
      <c r="AF58" s="15">
        <f>IFERROR(IF(ISBLANK(Y58),IFERROR(VLOOKUP($F58,Sheet3!$H$2:$O$200,AF$1,FALSE),VLOOKUP($G58,Sheet3!$H$2:$O$200,AF$1,FALSE)),$I$1),$I$1)</f>
        <v>0</v>
      </c>
      <c r="AG58" s="15">
        <f>IFERROR(IF(ISBLANK(Z58),IFERROR(VLOOKUP($F58,Sheet3!$H$2:$O$200,AG$1,FALSE),VLOOKUP($G58,Sheet3!$H$2:$O$200,AG$1,FALSE)),$I$1),$I$1)</f>
        <v>0</v>
      </c>
      <c r="AH58" s="15">
        <f>IFERROR(IF(ISBLANK(AA58),IFERROR(VLOOKUP($F58,Sheet3!$H$2:$O$200,AH$1,FALSE),VLOOKUP($G58,Sheet3!$H$2:$O$200,AH$1,FALSE)),$I$1),$I$1)</f>
        <v>0</v>
      </c>
      <c r="AI58" s="15">
        <f>IFERROR(IF(ISBLANK(AB58),IFERROR(VLOOKUP($F58,Sheet3!$H$2:$O$200,AI$1,FALSE),VLOOKUP($G58,Sheet3!$H$2:$O$200,AI$1,FALSE)),$I$1),$I$1)</f>
        <v>0</v>
      </c>
      <c r="AJ58" s="15">
        <f>IFERROR(IF(ISBLANK(AC58),IFERROR(VLOOKUP($F58,Sheet3!$H$2:$O$200,AJ$1,FALSE),VLOOKUP($G58,Sheet3!$H$2:$O$200,AJ$1,FALSE)),$I$1),$I$1)</f>
        <v>0</v>
      </c>
      <c r="AK58" s="15">
        <f>IFERROR(IF(ISBLANK(AD58),IFERROR(VLOOKUP($F58,Sheet3!$H$2:$O$200,AK$1,FALSE),VLOOKUP($G58,Sheet3!$H$2:$O$200,AK$1,FALSE)),$I$1),$I$1)</f>
        <v>0</v>
      </c>
      <c r="AL58" s="15">
        <f>IFERROR(IF(ISBLANK(AE58),VLOOKUP($G58,Sheet3!$H$2:$O$200,AL$1,FALSE),$I$1),$I$1)</f>
        <v>0</v>
      </c>
      <c r="AM58" s="15">
        <f>IFERROR(IF(ISBLANK(AF58),VLOOKUP($G58,Sheet3!$H$2:$O$200,AM$1,FALSE),$I$1),$I$1)</f>
        <v>0</v>
      </c>
      <c r="AN58" s="15">
        <f>IFERROR(IF(ISBLANK(AG58),VLOOKUP($G58,Sheet3!$H$2:$O$200,AN$1,FALSE),$I$1),$I$1)</f>
        <v>0</v>
      </c>
      <c r="AO58" s="15">
        <f>IFERROR(IF(ISBLANK(AH58),VLOOKUP($G58,Sheet3!$H$2:$O$200,AO$1,FALSE),$I$1),$I$1)</f>
        <v>0</v>
      </c>
      <c r="AP58" s="15">
        <f>IFERROR(IF(ISBLANK(AI58),VLOOKUP($G58,Sheet3!$H$2:$O$200,AP$1,FALSE),$I$1),$I$1)</f>
        <v>0</v>
      </c>
      <c r="AQ58" s="15">
        <f>IFERROR(IF(ISBLANK(AJ58),VLOOKUP($G58,Sheet3!$H$2:$O$200,AQ$1,FALSE),$I$1),$I$1)</f>
        <v>0</v>
      </c>
      <c r="AR58" s="15">
        <f>IFERROR(IF(ISBLANK(AK58),VLOOKUP($G58,Sheet3!$H$2:$O$200,AR$1,FALSE),$I$1),$I$1)</f>
        <v>0</v>
      </c>
      <c r="AS58" s="15">
        <f t="shared" ref="AS58:AY58" si="63">IFERROR(IF(ISBLANK(J58),IF(ISBLANK(Q58),IF(ISBLANK(X58),IF(ISBLANK(AE58),IF(ISBLANK(AL58),$BB$1,AL58),AE58),X58),Q58),J58),$BB$1)</f>
        <v>0</v>
      </c>
      <c r="AT58" s="15" t="str">
        <f t="shared" si="63"/>
        <v>club soda</v>
      </c>
      <c r="AU58" s="15">
        <f t="shared" si="63"/>
        <v>0</v>
      </c>
      <c r="AV58" s="15">
        <f t="shared" si="63"/>
        <v>0</v>
      </c>
      <c r="AW58" s="15">
        <f t="shared" si="63"/>
        <v>0</v>
      </c>
      <c r="AX58" s="15">
        <f t="shared" si="63"/>
        <v>0</v>
      </c>
      <c r="AY58" s="15">
        <f t="shared" si="63"/>
        <v>0</v>
      </c>
      <c r="BA58" s="13">
        <f t="shared" si="1"/>
        <v>35</v>
      </c>
      <c r="BB58" s="15" t="b">
        <f t="shared" si="2"/>
        <v>0</v>
      </c>
    </row>
    <row r="59" spans="1:54" x14ac:dyDescent="0.2">
      <c r="A59" s="19" t="s">
        <v>155</v>
      </c>
      <c r="B59" s="19" t="s">
        <v>148</v>
      </c>
      <c r="C59" s="19" t="s">
        <v>156</v>
      </c>
      <c r="D59" s="19"/>
      <c r="E59" s="19"/>
      <c r="F59" s="19"/>
      <c r="G59" s="19"/>
      <c r="H59" s="19" t="s">
        <v>155</v>
      </c>
      <c r="I59" s="15">
        <v>1</v>
      </c>
      <c r="J59" s="15">
        <f>IFERROR(VLOOKUP($C59,Sheet3!$H$2:$O$200,J$1,FALSE),IFERROR(VLOOKUP($D59,Sheet3!$H$2:$O$200,J$1,FALSE),VLOOKUP($E59,Sheet3!$H$2:$O$200,J$1,FALSE)))</f>
        <v>0</v>
      </c>
      <c r="K59" s="15" t="str">
        <f>IFERROR(VLOOKUP($C59,Sheet3!$H$2:$O$200,K$1,FALSE),IFERROR(VLOOKUP($D59,Sheet3!$H$2:$O$200,K$1,FALSE),VLOOKUP($E59,Sheet3!$H$2:$O$200,K$1,FALSE)))</f>
        <v>ginger ale</v>
      </c>
      <c r="L59" s="15">
        <f>IFERROR(VLOOKUP($C59,Sheet3!$H$2:$O$200,L$1,FALSE),IFERROR(VLOOKUP($D59,Sheet3!$H$2:$O$200,L$1,FALSE),VLOOKUP($E59,Sheet3!$H$2:$O$200,L$1,FALSE)))</f>
        <v>0</v>
      </c>
      <c r="M59" s="15">
        <f>IFERROR(VLOOKUP($C59,Sheet3!$H$2:$O$200,M$1,FALSE),IFERROR(VLOOKUP($D59,Sheet3!$H$2:$O$200,M$1,FALSE),VLOOKUP($E59,Sheet3!$H$2:$O$200,M$1,FALSE)))</f>
        <v>0</v>
      </c>
      <c r="N59" s="15">
        <f>IFERROR(VLOOKUP($C59,Sheet3!$H$2:$O$200,N$1,FALSE),IFERROR(VLOOKUP($D59,Sheet3!$H$2:$O$200,N$1,FALSE),VLOOKUP($E59,Sheet3!$H$2:$O$200,N$1,FALSE)))</f>
        <v>0</v>
      </c>
      <c r="O59" s="15">
        <f>IFERROR(VLOOKUP($C59,Sheet3!$H$2:$O$200,O$1,FALSE),IFERROR(VLOOKUP($D59,Sheet3!$H$2:$O$200,O$1,FALSE),VLOOKUP($E59,Sheet3!$H$2:$O$200,O$1,FALSE)))</f>
        <v>0</v>
      </c>
      <c r="P59" s="15">
        <f>IFERROR(VLOOKUP($C59,Sheet3!$H$2:$O$200,P$1,FALSE),IFERROR(VLOOKUP($D59,Sheet3!$H$2:$O$200,P$1,FALSE),VLOOKUP($E59,Sheet3!$H$2:$O$200,P$1,FALSE)))</f>
        <v>0</v>
      </c>
      <c r="Q59" s="15">
        <f>IFERROR(IF(ISBLANK(J59),IFERROR(VLOOKUP($D59,Sheet3!$H$2:$O$200,Q$1,FALSE),IFERROR(VLOOKUP($E59,Sheet3!$H$2:$O$200,Q$1,FALSE),VLOOKUP($F59,Sheet3!$H$2:$O$200,Q$1,FALSE))),$I$1),$I$1)</f>
        <v>0</v>
      </c>
      <c r="R59" s="15">
        <f>IFERROR(IF(ISBLANK(K59),IFERROR(VLOOKUP($D59,Sheet3!$H$2:$O$200,R$1,FALSE),IFERROR(VLOOKUP($E59,Sheet3!$H$2:$O$200,R$1,FALSE),VLOOKUP($F59,Sheet3!$H$2:$O$200,R$1,FALSE))),$I$1),$I$1)</f>
        <v>0</v>
      </c>
      <c r="S59" s="15">
        <f>IFERROR(IF(ISBLANK(L59),IFERROR(VLOOKUP($D59,Sheet3!$H$2:$O$200,S$1,FALSE),IFERROR(VLOOKUP($E59,Sheet3!$H$2:$O$200,S$1,FALSE),VLOOKUP($F59,Sheet3!$H$2:$O$200,S$1,FALSE))),$I$1),$I$1)</f>
        <v>0</v>
      </c>
      <c r="T59" s="15">
        <f>IFERROR(IF(ISBLANK(M59),IFERROR(VLOOKUP($D59,Sheet3!$H$2:$O$200,T$1,FALSE),IFERROR(VLOOKUP($E59,Sheet3!$H$2:$O$200,T$1,FALSE),VLOOKUP($F59,Sheet3!$H$2:$O$200,T$1,FALSE))),$I$1),$I$1)</f>
        <v>0</v>
      </c>
      <c r="U59" s="15">
        <f>IFERROR(IF(ISBLANK(N59),IFERROR(VLOOKUP($D59,Sheet3!$H$2:$O$200,U$1,FALSE),IFERROR(VLOOKUP($E59,Sheet3!$H$2:$O$200,U$1,FALSE),VLOOKUP($F59,Sheet3!$H$2:$O$200,U$1,FALSE))),$I$1),$I$1)</f>
        <v>0</v>
      </c>
      <c r="V59" s="15">
        <f>IFERROR(IF(ISBLANK(O59),IFERROR(VLOOKUP($D59,Sheet3!$H$2:$O$200,V$1,FALSE),IFERROR(VLOOKUP($E59,Sheet3!$H$2:$O$200,V$1,FALSE),VLOOKUP($F59,Sheet3!$H$2:$O$200,V$1,FALSE))),$I$1),$I$1)</f>
        <v>0</v>
      </c>
      <c r="W59" s="15">
        <f>IFERROR(IF(ISBLANK(P59),IFERROR(VLOOKUP($D59,Sheet3!$H$2:$O$200,W$1,FALSE),IFERROR(VLOOKUP($E59,Sheet3!$H$2:$O$200,W$1,FALSE),VLOOKUP($F59,Sheet3!$H$2:$O$200,W$1,FALSE))),$I$1),$I$1)</f>
        <v>0</v>
      </c>
      <c r="X59" s="15">
        <f>IFERROR(IF(ISBLANK(Q59),IFERROR(VLOOKUP($E59,Sheet3!$H$2:$O$200,X$1,FALSE),IFERROR(VLOOKUP($F59,Sheet3!$H$2:$O$200,X$1,FALSE),VLOOKUP($G59,Sheet3!$H$2:$O$200,X$1,FALSE))),$I$1),$I$1)</f>
        <v>0</v>
      </c>
      <c r="Y59" s="15">
        <f>IFERROR(IF(ISBLANK(R59),IFERROR(VLOOKUP($E59,Sheet3!$H$2:$O$200,Y$1,FALSE),IFERROR(VLOOKUP($F59,Sheet3!$H$2:$O$200,Y$1,FALSE),VLOOKUP($G59,Sheet3!$H$2:$O$200,Y$1,FALSE))),$I$1),$I$1)</f>
        <v>0</v>
      </c>
      <c r="Z59" s="15">
        <f>IFERROR(IF(ISBLANK(S59),IFERROR(VLOOKUP($E59,Sheet3!$H$2:$O$200,Z$1,FALSE),IFERROR(VLOOKUP($F59,Sheet3!$H$2:$O$200,Z$1,FALSE),VLOOKUP($G59,Sheet3!$H$2:$O$200,Z$1,FALSE))),$I$1),$I$1)</f>
        <v>0</v>
      </c>
      <c r="AA59" s="15">
        <f>IFERROR(IF(ISBLANK(T59),IFERROR(VLOOKUP($E59,Sheet3!$H$2:$O$200,AA$1,FALSE),IFERROR(VLOOKUP($F59,Sheet3!$H$2:$O$200,AA$1,FALSE),VLOOKUP($G59,Sheet3!$H$2:$O$200,AA$1,FALSE))),$I$1),$I$1)</f>
        <v>0</v>
      </c>
      <c r="AB59" s="15">
        <f>IFERROR(IF(ISBLANK(U59),IFERROR(VLOOKUP($E59,Sheet3!$H$2:$O$200,AB$1,FALSE),IFERROR(VLOOKUP($F59,Sheet3!$H$2:$O$200,AB$1,FALSE),VLOOKUP($G59,Sheet3!$H$2:$O$200,AB$1,FALSE))),$I$1),$I$1)</f>
        <v>0</v>
      </c>
      <c r="AC59" s="15">
        <f>IFERROR(IF(ISBLANK(V59),IFERROR(VLOOKUP($E59,Sheet3!$H$2:$O$200,AC$1,FALSE),IFERROR(VLOOKUP($F59,Sheet3!$H$2:$O$200,AC$1,FALSE),VLOOKUP($G59,Sheet3!$H$2:$O$200,AC$1,FALSE))),$I$1),$I$1)</f>
        <v>0</v>
      </c>
      <c r="AD59" s="15">
        <f>IFERROR(IF(ISBLANK(W59),IFERROR(VLOOKUP($E59,Sheet3!$H$2:$O$200,AD$1,FALSE),IFERROR(VLOOKUP($F59,Sheet3!$H$2:$O$200,AD$1,FALSE),VLOOKUP($G59,Sheet3!$H$2:$O$200,AD$1,FALSE))),$I$1),$I$1)</f>
        <v>0</v>
      </c>
      <c r="AE59" s="15">
        <f>IFERROR(IF(ISBLANK(X59),IFERROR(VLOOKUP($F59,Sheet3!$H$2:$O$200,AE$1,FALSE),VLOOKUP($G59,Sheet3!$H$2:$O$200,AE$1,FALSE)),$I$1),$I$1)</f>
        <v>0</v>
      </c>
      <c r="AF59" s="15">
        <f>IFERROR(IF(ISBLANK(Y59),IFERROR(VLOOKUP($F59,Sheet3!$H$2:$O$200,AF$1,FALSE),VLOOKUP($G59,Sheet3!$H$2:$O$200,AF$1,FALSE)),$I$1),$I$1)</f>
        <v>0</v>
      </c>
      <c r="AG59" s="15">
        <f>IFERROR(IF(ISBLANK(Z59),IFERROR(VLOOKUP($F59,Sheet3!$H$2:$O$200,AG$1,FALSE),VLOOKUP($G59,Sheet3!$H$2:$O$200,AG$1,FALSE)),$I$1),$I$1)</f>
        <v>0</v>
      </c>
      <c r="AH59" s="15">
        <f>IFERROR(IF(ISBLANK(AA59),IFERROR(VLOOKUP($F59,Sheet3!$H$2:$O$200,AH$1,FALSE),VLOOKUP($G59,Sheet3!$H$2:$O$200,AH$1,FALSE)),$I$1),$I$1)</f>
        <v>0</v>
      </c>
      <c r="AI59" s="15">
        <f>IFERROR(IF(ISBLANK(AB59),IFERROR(VLOOKUP($F59,Sheet3!$H$2:$O$200,AI$1,FALSE),VLOOKUP($G59,Sheet3!$H$2:$O$200,AI$1,FALSE)),$I$1),$I$1)</f>
        <v>0</v>
      </c>
      <c r="AJ59" s="15">
        <f>IFERROR(IF(ISBLANK(AC59),IFERROR(VLOOKUP($F59,Sheet3!$H$2:$O$200,AJ$1,FALSE),VLOOKUP($G59,Sheet3!$H$2:$O$200,AJ$1,FALSE)),$I$1),$I$1)</f>
        <v>0</v>
      </c>
      <c r="AK59" s="15">
        <f>IFERROR(IF(ISBLANK(AD59),IFERROR(VLOOKUP($F59,Sheet3!$H$2:$O$200,AK$1,FALSE),VLOOKUP($G59,Sheet3!$H$2:$O$200,AK$1,FALSE)),$I$1),$I$1)</f>
        <v>0</v>
      </c>
      <c r="AL59" s="15">
        <f>IFERROR(IF(ISBLANK(AE59),VLOOKUP($G59,Sheet3!$H$2:$O$200,AL$1,FALSE),$I$1),$I$1)</f>
        <v>0</v>
      </c>
      <c r="AM59" s="15">
        <f>IFERROR(IF(ISBLANK(AF59),VLOOKUP($G59,Sheet3!$H$2:$O$200,AM$1,FALSE),$I$1),$I$1)</f>
        <v>0</v>
      </c>
      <c r="AN59" s="15">
        <f>IFERROR(IF(ISBLANK(AG59),VLOOKUP($G59,Sheet3!$H$2:$O$200,AN$1,FALSE),$I$1),$I$1)</f>
        <v>0</v>
      </c>
      <c r="AO59" s="15">
        <f>IFERROR(IF(ISBLANK(AH59),VLOOKUP($G59,Sheet3!$H$2:$O$200,AO$1,FALSE),$I$1),$I$1)</f>
        <v>0</v>
      </c>
      <c r="AP59" s="15">
        <f>IFERROR(IF(ISBLANK(AI59),VLOOKUP($G59,Sheet3!$H$2:$O$200,AP$1,FALSE),$I$1),$I$1)</f>
        <v>0</v>
      </c>
      <c r="AQ59" s="15">
        <f>IFERROR(IF(ISBLANK(AJ59),VLOOKUP($G59,Sheet3!$H$2:$O$200,AQ$1,FALSE),$I$1),$I$1)</f>
        <v>0</v>
      </c>
      <c r="AR59" s="15">
        <f>IFERROR(IF(ISBLANK(AK59),VLOOKUP($G59,Sheet3!$H$2:$O$200,AR$1,FALSE),$I$1),$I$1)</f>
        <v>0</v>
      </c>
      <c r="AS59" s="15">
        <f t="shared" ref="AS59:AY59" si="64">IFERROR(IF(ISBLANK(J59),IF(ISBLANK(Q59),IF(ISBLANK(X59),IF(ISBLANK(AE59),IF(ISBLANK(AL59),$BB$1,AL59),AE59),X59),Q59),J59),$BB$1)</f>
        <v>0</v>
      </c>
      <c r="AT59" s="15" t="str">
        <f t="shared" si="64"/>
        <v>ginger ale</v>
      </c>
      <c r="AU59" s="15">
        <f t="shared" si="64"/>
        <v>0</v>
      </c>
      <c r="AV59" s="15">
        <f t="shared" si="64"/>
        <v>0</v>
      </c>
      <c r="AW59" s="15">
        <f t="shared" si="64"/>
        <v>0</v>
      </c>
      <c r="AX59" s="15">
        <f t="shared" si="64"/>
        <v>0</v>
      </c>
      <c r="AY59" s="15">
        <f t="shared" si="64"/>
        <v>0</v>
      </c>
      <c r="BA59" s="13">
        <f t="shared" si="1"/>
        <v>35</v>
      </c>
      <c r="BB59" s="15" t="b">
        <f t="shared" si="2"/>
        <v>0</v>
      </c>
    </row>
    <row r="60" spans="1:54" x14ac:dyDescent="0.2">
      <c r="A60" s="19" t="s">
        <v>157</v>
      </c>
      <c r="B60" s="19" t="s">
        <v>148</v>
      </c>
      <c r="C60" s="19" t="s">
        <v>158</v>
      </c>
      <c r="D60" s="19"/>
      <c r="E60" s="19"/>
      <c r="F60" s="19"/>
      <c r="G60" s="19"/>
      <c r="H60" s="19" t="s">
        <v>157</v>
      </c>
      <c r="I60" s="15">
        <v>1</v>
      </c>
      <c r="J60" s="15">
        <f>IFERROR(VLOOKUP($C60,Sheet3!$H$2:$O$200,J$1,FALSE),IFERROR(VLOOKUP($D60,Sheet3!$H$2:$O$200,J$1,FALSE),VLOOKUP($E60,Sheet3!$H$2:$O$200,J$1,FALSE)))</f>
        <v>0</v>
      </c>
      <c r="K60" s="15" t="str">
        <f>IFERROR(VLOOKUP($C60,Sheet3!$H$2:$O$200,K$1,FALSE),IFERROR(VLOOKUP($D60,Sheet3!$H$2:$O$200,K$1,FALSE),VLOOKUP($E60,Sheet3!$H$2:$O$200,K$1,FALSE)))</f>
        <v>tonic water</v>
      </c>
      <c r="L60" s="15">
        <f>IFERROR(VLOOKUP($C60,Sheet3!$H$2:$O$200,L$1,FALSE),IFERROR(VLOOKUP($D60,Sheet3!$H$2:$O$200,L$1,FALSE),VLOOKUP($E60,Sheet3!$H$2:$O$200,L$1,FALSE)))</f>
        <v>0</v>
      </c>
      <c r="M60" s="15">
        <f>IFERROR(VLOOKUP($C60,Sheet3!$H$2:$O$200,M$1,FALSE),IFERROR(VLOOKUP($D60,Sheet3!$H$2:$O$200,M$1,FALSE),VLOOKUP($E60,Sheet3!$H$2:$O$200,M$1,FALSE)))</f>
        <v>0</v>
      </c>
      <c r="N60" s="15">
        <f>IFERROR(VLOOKUP($C60,Sheet3!$H$2:$O$200,N$1,FALSE),IFERROR(VLOOKUP($D60,Sheet3!$H$2:$O$200,N$1,FALSE),VLOOKUP($E60,Sheet3!$H$2:$O$200,N$1,FALSE)))</f>
        <v>0</v>
      </c>
      <c r="O60" s="15">
        <f>IFERROR(VLOOKUP($C60,Sheet3!$H$2:$O$200,O$1,FALSE),IFERROR(VLOOKUP($D60,Sheet3!$H$2:$O$200,O$1,FALSE),VLOOKUP($E60,Sheet3!$H$2:$O$200,O$1,FALSE)))</f>
        <v>0</v>
      </c>
      <c r="P60" s="15">
        <f>IFERROR(VLOOKUP($C60,Sheet3!$H$2:$O$200,P$1,FALSE),IFERROR(VLOOKUP($D60,Sheet3!$H$2:$O$200,P$1,FALSE),VLOOKUP($E60,Sheet3!$H$2:$O$200,P$1,FALSE)))</f>
        <v>0</v>
      </c>
      <c r="Q60" s="15">
        <f>IFERROR(IF(ISBLANK(J60),IFERROR(VLOOKUP($D60,Sheet3!$H$2:$O$200,Q$1,FALSE),IFERROR(VLOOKUP($E60,Sheet3!$H$2:$O$200,Q$1,FALSE),VLOOKUP($F60,Sheet3!$H$2:$O$200,Q$1,FALSE))),$I$1),$I$1)</f>
        <v>0</v>
      </c>
      <c r="R60" s="15">
        <f>IFERROR(IF(ISBLANK(K60),IFERROR(VLOOKUP($D60,Sheet3!$H$2:$O$200,R$1,FALSE),IFERROR(VLOOKUP($E60,Sheet3!$H$2:$O$200,R$1,FALSE),VLOOKUP($F60,Sheet3!$H$2:$O$200,R$1,FALSE))),$I$1),$I$1)</f>
        <v>0</v>
      </c>
      <c r="S60" s="15">
        <f>IFERROR(IF(ISBLANK(L60),IFERROR(VLOOKUP($D60,Sheet3!$H$2:$O$200,S$1,FALSE),IFERROR(VLOOKUP($E60,Sheet3!$H$2:$O$200,S$1,FALSE),VLOOKUP($F60,Sheet3!$H$2:$O$200,S$1,FALSE))),$I$1),$I$1)</f>
        <v>0</v>
      </c>
      <c r="T60" s="15">
        <f>IFERROR(IF(ISBLANK(M60),IFERROR(VLOOKUP($D60,Sheet3!$H$2:$O$200,T$1,FALSE),IFERROR(VLOOKUP($E60,Sheet3!$H$2:$O$200,T$1,FALSE),VLOOKUP($F60,Sheet3!$H$2:$O$200,T$1,FALSE))),$I$1),$I$1)</f>
        <v>0</v>
      </c>
      <c r="U60" s="15">
        <f>IFERROR(IF(ISBLANK(N60),IFERROR(VLOOKUP($D60,Sheet3!$H$2:$O$200,U$1,FALSE),IFERROR(VLOOKUP($E60,Sheet3!$H$2:$O$200,U$1,FALSE),VLOOKUP($F60,Sheet3!$H$2:$O$200,U$1,FALSE))),$I$1),$I$1)</f>
        <v>0</v>
      </c>
      <c r="V60" s="15">
        <f>IFERROR(IF(ISBLANK(O60),IFERROR(VLOOKUP($D60,Sheet3!$H$2:$O$200,V$1,FALSE),IFERROR(VLOOKUP($E60,Sheet3!$H$2:$O$200,V$1,FALSE),VLOOKUP($F60,Sheet3!$H$2:$O$200,V$1,FALSE))),$I$1),$I$1)</f>
        <v>0</v>
      </c>
      <c r="W60" s="15">
        <f>IFERROR(IF(ISBLANK(P60),IFERROR(VLOOKUP($D60,Sheet3!$H$2:$O$200,W$1,FALSE),IFERROR(VLOOKUP($E60,Sheet3!$H$2:$O$200,W$1,FALSE),VLOOKUP($F60,Sheet3!$H$2:$O$200,W$1,FALSE))),$I$1),$I$1)</f>
        <v>0</v>
      </c>
      <c r="X60" s="15">
        <f>IFERROR(IF(ISBLANK(Q60),IFERROR(VLOOKUP($E60,Sheet3!$H$2:$O$200,X$1,FALSE),IFERROR(VLOOKUP($F60,Sheet3!$H$2:$O$200,X$1,FALSE),VLOOKUP($G60,Sheet3!$H$2:$O$200,X$1,FALSE))),$I$1),$I$1)</f>
        <v>0</v>
      </c>
      <c r="Y60" s="15">
        <f>IFERROR(IF(ISBLANK(R60),IFERROR(VLOOKUP($E60,Sheet3!$H$2:$O$200,Y$1,FALSE),IFERROR(VLOOKUP($F60,Sheet3!$H$2:$O$200,Y$1,FALSE),VLOOKUP($G60,Sheet3!$H$2:$O$200,Y$1,FALSE))),$I$1),$I$1)</f>
        <v>0</v>
      </c>
      <c r="Z60" s="15">
        <f>IFERROR(IF(ISBLANK(S60),IFERROR(VLOOKUP($E60,Sheet3!$H$2:$O$200,Z$1,FALSE),IFERROR(VLOOKUP($F60,Sheet3!$H$2:$O$200,Z$1,FALSE),VLOOKUP($G60,Sheet3!$H$2:$O$200,Z$1,FALSE))),$I$1),$I$1)</f>
        <v>0</v>
      </c>
      <c r="AA60" s="15">
        <f>IFERROR(IF(ISBLANK(T60),IFERROR(VLOOKUP($E60,Sheet3!$H$2:$O$200,AA$1,FALSE),IFERROR(VLOOKUP($F60,Sheet3!$H$2:$O$200,AA$1,FALSE),VLOOKUP($G60,Sheet3!$H$2:$O$200,AA$1,FALSE))),$I$1),$I$1)</f>
        <v>0</v>
      </c>
      <c r="AB60" s="15">
        <f>IFERROR(IF(ISBLANK(U60),IFERROR(VLOOKUP($E60,Sheet3!$H$2:$O$200,AB$1,FALSE),IFERROR(VLOOKUP($F60,Sheet3!$H$2:$O$200,AB$1,FALSE),VLOOKUP($G60,Sheet3!$H$2:$O$200,AB$1,FALSE))),$I$1),$I$1)</f>
        <v>0</v>
      </c>
      <c r="AC60" s="15">
        <f>IFERROR(IF(ISBLANK(V60),IFERROR(VLOOKUP($E60,Sheet3!$H$2:$O$200,AC$1,FALSE),IFERROR(VLOOKUP($F60,Sheet3!$H$2:$O$200,AC$1,FALSE),VLOOKUP($G60,Sheet3!$H$2:$O$200,AC$1,FALSE))),$I$1),$I$1)</f>
        <v>0</v>
      </c>
      <c r="AD60" s="15">
        <f>IFERROR(IF(ISBLANK(W60),IFERROR(VLOOKUP($E60,Sheet3!$H$2:$O$200,AD$1,FALSE),IFERROR(VLOOKUP($F60,Sheet3!$H$2:$O$200,AD$1,FALSE),VLOOKUP($G60,Sheet3!$H$2:$O$200,AD$1,FALSE))),$I$1),$I$1)</f>
        <v>0</v>
      </c>
      <c r="AE60" s="15">
        <f>IFERROR(IF(ISBLANK(X60),IFERROR(VLOOKUP($F60,Sheet3!$H$2:$O$200,AE$1,FALSE),VLOOKUP($G60,Sheet3!$H$2:$O$200,AE$1,FALSE)),$I$1),$I$1)</f>
        <v>0</v>
      </c>
      <c r="AF60" s="15">
        <f>IFERROR(IF(ISBLANK(Y60),IFERROR(VLOOKUP($F60,Sheet3!$H$2:$O$200,AF$1,FALSE),VLOOKUP($G60,Sheet3!$H$2:$O$200,AF$1,FALSE)),$I$1),$I$1)</f>
        <v>0</v>
      </c>
      <c r="AG60" s="15">
        <f>IFERROR(IF(ISBLANK(Z60),IFERROR(VLOOKUP($F60,Sheet3!$H$2:$O$200,AG$1,FALSE),VLOOKUP($G60,Sheet3!$H$2:$O$200,AG$1,FALSE)),$I$1),$I$1)</f>
        <v>0</v>
      </c>
      <c r="AH60" s="15">
        <f>IFERROR(IF(ISBLANK(AA60),IFERROR(VLOOKUP($F60,Sheet3!$H$2:$O$200,AH$1,FALSE),VLOOKUP($G60,Sheet3!$H$2:$O$200,AH$1,FALSE)),$I$1),$I$1)</f>
        <v>0</v>
      </c>
      <c r="AI60" s="15">
        <f>IFERROR(IF(ISBLANK(AB60),IFERROR(VLOOKUP($F60,Sheet3!$H$2:$O$200,AI$1,FALSE),VLOOKUP($G60,Sheet3!$H$2:$O$200,AI$1,FALSE)),$I$1),$I$1)</f>
        <v>0</v>
      </c>
      <c r="AJ60" s="15">
        <f>IFERROR(IF(ISBLANK(AC60),IFERROR(VLOOKUP($F60,Sheet3!$H$2:$O$200,AJ$1,FALSE),VLOOKUP($G60,Sheet3!$H$2:$O$200,AJ$1,FALSE)),$I$1),$I$1)</f>
        <v>0</v>
      </c>
      <c r="AK60" s="15">
        <f>IFERROR(IF(ISBLANK(AD60),IFERROR(VLOOKUP($F60,Sheet3!$H$2:$O$200,AK$1,FALSE),VLOOKUP($G60,Sheet3!$H$2:$O$200,AK$1,FALSE)),$I$1),$I$1)</f>
        <v>0</v>
      </c>
      <c r="AL60" s="15">
        <f>IFERROR(IF(ISBLANK(AE60),VLOOKUP($G60,Sheet3!$H$2:$O$200,AL$1,FALSE),$I$1),$I$1)</f>
        <v>0</v>
      </c>
      <c r="AM60" s="15">
        <f>IFERROR(IF(ISBLANK(AF60),VLOOKUP($G60,Sheet3!$H$2:$O$200,AM$1,FALSE),$I$1),$I$1)</f>
        <v>0</v>
      </c>
      <c r="AN60" s="15">
        <f>IFERROR(IF(ISBLANK(AG60),VLOOKUP($G60,Sheet3!$H$2:$O$200,AN$1,FALSE),$I$1),$I$1)</f>
        <v>0</v>
      </c>
      <c r="AO60" s="15">
        <f>IFERROR(IF(ISBLANK(AH60),VLOOKUP($G60,Sheet3!$H$2:$O$200,AO$1,FALSE),$I$1),$I$1)</f>
        <v>0</v>
      </c>
      <c r="AP60" s="15">
        <f>IFERROR(IF(ISBLANK(AI60),VLOOKUP($G60,Sheet3!$H$2:$O$200,AP$1,FALSE),$I$1),$I$1)</f>
        <v>0</v>
      </c>
      <c r="AQ60" s="15">
        <f>IFERROR(IF(ISBLANK(AJ60),VLOOKUP($G60,Sheet3!$H$2:$O$200,AQ$1,FALSE),$I$1),$I$1)</f>
        <v>0</v>
      </c>
      <c r="AR60" s="15">
        <f>IFERROR(IF(ISBLANK(AK60),VLOOKUP($G60,Sheet3!$H$2:$O$200,AR$1,FALSE),$I$1),$I$1)</f>
        <v>0</v>
      </c>
      <c r="AS60" s="15">
        <f t="shared" ref="AS60:AY60" si="65">IFERROR(IF(ISBLANK(J60),IF(ISBLANK(Q60),IF(ISBLANK(X60),IF(ISBLANK(AE60),IF(ISBLANK(AL60),$BB$1,AL60),AE60),X60),Q60),J60),$BB$1)</f>
        <v>0</v>
      </c>
      <c r="AT60" s="15" t="str">
        <f t="shared" si="65"/>
        <v>tonic water</v>
      </c>
      <c r="AU60" s="15">
        <f t="shared" si="65"/>
        <v>0</v>
      </c>
      <c r="AV60" s="15">
        <f t="shared" si="65"/>
        <v>0</v>
      </c>
      <c r="AW60" s="15">
        <f t="shared" si="65"/>
        <v>0</v>
      </c>
      <c r="AX60" s="15">
        <f t="shared" si="65"/>
        <v>0</v>
      </c>
      <c r="AY60" s="15">
        <f t="shared" si="65"/>
        <v>0</v>
      </c>
      <c r="BA60" s="13">
        <f t="shared" si="1"/>
        <v>35</v>
      </c>
      <c r="BB60" s="15" t="b">
        <f t="shared" si="2"/>
        <v>0</v>
      </c>
    </row>
    <row r="61" spans="1:54" x14ac:dyDescent="0.2">
      <c r="A61" s="19" t="s">
        <v>159</v>
      </c>
      <c r="B61" s="19" t="s">
        <v>148</v>
      </c>
      <c r="C61" s="19"/>
      <c r="D61" s="19" t="s">
        <v>90</v>
      </c>
      <c r="E61" s="19" t="s">
        <v>86</v>
      </c>
      <c r="F61" s="19"/>
      <c r="G61" s="19"/>
      <c r="H61" s="19" t="s">
        <v>159</v>
      </c>
      <c r="I61" s="15">
        <v>2</v>
      </c>
      <c r="J61" s="15">
        <f>IFERROR(VLOOKUP($C61,Sheet3!$H$2:$O$200,J$1,FALSE),IFERROR(VLOOKUP($D61,Sheet3!$H$2:$O$200,J$1,FALSE),VLOOKUP($E61,Sheet3!$H$2:$O$200,J$1,FALSE)))</f>
        <v>0</v>
      </c>
      <c r="K61" s="15">
        <f>IFERROR(VLOOKUP($C61,Sheet3!$H$2:$O$200,K$1,FALSE),IFERROR(VLOOKUP($D61,Sheet3!$H$2:$O$200,K$1,FALSE),VLOOKUP($E61,Sheet3!$H$2:$O$200,K$1,FALSE)))</f>
        <v>0</v>
      </c>
      <c r="L61" s="15" t="str">
        <f>IFERROR(VLOOKUP($C61,Sheet3!$H$2:$O$200,L$1,FALSE),IFERROR(VLOOKUP($D61,Sheet3!$H$2:$O$200,L$1,FALSE),VLOOKUP($E61,Sheet3!$H$2:$O$200,L$1,FALSE)))</f>
        <v>lime juice</v>
      </c>
      <c r="M61" s="15">
        <f>IFERROR(VLOOKUP($C61,Sheet3!$H$2:$O$200,M$1,FALSE),IFERROR(VLOOKUP($D61,Sheet3!$H$2:$O$200,M$1,FALSE),VLOOKUP($E61,Sheet3!$H$2:$O$200,M$1,FALSE)))</f>
        <v>0</v>
      </c>
      <c r="N61" s="15">
        <f>IFERROR(VLOOKUP($C61,Sheet3!$H$2:$O$200,N$1,FALSE),IFERROR(VLOOKUP($D61,Sheet3!$H$2:$O$200,N$1,FALSE),VLOOKUP($E61,Sheet3!$H$2:$O$200,N$1,FALSE)))</f>
        <v>0</v>
      </c>
      <c r="O61" s="15">
        <f>IFERROR(VLOOKUP($C61,Sheet3!$H$2:$O$200,O$1,FALSE),IFERROR(VLOOKUP($D61,Sheet3!$H$2:$O$200,O$1,FALSE),VLOOKUP($E61,Sheet3!$H$2:$O$200,O$1,FALSE)))</f>
        <v>0</v>
      </c>
      <c r="P61" s="15">
        <f>IFERROR(VLOOKUP($C61,Sheet3!$H$2:$O$200,P$1,FALSE),IFERROR(VLOOKUP($D61,Sheet3!$H$2:$O$200,P$1,FALSE),VLOOKUP($E61,Sheet3!$H$2:$O$200,P$1,FALSE)))</f>
        <v>0</v>
      </c>
      <c r="Q61" s="15">
        <f>IFERROR(IF(ISBLANK(J61),IFERROR(VLOOKUP($D61,Sheet3!$H$2:$O$200,Q$1,FALSE),IFERROR(VLOOKUP($E61,Sheet3!$H$2:$O$200,Q$1,FALSE),VLOOKUP($F61,Sheet3!$H$2:$O$200,Q$1,FALSE))),$I$1),$I$1)</f>
        <v>0</v>
      </c>
      <c r="R61" s="15">
        <f>IFERROR(IF(ISBLANK(K61),IFERROR(VLOOKUP($D61,Sheet3!$H$2:$O$200,R$1,FALSE),IFERROR(VLOOKUP($E61,Sheet3!$H$2:$O$200,R$1,FALSE),VLOOKUP($F61,Sheet3!$H$2:$O$200,R$1,FALSE))),$I$1),$I$1)</f>
        <v>0</v>
      </c>
      <c r="S61" s="15">
        <f>IFERROR(IF(ISBLANK(L61),IFERROR(VLOOKUP($D61,Sheet3!$H$2:$O$200,S$1,FALSE),IFERROR(VLOOKUP($E61,Sheet3!$H$2:$O$200,S$1,FALSE),VLOOKUP($F61,Sheet3!$H$2:$O$200,S$1,FALSE))),$I$1),$I$1)</f>
        <v>0</v>
      </c>
      <c r="T61" s="15">
        <f>IFERROR(IF(ISBLANK(M61),IFERROR(VLOOKUP($D61,Sheet3!$H$2:$O$200,T$1,FALSE),IFERROR(VLOOKUP($E61,Sheet3!$H$2:$O$200,T$1,FALSE),VLOOKUP($F61,Sheet3!$H$2:$O$200,T$1,FALSE))),$I$1),$I$1)</f>
        <v>0</v>
      </c>
      <c r="U61" s="15">
        <f>IFERROR(IF(ISBLANK(N61),IFERROR(VLOOKUP($D61,Sheet3!$H$2:$O$200,U$1,FALSE),IFERROR(VLOOKUP($E61,Sheet3!$H$2:$O$200,U$1,FALSE),VLOOKUP($F61,Sheet3!$H$2:$O$200,U$1,FALSE))),$I$1),$I$1)</f>
        <v>0</v>
      </c>
      <c r="V61" s="15">
        <f>IFERROR(IF(ISBLANK(O61),IFERROR(VLOOKUP($D61,Sheet3!$H$2:$O$200,V$1,FALSE),IFERROR(VLOOKUP($E61,Sheet3!$H$2:$O$200,V$1,FALSE),VLOOKUP($F61,Sheet3!$H$2:$O$200,V$1,FALSE))),$I$1),$I$1)</f>
        <v>0</v>
      </c>
      <c r="W61" s="15">
        <f>IFERROR(IF(ISBLANK(P61),IFERROR(VLOOKUP($D61,Sheet3!$H$2:$O$200,W$1,FALSE),IFERROR(VLOOKUP($E61,Sheet3!$H$2:$O$200,W$1,FALSE),VLOOKUP($F61,Sheet3!$H$2:$O$200,W$1,FALSE))),$I$1),$I$1)</f>
        <v>0</v>
      </c>
      <c r="X61" s="15">
        <f>IFERROR(IF(ISBLANK(Q61),IFERROR(VLOOKUP($E61,Sheet3!$H$2:$O$200,X$1,FALSE),IFERROR(VLOOKUP($F61,Sheet3!$H$2:$O$200,X$1,FALSE),VLOOKUP($G61,Sheet3!$H$2:$O$200,X$1,FALSE))),$I$1),$I$1)</f>
        <v>0</v>
      </c>
      <c r="Y61" s="15">
        <f>IFERROR(IF(ISBLANK(R61),IFERROR(VLOOKUP($E61,Sheet3!$H$2:$O$200,Y$1,FALSE),IFERROR(VLOOKUP($F61,Sheet3!$H$2:$O$200,Y$1,FALSE),VLOOKUP($G61,Sheet3!$H$2:$O$200,Y$1,FALSE))),$I$1),$I$1)</f>
        <v>0</v>
      </c>
      <c r="Z61" s="15">
        <f>IFERROR(IF(ISBLANK(S61),IFERROR(VLOOKUP($E61,Sheet3!$H$2:$O$200,Z$1,FALSE),IFERROR(VLOOKUP($F61,Sheet3!$H$2:$O$200,Z$1,FALSE),VLOOKUP($G61,Sheet3!$H$2:$O$200,Z$1,FALSE))),$I$1),$I$1)</f>
        <v>0</v>
      </c>
      <c r="AA61" s="15">
        <f>IFERROR(IF(ISBLANK(T61),IFERROR(VLOOKUP($E61,Sheet3!$H$2:$O$200,AA$1,FALSE),IFERROR(VLOOKUP($F61,Sheet3!$H$2:$O$200,AA$1,FALSE),VLOOKUP($G61,Sheet3!$H$2:$O$200,AA$1,FALSE))),$I$1),$I$1)</f>
        <v>0</v>
      </c>
      <c r="AB61" s="15">
        <f>IFERROR(IF(ISBLANK(U61),IFERROR(VLOOKUP($E61,Sheet3!$H$2:$O$200,AB$1,FALSE),IFERROR(VLOOKUP($F61,Sheet3!$H$2:$O$200,AB$1,FALSE),VLOOKUP($G61,Sheet3!$H$2:$O$200,AB$1,FALSE))),$I$1),$I$1)</f>
        <v>0</v>
      </c>
      <c r="AC61" s="15">
        <f>IFERROR(IF(ISBLANK(V61),IFERROR(VLOOKUP($E61,Sheet3!$H$2:$O$200,AC$1,FALSE),IFERROR(VLOOKUP($F61,Sheet3!$H$2:$O$200,AC$1,FALSE),VLOOKUP($G61,Sheet3!$H$2:$O$200,AC$1,FALSE))),$I$1),$I$1)</f>
        <v>0</v>
      </c>
      <c r="AD61" s="15">
        <f>IFERROR(IF(ISBLANK(W61),IFERROR(VLOOKUP($E61,Sheet3!$H$2:$O$200,AD$1,FALSE),IFERROR(VLOOKUP($F61,Sheet3!$H$2:$O$200,AD$1,FALSE),VLOOKUP($G61,Sheet3!$H$2:$O$200,AD$1,FALSE))),$I$1),$I$1)</f>
        <v>0</v>
      </c>
      <c r="AE61" s="15">
        <f>IFERROR(IF(ISBLANK(X61),IFERROR(VLOOKUP($F61,Sheet3!$H$2:$O$200,AE$1,FALSE),VLOOKUP($G61,Sheet3!$H$2:$O$200,AE$1,FALSE)),$I$1),$I$1)</f>
        <v>0</v>
      </c>
      <c r="AF61" s="15">
        <f>IFERROR(IF(ISBLANK(Y61),IFERROR(VLOOKUP($F61,Sheet3!$H$2:$O$200,AF$1,FALSE),VLOOKUP($G61,Sheet3!$H$2:$O$200,AF$1,FALSE)),$I$1),$I$1)</f>
        <v>0</v>
      </c>
      <c r="AG61" s="15">
        <f>IFERROR(IF(ISBLANK(Z61),IFERROR(VLOOKUP($F61,Sheet3!$H$2:$O$200,AG$1,FALSE),VLOOKUP($G61,Sheet3!$H$2:$O$200,AG$1,FALSE)),$I$1),$I$1)</f>
        <v>0</v>
      </c>
      <c r="AH61" s="15">
        <f>IFERROR(IF(ISBLANK(AA61),IFERROR(VLOOKUP($F61,Sheet3!$H$2:$O$200,AH$1,FALSE),VLOOKUP($G61,Sheet3!$H$2:$O$200,AH$1,FALSE)),$I$1),$I$1)</f>
        <v>0</v>
      </c>
      <c r="AI61" s="15">
        <f>IFERROR(IF(ISBLANK(AB61),IFERROR(VLOOKUP($F61,Sheet3!$H$2:$O$200,AI$1,FALSE),VLOOKUP($G61,Sheet3!$H$2:$O$200,AI$1,FALSE)),$I$1),$I$1)</f>
        <v>0</v>
      </c>
      <c r="AJ61" s="15">
        <f>IFERROR(IF(ISBLANK(AC61),IFERROR(VLOOKUP($F61,Sheet3!$H$2:$O$200,AJ$1,FALSE),VLOOKUP($G61,Sheet3!$H$2:$O$200,AJ$1,FALSE)),$I$1),$I$1)</f>
        <v>0</v>
      </c>
      <c r="AK61" s="15">
        <f>IFERROR(IF(ISBLANK(AD61),IFERROR(VLOOKUP($F61,Sheet3!$H$2:$O$200,AK$1,FALSE),VLOOKUP($G61,Sheet3!$H$2:$O$200,AK$1,FALSE)),$I$1),$I$1)</f>
        <v>0</v>
      </c>
      <c r="AL61" s="15">
        <f>IFERROR(IF(ISBLANK(AE61),VLOOKUP($G61,Sheet3!$H$2:$O$200,AL$1,FALSE),$I$1),$I$1)</f>
        <v>0</v>
      </c>
      <c r="AM61" s="15">
        <f>IFERROR(IF(ISBLANK(AF61),VLOOKUP($G61,Sheet3!$H$2:$O$200,AM$1,FALSE),$I$1),$I$1)</f>
        <v>0</v>
      </c>
      <c r="AN61" s="15">
        <f>IFERROR(IF(ISBLANK(AG61),VLOOKUP($G61,Sheet3!$H$2:$O$200,AN$1,FALSE),$I$1),$I$1)</f>
        <v>0</v>
      </c>
      <c r="AO61" s="15">
        <f>IFERROR(IF(ISBLANK(AH61),VLOOKUP($G61,Sheet3!$H$2:$O$200,AO$1,FALSE),$I$1),$I$1)</f>
        <v>0</v>
      </c>
      <c r="AP61" s="15">
        <f>IFERROR(IF(ISBLANK(AI61),VLOOKUP($G61,Sheet3!$H$2:$O$200,AP$1,FALSE),$I$1),$I$1)</f>
        <v>0</v>
      </c>
      <c r="AQ61" s="15">
        <f>IFERROR(IF(ISBLANK(AJ61),VLOOKUP($G61,Sheet3!$H$2:$O$200,AQ$1,FALSE),$I$1),$I$1)</f>
        <v>0</v>
      </c>
      <c r="AR61" s="15">
        <f>IFERROR(IF(ISBLANK(AK61),VLOOKUP($G61,Sheet3!$H$2:$O$200,AR$1,FALSE),$I$1),$I$1)</f>
        <v>0</v>
      </c>
      <c r="AS61" s="15">
        <f t="shared" ref="AS61:AY61" si="66">IFERROR(IF(ISBLANK(J61),IF(ISBLANK(Q61),IF(ISBLANK(X61),IF(ISBLANK(AE61),IF(ISBLANK(AL61),$BB$1,AL61),AE61),X61),Q61),J61),$BB$1)</f>
        <v>0</v>
      </c>
      <c r="AT61" s="15">
        <f t="shared" si="66"/>
        <v>0</v>
      </c>
      <c r="AU61" s="15" t="str">
        <f t="shared" si="66"/>
        <v>lime juice</v>
      </c>
      <c r="AV61" s="15">
        <f t="shared" si="66"/>
        <v>0</v>
      </c>
      <c r="AW61" s="15">
        <f t="shared" si="66"/>
        <v>0</v>
      </c>
      <c r="AX61" s="15">
        <f t="shared" si="66"/>
        <v>0</v>
      </c>
      <c r="AY61" s="15">
        <f t="shared" si="66"/>
        <v>0</v>
      </c>
      <c r="BA61" s="13">
        <f t="shared" si="1"/>
        <v>35</v>
      </c>
      <c r="BB61" s="15" t="b">
        <f t="shared" si="2"/>
        <v>0</v>
      </c>
    </row>
    <row r="62" spans="1:54" x14ac:dyDescent="0.2">
      <c r="A62" s="19" t="s">
        <v>160</v>
      </c>
      <c r="B62" s="19" t="s">
        <v>148</v>
      </c>
      <c r="C62" s="19"/>
      <c r="D62" s="19" t="s">
        <v>90</v>
      </c>
      <c r="E62" s="18" t="s">
        <v>86</v>
      </c>
      <c r="F62" s="18" t="s">
        <v>66</v>
      </c>
      <c r="G62" s="19"/>
      <c r="H62" s="19" t="s">
        <v>160</v>
      </c>
      <c r="I62" s="15">
        <v>3</v>
      </c>
      <c r="J62" s="15">
        <f>IFERROR(VLOOKUP($C62,Sheet3!$H$2:$O$200,J$1,FALSE),IFERROR(VLOOKUP($D62,Sheet3!$H$2:$O$200,J$1,FALSE),VLOOKUP($E62,Sheet3!$H$2:$O$200,J$1,FALSE)))</f>
        <v>0</v>
      </c>
      <c r="K62" s="15">
        <f>IFERROR(VLOOKUP($C62,Sheet3!$H$2:$O$200,K$1,FALSE),IFERROR(VLOOKUP($D62,Sheet3!$H$2:$O$200,K$1,FALSE),VLOOKUP($E62,Sheet3!$H$2:$O$200,K$1,FALSE)))</f>
        <v>0</v>
      </c>
      <c r="L62" s="15" t="str">
        <f>IFERROR(VLOOKUP($C62,Sheet3!$H$2:$O$200,L$1,FALSE),IFERROR(VLOOKUP($D62,Sheet3!$H$2:$O$200,L$1,FALSE),VLOOKUP($E62,Sheet3!$H$2:$O$200,L$1,FALSE)))</f>
        <v>lime juice</v>
      </c>
      <c r="M62" s="15">
        <f>IFERROR(VLOOKUP($C62,Sheet3!$H$2:$O$200,M$1,FALSE),IFERROR(VLOOKUP($D62,Sheet3!$H$2:$O$200,M$1,FALSE),VLOOKUP($E62,Sheet3!$H$2:$O$200,M$1,FALSE)))</f>
        <v>0</v>
      </c>
      <c r="N62" s="15">
        <f>IFERROR(VLOOKUP($C62,Sheet3!$H$2:$O$200,N$1,FALSE),IFERROR(VLOOKUP($D62,Sheet3!$H$2:$O$200,N$1,FALSE),VLOOKUP($E62,Sheet3!$H$2:$O$200,N$1,FALSE)))</f>
        <v>0</v>
      </c>
      <c r="O62" s="15">
        <f>IFERROR(VLOOKUP($C62,Sheet3!$H$2:$O$200,O$1,FALSE),IFERROR(VLOOKUP($D62,Sheet3!$H$2:$O$200,O$1,FALSE),VLOOKUP($E62,Sheet3!$H$2:$O$200,O$1,FALSE)))</f>
        <v>0</v>
      </c>
      <c r="P62" s="15">
        <f>IFERROR(VLOOKUP($C62,Sheet3!$H$2:$O$200,P$1,FALSE),IFERROR(VLOOKUP($D62,Sheet3!$H$2:$O$200,P$1,FALSE),VLOOKUP($E62,Sheet3!$H$2:$O$200,P$1,FALSE)))</f>
        <v>0</v>
      </c>
      <c r="Q62" s="15">
        <f>IFERROR(IF(ISBLANK(J62),IFERROR(VLOOKUP($D62,Sheet3!$H$2:$O$200,Q$1,FALSE),IFERROR(VLOOKUP($E62,Sheet3!$H$2:$O$200,Q$1,FALSE),VLOOKUP($F62,Sheet3!$H$2:$O$200,Q$1,FALSE))),$I$1),$I$1)</f>
        <v>0</v>
      </c>
      <c r="R62" s="15">
        <f>IFERROR(IF(ISBLANK(K62),IFERROR(VLOOKUP($D62,Sheet3!$H$2:$O$200,R$1,FALSE),IFERROR(VLOOKUP($E62,Sheet3!$H$2:$O$200,R$1,FALSE),VLOOKUP($F62,Sheet3!$H$2:$O$200,R$1,FALSE))),$I$1),$I$1)</f>
        <v>0</v>
      </c>
      <c r="S62" s="15">
        <f>IFERROR(IF(ISBLANK(L62),IFERROR(VLOOKUP($D62,Sheet3!$H$2:$O$200,S$1,FALSE),IFERROR(VLOOKUP($E62,Sheet3!$H$2:$O$200,S$1,FALSE),VLOOKUP($F62,Sheet3!$H$2:$O$200,S$1,FALSE))),$I$1),$I$1)</f>
        <v>0</v>
      </c>
      <c r="T62" s="15">
        <f>IFERROR(IF(ISBLANK(M62),IFERROR(VLOOKUP($D62,Sheet3!$H$2:$O$200,T$1,FALSE),IFERROR(VLOOKUP($E62,Sheet3!$H$2:$O$200,T$1,FALSE),VLOOKUP($F62,Sheet3!$H$2:$O$200,T$1,FALSE))),$I$1),$I$1)</f>
        <v>0</v>
      </c>
      <c r="U62" s="15">
        <f>IFERROR(IF(ISBLANK(N62),IFERROR(VLOOKUP($D62,Sheet3!$H$2:$O$200,U$1,FALSE),IFERROR(VLOOKUP($E62,Sheet3!$H$2:$O$200,U$1,FALSE),VLOOKUP($F62,Sheet3!$H$2:$O$200,U$1,FALSE))),$I$1),$I$1)</f>
        <v>0</v>
      </c>
      <c r="V62" s="15">
        <f>IFERROR(IF(ISBLANK(O62),IFERROR(VLOOKUP($D62,Sheet3!$H$2:$O$200,V$1,FALSE),IFERROR(VLOOKUP($E62,Sheet3!$H$2:$O$200,V$1,FALSE),VLOOKUP($F62,Sheet3!$H$2:$O$200,V$1,FALSE))),$I$1),$I$1)</f>
        <v>0</v>
      </c>
      <c r="W62" s="15">
        <f>IFERROR(IF(ISBLANK(P62),IFERROR(VLOOKUP($D62,Sheet3!$H$2:$O$200,W$1,FALSE),IFERROR(VLOOKUP($E62,Sheet3!$H$2:$O$200,W$1,FALSE),VLOOKUP($F62,Sheet3!$H$2:$O$200,W$1,FALSE))),$I$1),$I$1)</f>
        <v>0</v>
      </c>
      <c r="X62" s="15">
        <f>IFERROR(IF(ISBLANK(Q62),IFERROR(VLOOKUP($E62,Sheet3!$H$2:$O$200,X$1,FALSE),IFERROR(VLOOKUP($F62,Sheet3!$H$2:$O$200,X$1,FALSE),VLOOKUP($G62,Sheet3!$H$2:$O$200,X$1,FALSE))),$I$1),$I$1)</f>
        <v>0</v>
      </c>
      <c r="Y62" s="15">
        <f>IFERROR(IF(ISBLANK(R62),IFERROR(VLOOKUP($E62,Sheet3!$H$2:$O$200,Y$1,FALSE),IFERROR(VLOOKUP($F62,Sheet3!$H$2:$O$200,Y$1,FALSE),VLOOKUP($G62,Sheet3!$H$2:$O$200,Y$1,FALSE))),$I$1),$I$1)</f>
        <v>0</v>
      </c>
      <c r="Z62" s="15">
        <f>IFERROR(IF(ISBLANK(S62),IFERROR(VLOOKUP($E62,Sheet3!$H$2:$O$200,Z$1,FALSE),IFERROR(VLOOKUP($F62,Sheet3!$H$2:$O$200,Z$1,FALSE),VLOOKUP($G62,Sheet3!$H$2:$O$200,Z$1,FALSE))),$I$1),$I$1)</f>
        <v>0</v>
      </c>
      <c r="AA62" s="15">
        <f>IFERROR(IF(ISBLANK(T62),IFERROR(VLOOKUP($E62,Sheet3!$H$2:$O$200,AA$1,FALSE),IFERROR(VLOOKUP($F62,Sheet3!$H$2:$O$200,AA$1,FALSE),VLOOKUP($G62,Sheet3!$H$2:$O$200,AA$1,FALSE))),$I$1),$I$1)</f>
        <v>0</v>
      </c>
      <c r="AB62" s="15">
        <f>IFERROR(IF(ISBLANK(U62),IFERROR(VLOOKUP($E62,Sheet3!$H$2:$O$200,AB$1,FALSE),IFERROR(VLOOKUP($F62,Sheet3!$H$2:$O$200,AB$1,FALSE),VLOOKUP($G62,Sheet3!$H$2:$O$200,AB$1,FALSE))),$I$1),$I$1)</f>
        <v>0</v>
      </c>
      <c r="AC62" s="15">
        <f>IFERROR(IF(ISBLANK(V62),IFERROR(VLOOKUP($E62,Sheet3!$H$2:$O$200,AC$1,FALSE),IFERROR(VLOOKUP($F62,Sheet3!$H$2:$O$200,AC$1,FALSE),VLOOKUP($G62,Sheet3!$H$2:$O$200,AC$1,FALSE))),$I$1),$I$1)</f>
        <v>0</v>
      </c>
      <c r="AD62" s="15">
        <f>IFERROR(IF(ISBLANK(W62),IFERROR(VLOOKUP($E62,Sheet3!$H$2:$O$200,AD$1,FALSE),IFERROR(VLOOKUP($F62,Sheet3!$H$2:$O$200,AD$1,FALSE),VLOOKUP($G62,Sheet3!$H$2:$O$200,AD$1,FALSE))),$I$1),$I$1)</f>
        <v>0</v>
      </c>
      <c r="AE62" s="15">
        <f>IFERROR(IF(ISBLANK(X62),IFERROR(VLOOKUP($F62,Sheet3!$H$2:$O$200,AE$1,FALSE),VLOOKUP($G62,Sheet3!$H$2:$O$200,AE$1,FALSE)),$I$1),$I$1)</f>
        <v>0</v>
      </c>
      <c r="AF62" s="15">
        <f>IFERROR(IF(ISBLANK(Y62),IFERROR(VLOOKUP($F62,Sheet3!$H$2:$O$200,AF$1,FALSE),VLOOKUP($G62,Sheet3!$H$2:$O$200,AF$1,FALSE)),$I$1),$I$1)</f>
        <v>0</v>
      </c>
      <c r="AG62" s="15">
        <f>IFERROR(IF(ISBLANK(Z62),IFERROR(VLOOKUP($F62,Sheet3!$H$2:$O$200,AG$1,FALSE),VLOOKUP($G62,Sheet3!$H$2:$O$200,AG$1,FALSE)),$I$1),$I$1)</f>
        <v>0</v>
      </c>
      <c r="AH62" s="15">
        <f>IFERROR(IF(ISBLANK(AA62),IFERROR(VLOOKUP($F62,Sheet3!$H$2:$O$200,AH$1,FALSE),VLOOKUP($G62,Sheet3!$H$2:$O$200,AH$1,FALSE)),$I$1),$I$1)</f>
        <v>0</v>
      </c>
      <c r="AI62" s="15">
        <f>IFERROR(IF(ISBLANK(AB62),IFERROR(VLOOKUP($F62,Sheet3!$H$2:$O$200,AI$1,FALSE),VLOOKUP($G62,Sheet3!$H$2:$O$200,AI$1,FALSE)),$I$1),$I$1)</f>
        <v>0</v>
      </c>
      <c r="AJ62" s="15">
        <f>IFERROR(IF(ISBLANK(AC62),IFERROR(VLOOKUP($F62,Sheet3!$H$2:$O$200,AJ$1,FALSE),VLOOKUP($G62,Sheet3!$H$2:$O$200,AJ$1,FALSE)),$I$1),$I$1)</f>
        <v>0</v>
      </c>
      <c r="AK62" s="15">
        <f>IFERROR(IF(ISBLANK(AD62),IFERROR(VLOOKUP($F62,Sheet3!$H$2:$O$200,AK$1,FALSE),VLOOKUP($G62,Sheet3!$H$2:$O$200,AK$1,FALSE)),$I$1),$I$1)</f>
        <v>0</v>
      </c>
      <c r="AL62" s="15">
        <f>IFERROR(IF(ISBLANK(AE62),VLOOKUP($G62,Sheet3!$H$2:$O$200,AL$1,FALSE),$I$1),$I$1)</f>
        <v>0</v>
      </c>
      <c r="AM62" s="15">
        <f>IFERROR(IF(ISBLANK(AF62),VLOOKUP($G62,Sheet3!$H$2:$O$200,AM$1,FALSE),$I$1),$I$1)</f>
        <v>0</v>
      </c>
      <c r="AN62" s="15">
        <f>IFERROR(IF(ISBLANK(AG62),VLOOKUP($G62,Sheet3!$H$2:$O$200,AN$1,FALSE),$I$1),$I$1)</f>
        <v>0</v>
      </c>
      <c r="AO62" s="15">
        <f>IFERROR(IF(ISBLANK(AH62),VLOOKUP($G62,Sheet3!$H$2:$O$200,AO$1,FALSE),$I$1),$I$1)</f>
        <v>0</v>
      </c>
      <c r="AP62" s="15">
        <f>IFERROR(IF(ISBLANK(AI62),VLOOKUP($G62,Sheet3!$H$2:$O$200,AP$1,FALSE),$I$1),$I$1)</f>
        <v>0</v>
      </c>
      <c r="AQ62" s="15">
        <f>IFERROR(IF(ISBLANK(AJ62),VLOOKUP($G62,Sheet3!$H$2:$O$200,AQ$1,FALSE),$I$1),$I$1)</f>
        <v>0</v>
      </c>
      <c r="AR62" s="15">
        <f>IFERROR(IF(ISBLANK(AK62),VLOOKUP($G62,Sheet3!$H$2:$O$200,AR$1,FALSE),$I$1),$I$1)</f>
        <v>0</v>
      </c>
      <c r="AS62" s="15">
        <f t="shared" ref="AS62:AX62" si="67">IFERROR(IF(ISBLANK(J62),IF(ISBLANK(Q62),IF(ISBLANK(X62),IF(ISBLANK(AE62),IF(ISBLANK(AL62),$BB$1,AL62),AE62),X62),Q62),J62),$BB$1)</f>
        <v>0</v>
      </c>
      <c r="AT62" s="15">
        <f t="shared" si="67"/>
        <v>0</v>
      </c>
      <c r="AU62" s="15" t="str">
        <f t="shared" si="67"/>
        <v>lime juice</v>
      </c>
      <c r="AV62" s="15">
        <f t="shared" si="67"/>
        <v>0</v>
      </c>
      <c r="AW62" s="15">
        <f t="shared" si="67"/>
        <v>0</v>
      </c>
      <c r="AX62" s="15">
        <f t="shared" si="67"/>
        <v>0</v>
      </c>
      <c r="AY62" s="11" t="s">
        <v>66</v>
      </c>
      <c r="BA62" s="13">
        <f t="shared" si="1"/>
        <v>35</v>
      </c>
      <c r="BB62" s="15" t="b">
        <f t="shared" si="2"/>
        <v>0</v>
      </c>
    </row>
    <row r="63" spans="1:54" x14ac:dyDescent="0.2">
      <c r="A63" s="19" t="s">
        <v>161</v>
      </c>
      <c r="B63" s="19" t="s">
        <v>148</v>
      </c>
      <c r="C63" s="19"/>
      <c r="D63" s="19" t="s">
        <v>38</v>
      </c>
      <c r="E63" s="19" t="s">
        <v>162</v>
      </c>
      <c r="F63" s="19" t="s">
        <v>163</v>
      </c>
      <c r="G63" s="19"/>
      <c r="H63" s="19" t="s">
        <v>161</v>
      </c>
      <c r="I63" s="15">
        <v>3</v>
      </c>
      <c r="J63" s="15">
        <f>IFERROR(VLOOKUP($C63,Sheet3!$H$2:$O$200,J$1,FALSE),IFERROR(VLOOKUP($D63,Sheet3!$H$2:$O$200,J$1,FALSE),VLOOKUP($E63,Sheet3!$H$2:$O$200,J$1,FALSE)))</f>
        <v>0</v>
      </c>
      <c r="K63" s="15">
        <f>IFERROR(VLOOKUP($C63,Sheet3!$H$2:$O$200,K$1,FALSE),IFERROR(VLOOKUP($D63,Sheet3!$H$2:$O$200,K$1,FALSE),VLOOKUP($E63,Sheet3!$H$2:$O$200,K$1,FALSE)))</f>
        <v>0</v>
      </c>
      <c r="L63" s="15" t="str">
        <f>IFERROR(VLOOKUP($C63,Sheet3!$H$2:$O$200,L$1,FALSE),IFERROR(VLOOKUP($D63,Sheet3!$H$2:$O$200,L$1,FALSE),VLOOKUP($E63,Sheet3!$H$2:$O$200,L$1,FALSE)))</f>
        <v>lemon juice</v>
      </c>
      <c r="M63" s="15">
        <f>IFERROR(VLOOKUP($C63,Sheet3!$H$2:$O$200,M$1,FALSE),IFERROR(VLOOKUP($D63,Sheet3!$H$2:$O$200,M$1,FALSE),VLOOKUP($E63,Sheet3!$H$2:$O$200,M$1,FALSE)))</f>
        <v>0</v>
      </c>
      <c r="N63" s="15">
        <f>IFERROR(VLOOKUP($C63,Sheet3!$H$2:$O$200,N$1,FALSE),IFERROR(VLOOKUP($D63,Sheet3!$H$2:$O$200,N$1,FALSE),VLOOKUP($E63,Sheet3!$H$2:$O$200,N$1,FALSE)))</f>
        <v>0</v>
      </c>
      <c r="O63" s="15">
        <f>IFERROR(VLOOKUP($C63,Sheet3!$H$2:$O$200,O$1,FALSE),IFERROR(VLOOKUP($D63,Sheet3!$H$2:$O$200,O$1,FALSE),VLOOKUP($E63,Sheet3!$H$2:$O$200,O$1,FALSE)))</f>
        <v>0</v>
      </c>
      <c r="P63" s="15">
        <f>IFERROR(VLOOKUP($C63,Sheet3!$H$2:$O$200,P$1,FALSE),IFERROR(VLOOKUP($D63,Sheet3!$H$2:$O$200,P$1,FALSE),VLOOKUP($E63,Sheet3!$H$2:$O$200,P$1,FALSE)))</f>
        <v>0</v>
      </c>
      <c r="Q63" s="15">
        <f>IFERROR(IF(ISBLANK(J63),IFERROR(VLOOKUP($D63,Sheet3!$H$2:$O$200,Q$1,FALSE),IFERROR(VLOOKUP($E63,Sheet3!$H$2:$O$200,Q$1,FALSE),VLOOKUP($F63,Sheet3!$H$2:$O$200,Q$1,FALSE))),$I$1),$I$1)</f>
        <v>0</v>
      </c>
      <c r="R63" s="15">
        <f>IFERROR(IF(ISBLANK(K63),IFERROR(VLOOKUP($D63,Sheet3!$H$2:$O$200,R$1,FALSE),IFERROR(VLOOKUP($E63,Sheet3!$H$2:$O$200,R$1,FALSE),VLOOKUP($F63,Sheet3!$H$2:$O$200,R$1,FALSE))),$I$1),$I$1)</f>
        <v>0</v>
      </c>
      <c r="S63" s="15">
        <f>IFERROR(IF(ISBLANK(L63),IFERROR(VLOOKUP($D63,Sheet3!$H$2:$O$200,S$1,FALSE),IFERROR(VLOOKUP($E63,Sheet3!$H$2:$O$200,S$1,FALSE),VLOOKUP($F63,Sheet3!$H$2:$O$200,S$1,FALSE))),$I$1),$I$1)</f>
        <v>0</v>
      </c>
      <c r="T63" s="15">
        <f>IFERROR(IF(ISBLANK(M63),IFERROR(VLOOKUP($D63,Sheet3!$H$2:$O$200,T$1,FALSE),IFERROR(VLOOKUP($E63,Sheet3!$H$2:$O$200,T$1,FALSE),VLOOKUP($F63,Sheet3!$H$2:$O$200,T$1,FALSE))),$I$1),$I$1)</f>
        <v>0</v>
      </c>
      <c r="U63" s="15">
        <f>IFERROR(IF(ISBLANK(N63),IFERROR(VLOOKUP($D63,Sheet3!$H$2:$O$200,U$1,FALSE),IFERROR(VLOOKUP($E63,Sheet3!$H$2:$O$200,U$1,FALSE),VLOOKUP($F63,Sheet3!$H$2:$O$200,U$1,FALSE))),$I$1),$I$1)</f>
        <v>0</v>
      </c>
      <c r="V63" s="15">
        <f>IFERROR(IF(ISBLANK(O63),IFERROR(VLOOKUP($D63,Sheet3!$H$2:$O$200,V$1,FALSE),IFERROR(VLOOKUP($E63,Sheet3!$H$2:$O$200,V$1,FALSE),VLOOKUP($F63,Sheet3!$H$2:$O$200,V$1,FALSE))),$I$1),$I$1)</f>
        <v>0</v>
      </c>
      <c r="W63" s="15">
        <f>IFERROR(IF(ISBLANK(P63),IFERROR(VLOOKUP($D63,Sheet3!$H$2:$O$200,W$1,FALSE),IFERROR(VLOOKUP($E63,Sheet3!$H$2:$O$200,W$1,FALSE),VLOOKUP($F63,Sheet3!$H$2:$O$200,W$1,FALSE))),$I$1),$I$1)</f>
        <v>0</v>
      </c>
      <c r="X63" s="15">
        <f>IFERROR(IF(ISBLANK(Q63),IFERROR(VLOOKUP($E63,Sheet3!$H$2:$O$200,X$1,FALSE),IFERROR(VLOOKUP($F63,Sheet3!$H$2:$O$200,X$1,FALSE),VLOOKUP($G63,Sheet3!$H$2:$O$200,X$1,FALSE))),$I$1),$I$1)</f>
        <v>0</v>
      </c>
      <c r="Y63" s="15">
        <f>IFERROR(IF(ISBLANK(R63),IFERROR(VLOOKUP($E63,Sheet3!$H$2:$O$200,Y$1,FALSE),IFERROR(VLOOKUP($F63,Sheet3!$H$2:$O$200,Y$1,FALSE),VLOOKUP($G63,Sheet3!$H$2:$O$200,Y$1,FALSE))),$I$1),$I$1)</f>
        <v>0</v>
      </c>
      <c r="Z63" s="15">
        <f>IFERROR(IF(ISBLANK(S63),IFERROR(VLOOKUP($E63,Sheet3!$H$2:$O$200,Z$1,FALSE),IFERROR(VLOOKUP($F63,Sheet3!$H$2:$O$200,Z$1,FALSE),VLOOKUP($G63,Sheet3!$H$2:$O$200,Z$1,FALSE))),$I$1),$I$1)</f>
        <v>0</v>
      </c>
      <c r="AA63" s="15">
        <f>IFERROR(IF(ISBLANK(T63),IFERROR(VLOOKUP($E63,Sheet3!$H$2:$O$200,AA$1,FALSE),IFERROR(VLOOKUP($F63,Sheet3!$H$2:$O$200,AA$1,FALSE),VLOOKUP($G63,Sheet3!$H$2:$O$200,AA$1,FALSE))),$I$1),$I$1)</f>
        <v>0</v>
      </c>
      <c r="AB63" s="15">
        <f>IFERROR(IF(ISBLANK(U63),IFERROR(VLOOKUP($E63,Sheet3!$H$2:$O$200,AB$1,FALSE),IFERROR(VLOOKUP($F63,Sheet3!$H$2:$O$200,AB$1,FALSE),VLOOKUP($G63,Sheet3!$H$2:$O$200,AB$1,FALSE))),$I$1),$I$1)</f>
        <v>0</v>
      </c>
      <c r="AC63" s="15">
        <f>IFERROR(IF(ISBLANK(V63),IFERROR(VLOOKUP($E63,Sheet3!$H$2:$O$200,AC$1,FALSE),IFERROR(VLOOKUP($F63,Sheet3!$H$2:$O$200,AC$1,FALSE),VLOOKUP($G63,Sheet3!$H$2:$O$200,AC$1,FALSE))),$I$1),$I$1)</f>
        <v>0</v>
      </c>
      <c r="AD63" s="15">
        <f>IFERROR(IF(ISBLANK(W63),IFERROR(VLOOKUP($E63,Sheet3!$H$2:$O$200,AD$1,FALSE),IFERROR(VLOOKUP($F63,Sheet3!$H$2:$O$200,AD$1,FALSE),VLOOKUP($G63,Sheet3!$H$2:$O$200,AD$1,FALSE))),$I$1),$I$1)</f>
        <v>0</v>
      </c>
      <c r="AE63" s="15">
        <f>IFERROR(IF(ISBLANK(X63),IFERROR(VLOOKUP($F63,Sheet3!$H$2:$O$200,AE$1,FALSE),VLOOKUP($G63,Sheet3!$H$2:$O$200,AE$1,FALSE)),$I$1),$I$1)</f>
        <v>0</v>
      </c>
      <c r="AF63" s="15">
        <f>IFERROR(IF(ISBLANK(Y63),IFERROR(VLOOKUP($F63,Sheet3!$H$2:$O$200,AF$1,FALSE),VLOOKUP($G63,Sheet3!$H$2:$O$200,AF$1,FALSE)),$I$1),$I$1)</f>
        <v>0</v>
      </c>
      <c r="AG63" s="15">
        <f>IFERROR(IF(ISBLANK(Z63),IFERROR(VLOOKUP($F63,Sheet3!$H$2:$O$200,AG$1,FALSE),VLOOKUP($G63,Sheet3!$H$2:$O$200,AG$1,FALSE)),$I$1),$I$1)</f>
        <v>0</v>
      </c>
      <c r="AH63" s="15">
        <f>IFERROR(IF(ISBLANK(AA63),IFERROR(VLOOKUP($F63,Sheet3!$H$2:$O$200,AH$1,FALSE),VLOOKUP($G63,Sheet3!$H$2:$O$200,AH$1,FALSE)),$I$1),$I$1)</f>
        <v>0</v>
      </c>
      <c r="AI63" s="15">
        <f>IFERROR(IF(ISBLANK(AB63),IFERROR(VLOOKUP($F63,Sheet3!$H$2:$O$200,AI$1,FALSE),VLOOKUP($G63,Sheet3!$H$2:$O$200,AI$1,FALSE)),$I$1),$I$1)</f>
        <v>0</v>
      </c>
      <c r="AJ63" s="15">
        <f>IFERROR(IF(ISBLANK(AC63),IFERROR(VLOOKUP($F63,Sheet3!$H$2:$O$200,AJ$1,FALSE),VLOOKUP($G63,Sheet3!$H$2:$O$200,AJ$1,FALSE)),$I$1),$I$1)</f>
        <v>0</v>
      </c>
      <c r="AK63" s="15">
        <f>IFERROR(IF(ISBLANK(AD63),IFERROR(VLOOKUP($F63,Sheet3!$H$2:$O$200,AK$1,FALSE),VLOOKUP($G63,Sheet3!$H$2:$O$200,AK$1,FALSE)),$I$1),$I$1)</f>
        <v>0</v>
      </c>
      <c r="AL63" s="15">
        <f>IFERROR(IF(ISBLANK(AE63),VLOOKUP($G63,Sheet3!$H$2:$O$200,AL$1,FALSE),$I$1),$I$1)</f>
        <v>0</v>
      </c>
      <c r="AM63" s="15">
        <f>IFERROR(IF(ISBLANK(AF63),VLOOKUP($G63,Sheet3!$H$2:$O$200,AM$1,FALSE),$I$1),$I$1)</f>
        <v>0</v>
      </c>
      <c r="AN63" s="15">
        <f>IFERROR(IF(ISBLANK(AG63),VLOOKUP($G63,Sheet3!$H$2:$O$200,AN$1,FALSE),$I$1),$I$1)</f>
        <v>0</v>
      </c>
      <c r="AO63" s="15">
        <f>IFERROR(IF(ISBLANK(AH63),VLOOKUP($G63,Sheet3!$H$2:$O$200,AO$1,FALSE),$I$1),$I$1)</f>
        <v>0</v>
      </c>
      <c r="AP63" s="15">
        <f>IFERROR(IF(ISBLANK(AI63),VLOOKUP($G63,Sheet3!$H$2:$O$200,AP$1,FALSE),$I$1),$I$1)</f>
        <v>0</v>
      </c>
      <c r="AQ63" s="15">
        <f>IFERROR(IF(ISBLANK(AJ63),VLOOKUP($G63,Sheet3!$H$2:$O$200,AQ$1,FALSE),$I$1),$I$1)</f>
        <v>0</v>
      </c>
      <c r="AR63" s="15">
        <f>IFERROR(IF(ISBLANK(AK63),VLOOKUP($G63,Sheet3!$H$2:$O$200,AR$1,FALSE),$I$1),$I$1)</f>
        <v>0</v>
      </c>
      <c r="AS63" s="15">
        <f t="shared" ref="AS63:AY63" si="68">IFERROR(IF(ISBLANK(J63),IF(ISBLANK(Q63),IF(ISBLANK(X63),IF(ISBLANK(AE63),IF(ISBLANK(AL63),$BB$1,AL63),AE63),X63),Q63),J63),$BB$1)</f>
        <v>0</v>
      </c>
      <c r="AT63" s="15">
        <f t="shared" si="68"/>
        <v>0</v>
      </c>
      <c r="AU63" s="15" t="str">
        <f t="shared" si="68"/>
        <v>lemon juice</v>
      </c>
      <c r="AV63" s="15">
        <f t="shared" si="68"/>
        <v>0</v>
      </c>
      <c r="AW63" s="15">
        <f t="shared" si="68"/>
        <v>0</v>
      </c>
      <c r="AX63" s="15">
        <f t="shared" si="68"/>
        <v>0</v>
      </c>
      <c r="AY63" s="15">
        <f t="shared" si="68"/>
        <v>0</v>
      </c>
      <c r="BA63" s="13">
        <f t="shared" si="1"/>
        <v>35</v>
      </c>
      <c r="BB63" s="15" t="b">
        <f t="shared" si="2"/>
        <v>0</v>
      </c>
    </row>
    <row r="64" spans="1:54" x14ac:dyDescent="0.2">
      <c r="A64" s="19" t="s">
        <v>164</v>
      </c>
      <c r="B64" s="19" t="s">
        <v>148</v>
      </c>
      <c r="C64" s="19" t="s">
        <v>30</v>
      </c>
      <c r="D64" s="19" t="s">
        <v>38</v>
      </c>
      <c r="E64" s="19" t="s">
        <v>66</v>
      </c>
      <c r="F64" s="19"/>
      <c r="G64" s="19"/>
      <c r="H64" s="19" t="s">
        <v>164</v>
      </c>
      <c r="I64" s="15">
        <v>3</v>
      </c>
      <c r="J64" s="15">
        <f>IFERROR(VLOOKUP($C64,Sheet3!$H$2:$O$200,J$1,FALSE),IFERROR(VLOOKUP($D64,Sheet3!$H$2:$O$200,J$1,FALSE),VLOOKUP($E64,Sheet3!$H$2:$O$200,J$1,FALSE)))</f>
        <v>0</v>
      </c>
      <c r="K64" s="15">
        <f>IFERROR(VLOOKUP($C64,Sheet3!$H$2:$O$200,K$1,FALSE),IFERROR(VLOOKUP($D64,Sheet3!$H$2:$O$200,K$1,FALSE),VLOOKUP($E64,Sheet3!$H$2:$O$200,K$1,FALSE)))</f>
        <v>0</v>
      </c>
      <c r="L64" s="15">
        <f>IFERROR(VLOOKUP($C64,Sheet3!$H$2:$O$200,L$1,FALSE),IFERROR(VLOOKUP($D64,Sheet3!$H$2:$O$200,L$1,FALSE),VLOOKUP($E64,Sheet3!$H$2:$O$200,L$1,FALSE)))</f>
        <v>0</v>
      </c>
      <c r="M64" s="15" t="str">
        <f>IFERROR(VLOOKUP($C64,Sheet3!$H$2:$O$200,M$1,FALSE),IFERROR(VLOOKUP($D64,Sheet3!$H$2:$O$200,M$1,FALSE),VLOOKUP($E64,Sheet3!$H$2:$O$200,M$1,FALSE)))</f>
        <v>amaretto</v>
      </c>
      <c r="N64" s="15">
        <f>IFERROR(VLOOKUP($C64,Sheet3!$H$2:$O$200,N$1,FALSE),IFERROR(VLOOKUP($D64,Sheet3!$H$2:$O$200,N$1,FALSE),VLOOKUP($E64,Sheet3!$H$2:$O$200,N$1,FALSE)))</f>
        <v>0</v>
      </c>
      <c r="O64" s="15">
        <f>IFERROR(VLOOKUP($C64,Sheet3!$H$2:$O$200,O$1,FALSE),IFERROR(VLOOKUP($D64,Sheet3!$H$2:$O$200,O$1,FALSE),VLOOKUP($E64,Sheet3!$H$2:$O$200,O$1,FALSE)))</f>
        <v>0</v>
      </c>
      <c r="P64" s="15">
        <f>IFERROR(VLOOKUP($C64,Sheet3!$H$2:$O$200,P$1,FALSE),IFERROR(VLOOKUP($D64,Sheet3!$H$2:$O$200,P$1,FALSE),VLOOKUP($E64,Sheet3!$H$2:$O$200,P$1,FALSE)))</f>
        <v>0</v>
      </c>
      <c r="Q64" s="15">
        <f>IFERROR(IF(ISBLANK(J64),IFERROR(VLOOKUP($D64,Sheet3!$H$2:$O$200,Q$1,FALSE),IFERROR(VLOOKUP($E64,Sheet3!$H$2:$O$200,Q$1,FALSE),VLOOKUP($F64,Sheet3!$H$2:$O$200,Q$1,FALSE))),$I$1),$I$1)</f>
        <v>0</v>
      </c>
      <c r="R64" s="15">
        <f>IFERROR(IF(ISBLANK(K64),IFERROR(VLOOKUP($D64,Sheet3!$H$2:$O$200,R$1,FALSE),IFERROR(VLOOKUP($E64,Sheet3!$H$2:$O$200,R$1,FALSE),VLOOKUP($F64,Sheet3!$H$2:$O$200,R$1,FALSE))),$I$1),$I$1)</f>
        <v>0</v>
      </c>
      <c r="S64" s="15">
        <f>IFERROR(IF(ISBLANK(L64),IFERROR(VLOOKUP($D64,Sheet3!$H$2:$O$200,S$1,FALSE),IFERROR(VLOOKUP($E64,Sheet3!$H$2:$O$200,S$1,FALSE),VLOOKUP($F64,Sheet3!$H$2:$O$200,S$1,FALSE))),$I$1),$I$1)</f>
        <v>0</v>
      </c>
      <c r="T64" s="15">
        <f>IFERROR(IF(ISBLANK(M64),IFERROR(VLOOKUP($D64,Sheet3!$H$2:$O$200,T$1,FALSE),IFERROR(VLOOKUP($E64,Sheet3!$H$2:$O$200,T$1,FALSE),VLOOKUP($F64,Sheet3!$H$2:$O$200,T$1,FALSE))),$I$1),$I$1)</f>
        <v>0</v>
      </c>
      <c r="U64" s="15">
        <f>IFERROR(IF(ISBLANK(N64),IFERROR(VLOOKUP($D64,Sheet3!$H$2:$O$200,U$1,FALSE),IFERROR(VLOOKUP($E64,Sheet3!$H$2:$O$200,U$1,FALSE),VLOOKUP($F64,Sheet3!$H$2:$O$200,U$1,FALSE))),$I$1),$I$1)</f>
        <v>0</v>
      </c>
      <c r="V64" s="15">
        <f>IFERROR(IF(ISBLANK(O64),IFERROR(VLOOKUP($D64,Sheet3!$H$2:$O$200,V$1,FALSE),IFERROR(VLOOKUP($E64,Sheet3!$H$2:$O$200,V$1,FALSE),VLOOKUP($F64,Sheet3!$H$2:$O$200,V$1,FALSE))),$I$1),$I$1)</f>
        <v>0</v>
      </c>
      <c r="W64" s="15">
        <f>IFERROR(IF(ISBLANK(P64),IFERROR(VLOOKUP($D64,Sheet3!$H$2:$O$200,W$1,FALSE),IFERROR(VLOOKUP($E64,Sheet3!$H$2:$O$200,W$1,FALSE),VLOOKUP($F64,Sheet3!$H$2:$O$200,W$1,FALSE))),$I$1),$I$1)</f>
        <v>0</v>
      </c>
      <c r="X64" s="15">
        <f>IFERROR(IF(ISBLANK(Q64),IFERROR(VLOOKUP($E64,Sheet3!$H$2:$O$200,X$1,FALSE),IFERROR(VLOOKUP($F64,Sheet3!$H$2:$O$200,X$1,FALSE),VLOOKUP($G64,Sheet3!$H$2:$O$200,X$1,FALSE))),$I$1),$I$1)</f>
        <v>0</v>
      </c>
      <c r="Y64" s="15">
        <f>IFERROR(IF(ISBLANK(R64),IFERROR(VLOOKUP($E64,Sheet3!$H$2:$O$200,Y$1,FALSE),IFERROR(VLOOKUP($F64,Sheet3!$H$2:$O$200,Y$1,FALSE),VLOOKUP($G64,Sheet3!$H$2:$O$200,Y$1,FALSE))),$I$1),$I$1)</f>
        <v>0</v>
      </c>
      <c r="Z64" s="15">
        <f>IFERROR(IF(ISBLANK(S64),IFERROR(VLOOKUP($E64,Sheet3!$H$2:$O$200,Z$1,FALSE),IFERROR(VLOOKUP($F64,Sheet3!$H$2:$O$200,Z$1,FALSE),VLOOKUP($G64,Sheet3!$H$2:$O$200,Z$1,FALSE))),$I$1),$I$1)</f>
        <v>0</v>
      </c>
      <c r="AA64" s="15">
        <f>IFERROR(IF(ISBLANK(T64),IFERROR(VLOOKUP($E64,Sheet3!$H$2:$O$200,AA$1,FALSE),IFERROR(VLOOKUP($F64,Sheet3!$H$2:$O$200,AA$1,FALSE),VLOOKUP($G64,Sheet3!$H$2:$O$200,AA$1,FALSE))),$I$1),$I$1)</f>
        <v>0</v>
      </c>
      <c r="AB64" s="15">
        <f>IFERROR(IF(ISBLANK(U64),IFERROR(VLOOKUP($E64,Sheet3!$H$2:$O$200,AB$1,FALSE),IFERROR(VLOOKUP($F64,Sheet3!$H$2:$O$200,AB$1,FALSE),VLOOKUP($G64,Sheet3!$H$2:$O$200,AB$1,FALSE))),$I$1),$I$1)</f>
        <v>0</v>
      </c>
      <c r="AC64" s="15">
        <f>IFERROR(IF(ISBLANK(V64),IFERROR(VLOOKUP($E64,Sheet3!$H$2:$O$200,AC$1,FALSE),IFERROR(VLOOKUP($F64,Sheet3!$H$2:$O$200,AC$1,FALSE),VLOOKUP($G64,Sheet3!$H$2:$O$200,AC$1,FALSE))),$I$1),$I$1)</f>
        <v>0</v>
      </c>
      <c r="AD64" s="15">
        <f>IFERROR(IF(ISBLANK(W64),IFERROR(VLOOKUP($E64,Sheet3!$H$2:$O$200,AD$1,FALSE),IFERROR(VLOOKUP($F64,Sheet3!$H$2:$O$200,AD$1,FALSE),VLOOKUP($G64,Sheet3!$H$2:$O$200,AD$1,FALSE))),$I$1),$I$1)</f>
        <v>0</v>
      </c>
      <c r="AE64" s="15">
        <f>IFERROR(IF(ISBLANK(X64),IFERROR(VLOOKUP($F64,Sheet3!$H$2:$O$200,AE$1,FALSE),VLOOKUP($G64,Sheet3!$H$2:$O$200,AE$1,FALSE)),$I$1),$I$1)</f>
        <v>0</v>
      </c>
      <c r="AF64" s="15">
        <f>IFERROR(IF(ISBLANK(Y64),IFERROR(VLOOKUP($F64,Sheet3!$H$2:$O$200,AF$1,FALSE),VLOOKUP($G64,Sheet3!$H$2:$O$200,AF$1,FALSE)),$I$1),$I$1)</f>
        <v>0</v>
      </c>
      <c r="AG64" s="15">
        <f>IFERROR(IF(ISBLANK(Z64),IFERROR(VLOOKUP($F64,Sheet3!$H$2:$O$200,AG$1,FALSE),VLOOKUP($G64,Sheet3!$H$2:$O$200,AG$1,FALSE)),$I$1),$I$1)</f>
        <v>0</v>
      </c>
      <c r="AH64" s="15">
        <f>IFERROR(IF(ISBLANK(AA64),IFERROR(VLOOKUP($F64,Sheet3!$H$2:$O$200,AH$1,FALSE),VLOOKUP($G64,Sheet3!$H$2:$O$200,AH$1,FALSE)),$I$1),$I$1)</f>
        <v>0</v>
      </c>
      <c r="AI64" s="15">
        <f>IFERROR(IF(ISBLANK(AB64),IFERROR(VLOOKUP($F64,Sheet3!$H$2:$O$200,AI$1,FALSE),VLOOKUP($G64,Sheet3!$H$2:$O$200,AI$1,FALSE)),$I$1),$I$1)</f>
        <v>0</v>
      </c>
      <c r="AJ64" s="15">
        <f>IFERROR(IF(ISBLANK(AC64),IFERROR(VLOOKUP($F64,Sheet3!$H$2:$O$200,AJ$1,FALSE),VLOOKUP($G64,Sheet3!$H$2:$O$200,AJ$1,FALSE)),$I$1),$I$1)</f>
        <v>0</v>
      </c>
      <c r="AK64" s="15">
        <f>IFERROR(IF(ISBLANK(AD64),IFERROR(VLOOKUP($F64,Sheet3!$H$2:$O$200,AK$1,FALSE),VLOOKUP($G64,Sheet3!$H$2:$O$200,AK$1,FALSE)),$I$1),$I$1)</f>
        <v>0</v>
      </c>
      <c r="AL64" s="15">
        <f>IFERROR(IF(ISBLANK(AE64),VLOOKUP($G64,Sheet3!$H$2:$O$200,AL$1,FALSE),$I$1),$I$1)</f>
        <v>0</v>
      </c>
      <c r="AM64" s="15">
        <f>IFERROR(IF(ISBLANK(AF64),VLOOKUP($G64,Sheet3!$H$2:$O$200,AM$1,FALSE),$I$1),$I$1)</f>
        <v>0</v>
      </c>
      <c r="AN64" s="15">
        <f>IFERROR(IF(ISBLANK(AG64),VLOOKUP($G64,Sheet3!$H$2:$O$200,AN$1,FALSE),$I$1),$I$1)</f>
        <v>0</v>
      </c>
      <c r="AO64" s="15">
        <f>IFERROR(IF(ISBLANK(AH64),VLOOKUP($G64,Sheet3!$H$2:$O$200,AO$1,FALSE),$I$1),$I$1)</f>
        <v>0</v>
      </c>
      <c r="AP64" s="15">
        <f>IFERROR(IF(ISBLANK(AI64),VLOOKUP($G64,Sheet3!$H$2:$O$200,AP$1,FALSE),$I$1),$I$1)</f>
        <v>0</v>
      </c>
      <c r="AQ64" s="15">
        <f>IFERROR(IF(ISBLANK(AJ64),VLOOKUP($G64,Sheet3!$H$2:$O$200,AQ$1,FALSE),$I$1),$I$1)</f>
        <v>0</v>
      </c>
      <c r="AR64" s="15">
        <f>IFERROR(IF(ISBLANK(AK64),VLOOKUP($G64,Sheet3!$H$2:$O$200,AR$1,FALSE),$I$1),$I$1)</f>
        <v>0</v>
      </c>
      <c r="AS64" s="15">
        <f t="shared" ref="AS64:AY64" si="69">IFERROR(IF(ISBLANK(J64),IF(ISBLANK(Q64),IF(ISBLANK(X64),IF(ISBLANK(AE64),IF(ISBLANK(AL64),$BB$1,AL64),AE64),X64),Q64),J64),$BB$1)</f>
        <v>0</v>
      </c>
      <c r="AT64" s="15">
        <f t="shared" si="69"/>
        <v>0</v>
      </c>
      <c r="AU64" s="15">
        <f t="shared" si="69"/>
        <v>0</v>
      </c>
      <c r="AV64" s="15" t="str">
        <f t="shared" si="69"/>
        <v>amaretto</v>
      </c>
      <c r="AW64" s="15">
        <f t="shared" si="69"/>
        <v>0</v>
      </c>
      <c r="AX64" s="15">
        <f t="shared" si="69"/>
        <v>0</v>
      </c>
      <c r="AY64" s="15">
        <f t="shared" si="69"/>
        <v>0</v>
      </c>
      <c r="BA64" s="13">
        <f t="shared" si="1"/>
        <v>35</v>
      </c>
      <c r="BB64" s="15" t="b">
        <f t="shared" si="2"/>
        <v>0</v>
      </c>
    </row>
    <row r="65" spans="1:54" x14ac:dyDescent="0.2">
      <c r="A65" s="19" t="s">
        <v>165</v>
      </c>
      <c r="B65" s="19" t="s">
        <v>148</v>
      </c>
      <c r="C65" s="19" t="s">
        <v>60</v>
      </c>
      <c r="D65" s="19" t="s">
        <v>38</v>
      </c>
      <c r="E65" s="19" t="s">
        <v>52</v>
      </c>
      <c r="F65" s="19" t="s">
        <v>55</v>
      </c>
      <c r="G65" s="19"/>
      <c r="H65" s="19" t="s">
        <v>165</v>
      </c>
      <c r="I65" s="15">
        <v>4</v>
      </c>
      <c r="J65" s="15">
        <f>IFERROR(VLOOKUP($C65,Sheet3!$H$2:$O$200,J$1,FALSE),IFERROR(VLOOKUP($D65,Sheet3!$H$2:$O$200,J$1,FALSE),VLOOKUP($E65,Sheet3!$H$2:$O$200,J$1,FALSE)))</f>
        <v>0</v>
      </c>
      <c r="K65" s="15">
        <f>IFERROR(VLOOKUP($C65,Sheet3!$H$2:$O$200,K$1,FALSE),IFERROR(VLOOKUP($D65,Sheet3!$H$2:$O$200,K$1,FALSE),VLOOKUP($E65,Sheet3!$H$2:$O$200,K$1,FALSE)))</f>
        <v>0</v>
      </c>
      <c r="L65" s="15">
        <f>IFERROR(VLOOKUP($C65,Sheet3!$H$2:$O$200,L$1,FALSE),IFERROR(VLOOKUP($D65,Sheet3!$H$2:$O$200,L$1,FALSE),VLOOKUP($E65,Sheet3!$H$2:$O$200,L$1,FALSE)))</f>
        <v>0</v>
      </c>
      <c r="M65" s="15" t="str">
        <f>IFERROR(VLOOKUP($C65,Sheet3!$H$2:$O$200,M$1,FALSE),IFERROR(VLOOKUP($D65,Sheet3!$H$2:$O$200,M$1,FALSE),VLOOKUP($E65,Sheet3!$H$2:$O$200,M$1,FALSE)))</f>
        <v>apricot brandy</v>
      </c>
      <c r="N65" s="15">
        <f>IFERROR(VLOOKUP($C65,Sheet3!$H$2:$O$200,N$1,FALSE),IFERROR(VLOOKUP($D65,Sheet3!$H$2:$O$200,N$1,FALSE),VLOOKUP($E65,Sheet3!$H$2:$O$200,N$1,FALSE)))</f>
        <v>0</v>
      </c>
      <c r="O65" s="15">
        <f>IFERROR(VLOOKUP($C65,Sheet3!$H$2:$O$200,O$1,FALSE),IFERROR(VLOOKUP($D65,Sheet3!$H$2:$O$200,O$1,FALSE),VLOOKUP($E65,Sheet3!$H$2:$O$200,O$1,FALSE)))</f>
        <v>0</v>
      </c>
      <c r="P65" s="15">
        <f>IFERROR(VLOOKUP($C65,Sheet3!$H$2:$O$200,P$1,FALSE),IFERROR(VLOOKUP($D65,Sheet3!$H$2:$O$200,P$1,FALSE),VLOOKUP($E65,Sheet3!$H$2:$O$200,P$1,FALSE)))</f>
        <v>0</v>
      </c>
      <c r="Q65" s="15">
        <f>IFERROR(IF(ISBLANK(J65),IFERROR(VLOOKUP($D65,Sheet3!$H$2:$O$200,Q$1,FALSE),IFERROR(VLOOKUP($E65,Sheet3!$H$2:$O$200,Q$1,FALSE),VLOOKUP($F65,Sheet3!$H$2:$O$200,Q$1,FALSE))),$I$1),$I$1)</f>
        <v>0</v>
      </c>
      <c r="R65" s="15">
        <f>IFERROR(IF(ISBLANK(K65),IFERROR(VLOOKUP($D65,Sheet3!$H$2:$O$200,R$1,FALSE),IFERROR(VLOOKUP($E65,Sheet3!$H$2:$O$200,R$1,FALSE),VLOOKUP($F65,Sheet3!$H$2:$O$200,R$1,FALSE))),$I$1),$I$1)</f>
        <v>0</v>
      </c>
      <c r="S65" s="15">
        <f>IFERROR(IF(ISBLANK(L65),IFERROR(VLOOKUP($D65,Sheet3!$H$2:$O$200,S$1,FALSE),IFERROR(VLOOKUP($E65,Sheet3!$H$2:$O$200,S$1,FALSE),VLOOKUP($F65,Sheet3!$H$2:$O$200,S$1,FALSE))),$I$1),$I$1)</f>
        <v>0</v>
      </c>
      <c r="T65" s="15">
        <f>IFERROR(IF(ISBLANK(M65),IFERROR(VLOOKUP($D65,Sheet3!$H$2:$O$200,T$1,FALSE),IFERROR(VLOOKUP($E65,Sheet3!$H$2:$O$200,T$1,FALSE),VLOOKUP($F65,Sheet3!$H$2:$O$200,T$1,FALSE))),$I$1),$I$1)</f>
        <v>0</v>
      </c>
      <c r="U65" s="15">
        <f>IFERROR(IF(ISBLANK(N65),IFERROR(VLOOKUP($D65,Sheet3!$H$2:$O$200,U$1,FALSE),IFERROR(VLOOKUP($E65,Sheet3!$H$2:$O$200,U$1,FALSE),VLOOKUP($F65,Sheet3!$H$2:$O$200,U$1,FALSE))),$I$1),$I$1)</f>
        <v>0</v>
      </c>
      <c r="V65" s="15">
        <f>IFERROR(IF(ISBLANK(O65),IFERROR(VLOOKUP($D65,Sheet3!$H$2:$O$200,V$1,FALSE),IFERROR(VLOOKUP($E65,Sheet3!$H$2:$O$200,V$1,FALSE),VLOOKUP($F65,Sheet3!$H$2:$O$200,V$1,FALSE))),$I$1),$I$1)</f>
        <v>0</v>
      </c>
      <c r="W65" s="15">
        <f>IFERROR(IF(ISBLANK(P65),IFERROR(VLOOKUP($D65,Sheet3!$H$2:$O$200,W$1,FALSE),IFERROR(VLOOKUP($E65,Sheet3!$H$2:$O$200,W$1,FALSE),VLOOKUP($F65,Sheet3!$H$2:$O$200,W$1,FALSE))),$I$1),$I$1)</f>
        <v>0</v>
      </c>
      <c r="X65" s="15">
        <f>IFERROR(IF(ISBLANK(Q65),IFERROR(VLOOKUP($E65,Sheet3!$H$2:$O$200,X$1,FALSE),IFERROR(VLOOKUP($F65,Sheet3!$H$2:$O$200,X$1,FALSE),VLOOKUP($G65,Sheet3!$H$2:$O$200,X$1,FALSE))),$I$1),$I$1)</f>
        <v>0</v>
      </c>
      <c r="Y65" s="15">
        <f>IFERROR(IF(ISBLANK(R65),IFERROR(VLOOKUP($E65,Sheet3!$H$2:$O$200,Y$1,FALSE),IFERROR(VLOOKUP($F65,Sheet3!$H$2:$O$200,Y$1,FALSE),VLOOKUP($G65,Sheet3!$H$2:$O$200,Y$1,FALSE))),$I$1),$I$1)</f>
        <v>0</v>
      </c>
      <c r="Z65" s="15">
        <f>IFERROR(IF(ISBLANK(S65),IFERROR(VLOOKUP($E65,Sheet3!$H$2:$O$200,Z$1,FALSE),IFERROR(VLOOKUP($F65,Sheet3!$H$2:$O$200,Z$1,FALSE),VLOOKUP($G65,Sheet3!$H$2:$O$200,Z$1,FALSE))),$I$1),$I$1)</f>
        <v>0</v>
      </c>
      <c r="AA65" s="15">
        <f>IFERROR(IF(ISBLANK(T65),IFERROR(VLOOKUP($E65,Sheet3!$H$2:$O$200,AA$1,FALSE),IFERROR(VLOOKUP($F65,Sheet3!$H$2:$O$200,AA$1,FALSE),VLOOKUP($G65,Sheet3!$H$2:$O$200,AA$1,FALSE))),$I$1),$I$1)</f>
        <v>0</v>
      </c>
      <c r="AB65" s="15">
        <f>IFERROR(IF(ISBLANK(U65),IFERROR(VLOOKUP($E65,Sheet3!$H$2:$O$200,AB$1,FALSE),IFERROR(VLOOKUP($F65,Sheet3!$H$2:$O$200,AB$1,FALSE),VLOOKUP($G65,Sheet3!$H$2:$O$200,AB$1,FALSE))),$I$1),$I$1)</f>
        <v>0</v>
      </c>
      <c r="AC65" s="15">
        <f>IFERROR(IF(ISBLANK(V65),IFERROR(VLOOKUP($E65,Sheet3!$H$2:$O$200,AC$1,FALSE),IFERROR(VLOOKUP($F65,Sheet3!$H$2:$O$200,AC$1,FALSE),VLOOKUP($G65,Sheet3!$H$2:$O$200,AC$1,FALSE))),$I$1),$I$1)</f>
        <v>0</v>
      </c>
      <c r="AD65" s="15">
        <f>IFERROR(IF(ISBLANK(W65),IFERROR(VLOOKUP($E65,Sheet3!$H$2:$O$200,AD$1,FALSE),IFERROR(VLOOKUP($F65,Sheet3!$H$2:$O$200,AD$1,FALSE),VLOOKUP($G65,Sheet3!$H$2:$O$200,AD$1,FALSE))),$I$1),$I$1)</f>
        <v>0</v>
      </c>
      <c r="AE65" s="15">
        <f>IFERROR(IF(ISBLANK(X65),IFERROR(VLOOKUP($F65,Sheet3!$H$2:$O$200,AE$1,FALSE),VLOOKUP($G65,Sheet3!$H$2:$O$200,AE$1,FALSE)),$I$1),$I$1)</f>
        <v>0</v>
      </c>
      <c r="AF65" s="15">
        <f>IFERROR(IF(ISBLANK(Y65),IFERROR(VLOOKUP($F65,Sheet3!$H$2:$O$200,AF$1,FALSE),VLOOKUP($G65,Sheet3!$H$2:$O$200,AF$1,FALSE)),$I$1),$I$1)</f>
        <v>0</v>
      </c>
      <c r="AG65" s="15">
        <f>IFERROR(IF(ISBLANK(Z65),IFERROR(VLOOKUP($F65,Sheet3!$H$2:$O$200,AG$1,FALSE),VLOOKUP($G65,Sheet3!$H$2:$O$200,AG$1,FALSE)),$I$1),$I$1)</f>
        <v>0</v>
      </c>
      <c r="AH65" s="15">
        <f>IFERROR(IF(ISBLANK(AA65),IFERROR(VLOOKUP($F65,Sheet3!$H$2:$O$200,AH$1,FALSE),VLOOKUP($G65,Sheet3!$H$2:$O$200,AH$1,FALSE)),$I$1),$I$1)</f>
        <v>0</v>
      </c>
      <c r="AI65" s="15">
        <f>IFERROR(IF(ISBLANK(AB65),IFERROR(VLOOKUP($F65,Sheet3!$H$2:$O$200,AI$1,FALSE),VLOOKUP($G65,Sheet3!$H$2:$O$200,AI$1,FALSE)),$I$1),$I$1)</f>
        <v>0</v>
      </c>
      <c r="AJ65" s="15">
        <f>IFERROR(IF(ISBLANK(AC65),IFERROR(VLOOKUP($F65,Sheet3!$H$2:$O$200,AJ$1,FALSE),VLOOKUP($G65,Sheet3!$H$2:$O$200,AJ$1,FALSE)),$I$1),$I$1)</f>
        <v>0</v>
      </c>
      <c r="AK65" s="15">
        <f>IFERROR(IF(ISBLANK(AD65),IFERROR(VLOOKUP($F65,Sheet3!$H$2:$O$200,AK$1,FALSE),VLOOKUP($G65,Sheet3!$H$2:$O$200,AK$1,FALSE)),$I$1),$I$1)</f>
        <v>0</v>
      </c>
      <c r="AL65" s="15">
        <f>IFERROR(IF(ISBLANK(AE65),VLOOKUP($G65,Sheet3!$H$2:$O$200,AL$1,FALSE),$I$1),$I$1)</f>
        <v>0</v>
      </c>
      <c r="AM65" s="15">
        <f>IFERROR(IF(ISBLANK(AF65),VLOOKUP($G65,Sheet3!$H$2:$O$200,AM$1,FALSE),$I$1),$I$1)</f>
        <v>0</v>
      </c>
      <c r="AN65" s="15">
        <f>IFERROR(IF(ISBLANK(AG65),VLOOKUP($G65,Sheet3!$H$2:$O$200,AN$1,FALSE),$I$1),$I$1)</f>
        <v>0</v>
      </c>
      <c r="AO65" s="15">
        <f>IFERROR(IF(ISBLANK(AH65),VLOOKUP($G65,Sheet3!$H$2:$O$200,AO$1,FALSE),$I$1),$I$1)</f>
        <v>0</v>
      </c>
      <c r="AP65" s="15">
        <f>IFERROR(IF(ISBLANK(AI65),VLOOKUP($G65,Sheet3!$H$2:$O$200,AP$1,FALSE),$I$1),$I$1)</f>
        <v>0</v>
      </c>
      <c r="AQ65" s="15">
        <f>IFERROR(IF(ISBLANK(AJ65),VLOOKUP($G65,Sheet3!$H$2:$O$200,AQ$1,FALSE),$I$1),$I$1)</f>
        <v>0</v>
      </c>
      <c r="AR65" s="15">
        <f>IFERROR(IF(ISBLANK(AK65),VLOOKUP($G65,Sheet3!$H$2:$O$200,AR$1,FALSE),$I$1),$I$1)</f>
        <v>0</v>
      </c>
      <c r="AS65" s="15">
        <f t="shared" ref="AS65:AY65" si="70">IFERROR(IF(ISBLANK(J65),IF(ISBLANK(Q65),IF(ISBLANK(X65),IF(ISBLANK(AE65),IF(ISBLANK(AL65),$BB$1,AL65),AE65),X65),Q65),J65),$BB$1)</f>
        <v>0</v>
      </c>
      <c r="AT65" s="15">
        <f t="shared" si="70"/>
        <v>0</v>
      </c>
      <c r="AU65" s="15">
        <f t="shared" si="70"/>
        <v>0</v>
      </c>
      <c r="AV65" s="15" t="str">
        <f t="shared" si="70"/>
        <v>apricot brandy</v>
      </c>
      <c r="AW65" s="15">
        <f t="shared" si="70"/>
        <v>0</v>
      </c>
      <c r="AX65" s="15">
        <f t="shared" si="70"/>
        <v>0</v>
      </c>
      <c r="AY65" s="15">
        <f t="shared" si="70"/>
        <v>0</v>
      </c>
      <c r="BA65" s="13">
        <f t="shared" si="1"/>
        <v>35</v>
      </c>
      <c r="BB65" s="15" t="b">
        <f t="shared" si="2"/>
        <v>0</v>
      </c>
    </row>
    <row r="66" spans="1:54" x14ac:dyDescent="0.2">
      <c r="A66" s="19" t="s">
        <v>166</v>
      </c>
      <c r="B66" s="19" t="s">
        <v>148</v>
      </c>
      <c r="C66" s="19" t="s">
        <v>60</v>
      </c>
      <c r="D66" s="19" t="s">
        <v>38</v>
      </c>
      <c r="E66" s="19" t="s">
        <v>126</v>
      </c>
      <c r="F66" s="19"/>
      <c r="G66" s="19"/>
      <c r="H66" s="19" t="s">
        <v>166</v>
      </c>
      <c r="I66" s="15">
        <v>3</v>
      </c>
      <c r="J66" s="15">
        <f>IFERROR(VLOOKUP($C66,Sheet3!$H$2:$O$200,J$1,FALSE),IFERROR(VLOOKUP($D66,Sheet3!$H$2:$O$200,J$1,FALSE),VLOOKUP($E66,Sheet3!$H$2:$O$200,J$1,FALSE)))</f>
        <v>0</v>
      </c>
      <c r="K66" s="15">
        <f>IFERROR(VLOOKUP($C66,Sheet3!$H$2:$O$200,K$1,FALSE),IFERROR(VLOOKUP($D66,Sheet3!$H$2:$O$200,K$1,FALSE),VLOOKUP($E66,Sheet3!$H$2:$O$200,K$1,FALSE)))</f>
        <v>0</v>
      </c>
      <c r="L66" s="15">
        <f>IFERROR(VLOOKUP($C66,Sheet3!$H$2:$O$200,L$1,FALSE),IFERROR(VLOOKUP($D66,Sheet3!$H$2:$O$200,L$1,FALSE),VLOOKUP($E66,Sheet3!$H$2:$O$200,L$1,FALSE)))</f>
        <v>0</v>
      </c>
      <c r="M66" s="15" t="str">
        <f>IFERROR(VLOOKUP($C66,Sheet3!$H$2:$O$200,M$1,FALSE),IFERROR(VLOOKUP($D66,Sheet3!$H$2:$O$200,M$1,FALSE),VLOOKUP($E66,Sheet3!$H$2:$O$200,M$1,FALSE)))</f>
        <v>apricot brandy</v>
      </c>
      <c r="N66" s="15">
        <f>IFERROR(VLOOKUP($C66,Sheet3!$H$2:$O$200,N$1,FALSE),IFERROR(VLOOKUP($D66,Sheet3!$H$2:$O$200,N$1,FALSE),VLOOKUP($E66,Sheet3!$H$2:$O$200,N$1,FALSE)))</f>
        <v>0</v>
      </c>
      <c r="O66" s="15">
        <f>IFERROR(VLOOKUP($C66,Sheet3!$H$2:$O$200,O$1,FALSE),IFERROR(VLOOKUP($D66,Sheet3!$H$2:$O$200,O$1,FALSE),VLOOKUP($E66,Sheet3!$H$2:$O$200,O$1,FALSE)))</f>
        <v>0</v>
      </c>
      <c r="P66" s="15">
        <f>IFERROR(VLOOKUP($C66,Sheet3!$H$2:$O$200,P$1,FALSE),IFERROR(VLOOKUP($D66,Sheet3!$H$2:$O$200,P$1,FALSE),VLOOKUP($E66,Sheet3!$H$2:$O$200,P$1,FALSE)))</f>
        <v>0</v>
      </c>
      <c r="Q66" s="15">
        <f>IFERROR(IF(ISBLANK(J66),IFERROR(VLOOKUP($D66,Sheet3!$H$2:$O$200,Q$1,FALSE),IFERROR(VLOOKUP($E66,Sheet3!$H$2:$O$200,Q$1,FALSE),VLOOKUP($F66,Sheet3!$H$2:$O$200,Q$1,FALSE))),$I$1),$I$1)</f>
        <v>0</v>
      </c>
      <c r="R66" s="15">
        <f>IFERROR(IF(ISBLANK(K66),IFERROR(VLOOKUP($D66,Sheet3!$H$2:$O$200,R$1,FALSE),IFERROR(VLOOKUP($E66,Sheet3!$H$2:$O$200,R$1,FALSE),VLOOKUP($F66,Sheet3!$H$2:$O$200,R$1,FALSE))),$I$1),$I$1)</f>
        <v>0</v>
      </c>
      <c r="S66" s="15">
        <f>IFERROR(IF(ISBLANK(L66),IFERROR(VLOOKUP($D66,Sheet3!$H$2:$O$200,S$1,FALSE),IFERROR(VLOOKUP($E66,Sheet3!$H$2:$O$200,S$1,FALSE),VLOOKUP($F66,Sheet3!$H$2:$O$200,S$1,FALSE))),$I$1),$I$1)</f>
        <v>0</v>
      </c>
      <c r="T66" s="15">
        <f>IFERROR(IF(ISBLANK(M66),IFERROR(VLOOKUP($D66,Sheet3!$H$2:$O$200,T$1,FALSE),IFERROR(VLOOKUP($E66,Sheet3!$H$2:$O$200,T$1,FALSE),VLOOKUP($F66,Sheet3!$H$2:$O$200,T$1,FALSE))),$I$1),$I$1)</f>
        <v>0</v>
      </c>
      <c r="U66" s="15">
        <f>IFERROR(IF(ISBLANK(N66),IFERROR(VLOOKUP($D66,Sheet3!$H$2:$O$200,U$1,FALSE),IFERROR(VLOOKUP($E66,Sheet3!$H$2:$O$200,U$1,FALSE),VLOOKUP($F66,Sheet3!$H$2:$O$200,U$1,FALSE))),$I$1),$I$1)</f>
        <v>0</v>
      </c>
      <c r="V66" s="15">
        <f>IFERROR(IF(ISBLANK(O66),IFERROR(VLOOKUP($D66,Sheet3!$H$2:$O$200,V$1,FALSE),IFERROR(VLOOKUP($E66,Sheet3!$H$2:$O$200,V$1,FALSE),VLOOKUP($F66,Sheet3!$H$2:$O$200,V$1,FALSE))),$I$1),$I$1)</f>
        <v>0</v>
      </c>
      <c r="W66" s="15">
        <f>IFERROR(IF(ISBLANK(P66),IFERROR(VLOOKUP($D66,Sheet3!$H$2:$O$200,W$1,FALSE),IFERROR(VLOOKUP($E66,Sheet3!$H$2:$O$200,W$1,FALSE),VLOOKUP($F66,Sheet3!$H$2:$O$200,W$1,FALSE))),$I$1),$I$1)</f>
        <v>0</v>
      </c>
      <c r="X66" s="15">
        <f>IFERROR(IF(ISBLANK(Q66),IFERROR(VLOOKUP($E66,Sheet3!$H$2:$O$200,X$1,FALSE),IFERROR(VLOOKUP($F66,Sheet3!$H$2:$O$200,X$1,FALSE),VLOOKUP($G66,Sheet3!$H$2:$O$200,X$1,FALSE))),$I$1),$I$1)</f>
        <v>0</v>
      </c>
      <c r="Y66" s="15">
        <f>IFERROR(IF(ISBLANK(R66),IFERROR(VLOOKUP($E66,Sheet3!$H$2:$O$200,Y$1,FALSE),IFERROR(VLOOKUP($F66,Sheet3!$H$2:$O$200,Y$1,FALSE),VLOOKUP($G66,Sheet3!$H$2:$O$200,Y$1,FALSE))),$I$1),$I$1)</f>
        <v>0</v>
      </c>
      <c r="Z66" s="15">
        <f>IFERROR(IF(ISBLANK(S66),IFERROR(VLOOKUP($E66,Sheet3!$H$2:$O$200,Z$1,FALSE),IFERROR(VLOOKUP($F66,Sheet3!$H$2:$O$200,Z$1,FALSE),VLOOKUP($G66,Sheet3!$H$2:$O$200,Z$1,FALSE))),$I$1),$I$1)</f>
        <v>0</v>
      </c>
      <c r="AA66" s="15">
        <f>IFERROR(IF(ISBLANK(T66),IFERROR(VLOOKUP($E66,Sheet3!$H$2:$O$200,AA$1,FALSE),IFERROR(VLOOKUP($F66,Sheet3!$H$2:$O$200,AA$1,FALSE),VLOOKUP($G66,Sheet3!$H$2:$O$200,AA$1,FALSE))),$I$1),$I$1)</f>
        <v>0</v>
      </c>
      <c r="AB66" s="15">
        <f>IFERROR(IF(ISBLANK(U66),IFERROR(VLOOKUP($E66,Sheet3!$H$2:$O$200,AB$1,FALSE),IFERROR(VLOOKUP($F66,Sheet3!$H$2:$O$200,AB$1,FALSE),VLOOKUP($G66,Sheet3!$H$2:$O$200,AB$1,FALSE))),$I$1),$I$1)</f>
        <v>0</v>
      </c>
      <c r="AC66" s="15">
        <f>IFERROR(IF(ISBLANK(V66),IFERROR(VLOOKUP($E66,Sheet3!$H$2:$O$200,AC$1,FALSE),IFERROR(VLOOKUP($F66,Sheet3!$H$2:$O$200,AC$1,FALSE),VLOOKUP($G66,Sheet3!$H$2:$O$200,AC$1,FALSE))),$I$1),$I$1)</f>
        <v>0</v>
      </c>
      <c r="AD66" s="15">
        <f>IFERROR(IF(ISBLANK(W66),IFERROR(VLOOKUP($E66,Sheet3!$H$2:$O$200,AD$1,FALSE),IFERROR(VLOOKUP($F66,Sheet3!$H$2:$O$200,AD$1,FALSE),VLOOKUP($G66,Sheet3!$H$2:$O$200,AD$1,FALSE))),$I$1),$I$1)</f>
        <v>0</v>
      </c>
      <c r="AE66" s="15">
        <f>IFERROR(IF(ISBLANK(X66),IFERROR(VLOOKUP($F66,Sheet3!$H$2:$O$200,AE$1,FALSE),VLOOKUP($G66,Sheet3!$H$2:$O$200,AE$1,FALSE)),$I$1),$I$1)</f>
        <v>0</v>
      </c>
      <c r="AF66" s="15">
        <f>IFERROR(IF(ISBLANK(Y66),IFERROR(VLOOKUP($F66,Sheet3!$H$2:$O$200,AF$1,FALSE),VLOOKUP($G66,Sheet3!$H$2:$O$200,AF$1,FALSE)),$I$1),$I$1)</f>
        <v>0</v>
      </c>
      <c r="AG66" s="15">
        <f>IFERROR(IF(ISBLANK(Z66),IFERROR(VLOOKUP($F66,Sheet3!$H$2:$O$200,AG$1,FALSE),VLOOKUP($G66,Sheet3!$H$2:$O$200,AG$1,FALSE)),$I$1),$I$1)</f>
        <v>0</v>
      </c>
      <c r="AH66" s="15">
        <f>IFERROR(IF(ISBLANK(AA66),IFERROR(VLOOKUP($F66,Sheet3!$H$2:$O$200,AH$1,FALSE),VLOOKUP($G66,Sheet3!$H$2:$O$200,AH$1,FALSE)),$I$1),$I$1)</f>
        <v>0</v>
      </c>
      <c r="AI66" s="15">
        <f>IFERROR(IF(ISBLANK(AB66),IFERROR(VLOOKUP($F66,Sheet3!$H$2:$O$200,AI$1,FALSE),VLOOKUP($G66,Sheet3!$H$2:$O$200,AI$1,FALSE)),$I$1),$I$1)</f>
        <v>0</v>
      </c>
      <c r="AJ66" s="15">
        <f>IFERROR(IF(ISBLANK(AC66),IFERROR(VLOOKUP($F66,Sheet3!$H$2:$O$200,AJ$1,FALSE),VLOOKUP($G66,Sheet3!$H$2:$O$200,AJ$1,FALSE)),$I$1),$I$1)</f>
        <v>0</v>
      </c>
      <c r="AK66" s="15">
        <f>IFERROR(IF(ISBLANK(AD66),IFERROR(VLOOKUP($F66,Sheet3!$H$2:$O$200,AK$1,FALSE),VLOOKUP($G66,Sheet3!$H$2:$O$200,AK$1,FALSE)),$I$1),$I$1)</f>
        <v>0</v>
      </c>
      <c r="AL66" s="15">
        <f>IFERROR(IF(ISBLANK(AE66),VLOOKUP($G66,Sheet3!$H$2:$O$200,AL$1,FALSE),$I$1),$I$1)</f>
        <v>0</v>
      </c>
      <c r="AM66" s="15">
        <f>IFERROR(IF(ISBLANK(AF66),VLOOKUP($G66,Sheet3!$H$2:$O$200,AM$1,FALSE),$I$1),$I$1)</f>
        <v>0</v>
      </c>
      <c r="AN66" s="15">
        <f>IFERROR(IF(ISBLANK(AG66),VLOOKUP($G66,Sheet3!$H$2:$O$200,AN$1,FALSE),$I$1),$I$1)</f>
        <v>0</v>
      </c>
      <c r="AO66" s="15">
        <f>IFERROR(IF(ISBLANK(AH66),VLOOKUP($G66,Sheet3!$H$2:$O$200,AO$1,FALSE),$I$1),$I$1)</f>
        <v>0</v>
      </c>
      <c r="AP66" s="15">
        <f>IFERROR(IF(ISBLANK(AI66),VLOOKUP($G66,Sheet3!$H$2:$O$200,AP$1,FALSE),$I$1),$I$1)</f>
        <v>0</v>
      </c>
      <c r="AQ66" s="15">
        <f>IFERROR(IF(ISBLANK(AJ66),VLOOKUP($G66,Sheet3!$H$2:$O$200,AQ$1,FALSE),$I$1),$I$1)</f>
        <v>0</v>
      </c>
      <c r="AR66" s="15">
        <f>IFERROR(IF(ISBLANK(AK66),VLOOKUP($G66,Sheet3!$H$2:$O$200,AR$1,FALSE),$I$1),$I$1)</f>
        <v>0</v>
      </c>
      <c r="AS66" s="15">
        <f t="shared" ref="AS66:AV66" si="71">IFERROR(IF(ISBLANK(J66),IF(ISBLANK(Q66),IF(ISBLANK(X66),IF(ISBLANK(AE66),IF(ISBLANK(AL66),$BB$1,AL66),AE66),X66),Q66),J66),$BB$1)</f>
        <v>0</v>
      </c>
      <c r="AT66" s="15">
        <f t="shared" si="71"/>
        <v>0</v>
      </c>
      <c r="AU66" s="15">
        <f t="shared" si="71"/>
        <v>0</v>
      </c>
      <c r="AV66" s="15" t="str">
        <f t="shared" si="71"/>
        <v>apricot brandy</v>
      </c>
      <c r="AW66" s="11" t="s">
        <v>126</v>
      </c>
      <c r="AX66" s="15">
        <f t="shared" ref="AX66:AY66" si="72">IFERROR(IF(ISBLANK(O66),IF(ISBLANK(V66),IF(ISBLANK(AC66),IF(ISBLANK(AJ66),IF(ISBLANK(AQ66),$BB$1,AQ66),AJ66),AC66),V66),O66),$BB$1)</f>
        <v>0</v>
      </c>
      <c r="AY66" s="15">
        <f t="shared" si="72"/>
        <v>0</v>
      </c>
      <c r="BA66" s="13">
        <f t="shared" si="1"/>
        <v>35</v>
      </c>
      <c r="BB66" s="15" t="b">
        <f t="shared" si="2"/>
        <v>0</v>
      </c>
    </row>
    <row r="67" spans="1:54" x14ac:dyDescent="0.2">
      <c r="A67" s="19" t="s">
        <v>167</v>
      </c>
      <c r="B67" s="19" t="s">
        <v>148</v>
      </c>
      <c r="C67" s="19" t="s">
        <v>31</v>
      </c>
      <c r="D67" s="19" t="s">
        <v>38</v>
      </c>
      <c r="E67" s="19" t="s">
        <v>52</v>
      </c>
      <c r="F67" s="19"/>
      <c r="G67" s="19"/>
      <c r="H67" s="19" t="s">
        <v>167</v>
      </c>
      <c r="I67" s="15">
        <v>3</v>
      </c>
      <c r="J67" s="15">
        <f>IFERROR(VLOOKUP($C67,Sheet3!$H$2:$O$200,J$1,FALSE),IFERROR(VLOOKUP($D67,Sheet3!$H$2:$O$200,J$1,FALSE),VLOOKUP($E67,Sheet3!$H$2:$O$200,J$1,FALSE)))</f>
        <v>0</v>
      </c>
      <c r="K67" s="15">
        <f>IFERROR(VLOOKUP($C67,Sheet3!$H$2:$O$200,K$1,FALSE),IFERROR(VLOOKUP($D67,Sheet3!$H$2:$O$200,K$1,FALSE),VLOOKUP($E67,Sheet3!$H$2:$O$200,K$1,FALSE)))</f>
        <v>0</v>
      </c>
      <c r="L67" s="15">
        <f>IFERROR(VLOOKUP($C67,Sheet3!$H$2:$O$200,L$1,FALSE),IFERROR(VLOOKUP($D67,Sheet3!$H$2:$O$200,L$1,FALSE),VLOOKUP($E67,Sheet3!$H$2:$O$200,L$1,FALSE)))</f>
        <v>0</v>
      </c>
      <c r="M67" s="15" t="str">
        <f>IFERROR(VLOOKUP($C67,Sheet3!$H$2:$O$200,M$1,FALSE),IFERROR(VLOOKUP($D67,Sheet3!$H$2:$O$200,M$1,FALSE),VLOOKUP($E67,Sheet3!$H$2:$O$200,M$1,FALSE)))</f>
        <v>white crème de cacao</v>
      </c>
      <c r="N67" s="15">
        <f>IFERROR(VLOOKUP($C67,Sheet3!$H$2:$O$200,N$1,FALSE),IFERROR(VLOOKUP($D67,Sheet3!$H$2:$O$200,N$1,FALSE),VLOOKUP($E67,Sheet3!$H$2:$O$200,N$1,FALSE)))</f>
        <v>0</v>
      </c>
      <c r="O67" s="15">
        <f>IFERROR(VLOOKUP($C67,Sheet3!$H$2:$O$200,O$1,FALSE),IFERROR(VLOOKUP($D67,Sheet3!$H$2:$O$200,O$1,FALSE),VLOOKUP($E67,Sheet3!$H$2:$O$200,O$1,FALSE)))</f>
        <v>0</v>
      </c>
      <c r="P67" s="15">
        <f>IFERROR(VLOOKUP($C67,Sheet3!$H$2:$O$200,P$1,FALSE),IFERROR(VLOOKUP($D67,Sheet3!$H$2:$O$200,P$1,FALSE),VLOOKUP($E67,Sheet3!$H$2:$O$200,P$1,FALSE)))</f>
        <v>0</v>
      </c>
      <c r="Q67" s="15">
        <f>IFERROR(IF(ISBLANK(J67),IFERROR(VLOOKUP($D67,Sheet3!$H$2:$O$200,Q$1,FALSE),IFERROR(VLOOKUP($E67,Sheet3!$H$2:$O$200,Q$1,FALSE),VLOOKUP($F67,Sheet3!$H$2:$O$200,Q$1,FALSE))),$I$1),$I$1)</f>
        <v>0</v>
      </c>
      <c r="R67" s="15">
        <f>IFERROR(IF(ISBLANK(K67),IFERROR(VLOOKUP($D67,Sheet3!$H$2:$O$200,R$1,FALSE),IFERROR(VLOOKUP($E67,Sheet3!$H$2:$O$200,R$1,FALSE),VLOOKUP($F67,Sheet3!$H$2:$O$200,R$1,FALSE))),$I$1),$I$1)</f>
        <v>0</v>
      </c>
      <c r="S67" s="15">
        <f>IFERROR(IF(ISBLANK(L67),IFERROR(VLOOKUP($D67,Sheet3!$H$2:$O$200,S$1,FALSE),IFERROR(VLOOKUP($E67,Sheet3!$H$2:$O$200,S$1,FALSE),VLOOKUP($F67,Sheet3!$H$2:$O$200,S$1,FALSE))),$I$1),$I$1)</f>
        <v>0</v>
      </c>
      <c r="T67" s="15">
        <f>IFERROR(IF(ISBLANK(M67),IFERROR(VLOOKUP($D67,Sheet3!$H$2:$O$200,T$1,FALSE),IFERROR(VLOOKUP($E67,Sheet3!$H$2:$O$200,T$1,FALSE),VLOOKUP($F67,Sheet3!$H$2:$O$200,T$1,FALSE))),$I$1),$I$1)</f>
        <v>0</v>
      </c>
      <c r="U67" s="15">
        <f>IFERROR(IF(ISBLANK(N67),IFERROR(VLOOKUP($D67,Sheet3!$H$2:$O$200,U$1,FALSE),IFERROR(VLOOKUP($E67,Sheet3!$H$2:$O$200,U$1,FALSE),VLOOKUP($F67,Sheet3!$H$2:$O$200,U$1,FALSE))),$I$1),$I$1)</f>
        <v>0</v>
      </c>
      <c r="V67" s="15">
        <f>IFERROR(IF(ISBLANK(O67),IFERROR(VLOOKUP($D67,Sheet3!$H$2:$O$200,V$1,FALSE),IFERROR(VLOOKUP($E67,Sheet3!$H$2:$O$200,V$1,FALSE),VLOOKUP($F67,Sheet3!$H$2:$O$200,V$1,FALSE))),$I$1),$I$1)</f>
        <v>0</v>
      </c>
      <c r="W67" s="15">
        <f>IFERROR(IF(ISBLANK(P67),IFERROR(VLOOKUP($D67,Sheet3!$H$2:$O$200,W$1,FALSE),IFERROR(VLOOKUP($E67,Sheet3!$H$2:$O$200,W$1,FALSE),VLOOKUP($F67,Sheet3!$H$2:$O$200,W$1,FALSE))),$I$1),$I$1)</f>
        <v>0</v>
      </c>
      <c r="X67" s="15">
        <f>IFERROR(IF(ISBLANK(Q67),IFERROR(VLOOKUP($E67,Sheet3!$H$2:$O$200,X$1,FALSE),IFERROR(VLOOKUP($F67,Sheet3!$H$2:$O$200,X$1,FALSE),VLOOKUP($G67,Sheet3!$H$2:$O$200,X$1,FALSE))),$I$1),$I$1)</f>
        <v>0</v>
      </c>
      <c r="Y67" s="15">
        <f>IFERROR(IF(ISBLANK(R67),IFERROR(VLOOKUP($E67,Sheet3!$H$2:$O$200,Y$1,FALSE),IFERROR(VLOOKUP($F67,Sheet3!$H$2:$O$200,Y$1,FALSE),VLOOKUP($G67,Sheet3!$H$2:$O$200,Y$1,FALSE))),$I$1),$I$1)</f>
        <v>0</v>
      </c>
      <c r="Z67" s="15">
        <f>IFERROR(IF(ISBLANK(S67),IFERROR(VLOOKUP($E67,Sheet3!$H$2:$O$200,Z$1,FALSE),IFERROR(VLOOKUP($F67,Sheet3!$H$2:$O$200,Z$1,FALSE),VLOOKUP($G67,Sheet3!$H$2:$O$200,Z$1,FALSE))),$I$1),$I$1)</f>
        <v>0</v>
      </c>
      <c r="AA67" s="15">
        <f>IFERROR(IF(ISBLANK(T67),IFERROR(VLOOKUP($E67,Sheet3!$H$2:$O$200,AA$1,FALSE),IFERROR(VLOOKUP($F67,Sheet3!$H$2:$O$200,AA$1,FALSE),VLOOKUP($G67,Sheet3!$H$2:$O$200,AA$1,FALSE))),$I$1),$I$1)</f>
        <v>0</v>
      </c>
      <c r="AB67" s="15">
        <f>IFERROR(IF(ISBLANK(U67),IFERROR(VLOOKUP($E67,Sheet3!$H$2:$O$200,AB$1,FALSE),IFERROR(VLOOKUP($F67,Sheet3!$H$2:$O$200,AB$1,FALSE),VLOOKUP($G67,Sheet3!$H$2:$O$200,AB$1,FALSE))),$I$1),$I$1)</f>
        <v>0</v>
      </c>
      <c r="AC67" s="15">
        <f>IFERROR(IF(ISBLANK(V67),IFERROR(VLOOKUP($E67,Sheet3!$H$2:$O$200,AC$1,FALSE),IFERROR(VLOOKUP($F67,Sheet3!$H$2:$O$200,AC$1,FALSE),VLOOKUP($G67,Sheet3!$H$2:$O$200,AC$1,FALSE))),$I$1),$I$1)</f>
        <v>0</v>
      </c>
      <c r="AD67" s="15">
        <f>IFERROR(IF(ISBLANK(W67),IFERROR(VLOOKUP($E67,Sheet3!$H$2:$O$200,AD$1,FALSE),IFERROR(VLOOKUP($F67,Sheet3!$H$2:$O$200,AD$1,FALSE),VLOOKUP($G67,Sheet3!$H$2:$O$200,AD$1,FALSE))),$I$1),$I$1)</f>
        <v>0</v>
      </c>
      <c r="AE67" s="15">
        <f>IFERROR(IF(ISBLANK(X67),IFERROR(VLOOKUP($F67,Sheet3!$H$2:$O$200,AE$1,FALSE),VLOOKUP($G67,Sheet3!$H$2:$O$200,AE$1,FALSE)),$I$1),$I$1)</f>
        <v>0</v>
      </c>
      <c r="AF67" s="15">
        <f>IFERROR(IF(ISBLANK(Y67),IFERROR(VLOOKUP($F67,Sheet3!$H$2:$O$200,AF$1,FALSE),VLOOKUP($G67,Sheet3!$H$2:$O$200,AF$1,FALSE)),$I$1),$I$1)</f>
        <v>0</v>
      </c>
      <c r="AG67" s="15">
        <f>IFERROR(IF(ISBLANK(Z67),IFERROR(VLOOKUP($F67,Sheet3!$H$2:$O$200,AG$1,FALSE),VLOOKUP($G67,Sheet3!$H$2:$O$200,AG$1,FALSE)),$I$1),$I$1)</f>
        <v>0</v>
      </c>
      <c r="AH67" s="15">
        <f>IFERROR(IF(ISBLANK(AA67),IFERROR(VLOOKUP($F67,Sheet3!$H$2:$O$200,AH$1,FALSE),VLOOKUP($G67,Sheet3!$H$2:$O$200,AH$1,FALSE)),$I$1),$I$1)</f>
        <v>0</v>
      </c>
      <c r="AI67" s="15">
        <f>IFERROR(IF(ISBLANK(AB67),IFERROR(VLOOKUP($F67,Sheet3!$H$2:$O$200,AI$1,FALSE),VLOOKUP($G67,Sheet3!$H$2:$O$200,AI$1,FALSE)),$I$1),$I$1)</f>
        <v>0</v>
      </c>
      <c r="AJ67" s="15">
        <f>IFERROR(IF(ISBLANK(AC67),IFERROR(VLOOKUP($F67,Sheet3!$H$2:$O$200,AJ$1,FALSE),VLOOKUP($G67,Sheet3!$H$2:$O$200,AJ$1,FALSE)),$I$1),$I$1)</f>
        <v>0</v>
      </c>
      <c r="AK67" s="15">
        <f>IFERROR(IF(ISBLANK(AD67),IFERROR(VLOOKUP($F67,Sheet3!$H$2:$O$200,AK$1,FALSE),VLOOKUP($G67,Sheet3!$H$2:$O$200,AK$1,FALSE)),$I$1),$I$1)</f>
        <v>0</v>
      </c>
      <c r="AL67" s="15">
        <f>IFERROR(IF(ISBLANK(AE67),VLOOKUP($G67,Sheet3!$H$2:$O$200,AL$1,FALSE),$I$1),$I$1)</f>
        <v>0</v>
      </c>
      <c r="AM67" s="15">
        <f>IFERROR(IF(ISBLANK(AF67),VLOOKUP($G67,Sheet3!$H$2:$O$200,AM$1,FALSE),$I$1),$I$1)</f>
        <v>0</v>
      </c>
      <c r="AN67" s="15">
        <f>IFERROR(IF(ISBLANK(AG67),VLOOKUP($G67,Sheet3!$H$2:$O$200,AN$1,FALSE),$I$1),$I$1)</f>
        <v>0</v>
      </c>
      <c r="AO67" s="15">
        <f>IFERROR(IF(ISBLANK(AH67),VLOOKUP($G67,Sheet3!$H$2:$O$200,AO$1,FALSE),$I$1),$I$1)</f>
        <v>0</v>
      </c>
      <c r="AP67" s="15">
        <f>IFERROR(IF(ISBLANK(AI67),VLOOKUP($G67,Sheet3!$H$2:$O$200,AP$1,FALSE),$I$1),$I$1)</f>
        <v>0</v>
      </c>
      <c r="AQ67" s="15">
        <f>IFERROR(IF(ISBLANK(AJ67),VLOOKUP($G67,Sheet3!$H$2:$O$200,AQ$1,FALSE),$I$1),$I$1)</f>
        <v>0</v>
      </c>
      <c r="AR67" s="15">
        <f>IFERROR(IF(ISBLANK(AK67),VLOOKUP($G67,Sheet3!$H$2:$O$200,AR$1,FALSE),$I$1),$I$1)</f>
        <v>0</v>
      </c>
      <c r="AS67" s="15">
        <f t="shared" ref="AS67:AY67" si="73">IFERROR(IF(ISBLANK(J67),IF(ISBLANK(Q67),IF(ISBLANK(X67),IF(ISBLANK(AE67),IF(ISBLANK(AL67),$BB$1,AL67),AE67),X67),Q67),J67),$BB$1)</f>
        <v>0</v>
      </c>
      <c r="AT67" s="15">
        <f t="shared" si="73"/>
        <v>0</v>
      </c>
      <c r="AU67" s="15">
        <f t="shared" si="73"/>
        <v>0</v>
      </c>
      <c r="AV67" s="15" t="str">
        <f t="shared" si="73"/>
        <v>white crème de cacao</v>
      </c>
      <c r="AW67" s="15">
        <f t="shared" si="73"/>
        <v>0</v>
      </c>
      <c r="AX67" s="15">
        <f t="shared" si="73"/>
        <v>0</v>
      </c>
      <c r="AY67" s="15">
        <f t="shared" si="73"/>
        <v>0</v>
      </c>
      <c r="BA67" s="13">
        <f t="shared" si="1"/>
        <v>35</v>
      </c>
      <c r="BB67" s="15" t="b">
        <f t="shared" si="2"/>
        <v>0</v>
      </c>
    </row>
    <row r="68" spans="1:54" x14ac:dyDescent="0.2">
      <c r="A68" s="19" t="s">
        <v>168</v>
      </c>
      <c r="B68" s="19" t="s">
        <v>148</v>
      </c>
      <c r="C68" s="19" t="s">
        <v>120</v>
      </c>
      <c r="D68" s="19" t="s">
        <v>38</v>
      </c>
      <c r="E68" s="19"/>
      <c r="F68" s="19"/>
      <c r="G68" s="19"/>
      <c r="H68" s="19" t="s">
        <v>168</v>
      </c>
      <c r="I68" s="15">
        <v>2</v>
      </c>
      <c r="J68" s="15">
        <f>IFERROR(VLOOKUP($C68,Sheet3!$H$2:$O$200,J$1,FALSE),IFERROR(VLOOKUP($D68,Sheet3!$H$2:$O$200,J$1,FALSE),VLOOKUP($E68,Sheet3!$H$2:$O$200,J$1,FALSE)))</f>
        <v>0</v>
      </c>
      <c r="K68" s="15">
        <f>IFERROR(VLOOKUP($C68,Sheet3!$H$2:$O$200,K$1,FALSE),IFERROR(VLOOKUP($D68,Sheet3!$H$2:$O$200,K$1,FALSE),VLOOKUP($E68,Sheet3!$H$2:$O$200,K$1,FALSE)))</f>
        <v>0</v>
      </c>
      <c r="L68" s="15">
        <f>IFERROR(VLOOKUP($C68,Sheet3!$H$2:$O$200,L$1,FALSE),IFERROR(VLOOKUP($D68,Sheet3!$H$2:$O$200,L$1,FALSE),VLOOKUP($E68,Sheet3!$H$2:$O$200,L$1,FALSE)))</f>
        <v>0</v>
      </c>
      <c r="M68" s="15" t="str">
        <f>IFERROR(VLOOKUP($C68,Sheet3!$H$2:$O$200,M$1,FALSE),IFERROR(VLOOKUP($D68,Sheet3!$H$2:$O$200,M$1,FALSE),VLOOKUP($E68,Sheet3!$H$2:$O$200,M$1,FALSE)))</f>
        <v>maraschino liqueur</v>
      </c>
      <c r="N68" s="15">
        <f>IFERROR(VLOOKUP($C68,Sheet3!$H$2:$O$200,N$1,FALSE),IFERROR(VLOOKUP($D68,Sheet3!$H$2:$O$200,N$1,FALSE),VLOOKUP($E68,Sheet3!$H$2:$O$200,N$1,FALSE)))</f>
        <v>0</v>
      </c>
      <c r="O68" s="15">
        <f>IFERROR(VLOOKUP($C68,Sheet3!$H$2:$O$200,O$1,FALSE),IFERROR(VLOOKUP($D68,Sheet3!$H$2:$O$200,O$1,FALSE),VLOOKUP($E68,Sheet3!$H$2:$O$200,O$1,FALSE)))</f>
        <v>0</v>
      </c>
      <c r="P68" s="15">
        <f>IFERROR(VLOOKUP($C68,Sheet3!$H$2:$O$200,P$1,FALSE),IFERROR(VLOOKUP($D68,Sheet3!$H$2:$O$200,P$1,FALSE),VLOOKUP($E68,Sheet3!$H$2:$O$200,P$1,FALSE)))</f>
        <v>0</v>
      </c>
      <c r="Q68" s="15">
        <f>IFERROR(IF(ISBLANK(J68),IFERROR(VLOOKUP($D68,Sheet3!$H$2:$O$200,Q$1,FALSE),IFERROR(VLOOKUP($E68,Sheet3!$H$2:$O$200,Q$1,FALSE),VLOOKUP($F68,Sheet3!$H$2:$O$200,Q$1,FALSE))),$I$1),$I$1)</f>
        <v>0</v>
      </c>
      <c r="R68" s="15">
        <f>IFERROR(IF(ISBLANK(K68),IFERROR(VLOOKUP($D68,Sheet3!$H$2:$O$200,R$1,FALSE),IFERROR(VLOOKUP($E68,Sheet3!$H$2:$O$200,R$1,FALSE),VLOOKUP($F68,Sheet3!$H$2:$O$200,R$1,FALSE))),$I$1),$I$1)</f>
        <v>0</v>
      </c>
      <c r="S68" s="15">
        <f>IFERROR(IF(ISBLANK(L68),IFERROR(VLOOKUP($D68,Sheet3!$H$2:$O$200,S$1,FALSE),IFERROR(VLOOKUP($E68,Sheet3!$H$2:$O$200,S$1,FALSE),VLOOKUP($F68,Sheet3!$H$2:$O$200,S$1,FALSE))),$I$1),$I$1)</f>
        <v>0</v>
      </c>
      <c r="T68" s="15">
        <f>IFERROR(IF(ISBLANK(M68),IFERROR(VLOOKUP($D68,Sheet3!$H$2:$O$200,T$1,FALSE),IFERROR(VLOOKUP($E68,Sheet3!$H$2:$O$200,T$1,FALSE),VLOOKUP($F68,Sheet3!$H$2:$O$200,T$1,FALSE))),$I$1),$I$1)</f>
        <v>0</v>
      </c>
      <c r="U68" s="15">
        <f>IFERROR(IF(ISBLANK(N68),IFERROR(VLOOKUP($D68,Sheet3!$H$2:$O$200,U$1,FALSE),IFERROR(VLOOKUP($E68,Sheet3!$H$2:$O$200,U$1,FALSE),VLOOKUP($F68,Sheet3!$H$2:$O$200,U$1,FALSE))),$I$1),$I$1)</f>
        <v>0</v>
      </c>
      <c r="V68" s="15">
        <f>IFERROR(IF(ISBLANK(O68),IFERROR(VLOOKUP($D68,Sheet3!$H$2:$O$200,V$1,FALSE),IFERROR(VLOOKUP($E68,Sheet3!$H$2:$O$200,V$1,FALSE),VLOOKUP($F68,Sheet3!$H$2:$O$200,V$1,FALSE))),$I$1),$I$1)</f>
        <v>0</v>
      </c>
      <c r="W68" s="15">
        <f>IFERROR(IF(ISBLANK(P68),IFERROR(VLOOKUP($D68,Sheet3!$H$2:$O$200,W$1,FALSE),IFERROR(VLOOKUP($E68,Sheet3!$H$2:$O$200,W$1,FALSE),VLOOKUP($F68,Sheet3!$H$2:$O$200,W$1,FALSE))),$I$1),$I$1)</f>
        <v>0</v>
      </c>
      <c r="X68" s="15">
        <f>IFERROR(IF(ISBLANK(Q68),IFERROR(VLOOKUP($E68,Sheet3!$H$2:$O$200,X$1,FALSE),IFERROR(VLOOKUP($F68,Sheet3!$H$2:$O$200,X$1,FALSE),VLOOKUP($G68,Sheet3!$H$2:$O$200,X$1,FALSE))),$I$1),$I$1)</f>
        <v>0</v>
      </c>
      <c r="Y68" s="15">
        <f>IFERROR(IF(ISBLANK(R68),IFERROR(VLOOKUP($E68,Sheet3!$H$2:$O$200,Y$1,FALSE),IFERROR(VLOOKUP($F68,Sheet3!$H$2:$O$200,Y$1,FALSE),VLOOKUP($G68,Sheet3!$H$2:$O$200,Y$1,FALSE))),$I$1),$I$1)</f>
        <v>0</v>
      </c>
      <c r="Z68" s="15">
        <f>IFERROR(IF(ISBLANK(S68),IFERROR(VLOOKUP($E68,Sheet3!$H$2:$O$200,Z$1,FALSE),IFERROR(VLOOKUP($F68,Sheet3!$H$2:$O$200,Z$1,FALSE),VLOOKUP($G68,Sheet3!$H$2:$O$200,Z$1,FALSE))),$I$1),$I$1)</f>
        <v>0</v>
      </c>
      <c r="AA68" s="15">
        <f>IFERROR(IF(ISBLANK(T68),IFERROR(VLOOKUP($E68,Sheet3!$H$2:$O$200,AA$1,FALSE),IFERROR(VLOOKUP($F68,Sheet3!$H$2:$O$200,AA$1,FALSE),VLOOKUP($G68,Sheet3!$H$2:$O$200,AA$1,FALSE))),$I$1),$I$1)</f>
        <v>0</v>
      </c>
      <c r="AB68" s="15">
        <f>IFERROR(IF(ISBLANK(U68),IFERROR(VLOOKUP($E68,Sheet3!$H$2:$O$200,AB$1,FALSE),IFERROR(VLOOKUP($F68,Sheet3!$H$2:$O$200,AB$1,FALSE),VLOOKUP($G68,Sheet3!$H$2:$O$200,AB$1,FALSE))),$I$1),$I$1)</f>
        <v>0</v>
      </c>
      <c r="AC68" s="15">
        <f>IFERROR(IF(ISBLANK(V68),IFERROR(VLOOKUP($E68,Sheet3!$H$2:$O$200,AC$1,FALSE),IFERROR(VLOOKUP($F68,Sheet3!$H$2:$O$200,AC$1,FALSE),VLOOKUP($G68,Sheet3!$H$2:$O$200,AC$1,FALSE))),$I$1),$I$1)</f>
        <v>0</v>
      </c>
      <c r="AD68" s="15">
        <f>IFERROR(IF(ISBLANK(W68),IFERROR(VLOOKUP($E68,Sheet3!$H$2:$O$200,AD$1,FALSE),IFERROR(VLOOKUP($F68,Sheet3!$H$2:$O$200,AD$1,FALSE),VLOOKUP($G68,Sheet3!$H$2:$O$200,AD$1,FALSE))),$I$1),$I$1)</f>
        <v>0</v>
      </c>
      <c r="AE68" s="15">
        <f>IFERROR(IF(ISBLANK(X68),IFERROR(VLOOKUP($F68,Sheet3!$H$2:$O$200,AE$1,FALSE),VLOOKUP($G68,Sheet3!$H$2:$O$200,AE$1,FALSE)),$I$1),$I$1)</f>
        <v>0</v>
      </c>
      <c r="AF68" s="15">
        <f>IFERROR(IF(ISBLANK(Y68),IFERROR(VLOOKUP($F68,Sheet3!$H$2:$O$200,AF$1,FALSE),VLOOKUP($G68,Sheet3!$H$2:$O$200,AF$1,FALSE)),$I$1),$I$1)</f>
        <v>0</v>
      </c>
      <c r="AG68" s="15">
        <f>IFERROR(IF(ISBLANK(Z68),IFERROR(VLOOKUP($F68,Sheet3!$H$2:$O$200,AG$1,FALSE),VLOOKUP($G68,Sheet3!$H$2:$O$200,AG$1,FALSE)),$I$1),$I$1)</f>
        <v>0</v>
      </c>
      <c r="AH68" s="15">
        <f>IFERROR(IF(ISBLANK(AA68),IFERROR(VLOOKUP($F68,Sheet3!$H$2:$O$200,AH$1,FALSE),VLOOKUP($G68,Sheet3!$H$2:$O$200,AH$1,FALSE)),$I$1),$I$1)</f>
        <v>0</v>
      </c>
      <c r="AI68" s="15">
        <f>IFERROR(IF(ISBLANK(AB68),IFERROR(VLOOKUP($F68,Sheet3!$H$2:$O$200,AI$1,FALSE),VLOOKUP($G68,Sheet3!$H$2:$O$200,AI$1,FALSE)),$I$1),$I$1)</f>
        <v>0</v>
      </c>
      <c r="AJ68" s="15">
        <f>IFERROR(IF(ISBLANK(AC68),IFERROR(VLOOKUP($F68,Sheet3!$H$2:$O$200,AJ$1,FALSE),VLOOKUP($G68,Sheet3!$H$2:$O$200,AJ$1,FALSE)),$I$1),$I$1)</f>
        <v>0</v>
      </c>
      <c r="AK68" s="15">
        <f>IFERROR(IF(ISBLANK(AD68),IFERROR(VLOOKUP($F68,Sheet3!$H$2:$O$200,AK$1,FALSE),VLOOKUP($G68,Sheet3!$H$2:$O$200,AK$1,FALSE)),$I$1),$I$1)</f>
        <v>0</v>
      </c>
      <c r="AL68" s="15">
        <f>IFERROR(IF(ISBLANK(AE68),VLOOKUP($G68,Sheet3!$H$2:$O$200,AL$1,FALSE),$I$1),$I$1)</f>
        <v>0</v>
      </c>
      <c r="AM68" s="15">
        <f>IFERROR(IF(ISBLANK(AF68),VLOOKUP($G68,Sheet3!$H$2:$O$200,AM$1,FALSE),$I$1),$I$1)</f>
        <v>0</v>
      </c>
      <c r="AN68" s="15">
        <f>IFERROR(IF(ISBLANK(AG68),VLOOKUP($G68,Sheet3!$H$2:$O$200,AN$1,FALSE),$I$1),$I$1)</f>
        <v>0</v>
      </c>
      <c r="AO68" s="15">
        <f>IFERROR(IF(ISBLANK(AH68),VLOOKUP($G68,Sheet3!$H$2:$O$200,AO$1,FALSE),$I$1),$I$1)</f>
        <v>0</v>
      </c>
      <c r="AP68" s="15">
        <f>IFERROR(IF(ISBLANK(AI68),VLOOKUP($G68,Sheet3!$H$2:$O$200,AP$1,FALSE),$I$1),$I$1)</f>
        <v>0</v>
      </c>
      <c r="AQ68" s="15">
        <f>IFERROR(IF(ISBLANK(AJ68),VLOOKUP($G68,Sheet3!$H$2:$O$200,AQ$1,FALSE),$I$1),$I$1)</f>
        <v>0</v>
      </c>
      <c r="AR68" s="15">
        <f>IFERROR(IF(ISBLANK(AK68),VLOOKUP($G68,Sheet3!$H$2:$O$200,AR$1,FALSE),$I$1),$I$1)</f>
        <v>0</v>
      </c>
      <c r="AS68" s="15">
        <f t="shared" ref="AS68:AY68" si="74">IFERROR(IF(ISBLANK(J68),IF(ISBLANK(Q68),IF(ISBLANK(X68),IF(ISBLANK(AE68),IF(ISBLANK(AL68),$BB$1,AL68),AE68),X68),Q68),J68),$BB$1)</f>
        <v>0</v>
      </c>
      <c r="AT68" s="15">
        <f t="shared" si="74"/>
        <v>0</v>
      </c>
      <c r="AU68" s="15">
        <f t="shared" si="74"/>
        <v>0</v>
      </c>
      <c r="AV68" s="15" t="str">
        <f t="shared" si="74"/>
        <v>maraschino liqueur</v>
      </c>
      <c r="AW68" s="15">
        <f t="shared" si="74"/>
        <v>0</v>
      </c>
      <c r="AX68" s="15">
        <f t="shared" si="74"/>
        <v>0</v>
      </c>
      <c r="AY68" s="15">
        <f t="shared" si="74"/>
        <v>0</v>
      </c>
      <c r="BA68" s="13">
        <f t="shared" si="1"/>
        <v>35</v>
      </c>
      <c r="BB68" s="15" t="b">
        <f t="shared" si="2"/>
        <v>0</v>
      </c>
    </row>
    <row r="69" spans="1:54" x14ac:dyDescent="0.2">
      <c r="A69" s="19" t="s">
        <v>169</v>
      </c>
      <c r="B69" s="19" t="s">
        <v>148</v>
      </c>
      <c r="C69" s="19" t="s">
        <v>120</v>
      </c>
      <c r="D69" s="18" t="s">
        <v>90</v>
      </c>
      <c r="E69" s="19" t="s">
        <v>170</v>
      </c>
      <c r="F69" s="19" t="s">
        <v>86</v>
      </c>
      <c r="G69" s="18" t="s">
        <v>134</v>
      </c>
      <c r="H69" s="19" t="s">
        <v>169</v>
      </c>
      <c r="I69" s="15">
        <v>5</v>
      </c>
      <c r="J69" s="15">
        <f>IFERROR(VLOOKUP($C69,Sheet3!$H$2:$O$200,J$1,FALSE),IFERROR(VLOOKUP($D69,Sheet3!$H$2:$O$200,J$1,FALSE),VLOOKUP($E69,Sheet3!$H$2:$O$200,J$1,FALSE)))</f>
        <v>0</v>
      </c>
      <c r="K69" s="15">
        <f>IFERROR(VLOOKUP($C69,Sheet3!$H$2:$O$200,K$1,FALSE),IFERROR(VLOOKUP($D69,Sheet3!$H$2:$O$200,K$1,FALSE),VLOOKUP($E69,Sheet3!$H$2:$O$200,K$1,FALSE)))</f>
        <v>0</v>
      </c>
      <c r="L69" s="15">
        <f>IFERROR(VLOOKUP($C69,Sheet3!$H$2:$O$200,L$1,FALSE),IFERROR(VLOOKUP($D69,Sheet3!$H$2:$O$200,L$1,FALSE),VLOOKUP($E69,Sheet3!$H$2:$O$200,L$1,FALSE)))</f>
        <v>0</v>
      </c>
      <c r="M69" s="15" t="str">
        <f>IFERROR(VLOOKUP($C69,Sheet3!$H$2:$O$200,M$1,FALSE),IFERROR(VLOOKUP($D69,Sheet3!$H$2:$O$200,M$1,FALSE),VLOOKUP($E69,Sheet3!$H$2:$O$200,M$1,FALSE)))</f>
        <v>maraschino liqueur</v>
      </c>
      <c r="N69" s="15">
        <f>IFERROR(VLOOKUP($C69,Sheet3!$H$2:$O$200,N$1,FALSE),IFERROR(VLOOKUP($D69,Sheet3!$H$2:$O$200,N$1,FALSE),VLOOKUP($E69,Sheet3!$H$2:$O$200,N$1,FALSE)))</f>
        <v>0</v>
      </c>
      <c r="O69" s="15">
        <f>IFERROR(VLOOKUP($C69,Sheet3!$H$2:$O$200,O$1,FALSE),IFERROR(VLOOKUP($D69,Sheet3!$H$2:$O$200,O$1,FALSE),VLOOKUP($E69,Sheet3!$H$2:$O$200,O$1,FALSE)))</f>
        <v>0</v>
      </c>
      <c r="P69" s="15">
        <f>IFERROR(VLOOKUP($C69,Sheet3!$H$2:$O$200,P$1,FALSE),IFERROR(VLOOKUP($D69,Sheet3!$H$2:$O$200,P$1,FALSE),VLOOKUP($E69,Sheet3!$H$2:$O$200,P$1,FALSE)))</f>
        <v>0</v>
      </c>
      <c r="Q69" s="15">
        <f>IFERROR(IF(ISBLANK(J69),IFERROR(VLOOKUP($D69,Sheet3!$H$2:$O$200,Q$1,FALSE),IFERROR(VLOOKUP($E69,Sheet3!$H$2:$O$200,Q$1,FALSE),VLOOKUP($F69,Sheet3!$H$2:$O$200,Q$1,FALSE))),$I$1),$I$1)</f>
        <v>0</v>
      </c>
      <c r="R69" s="15">
        <f>IFERROR(IF(ISBLANK(K69),IFERROR(VLOOKUP($D69,Sheet3!$H$2:$O$200,R$1,FALSE),IFERROR(VLOOKUP($E69,Sheet3!$H$2:$O$200,R$1,FALSE),VLOOKUP($F69,Sheet3!$H$2:$O$200,R$1,FALSE))),$I$1),$I$1)</f>
        <v>0</v>
      </c>
      <c r="S69" s="15">
        <f>IFERROR(IF(ISBLANK(L69),IFERROR(VLOOKUP($D69,Sheet3!$H$2:$O$200,S$1,FALSE),IFERROR(VLOOKUP($E69,Sheet3!$H$2:$O$200,S$1,FALSE),VLOOKUP($F69,Sheet3!$H$2:$O$200,S$1,FALSE))),$I$1),$I$1)</f>
        <v>0</v>
      </c>
      <c r="T69" s="15">
        <f>IFERROR(IF(ISBLANK(M69),IFERROR(VLOOKUP($D69,Sheet3!$H$2:$O$200,T$1,FALSE),IFERROR(VLOOKUP($E69,Sheet3!$H$2:$O$200,T$1,FALSE),VLOOKUP($F69,Sheet3!$H$2:$O$200,T$1,FALSE))),$I$1),$I$1)</f>
        <v>0</v>
      </c>
      <c r="U69" s="15">
        <f>IFERROR(IF(ISBLANK(N69),IFERROR(VLOOKUP($D69,Sheet3!$H$2:$O$200,U$1,FALSE),IFERROR(VLOOKUP($E69,Sheet3!$H$2:$O$200,U$1,FALSE),VLOOKUP($F69,Sheet3!$H$2:$O$200,U$1,FALSE))),$I$1),$I$1)</f>
        <v>0</v>
      </c>
      <c r="V69" s="15">
        <f>IFERROR(IF(ISBLANK(O69),IFERROR(VLOOKUP($D69,Sheet3!$H$2:$O$200,V$1,FALSE),IFERROR(VLOOKUP($E69,Sheet3!$H$2:$O$200,V$1,FALSE),VLOOKUP($F69,Sheet3!$H$2:$O$200,V$1,FALSE))),$I$1),$I$1)</f>
        <v>0</v>
      </c>
      <c r="W69" s="15">
        <f>IFERROR(IF(ISBLANK(P69),IFERROR(VLOOKUP($D69,Sheet3!$H$2:$O$200,W$1,FALSE),IFERROR(VLOOKUP($E69,Sheet3!$H$2:$O$200,W$1,FALSE),VLOOKUP($F69,Sheet3!$H$2:$O$200,W$1,FALSE))),$I$1),$I$1)</f>
        <v>0</v>
      </c>
      <c r="X69" s="15">
        <f>IFERROR(IF(ISBLANK(Q69),IFERROR(VLOOKUP($E69,Sheet3!$H$2:$O$200,X$1,FALSE),IFERROR(VLOOKUP($F69,Sheet3!$H$2:$O$200,X$1,FALSE),VLOOKUP($G69,Sheet3!$H$2:$O$200,X$1,FALSE))),$I$1),$I$1)</f>
        <v>0</v>
      </c>
      <c r="Y69" s="15">
        <f>IFERROR(IF(ISBLANK(R69),IFERROR(VLOOKUP($E69,Sheet3!$H$2:$O$200,Y$1,FALSE),IFERROR(VLOOKUP($F69,Sheet3!$H$2:$O$200,Y$1,FALSE),VLOOKUP($G69,Sheet3!$H$2:$O$200,Y$1,FALSE))),$I$1),$I$1)</f>
        <v>0</v>
      </c>
      <c r="Z69" s="15">
        <f>IFERROR(IF(ISBLANK(S69),IFERROR(VLOOKUP($E69,Sheet3!$H$2:$O$200,Z$1,FALSE),IFERROR(VLOOKUP($F69,Sheet3!$H$2:$O$200,Z$1,FALSE),VLOOKUP($G69,Sheet3!$H$2:$O$200,Z$1,FALSE))),$I$1),$I$1)</f>
        <v>0</v>
      </c>
      <c r="AA69" s="15">
        <f>IFERROR(IF(ISBLANK(T69),IFERROR(VLOOKUP($E69,Sheet3!$H$2:$O$200,AA$1,FALSE),IFERROR(VLOOKUP($F69,Sheet3!$H$2:$O$200,AA$1,FALSE),VLOOKUP($G69,Sheet3!$H$2:$O$200,AA$1,FALSE))),$I$1),$I$1)</f>
        <v>0</v>
      </c>
      <c r="AB69" s="15">
        <f>IFERROR(IF(ISBLANK(U69),IFERROR(VLOOKUP($E69,Sheet3!$H$2:$O$200,AB$1,FALSE),IFERROR(VLOOKUP($F69,Sheet3!$H$2:$O$200,AB$1,FALSE),VLOOKUP($G69,Sheet3!$H$2:$O$200,AB$1,FALSE))),$I$1),$I$1)</f>
        <v>0</v>
      </c>
      <c r="AC69" s="15">
        <f>IFERROR(IF(ISBLANK(V69),IFERROR(VLOOKUP($E69,Sheet3!$H$2:$O$200,AC$1,FALSE),IFERROR(VLOOKUP($F69,Sheet3!$H$2:$O$200,AC$1,FALSE),VLOOKUP($G69,Sheet3!$H$2:$O$200,AC$1,FALSE))),$I$1),$I$1)</f>
        <v>0</v>
      </c>
      <c r="AD69" s="15">
        <f>IFERROR(IF(ISBLANK(W69),IFERROR(VLOOKUP($E69,Sheet3!$H$2:$O$200,AD$1,FALSE),IFERROR(VLOOKUP($F69,Sheet3!$H$2:$O$200,AD$1,FALSE),VLOOKUP($G69,Sheet3!$H$2:$O$200,AD$1,FALSE))),$I$1),$I$1)</f>
        <v>0</v>
      </c>
      <c r="AE69" s="15">
        <f>IFERROR(IF(ISBLANK(X69),IFERROR(VLOOKUP($F69,Sheet3!$H$2:$O$200,AE$1,FALSE),VLOOKUP($G69,Sheet3!$H$2:$O$200,AE$1,FALSE)),$I$1),$I$1)</f>
        <v>0</v>
      </c>
      <c r="AF69" s="15">
        <f>IFERROR(IF(ISBLANK(Y69),IFERROR(VLOOKUP($F69,Sheet3!$H$2:$O$200,AF$1,FALSE),VLOOKUP($G69,Sheet3!$H$2:$O$200,AF$1,FALSE)),$I$1),$I$1)</f>
        <v>0</v>
      </c>
      <c r="AG69" s="15">
        <f>IFERROR(IF(ISBLANK(Z69),IFERROR(VLOOKUP($F69,Sheet3!$H$2:$O$200,AG$1,FALSE),VLOOKUP($G69,Sheet3!$H$2:$O$200,AG$1,FALSE)),$I$1),$I$1)</f>
        <v>0</v>
      </c>
      <c r="AH69" s="15">
        <f>IFERROR(IF(ISBLANK(AA69),IFERROR(VLOOKUP($F69,Sheet3!$H$2:$O$200,AH$1,FALSE),VLOOKUP($G69,Sheet3!$H$2:$O$200,AH$1,FALSE)),$I$1),$I$1)</f>
        <v>0</v>
      </c>
      <c r="AI69" s="15">
        <f>IFERROR(IF(ISBLANK(AB69),IFERROR(VLOOKUP($F69,Sheet3!$H$2:$O$200,AI$1,FALSE),VLOOKUP($G69,Sheet3!$H$2:$O$200,AI$1,FALSE)),$I$1),$I$1)</f>
        <v>0</v>
      </c>
      <c r="AJ69" s="15">
        <f>IFERROR(IF(ISBLANK(AC69),IFERROR(VLOOKUP($F69,Sheet3!$H$2:$O$200,AJ$1,FALSE),VLOOKUP($G69,Sheet3!$H$2:$O$200,AJ$1,FALSE)),$I$1),$I$1)</f>
        <v>0</v>
      </c>
      <c r="AK69" s="15">
        <f>IFERROR(IF(ISBLANK(AD69),IFERROR(VLOOKUP($F69,Sheet3!$H$2:$O$200,AK$1,FALSE),VLOOKUP($G69,Sheet3!$H$2:$O$200,AK$1,FALSE)),$I$1),$I$1)</f>
        <v>0</v>
      </c>
      <c r="AL69" s="15">
        <f>IFERROR(IF(ISBLANK(AE69),VLOOKUP($G69,Sheet3!$H$2:$O$200,AL$1,FALSE),$I$1),$I$1)</f>
        <v>0</v>
      </c>
      <c r="AM69" s="15">
        <f>IFERROR(IF(ISBLANK(AF69),VLOOKUP($G69,Sheet3!$H$2:$O$200,AM$1,FALSE),$I$1),$I$1)</f>
        <v>0</v>
      </c>
      <c r="AN69" s="15">
        <f>IFERROR(IF(ISBLANK(AG69),VLOOKUP($G69,Sheet3!$H$2:$O$200,AN$1,FALSE),$I$1),$I$1)</f>
        <v>0</v>
      </c>
      <c r="AO69" s="15">
        <f>IFERROR(IF(ISBLANK(AH69),VLOOKUP($G69,Sheet3!$H$2:$O$200,AO$1,FALSE),$I$1),$I$1)</f>
        <v>0</v>
      </c>
      <c r="AP69" s="15">
        <f>IFERROR(IF(ISBLANK(AI69),VLOOKUP($G69,Sheet3!$H$2:$O$200,AP$1,FALSE),$I$1),$I$1)</f>
        <v>0</v>
      </c>
      <c r="AQ69" s="15">
        <f>IFERROR(IF(ISBLANK(AJ69),VLOOKUP($G69,Sheet3!$H$2:$O$200,AQ$1,FALSE),$I$1),$I$1)</f>
        <v>0</v>
      </c>
      <c r="AR69" s="15">
        <f>IFERROR(IF(ISBLANK(AK69),VLOOKUP($G69,Sheet3!$H$2:$O$200,AR$1,FALSE),$I$1),$I$1)</f>
        <v>0</v>
      </c>
      <c r="AS69" s="15">
        <f t="shared" ref="AS69:AY69" si="75">IFERROR(IF(ISBLANK(J69),IF(ISBLANK(Q69),IF(ISBLANK(X69),IF(ISBLANK(AE69),IF(ISBLANK(AL69),$BB$1,AL69),AE69),X69),Q69),J69),$BB$1)</f>
        <v>0</v>
      </c>
      <c r="AT69" s="15">
        <f t="shared" si="75"/>
        <v>0</v>
      </c>
      <c r="AU69" s="15">
        <f t="shared" si="75"/>
        <v>0</v>
      </c>
      <c r="AV69" s="15" t="str">
        <f t="shared" si="75"/>
        <v>maraschino liqueur</v>
      </c>
      <c r="AW69" s="15">
        <f t="shared" si="75"/>
        <v>0</v>
      </c>
      <c r="AX69" s="15">
        <f t="shared" si="75"/>
        <v>0</v>
      </c>
      <c r="AY69" s="15">
        <f t="shared" si="75"/>
        <v>0</v>
      </c>
      <c r="BA69" s="13">
        <f t="shared" si="1"/>
        <v>35</v>
      </c>
      <c r="BB69" s="15" t="b">
        <f t="shared" si="2"/>
        <v>0</v>
      </c>
    </row>
    <row r="70" spans="1:54" x14ac:dyDescent="0.2">
      <c r="A70" s="19" t="s">
        <v>171</v>
      </c>
      <c r="B70" s="19" t="s">
        <v>148</v>
      </c>
      <c r="C70" s="19" t="s">
        <v>139</v>
      </c>
      <c r="D70" s="19" t="s">
        <v>38</v>
      </c>
      <c r="E70" s="19" t="s">
        <v>48</v>
      </c>
      <c r="F70" s="19"/>
      <c r="G70" s="19"/>
      <c r="H70" s="19" t="s">
        <v>171</v>
      </c>
      <c r="I70" s="15">
        <v>3</v>
      </c>
      <c r="J70" s="15">
        <f>IFERROR(VLOOKUP($C70,Sheet3!$H$2:$O$200,J$1,FALSE),IFERROR(VLOOKUP($D70,Sheet3!$H$2:$O$200,J$1,FALSE),VLOOKUP($E70,Sheet3!$H$2:$O$200,J$1,FALSE)))</f>
        <v>0</v>
      </c>
      <c r="K70" s="15">
        <f>IFERROR(VLOOKUP($C70,Sheet3!$H$2:$O$200,K$1,FALSE),IFERROR(VLOOKUP($D70,Sheet3!$H$2:$O$200,K$1,FALSE),VLOOKUP($E70,Sheet3!$H$2:$O$200,K$1,FALSE)))</f>
        <v>0</v>
      </c>
      <c r="L70" s="15">
        <f>IFERROR(VLOOKUP($C70,Sheet3!$H$2:$O$200,L$1,FALSE),IFERROR(VLOOKUP($D70,Sheet3!$H$2:$O$200,L$1,FALSE),VLOOKUP($E70,Sheet3!$H$2:$O$200,L$1,FALSE)))</f>
        <v>0</v>
      </c>
      <c r="M70" s="15" t="str">
        <f>IFERROR(VLOOKUP($C70,Sheet3!$H$2:$O$200,M$1,FALSE),IFERROR(VLOOKUP($D70,Sheet3!$H$2:$O$200,M$1,FALSE),VLOOKUP($E70,Sheet3!$H$2:$O$200,M$1,FALSE)))</f>
        <v>Grand Marnier</v>
      </c>
      <c r="N70" s="15">
        <f>IFERROR(VLOOKUP($C70,Sheet3!$H$2:$O$200,N$1,FALSE),IFERROR(VLOOKUP($D70,Sheet3!$H$2:$O$200,N$1,FALSE),VLOOKUP($E70,Sheet3!$H$2:$O$200,N$1,FALSE)))</f>
        <v>0</v>
      </c>
      <c r="O70" s="15">
        <f>IFERROR(VLOOKUP($C70,Sheet3!$H$2:$O$200,O$1,FALSE),IFERROR(VLOOKUP($D70,Sheet3!$H$2:$O$200,O$1,FALSE),VLOOKUP($E70,Sheet3!$H$2:$O$200,O$1,FALSE)))</f>
        <v>0</v>
      </c>
      <c r="P70" s="15">
        <f>IFERROR(VLOOKUP($C70,Sheet3!$H$2:$O$200,P$1,FALSE),IFERROR(VLOOKUP($D70,Sheet3!$H$2:$O$200,P$1,FALSE),VLOOKUP($E70,Sheet3!$H$2:$O$200,P$1,FALSE)))</f>
        <v>0</v>
      </c>
      <c r="Q70" s="15">
        <f>IFERROR(IF(ISBLANK(J70),IFERROR(VLOOKUP($D70,Sheet3!$H$2:$O$200,Q$1,FALSE),IFERROR(VLOOKUP($E70,Sheet3!$H$2:$O$200,Q$1,FALSE),VLOOKUP($F70,Sheet3!$H$2:$O$200,Q$1,FALSE))),$I$1),$I$1)</f>
        <v>0</v>
      </c>
      <c r="R70" s="15">
        <f>IFERROR(IF(ISBLANK(K70),IFERROR(VLOOKUP($D70,Sheet3!$H$2:$O$200,R$1,FALSE),IFERROR(VLOOKUP($E70,Sheet3!$H$2:$O$200,R$1,FALSE),VLOOKUP($F70,Sheet3!$H$2:$O$200,R$1,FALSE))),$I$1),$I$1)</f>
        <v>0</v>
      </c>
      <c r="S70" s="15">
        <f>IFERROR(IF(ISBLANK(L70),IFERROR(VLOOKUP($D70,Sheet3!$H$2:$O$200,S$1,FALSE),IFERROR(VLOOKUP($E70,Sheet3!$H$2:$O$200,S$1,FALSE),VLOOKUP($F70,Sheet3!$H$2:$O$200,S$1,FALSE))),$I$1),$I$1)</f>
        <v>0</v>
      </c>
      <c r="T70" s="15">
        <f>IFERROR(IF(ISBLANK(M70),IFERROR(VLOOKUP($D70,Sheet3!$H$2:$O$200,T$1,FALSE),IFERROR(VLOOKUP($E70,Sheet3!$H$2:$O$200,T$1,FALSE),VLOOKUP($F70,Sheet3!$H$2:$O$200,T$1,FALSE))),$I$1),$I$1)</f>
        <v>0</v>
      </c>
      <c r="U70" s="15">
        <f>IFERROR(IF(ISBLANK(N70),IFERROR(VLOOKUP($D70,Sheet3!$H$2:$O$200,U$1,FALSE),IFERROR(VLOOKUP($E70,Sheet3!$H$2:$O$200,U$1,FALSE),VLOOKUP($F70,Sheet3!$H$2:$O$200,U$1,FALSE))),$I$1),$I$1)</f>
        <v>0</v>
      </c>
      <c r="V70" s="15">
        <f>IFERROR(IF(ISBLANK(O70),IFERROR(VLOOKUP($D70,Sheet3!$H$2:$O$200,V$1,FALSE),IFERROR(VLOOKUP($E70,Sheet3!$H$2:$O$200,V$1,FALSE),VLOOKUP($F70,Sheet3!$H$2:$O$200,V$1,FALSE))),$I$1),$I$1)</f>
        <v>0</v>
      </c>
      <c r="W70" s="15">
        <f>IFERROR(IF(ISBLANK(P70),IFERROR(VLOOKUP($D70,Sheet3!$H$2:$O$200,W$1,FALSE),IFERROR(VLOOKUP($E70,Sheet3!$H$2:$O$200,W$1,FALSE),VLOOKUP($F70,Sheet3!$H$2:$O$200,W$1,FALSE))),$I$1),$I$1)</f>
        <v>0</v>
      </c>
      <c r="X70" s="15">
        <f>IFERROR(IF(ISBLANK(Q70),IFERROR(VLOOKUP($E70,Sheet3!$H$2:$O$200,X$1,FALSE),IFERROR(VLOOKUP($F70,Sheet3!$H$2:$O$200,X$1,FALSE),VLOOKUP($G70,Sheet3!$H$2:$O$200,X$1,FALSE))),$I$1),$I$1)</f>
        <v>0</v>
      </c>
      <c r="Y70" s="15">
        <f>IFERROR(IF(ISBLANK(R70),IFERROR(VLOOKUP($E70,Sheet3!$H$2:$O$200,Y$1,FALSE),IFERROR(VLOOKUP($F70,Sheet3!$H$2:$O$200,Y$1,FALSE),VLOOKUP($G70,Sheet3!$H$2:$O$200,Y$1,FALSE))),$I$1),$I$1)</f>
        <v>0</v>
      </c>
      <c r="Z70" s="15">
        <f>IFERROR(IF(ISBLANK(S70),IFERROR(VLOOKUP($E70,Sheet3!$H$2:$O$200,Z$1,FALSE),IFERROR(VLOOKUP($F70,Sheet3!$H$2:$O$200,Z$1,FALSE),VLOOKUP($G70,Sheet3!$H$2:$O$200,Z$1,FALSE))),$I$1),$I$1)</f>
        <v>0</v>
      </c>
      <c r="AA70" s="15">
        <f>IFERROR(IF(ISBLANK(T70),IFERROR(VLOOKUP($E70,Sheet3!$H$2:$O$200,AA$1,FALSE),IFERROR(VLOOKUP($F70,Sheet3!$H$2:$O$200,AA$1,FALSE),VLOOKUP($G70,Sheet3!$H$2:$O$200,AA$1,FALSE))),$I$1),$I$1)</f>
        <v>0</v>
      </c>
      <c r="AB70" s="15">
        <f>IFERROR(IF(ISBLANK(U70),IFERROR(VLOOKUP($E70,Sheet3!$H$2:$O$200,AB$1,FALSE),IFERROR(VLOOKUP($F70,Sheet3!$H$2:$O$200,AB$1,FALSE),VLOOKUP($G70,Sheet3!$H$2:$O$200,AB$1,FALSE))),$I$1),$I$1)</f>
        <v>0</v>
      </c>
      <c r="AC70" s="15">
        <f>IFERROR(IF(ISBLANK(V70),IFERROR(VLOOKUP($E70,Sheet3!$H$2:$O$200,AC$1,FALSE),IFERROR(VLOOKUP($F70,Sheet3!$H$2:$O$200,AC$1,FALSE),VLOOKUP($G70,Sheet3!$H$2:$O$200,AC$1,FALSE))),$I$1),$I$1)</f>
        <v>0</v>
      </c>
      <c r="AD70" s="15">
        <f>IFERROR(IF(ISBLANK(W70),IFERROR(VLOOKUP($E70,Sheet3!$H$2:$O$200,AD$1,FALSE),IFERROR(VLOOKUP($F70,Sheet3!$H$2:$O$200,AD$1,FALSE),VLOOKUP($G70,Sheet3!$H$2:$O$200,AD$1,FALSE))),$I$1),$I$1)</f>
        <v>0</v>
      </c>
      <c r="AE70" s="15">
        <f>IFERROR(IF(ISBLANK(X70),IFERROR(VLOOKUP($F70,Sheet3!$H$2:$O$200,AE$1,FALSE),VLOOKUP($G70,Sheet3!$H$2:$O$200,AE$1,FALSE)),$I$1),$I$1)</f>
        <v>0</v>
      </c>
      <c r="AF70" s="15">
        <f>IFERROR(IF(ISBLANK(Y70),IFERROR(VLOOKUP($F70,Sheet3!$H$2:$O$200,AF$1,FALSE),VLOOKUP($G70,Sheet3!$H$2:$O$200,AF$1,FALSE)),$I$1),$I$1)</f>
        <v>0</v>
      </c>
      <c r="AG70" s="15">
        <f>IFERROR(IF(ISBLANK(Z70),IFERROR(VLOOKUP($F70,Sheet3!$H$2:$O$200,AG$1,FALSE),VLOOKUP($G70,Sheet3!$H$2:$O$200,AG$1,FALSE)),$I$1),$I$1)</f>
        <v>0</v>
      </c>
      <c r="AH70" s="15">
        <f>IFERROR(IF(ISBLANK(AA70),IFERROR(VLOOKUP($F70,Sheet3!$H$2:$O$200,AH$1,FALSE),VLOOKUP($G70,Sheet3!$H$2:$O$200,AH$1,FALSE)),$I$1),$I$1)</f>
        <v>0</v>
      </c>
      <c r="AI70" s="15">
        <f>IFERROR(IF(ISBLANK(AB70),IFERROR(VLOOKUP($F70,Sheet3!$H$2:$O$200,AI$1,FALSE),VLOOKUP($G70,Sheet3!$H$2:$O$200,AI$1,FALSE)),$I$1),$I$1)</f>
        <v>0</v>
      </c>
      <c r="AJ70" s="15">
        <f>IFERROR(IF(ISBLANK(AC70),IFERROR(VLOOKUP($F70,Sheet3!$H$2:$O$200,AJ$1,FALSE),VLOOKUP($G70,Sheet3!$H$2:$O$200,AJ$1,FALSE)),$I$1),$I$1)</f>
        <v>0</v>
      </c>
      <c r="AK70" s="15">
        <f>IFERROR(IF(ISBLANK(AD70),IFERROR(VLOOKUP($F70,Sheet3!$H$2:$O$200,AK$1,FALSE),VLOOKUP($G70,Sheet3!$H$2:$O$200,AK$1,FALSE)),$I$1),$I$1)</f>
        <v>0</v>
      </c>
      <c r="AL70" s="15">
        <f>IFERROR(IF(ISBLANK(AE70),VLOOKUP($G70,Sheet3!$H$2:$O$200,AL$1,FALSE),$I$1),$I$1)</f>
        <v>0</v>
      </c>
      <c r="AM70" s="15">
        <f>IFERROR(IF(ISBLANK(AF70),VLOOKUP($G70,Sheet3!$H$2:$O$200,AM$1,FALSE),$I$1),$I$1)</f>
        <v>0</v>
      </c>
      <c r="AN70" s="15">
        <f>IFERROR(IF(ISBLANK(AG70),VLOOKUP($G70,Sheet3!$H$2:$O$200,AN$1,FALSE),$I$1),$I$1)</f>
        <v>0</v>
      </c>
      <c r="AO70" s="15">
        <f>IFERROR(IF(ISBLANK(AH70),VLOOKUP($G70,Sheet3!$H$2:$O$200,AO$1,FALSE),$I$1),$I$1)</f>
        <v>0</v>
      </c>
      <c r="AP70" s="15">
        <f>IFERROR(IF(ISBLANK(AI70),VLOOKUP($G70,Sheet3!$H$2:$O$200,AP$1,FALSE),$I$1),$I$1)</f>
        <v>0</v>
      </c>
      <c r="AQ70" s="15">
        <f>IFERROR(IF(ISBLANK(AJ70),VLOOKUP($G70,Sheet3!$H$2:$O$200,AQ$1,FALSE),$I$1),$I$1)</f>
        <v>0</v>
      </c>
      <c r="AR70" s="15">
        <f>IFERROR(IF(ISBLANK(AK70),VLOOKUP($G70,Sheet3!$H$2:$O$200,AR$1,FALSE),$I$1),$I$1)</f>
        <v>0</v>
      </c>
      <c r="AS70" s="15">
        <f t="shared" ref="AS70:AY70" si="76">IFERROR(IF(ISBLANK(J70),IF(ISBLANK(Q70),IF(ISBLANK(X70),IF(ISBLANK(AE70),IF(ISBLANK(AL70),$BB$1,AL70),AE70),X70),Q70),J70),$BB$1)</f>
        <v>0</v>
      </c>
      <c r="AT70" s="15">
        <f t="shared" si="76"/>
        <v>0</v>
      </c>
      <c r="AU70" s="15">
        <f t="shared" si="76"/>
        <v>0</v>
      </c>
      <c r="AV70" s="15" t="str">
        <f t="shared" si="76"/>
        <v>Grand Marnier</v>
      </c>
      <c r="AW70" s="15">
        <f t="shared" si="76"/>
        <v>0</v>
      </c>
      <c r="AX70" s="15">
        <f t="shared" si="76"/>
        <v>0</v>
      </c>
      <c r="AY70" s="15">
        <f t="shared" si="76"/>
        <v>0</v>
      </c>
      <c r="BA70" s="13">
        <f t="shared" si="1"/>
        <v>35</v>
      </c>
      <c r="BB70" s="15" t="b">
        <f t="shared" si="2"/>
        <v>0</v>
      </c>
    </row>
    <row r="71" spans="1:54" x14ac:dyDescent="0.2">
      <c r="A71" s="19" t="s">
        <v>172</v>
      </c>
      <c r="B71" s="19" t="s">
        <v>148</v>
      </c>
      <c r="C71" s="19" t="s">
        <v>173</v>
      </c>
      <c r="D71" s="19" t="s">
        <v>38</v>
      </c>
      <c r="E71" s="19"/>
      <c r="F71" s="19"/>
      <c r="G71" s="19"/>
      <c r="H71" s="19" t="s">
        <v>172</v>
      </c>
      <c r="I71" s="15">
        <v>2</v>
      </c>
      <c r="J71" s="15">
        <f>IFERROR(VLOOKUP($C71,Sheet3!$H$2:$O$200,J$1,FALSE),IFERROR(VLOOKUP($D71,Sheet3!$H$2:$O$200,J$1,FALSE),VLOOKUP($E71,Sheet3!$H$2:$O$200,J$1,FALSE)))</f>
        <v>0</v>
      </c>
      <c r="K71" s="15">
        <f>IFERROR(VLOOKUP($C71,Sheet3!$H$2:$O$200,K$1,FALSE),IFERROR(VLOOKUP($D71,Sheet3!$H$2:$O$200,K$1,FALSE),VLOOKUP($E71,Sheet3!$H$2:$O$200,K$1,FALSE)))</f>
        <v>0</v>
      </c>
      <c r="L71" s="15">
        <f>IFERROR(VLOOKUP($C71,Sheet3!$H$2:$O$200,L$1,FALSE),IFERROR(VLOOKUP($D71,Sheet3!$H$2:$O$200,L$1,FALSE),VLOOKUP($E71,Sheet3!$H$2:$O$200,L$1,FALSE)))</f>
        <v>0</v>
      </c>
      <c r="M71" s="15" t="str">
        <f>IFERROR(VLOOKUP($C71,Sheet3!$H$2:$O$200,M$1,FALSE),IFERROR(VLOOKUP($D71,Sheet3!$H$2:$O$200,M$1,FALSE),VLOOKUP($E71,Sheet3!$H$2:$O$200,M$1,FALSE)))</f>
        <v>ginger liqueur</v>
      </c>
      <c r="N71" s="15">
        <f>IFERROR(VLOOKUP($C71,Sheet3!$H$2:$O$200,N$1,FALSE),IFERROR(VLOOKUP($D71,Sheet3!$H$2:$O$200,N$1,FALSE),VLOOKUP($E71,Sheet3!$H$2:$O$200,N$1,FALSE)))</f>
        <v>0</v>
      </c>
      <c r="O71" s="15">
        <f>IFERROR(VLOOKUP($C71,Sheet3!$H$2:$O$200,O$1,FALSE),IFERROR(VLOOKUP($D71,Sheet3!$H$2:$O$200,O$1,FALSE),VLOOKUP($E71,Sheet3!$H$2:$O$200,O$1,FALSE)))</f>
        <v>0</v>
      </c>
      <c r="P71" s="15">
        <f>IFERROR(VLOOKUP($C71,Sheet3!$H$2:$O$200,P$1,FALSE),IFERROR(VLOOKUP($D71,Sheet3!$H$2:$O$200,P$1,FALSE),VLOOKUP($E71,Sheet3!$H$2:$O$200,P$1,FALSE)))</f>
        <v>0</v>
      </c>
      <c r="Q71" s="15">
        <f>IFERROR(IF(ISBLANK(J71),IFERROR(VLOOKUP($D71,Sheet3!$H$2:$O$200,Q$1,FALSE),IFERROR(VLOOKUP($E71,Sheet3!$H$2:$O$200,Q$1,FALSE),VLOOKUP($F71,Sheet3!$H$2:$O$200,Q$1,FALSE))),$I$1),$I$1)</f>
        <v>0</v>
      </c>
      <c r="R71" s="15">
        <f>IFERROR(IF(ISBLANK(K71),IFERROR(VLOOKUP($D71,Sheet3!$H$2:$O$200,R$1,FALSE),IFERROR(VLOOKUP($E71,Sheet3!$H$2:$O$200,R$1,FALSE),VLOOKUP($F71,Sheet3!$H$2:$O$200,R$1,FALSE))),$I$1),$I$1)</f>
        <v>0</v>
      </c>
      <c r="S71" s="15">
        <f>IFERROR(IF(ISBLANK(L71),IFERROR(VLOOKUP($D71,Sheet3!$H$2:$O$200,S$1,FALSE),IFERROR(VLOOKUP($E71,Sheet3!$H$2:$O$200,S$1,FALSE),VLOOKUP($F71,Sheet3!$H$2:$O$200,S$1,FALSE))),$I$1),$I$1)</f>
        <v>0</v>
      </c>
      <c r="T71" s="15">
        <f>IFERROR(IF(ISBLANK(M71),IFERROR(VLOOKUP($D71,Sheet3!$H$2:$O$200,T$1,FALSE),IFERROR(VLOOKUP($E71,Sheet3!$H$2:$O$200,T$1,FALSE),VLOOKUP($F71,Sheet3!$H$2:$O$200,T$1,FALSE))),$I$1),$I$1)</f>
        <v>0</v>
      </c>
      <c r="U71" s="15">
        <f>IFERROR(IF(ISBLANK(N71),IFERROR(VLOOKUP($D71,Sheet3!$H$2:$O$200,U$1,FALSE),IFERROR(VLOOKUP($E71,Sheet3!$H$2:$O$200,U$1,FALSE),VLOOKUP($F71,Sheet3!$H$2:$O$200,U$1,FALSE))),$I$1),$I$1)</f>
        <v>0</v>
      </c>
      <c r="V71" s="15">
        <f>IFERROR(IF(ISBLANK(O71),IFERROR(VLOOKUP($D71,Sheet3!$H$2:$O$200,V$1,FALSE),IFERROR(VLOOKUP($E71,Sheet3!$H$2:$O$200,V$1,FALSE),VLOOKUP($F71,Sheet3!$H$2:$O$200,V$1,FALSE))),$I$1),$I$1)</f>
        <v>0</v>
      </c>
      <c r="W71" s="15">
        <f>IFERROR(IF(ISBLANK(P71),IFERROR(VLOOKUP($D71,Sheet3!$H$2:$O$200,W$1,FALSE),IFERROR(VLOOKUP($E71,Sheet3!$H$2:$O$200,W$1,FALSE),VLOOKUP($F71,Sheet3!$H$2:$O$200,W$1,FALSE))),$I$1),$I$1)</f>
        <v>0</v>
      </c>
      <c r="X71" s="15">
        <f>IFERROR(IF(ISBLANK(Q71),IFERROR(VLOOKUP($E71,Sheet3!$H$2:$O$200,X$1,FALSE),IFERROR(VLOOKUP($F71,Sheet3!$H$2:$O$200,X$1,FALSE),VLOOKUP($G71,Sheet3!$H$2:$O$200,X$1,FALSE))),$I$1),$I$1)</f>
        <v>0</v>
      </c>
      <c r="Y71" s="15">
        <f>IFERROR(IF(ISBLANK(R71),IFERROR(VLOOKUP($E71,Sheet3!$H$2:$O$200,Y$1,FALSE),IFERROR(VLOOKUP($F71,Sheet3!$H$2:$O$200,Y$1,FALSE),VLOOKUP($G71,Sheet3!$H$2:$O$200,Y$1,FALSE))),$I$1),$I$1)</f>
        <v>0</v>
      </c>
      <c r="Z71" s="15">
        <f>IFERROR(IF(ISBLANK(S71),IFERROR(VLOOKUP($E71,Sheet3!$H$2:$O$200,Z$1,FALSE),IFERROR(VLOOKUP($F71,Sheet3!$H$2:$O$200,Z$1,FALSE),VLOOKUP($G71,Sheet3!$H$2:$O$200,Z$1,FALSE))),$I$1),$I$1)</f>
        <v>0</v>
      </c>
      <c r="AA71" s="15">
        <f>IFERROR(IF(ISBLANK(T71),IFERROR(VLOOKUP($E71,Sheet3!$H$2:$O$200,AA$1,FALSE),IFERROR(VLOOKUP($F71,Sheet3!$H$2:$O$200,AA$1,FALSE),VLOOKUP($G71,Sheet3!$H$2:$O$200,AA$1,FALSE))),$I$1),$I$1)</f>
        <v>0</v>
      </c>
      <c r="AB71" s="15">
        <f>IFERROR(IF(ISBLANK(U71),IFERROR(VLOOKUP($E71,Sheet3!$H$2:$O$200,AB$1,FALSE),IFERROR(VLOOKUP($F71,Sheet3!$H$2:$O$200,AB$1,FALSE),VLOOKUP($G71,Sheet3!$H$2:$O$200,AB$1,FALSE))),$I$1),$I$1)</f>
        <v>0</v>
      </c>
      <c r="AC71" s="15">
        <f>IFERROR(IF(ISBLANK(V71),IFERROR(VLOOKUP($E71,Sheet3!$H$2:$O$200,AC$1,FALSE),IFERROR(VLOOKUP($F71,Sheet3!$H$2:$O$200,AC$1,FALSE),VLOOKUP($G71,Sheet3!$H$2:$O$200,AC$1,FALSE))),$I$1),$I$1)</f>
        <v>0</v>
      </c>
      <c r="AD71" s="15">
        <f>IFERROR(IF(ISBLANK(W71),IFERROR(VLOOKUP($E71,Sheet3!$H$2:$O$200,AD$1,FALSE),IFERROR(VLOOKUP($F71,Sheet3!$H$2:$O$200,AD$1,FALSE),VLOOKUP($G71,Sheet3!$H$2:$O$200,AD$1,FALSE))),$I$1),$I$1)</f>
        <v>0</v>
      </c>
      <c r="AE71" s="15">
        <f>IFERROR(IF(ISBLANK(X71),IFERROR(VLOOKUP($F71,Sheet3!$H$2:$O$200,AE$1,FALSE),VLOOKUP($G71,Sheet3!$H$2:$O$200,AE$1,FALSE)),$I$1),$I$1)</f>
        <v>0</v>
      </c>
      <c r="AF71" s="15">
        <f>IFERROR(IF(ISBLANK(Y71),IFERROR(VLOOKUP($F71,Sheet3!$H$2:$O$200,AF$1,FALSE),VLOOKUP($G71,Sheet3!$H$2:$O$200,AF$1,FALSE)),$I$1),$I$1)</f>
        <v>0</v>
      </c>
      <c r="AG71" s="15">
        <f>IFERROR(IF(ISBLANK(Z71),IFERROR(VLOOKUP($F71,Sheet3!$H$2:$O$200,AG$1,FALSE),VLOOKUP($G71,Sheet3!$H$2:$O$200,AG$1,FALSE)),$I$1),$I$1)</f>
        <v>0</v>
      </c>
      <c r="AH71" s="15">
        <f>IFERROR(IF(ISBLANK(AA71),IFERROR(VLOOKUP($F71,Sheet3!$H$2:$O$200,AH$1,FALSE),VLOOKUP($G71,Sheet3!$H$2:$O$200,AH$1,FALSE)),$I$1),$I$1)</f>
        <v>0</v>
      </c>
      <c r="AI71" s="15">
        <f>IFERROR(IF(ISBLANK(AB71),IFERROR(VLOOKUP($F71,Sheet3!$H$2:$O$200,AI$1,FALSE),VLOOKUP($G71,Sheet3!$H$2:$O$200,AI$1,FALSE)),$I$1),$I$1)</f>
        <v>0</v>
      </c>
      <c r="AJ71" s="15">
        <f>IFERROR(IF(ISBLANK(AC71),IFERROR(VLOOKUP($F71,Sheet3!$H$2:$O$200,AJ$1,FALSE),VLOOKUP($G71,Sheet3!$H$2:$O$200,AJ$1,FALSE)),$I$1),$I$1)</f>
        <v>0</v>
      </c>
      <c r="AK71" s="15">
        <f>IFERROR(IF(ISBLANK(AD71),IFERROR(VLOOKUP($F71,Sheet3!$H$2:$O$200,AK$1,FALSE),VLOOKUP($G71,Sheet3!$H$2:$O$200,AK$1,FALSE)),$I$1),$I$1)</f>
        <v>0</v>
      </c>
      <c r="AL71" s="15">
        <f>IFERROR(IF(ISBLANK(AE71),VLOOKUP($G71,Sheet3!$H$2:$O$200,AL$1,FALSE),$I$1),$I$1)</f>
        <v>0</v>
      </c>
      <c r="AM71" s="15">
        <f>IFERROR(IF(ISBLANK(AF71),VLOOKUP($G71,Sheet3!$H$2:$O$200,AM$1,FALSE),$I$1),$I$1)</f>
        <v>0</v>
      </c>
      <c r="AN71" s="15">
        <f>IFERROR(IF(ISBLANK(AG71),VLOOKUP($G71,Sheet3!$H$2:$O$200,AN$1,FALSE),$I$1),$I$1)</f>
        <v>0</v>
      </c>
      <c r="AO71" s="15">
        <f>IFERROR(IF(ISBLANK(AH71),VLOOKUP($G71,Sheet3!$H$2:$O$200,AO$1,FALSE),$I$1),$I$1)</f>
        <v>0</v>
      </c>
      <c r="AP71" s="15">
        <f>IFERROR(IF(ISBLANK(AI71),VLOOKUP($G71,Sheet3!$H$2:$O$200,AP$1,FALSE),$I$1),$I$1)</f>
        <v>0</v>
      </c>
      <c r="AQ71" s="15">
        <f>IFERROR(IF(ISBLANK(AJ71),VLOOKUP($G71,Sheet3!$H$2:$O$200,AQ$1,FALSE),$I$1),$I$1)</f>
        <v>0</v>
      </c>
      <c r="AR71" s="15">
        <f>IFERROR(IF(ISBLANK(AK71),VLOOKUP($G71,Sheet3!$H$2:$O$200,AR$1,FALSE),$I$1),$I$1)</f>
        <v>0</v>
      </c>
      <c r="AS71" s="15">
        <f t="shared" ref="AS71:AY71" si="77">IFERROR(IF(ISBLANK(J71),IF(ISBLANK(Q71),IF(ISBLANK(X71),IF(ISBLANK(AE71),IF(ISBLANK(AL71),$BB$1,AL71),AE71),X71),Q71),J71),$BB$1)</f>
        <v>0</v>
      </c>
      <c r="AT71" s="15">
        <f t="shared" si="77"/>
        <v>0</v>
      </c>
      <c r="AU71" s="15">
        <f t="shared" si="77"/>
        <v>0</v>
      </c>
      <c r="AV71" s="15" t="str">
        <f t="shared" si="77"/>
        <v>ginger liqueur</v>
      </c>
      <c r="AW71" s="15">
        <f t="shared" si="77"/>
        <v>0</v>
      </c>
      <c r="AX71" s="15">
        <f t="shared" si="77"/>
        <v>0</v>
      </c>
      <c r="AY71" s="15">
        <f t="shared" si="77"/>
        <v>0</v>
      </c>
      <c r="BA71" s="13">
        <f t="shared" si="1"/>
        <v>35</v>
      </c>
      <c r="BB71" s="15" t="b">
        <f t="shared" si="2"/>
        <v>0</v>
      </c>
    </row>
    <row r="72" spans="1:54" x14ac:dyDescent="0.2">
      <c r="A72" s="19" t="s">
        <v>174</v>
      </c>
      <c r="B72" s="19" t="s">
        <v>148</v>
      </c>
      <c r="C72" s="19" t="s">
        <v>100</v>
      </c>
      <c r="D72" s="19" t="s">
        <v>90</v>
      </c>
      <c r="E72" s="19"/>
      <c r="F72" s="19"/>
      <c r="G72" s="19"/>
      <c r="H72" s="19" t="s">
        <v>174</v>
      </c>
      <c r="I72" s="15">
        <v>2</v>
      </c>
      <c r="J72" s="15">
        <f>IFERROR(VLOOKUP($C72,Sheet3!$H$2:$O$200,J$1,FALSE),IFERROR(VLOOKUP($D72,Sheet3!$H$2:$O$200,J$1,FALSE),VLOOKUP($E72,Sheet3!$H$2:$O$200,J$1,FALSE)))</f>
        <v>0</v>
      </c>
      <c r="K72" s="15">
        <f>IFERROR(VLOOKUP($C72,Sheet3!$H$2:$O$200,K$1,FALSE),IFERROR(VLOOKUP($D72,Sheet3!$H$2:$O$200,K$1,FALSE),VLOOKUP($E72,Sheet3!$H$2:$O$200,K$1,FALSE)))</f>
        <v>0</v>
      </c>
      <c r="L72" s="15">
        <f>IFERROR(VLOOKUP($C72,Sheet3!$H$2:$O$200,L$1,FALSE),IFERROR(VLOOKUP($D72,Sheet3!$H$2:$O$200,L$1,FALSE),VLOOKUP($E72,Sheet3!$H$2:$O$200,L$1,FALSE)))</f>
        <v>0</v>
      </c>
      <c r="M72" s="15" t="str">
        <f>IFERROR(VLOOKUP($C72,Sheet3!$H$2:$O$200,M$1,FALSE),IFERROR(VLOOKUP($D72,Sheet3!$H$2:$O$200,M$1,FALSE),VLOOKUP($E72,Sheet3!$H$2:$O$200,M$1,FALSE)))</f>
        <v>triple sec</v>
      </c>
      <c r="N72" s="15">
        <f>IFERROR(VLOOKUP($C72,Sheet3!$H$2:$O$200,N$1,FALSE),IFERROR(VLOOKUP($D72,Sheet3!$H$2:$O$200,N$1,FALSE),VLOOKUP($E72,Sheet3!$H$2:$O$200,N$1,FALSE)))</f>
        <v>0</v>
      </c>
      <c r="O72" s="15">
        <f>IFERROR(VLOOKUP($C72,Sheet3!$H$2:$O$200,O$1,FALSE),IFERROR(VLOOKUP($D72,Sheet3!$H$2:$O$200,O$1,FALSE),VLOOKUP($E72,Sheet3!$H$2:$O$200,O$1,FALSE)))</f>
        <v>0</v>
      </c>
      <c r="P72" s="15">
        <f>IFERROR(VLOOKUP($C72,Sheet3!$H$2:$O$200,P$1,FALSE),IFERROR(VLOOKUP($D72,Sheet3!$H$2:$O$200,P$1,FALSE),VLOOKUP($E72,Sheet3!$H$2:$O$200,P$1,FALSE)))</f>
        <v>0</v>
      </c>
      <c r="Q72" s="15">
        <f>IFERROR(IF(ISBLANK(J72),IFERROR(VLOOKUP($D72,Sheet3!$H$2:$O$200,Q$1,FALSE),IFERROR(VLOOKUP($E72,Sheet3!$H$2:$O$200,Q$1,FALSE),VLOOKUP($F72,Sheet3!$H$2:$O$200,Q$1,FALSE))),$I$1),$I$1)</f>
        <v>0</v>
      </c>
      <c r="R72" s="15">
        <f>IFERROR(IF(ISBLANK(K72),IFERROR(VLOOKUP($D72,Sheet3!$H$2:$O$200,R$1,FALSE),IFERROR(VLOOKUP($E72,Sheet3!$H$2:$O$200,R$1,FALSE),VLOOKUP($F72,Sheet3!$H$2:$O$200,R$1,FALSE))),$I$1),$I$1)</f>
        <v>0</v>
      </c>
      <c r="S72" s="15">
        <f>IFERROR(IF(ISBLANK(L72),IFERROR(VLOOKUP($D72,Sheet3!$H$2:$O$200,S$1,FALSE),IFERROR(VLOOKUP($E72,Sheet3!$H$2:$O$200,S$1,FALSE),VLOOKUP($F72,Sheet3!$H$2:$O$200,S$1,FALSE))),$I$1),$I$1)</f>
        <v>0</v>
      </c>
      <c r="T72" s="15">
        <f>IFERROR(IF(ISBLANK(M72),IFERROR(VLOOKUP($D72,Sheet3!$H$2:$O$200,T$1,FALSE),IFERROR(VLOOKUP($E72,Sheet3!$H$2:$O$200,T$1,FALSE),VLOOKUP($F72,Sheet3!$H$2:$O$200,T$1,FALSE))),$I$1),$I$1)</f>
        <v>0</v>
      </c>
      <c r="U72" s="15">
        <f>IFERROR(IF(ISBLANK(N72),IFERROR(VLOOKUP($D72,Sheet3!$H$2:$O$200,U$1,FALSE),IFERROR(VLOOKUP($E72,Sheet3!$H$2:$O$200,U$1,FALSE),VLOOKUP($F72,Sheet3!$H$2:$O$200,U$1,FALSE))),$I$1),$I$1)</f>
        <v>0</v>
      </c>
      <c r="V72" s="15">
        <f>IFERROR(IF(ISBLANK(O72),IFERROR(VLOOKUP($D72,Sheet3!$H$2:$O$200,V$1,FALSE),IFERROR(VLOOKUP($E72,Sheet3!$H$2:$O$200,V$1,FALSE),VLOOKUP($F72,Sheet3!$H$2:$O$200,V$1,FALSE))),$I$1),$I$1)</f>
        <v>0</v>
      </c>
      <c r="W72" s="15">
        <f>IFERROR(IF(ISBLANK(P72),IFERROR(VLOOKUP($D72,Sheet3!$H$2:$O$200,W$1,FALSE),IFERROR(VLOOKUP($E72,Sheet3!$H$2:$O$200,W$1,FALSE),VLOOKUP($F72,Sheet3!$H$2:$O$200,W$1,FALSE))),$I$1),$I$1)</f>
        <v>0</v>
      </c>
      <c r="X72" s="15">
        <f>IFERROR(IF(ISBLANK(Q72),IFERROR(VLOOKUP($E72,Sheet3!$H$2:$O$200,X$1,FALSE),IFERROR(VLOOKUP($F72,Sheet3!$H$2:$O$200,X$1,FALSE),VLOOKUP($G72,Sheet3!$H$2:$O$200,X$1,FALSE))),$I$1),$I$1)</f>
        <v>0</v>
      </c>
      <c r="Y72" s="15">
        <f>IFERROR(IF(ISBLANK(R72),IFERROR(VLOOKUP($E72,Sheet3!$H$2:$O$200,Y$1,FALSE),IFERROR(VLOOKUP($F72,Sheet3!$H$2:$O$200,Y$1,FALSE),VLOOKUP($G72,Sheet3!$H$2:$O$200,Y$1,FALSE))),$I$1),$I$1)</f>
        <v>0</v>
      </c>
      <c r="Z72" s="15">
        <f>IFERROR(IF(ISBLANK(S72),IFERROR(VLOOKUP($E72,Sheet3!$H$2:$O$200,Z$1,FALSE),IFERROR(VLOOKUP($F72,Sheet3!$H$2:$O$200,Z$1,FALSE),VLOOKUP($G72,Sheet3!$H$2:$O$200,Z$1,FALSE))),$I$1),$I$1)</f>
        <v>0</v>
      </c>
      <c r="AA72" s="15">
        <f>IFERROR(IF(ISBLANK(T72),IFERROR(VLOOKUP($E72,Sheet3!$H$2:$O$200,AA$1,FALSE),IFERROR(VLOOKUP($F72,Sheet3!$H$2:$O$200,AA$1,FALSE),VLOOKUP($G72,Sheet3!$H$2:$O$200,AA$1,FALSE))),$I$1),$I$1)</f>
        <v>0</v>
      </c>
      <c r="AB72" s="15">
        <f>IFERROR(IF(ISBLANK(U72),IFERROR(VLOOKUP($E72,Sheet3!$H$2:$O$200,AB$1,FALSE),IFERROR(VLOOKUP($F72,Sheet3!$H$2:$O$200,AB$1,FALSE),VLOOKUP($G72,Sheet3!$H$2:$O$200,AB$1,FALSE))),$I$1),$I$1)</f>
        <v>0</v>
      </c>
      <c r="AC72" s="15">
        <f>IFERROR(IF(ISBLANK(V72),IFERROR(VLOOKUP($E72,Sheet3!$H$2:$O$200,AC$1,FALSE),IFERROR(VLOOKUP($F72,Sheet3!$H$2:$O$200,AC$1,FALSE),VLOOKUP($G72,Sheet3!$H$2:$O$200,AC$1,FALSE))),$I$1),$I$1)</f>
        <v>0</v>
      </c>
      <c r="AD72" s="15">
        <f>IFERROR(IF(ISBLANK(W72),IFERROR(VLOOKUP($E72,Sheet3!$H$2:$O$200,AD$1,FALSE),IFERROR(VLOOKUP($F72,Sheet3!$H$2:$O$200,AD$1,FALSE),VLOOKUP($G72,Sheet3!$H$2:$O$200,AD$1,FALSE))),$I$1),$I$1)</f>
        <v>0</v>
      </c>
      <c r="AE72" s="15">
        <f>IFERROR(IF(ISBLANK(X72),IFERROR(VLOOKUP($F72,Sheet3!$H$2:$O$200,AE$1,FALSE),VLOOKUP($G72,Sheet3!$H$2:$O$200,AE$1,FALSE)),$I$1),$I$1)</f>
        <v>0</v>
      </c>
      <c r="AF72" s="15">
        <f>IFERROR(IF(ISBLANK(Y72),IFERROR(VLOOKUP($F72,Sheet3!$H$2:$O$200,AF$1,FALSE),VLOOKUP($G72,Sheet3!$H$2:$O$200,AF$1,FALSE)),$I$1),$I$1)</f>
        <v>0</v>
      </c>
      <c r="AG72" s="15">
        <f>IFERROR(IF(ISBLANK(Z72),IFERROR(VLOOKUP($F72,Sheet3!$H$2:$O$200,AG$1,FALSE),VLOOKUP($G72,Sheet3!$H$2:$O$200,AG$1,FALSE)),$I$1),$I$1)</f>
        <v>0</v>
      </c>
      <c r="AH72" s="15">
        <f>IFERROR(IF(ISBLANK(AA72),IFERROR(VLOOKUP($F72,Sheet3!$H$2:$O$200,AH$1,FALSE),VLOOKUP($G72,Sheet3!$H$2:$O$200,AH$1,FALSE)),$I$1),$I$1)</f>
        <v>0</v>
      </c>
      <c r="AI72" s="15">
        <f>IFERROR(IF(ISBLANK(AB72),IFERROR(VLOOKUP($F72,Sheet3!$H$2:$O$200,AI$1,FALSE),VLOOKUP($G72,Sheet3!$H$2:$O$200,AI$1,FALSE)),$I$1),$I$1)</f>
        <v>0</v>
      </c>
      <c r="AJ72" s="15">
        <f>IFERROR(IF(ISBLANK(AC72),IFERROR(VLOOKUP($F72,Sheet3!$H$2:$O$200,AJ$1,FALSE),VLOOKUP($G72,Sheet3!$H$2:$O$200,AJ$1,FALSE)),$I$1),$I$1)</f>
        <v>0</v>
      </c>
      <c r="AK72" s="15">
        <f>IFERROR(IF(ISBLANK(AD72),IFERROR(VLOOKUP($F72,Sheet3!$H$2:$O$200,AK$1,FALSE),VLOOKUP($G72,Sheet3!$H$2:$O$200,AK$1,FALSE)),$I$1),$I$1)</f>
        <v>0</v>
      </c>
      <c r="AL72" s="15">
        <f>IFERROR(IF(ISBLANK(AE72),VLOOKUP($G72,Sheet3!$H$2:$O$200,AL$1,FALSE),$I$1),$I$1)</f>
        <v>0</v>
      </c>
      <c r="AM72" s="15">
        <f>IFERROR(IF(ISBLANK(AF72),VLOOKUP($G72,Sheet3!$H$2:$O$200,AM$1,FALSE),$I$1),$I$1)</f>
        <v>0</v>
      </c>
      <c r="AN72" s="15">
        <f>IFERROR(IF(ISBLANK(AG72),VLOOKUP($G72,Sheet3!$H$2:$O$200,AN$1,FALSE),$I$1),$I$1)</f>
        <v>0</v>
      </c>
      <c r="AO72" s="15">
        <f>IFERROR(IF(ISBLANK(AH72),VLOOKUP($G72,Sheet3!$H$2:$O$200,AO$1,FALSE),$I$1),$I$1)</f>
        <v>0</v>
      </c>
      <c r="AP72" s="15">
        <f>IFERROR(IF(ISBLANK(AI72),VLOOKUP($G72,Sheet3!$H$2:$O$200,AP$1,FALSE),$I$1),$I$1)</f>
        <v>0</v>
      </c>
      <c r="AQ72" s="15">
        <f>IFERROR(IF(ISBLANK(AJ72),VLOOKUP($G72,Sheet3!$H$2:$O$200,AQ$1,FALSE),$I$1),$I$1)</f>
        <v>0</v>
      </c>
      <c r="AR72" s="15">
        <f>IFERROR(IF(ISBLANK(AK72),VLOOKUP($G72,Sheet3!$H$2:$O$200,AR$1,FALSE),$I$1),$I$1)</f>
        <v>0</v>
      </c>
      <c r="AS72" s="15">
        <f t="shared" ref="AS72:AY72" si="78">IFERROR(IF(ISBLANK(J72),IF(ISBLANK(Q72),IF(ISBLANK(X72),IF(ISBLANK(AE72),IF(ISBLANK(AL72),$BB$1,AL72),AE72),X72),Q72),J72),$BB$1)</f>
        <v>0</v>
      </c>
      <c r="AT72" s="15">
        <f t="shared" si="78"/>
        <v>0</v>
      </c>
      <c r="AU72" s="15">
        <f t="shared" si="78"/>
        <v>0</v>
      </c>
      <c r="AV72" s="15" t="str">
        <f t="shared" si="78"/>
        <v>triple sec</v>
      </c>
      <c r="AW72" s="15">
        <f t="shared" si="78"/>
        <v>0</v>
      </c>
      <c r="AX72" s="15">
        <f t="shared" si="78"/>
        <v>0</v>
      </c>
      <c r="AY72" s="15">
        <f t="shared" si="78"/>
        <v>0</v>
      </c>
      <c r="BA72" s="13">
        <f t="shared" si="1"/>
        <v>35</v>
      </c>
      <c r="BB72" s="15" t="b">
        <f t="shared" si="2"/>
        <v>0</v>
      </c>
    </row>
    <row r="73" spans="1:54" x14ac:dyDescent="0.2">
      <c r="A73" s="19" t="s">
        <v>175</v>
      </c>
      <c r="B73" s="19" t="s">
        <v>148</v>
      </c>
      <c r="C73" s="19" t="s">
        <v>100</v>
      </c>
      <c r="D73" s="19" t="s">
        <v>90</v>
      </c>
      <c r="E73" s="18" t="s">
        <v>66</v>
      </c>
      <c r="F73" s="18" t="s">
        <v>74</v>
      </c>
      <c r="G73" s="19"/>
      <c r="H73" s="19" t="s">
        <v>175</v>
      </c>
      <c r="I73" s="15">
        <v>4</v>
      </c>
      <c r="J73" s="15">
        <f>IFERROR(VLOOKUP($C73,Sheet3!$H$2:$O$200,J$1,FALSE),IFERROR(VLOOKUP($D73,Sheet3!$H$2:$O$200,J$1,FALSE),VLOOKUP($E73,Sheet3!$H$2:$O$200,J$1,FALSE)))</f>
        <v>0</v>
      </c>
      <c r="K73" s="15">
        <f>IFERROR(VLOOKUP($C73,Sheet3!$H$2:$O$200,K$1,FALSE),IFERROR(VLOOKUP($D73,Sheet3!$H$2:$O$200,K$1,FALSE),VLOOKUP($E73,Sheet3!$H$2:$O$200,K$1,FALSE)))</f>
        <v>0</v>
      </c>
      <c r="L73" s="15">
        <f>IFERROR(VLOOKUP($C73,Sheet3!$H$2:$O$200,L$1,FALSE),IFERROR(VLOOKUP($D73,Sheet3!$H$2:$O$200,L$1,FALSE),VLOOKUP($E73,Sheet3!$H$2:$O$200,L$1,FALSE)))</f>
        <v>0</v>
      </c>
      <c r="M73" s="15" t="str">
        <f>IFERROR(VLOOKUP($C73,Sheet3!$H$2:$O$200,M$1,FALSE),IFERROR(VLOOKUP($D73,Sheet3!$H$2:$O$200,M$1,FALSE),VLOOKUP($E73,Sheet3!$H$2:$O$200,M$1,FALSE)))</f>
        <v>triple sec</v>
      </c>
      <c r="N73" s="15">
        <f>IFERROR(VLOOKUP($C73,Sheet3!$H$2:$O$200,N$1,FALSE),IFERROR(VLOOKUP($D73,Sheet3!$H$2:$O$200,N$1,FALSE),VLOOKUP($E73,Sheet3!$H$2:$O$200,N$1,FALSE)))</f>
        <v>0</v>
      </c>
      <c r="O73" s="15">
        <f>IFERROR(VLOOKUP($C73,Sheet3!$H$2:$O$200,O$1,FALSE),IFERROR(VLOOKUP($D73,Sheet3!$H$2:$O$200,O$1,FALSE),VLOOKUP($E73,Sheet3!$H$2:$O$200,O$1,FALSE)))</f>
        <v>0</v>
      </c>
      <c r="P73" s="15">
        <f>IFERROR(VLOOKUP($C73,Sheet3!$H$2:$O$200,P$1,FALSE),IFERROR(VLOOKUP($D73,Sheet3!$H$2:$O$200,P$1,FALSE),VLOOKUP($E73,Sheet3!$H$2:$O$200,P$1,FALSE)))</f>
        <v>0</v>
      </c>
      <c r="Q73" s="15">
        <f>IFERROR(IF(ISBLANK(J73),IFERROR(VLOOKUP($D73,Sheet3!$H$2:$O$200,Q$1,FALSE),IFERROR(VLOOKUP($E73,Sheet3!$H$2:$O$200,Q$1,FALSE),VLOOKUP($F73,Sheet3!$H$2:$O$200,Q$1,FALSE))),$I$1),$I$1)</f>
        <v>0</v>
      </c>
      <c r="R73" s="15">
        <f>IFERROR(IF(ISBLANK(K73),IFERROR(VLOOKUP($D73,Sheet3!$H$2:$O$200,R$1,FALSE),IFERROR(VLOOKUP($E73,Sheet3!$H$2:$O$200,R$1,FALSE),VLOOKUP($F73,Sheet3!$H$2:$O$200,R$1,FALSE))),$I$1),$I$1)</f>
        <v>0</v>
      </c>
      <c r="S73" s="15">
        <f>IFERROR(IF(ISBLANK(L73),IFERROR(VLOOKUP($D73,Sheet3!$H$2:$O$200,S$1,FALSE),IFERROR(VLOOKUP($E73,Sheet3!$H$2:$O$200,S$1,FALSE),VLOOKUP($F73,Sheet3!$H$2:$O$200,S$1,FALSE))),$I$1),$I$1)</f>
        <v>0</v>
      </c>
      <c r="T73" s="15">
        <f>IFERROR(IF(ISBLANK(M73),IFERROR(VLOOKUP($D73,Sheet3!$H$2:$O$200,T$1,FALSE),IFERROR(VLOOKUP($E73,Sheet3!$H$2:$O$200,T$1,FALSE),VLOOKUP($F73,Sheet3!$H$2:$O$200,T$1,FALSE))),$I$1),$I$1)</f>
        <v>0</v>
      </c>
      <c r="U73" s="15">
        <f>IFERROR(IF(ISBLANK(N73),IFERROR(VLOOKUP($D73,Sheet3!$H$2:$O$200,U$1,FALSE),IFERROR(VLOOKUP($E73,Sheet3!$H$2:$O$200,U$1,FALSE),VLOOKUP($F73,Sheet3!$H$2:$O$200,U$1,FALSE))),$I$1),$I$1)</f>
        <v>0</v>
      </c>
      <c r="V73" s="15">
        <f>IFERROR(IF(ISBLANK(O73),IFERROR(VLOOKUP($D73,Sheet3!$H$2:$O$200,V$1,FALSE),IFERROR(VLOOKUP($E73,Sheet3!$H$2:$O$200,V$1,FALSE),VLOOKUP($F73,Sheet3!$H$2:$O$200,V$1,FALSE))),$I$1),$I$1)</f>
        <v>0</v>
      </c>
      <c r="W73" s="15">
        <f>IFERROR(IF(ISBLANK(P73),IFERROR(VLOOKUP($D73,Sheet3!$H$2:$O$200,W$1,FALSE),IFERROR(VLOOKUP($E73,Sheet3!$H$2:$O$200,W$1,FALSE),VLOOKUP($F73,Sheet3!$H$2:$O$200,W$1,FALSE))),$I$1),$I$1)</f>
        <v>0</v>
      </c>
      <c r="X73" s="15">
        <f>IFERROR(IF(ISBLANK(Q73),IFERROR(VLOOKUP($E73,Sheet3!$H$2:$O$200,X$1,FALSE),IFERROR(VLOOKUP($F73,Sheet3!$H$2:$O$200,X$1,FALSE),VLOOKUP($G73,Sheet3!$H$2:$O$200,X$1,FALSE))),$I$1),$I$1)</f>
        <v>0</v>
      </c>
      <c r="Y73" s="15">
        <f>IFERROR(IF(ISBLANK(R73),IFERROR(VLOOKUP($E73,Sheet3!$H$2:$O$200,Y$1,FALSE),IFERROR(VLOOKUP($F73,Sheet3!$H$2:$O$200,Y$1,FALSE),VLOOKUP($G73,Sheet3!$H$2:$O$200,Y$1,FALSE))),$I$1),$I$1)</f>
        <v>0</v>
      </c>
      <c r="Z73" s="15">
        <f>IFERROR(IF(ISBLANK(S73),IFERROR(VLOOKUP($E73,Sheet3!$H$2:$O$200,Z$1,FALSE),IFERROR(VLOOKUP($F73,Sheet3!$H$2:$O$200,Z$1,FALSE),VLOOKUP($G73,Sheet3!$H$2:$O$200,Z$1,FALSE))),$I$1),$I$1)</f>
        <v>0</v>
      </c>
      <c r="AA73" s="15">
        <f>IFERROR(IF(ISBLANK(T73),IFERROR(VLOOKUP($E73,Sheet3!$H$2:$O$200,AA$1,FALSE),IFERROR(VLOOKUP($F73,Sheet3!$H$2:$O$200,AA$1,FALSE),VLOOKUP($G73,Sheet3!$H$2:$O$200,AA$1,FALSE))),$I$1),$I$1)</f>
        <v>0</v>
      </c>
      <c r="AB73" s="15">
        <f>IFERROR(IF(ISBLANK(U73),IFERROR(VLOOKUP($E73,Sheet3!$H$2:$O$200,AB$1,FALSE),IFERROR(VLOOKUP($F73,Sheet3!$H$2:$O$200,AB$1,FALSE),VLOOKUP($G73,Sheet3!$H$2:$O$200,AB$1,FALSE))),$I$1),$I$1)</f>
        <v>0</v>
      </c>
      <c r="AC73" s="15">
        <f>IFERROR(IF(ISBLANK(V73),IFERROR(VLOOKUP($E73,Sheet3!$H$2:$O$200,AC$1,FALSE),IFERROR(VLOOKUP($F73,Sheet3!$H$2:$O$200,AC$1,FALSE),VLOOKUP($G73,Sheet3!$H$2:$O$200,AC$1,FALSE))),$I$1),$I$1)</f>
        <v>0</v>
      </c>
      <c r="AD73" s="15">
        <f>IFERROR(IF(ISBLANK(W73),IFERROR(VLOOKUP($E73,Sheet3!$H$2:$O$200,AD$1,FALSE),IFERROR(VLOOKUP($F73,Sheet3!$H$2:$O$200,AD$1,FALSE),VLOOKUP($G73,Sheet3!$H$2:$O$200,AD$1,FALSE))),$I$1),$I$1)</f>
        <v>0</v>
      </c>
      <c r="AE73" s="15">
        <f>IFERROR(IF(ISBLANK(X73),IFERROR(VLOOKUP($F73,Sheet3!$H$2:$O$200,AE$1,FALSE),VLOOKUP($G73,Sheet3!$H$2:$O$200,AE$1,FALSE)),$I$1),$I$1)</f>
        <v>0</v>
      </c>
      <c r="AF73" s="15">
        <f>IFERROR(IF(ISBLANK(Y73),IFERROR(VLOOKUP($F73,Sheet3!$H$2:$O$200,AF$1,FALSE),VLOOKUP($G73,Sheet3!$H$2:$O$200,AF$1,FALSE)),$I$1),$I$1)</f>
        <v>0</v>
      </c>
      <c r="AG73" s="15">
        <f>IFERROR(IF(ISBLANK(Z73),IFERROR(VLOOKUP($F73,Sheet3!$H$2:$O$200,AG$1,FALSE),VLOOKUP($G73,Sheet3!$H$2:$O$200,AG$1,FALSE)),$I$1),$I$1)</f>
        <v>0</v>
      </c>
      <c r="AH73" s="15">
        <f>IFERROR(IF(ISBLANK(AA73),IFERROR(VLOOKUP($F73,Sheet3!$H$2:$O$200,AH$1,FALSE),VLOOKUP($G73,Sheet3!$H$2:$O$200,AH$1,FALSE)),$I$1),$I$1)</f>
        <v>0</v>
      </c>
      <c r="AI73" s="15">
        <f>IFERROR(IF(ISBLANK(AB73),IFERROR(VLOOKUP($F73,Sheet3!$H$2:$O$200,AI$1,FALSE),VLOOKUP($G73,Sheet3!$H$2:$O$200,AI$1,FALSE)),$I$1),$I$1)</f>
        <v>0</v>
      </c>
      <c r="AJ73" s="15">
        <f>IFERROR(IF(ISBLANK(AC73),IFERROR(VLOOKUP($F73,Sheet3!$H$2:$O$200,AJ$1,FALSE),VLOOKUP($G73,Sheet3!$H$2:$O$200,AJ$1,FALSE)),$I$1),$I$1)</f>
        <v>0</v>
      </c>
      <c r="AK73" s="15">
        <f>IFERROR(IF(ISBLANK(AD73),IFERROR(VLOOKUP($F73,Sheet3!$H$2:$O$200,AK$1,FALSE),VLOOKUP($G73,Sheet3!$H$2:$O$200,AK$1,FALSE)),$I$1),$I$1)</f>
        <v>0</v>
      </c>
      <c r="AL73" s="15">
        <f>IFERROR(IF(ISBLANK(AE73),VLOOKUP($G73,Sheet3!$H$2:$O$200,AL$1,FALSE),$I$1),$I$1)</f>
        <v>0</v>
      </c>
      <c r="AM73" s="15">
        <f>IFERROR(IF(ISBLANK(AF73),VLOOKUP($G73,Sheet3!$H$2:$O$200,AM$1,FALSE),$I$1),$I$1)</f>
        <v>0</v>
      </c>
      <c r="AN73" s="15">
        <f>IFERROR(IF(ISBLANK(AG73),VLOOKUP($G73,Sheet3!$H$2:$O$200,AN$1,FALSE),$I$1),$I$1)</f>
        <v>0</v>
      </c>
      <c r="AO73" s="15">
        <f>IFERROR(IF(ISBLANK(AH73),VLOOKUP($G73,Sheet3!$H$2:$O$200,AO$1,FALSE),$I$1),$I$1)</f>
        <v>0</v>
      </c>
      <c r="AP73" s="15">
        <f>IFERROR(IF(ISBLANK(AI73),VLOOKUP($G73,Sheet3!$H$2:$O$200,AP$1,FALSE),$I$1),$I$1)</f>
        <v>0</v>
      </c>
      <c r="AQ73" s="15">
        <f>IFERROR(IF(ISBLANK(AJ73),VLOOKUP($G73,Sheet3!$H$2:$O$200,AQ$1,FALSE),$I$1),$I$1)</f>
        <v>0</v>
      </c>
      <c r="AR73" s="15">
        <f>IFERROR(IF(ISBLANK(AK73),VLOOKUP($G73,Sheet3!$H$2:$O$200,AR$1,FALSE),$I$1),$I$1)</f>
        <v>0</v>
      </c>
      <c r="AS73" s="15">
        <f t="shared" ref="AS73:AX73" si="79">IFERROR(IF(ISBLANK(J73),IF(ISBLANK(Q73),IF(ISBLANK(X73),IF(ISBLANK(AE73),IF(ISBLANK(AL73),$BB$1,AL73),AE73),X73),Q73),J73),$BB$1)</f>
        <v>0</v>
      </c>
      <c r="AT73" s="15">
        <f t="shared" si="79"/>
        <v>0</v>
      </c>
      <c r="AU73" s="15">
        <f t="shared" si="79"/>
        <v>0</v>
      </c>
      <c r="AV73" s="15" t="str">
        <f t="shared" si="79"/>
        <v>triple sec</v>
      </c>
      <c r="AW73" s="15">
        <f t="shared" si="79"/>
        <v>0</v>
      </c>
      <c r="AX73" s="15">
        <f t="shared" si="79"/>
        <v>0</v>
      </c>
      <c r="AY73" s="11" t="s">
        <v>74</v>
      </c>
      <c r="BA73" s="13">
        <f t="shared" si="1"/>
        <v>35</v>
      </c>
      <c r="BB73" s="15" t="b">
        <f t="shared" si="2"/>
        <v>0</v>
      </c>
    </row>
    <row r="74" spans="1:54" x14ac:dyDescent="0.2">
      <c r="A74" s="19" t="s">
        <v>176</v>
      </c>
      <c r="B74" s="19" t="s">
        <v>148</v>
      </c>
      <c r="C74" s="19" t="s">
        <v>100</v>
      </c>
      <c r="D74" s="19" t="s">
        <v>38</v>
      </c>
      <c r="E74" s="19" t="s">
        <v>55</v>
      </c>
      <c r="F74" s="19"/>
      <c r="G74" s="19"/>
      <c r="H74" s="19" t="s">
        <v>176</v>
      </c>
      <c r="I74" s="15">
        <v>3</v>
      </c>
      <c r="J74" s="15">
        <f>IFERROR(VLOOKUP($C74,Sheet3!$H$2:$O$200,J$1,FALSE),IFERROR(VLOOKUP($D74,Sheet3!$H$2:$O$200,J$1,FALSE),VLOOKUP($E74,Sheet3!$H$2:$O$200,J$1,FALSE)))</f>
        <v>0</v>
      </c>
      <c r="K74" s="15">
        <f>IFERROR(VLOOKUP($C74,Sheet3!$H$2:$O$200,K$1,FALSE),IFERROR(VLOOKUP($D74,Sheet3!$H$2:$O$200,K$1,FALSE),VLOOKUP($E74,Sheet3!$H$2:$O$200,K$1,FALSE)))</f>
        <v>0</v>
      </c>
      <c r="L74" s="15">
        <f>IFERROR(VLOOKUP($C74,Sheet3!$H$2:$O$200,L$1,FALSE),IFERROR(VLOOKUP($D74,Sheet3!$H$2:$O$200,L$1,FALSE),VLOOKUP($E74,Sheet3!$H$2:$O$200,L$1,FALSE)))</f>
        <v>0</v>
      </c>
      <c r="M74" s="15" t="str">
        <f>IFERROR(VLOOKUP($C74,Sheet3!$H$2:$O$200,M$1,FALSE),IFERROR(VLOOKUP($D74,Sheet3!$H$2:$O$200,M$1,FALSE),VLOOKUP($E74,Sheet3!$H$2:$O$200,M$1,FALSE)))</f>
        <v>triple sec</v>
      </c>
      <c r="N74" s="15">
        <f>IFERROR(VLOOKUP($C74,Sheet3!$H$2:$O$200,N$1,FALSE),IFERROR(VLOOKUP($D74,Sheet3!$H$2:$O$200,N$1,FALSE),VLOOKUP($E74,Sheet3!$H$2:$O$200,N$1,FALSE)))</f>
        <v>0</v>
      </c>
      <c r="O74" s="15">
        <f>IFERROR(VLOOKUP($C74,Sheet3!$H$2:$O$200,O$1,FALSE),IFERROR(VLOOKUP($D74,Sheet3!$H$2:$O$200,O$1,FALSE),VLOOKUP($E74,Sheet3!$H$2:$O$200,O$1,FALSE)))</f>
        <v>0</v>
      </c>
      <c r="P74" s="15">
        <f>IFERROR(VLOOKUP($C74,Sheet3!$H$2:$O$200,P$1,FALSE),IFERROR(VLOOKUP($D74,Sheet3!$H$2:$O$200,P$1,FALSE),VLOOKUP($E74,Sheet3!$H$2:$O$200,P$1,FALSE)))</f>
        <v>0</v>
      </c>
      <c r="Q74" s="15">
        <f>IFERROR(IF(ISBLANK(J74),IFERROR(VLOOKUP($D74,Sheet3!$H$2:$O$200,Q$1,FALSE),IFERROR(VLOOKUP($E74,Sheet3!$H$2:$O$200,Q$1,FALSE),VLOOKUP($F74,Sheet3!$H$2:$O$200,Q$1,FALSE))),$I$1),$I$1)</f>
        <v>0</v>
      </c>
      <c r="R74" s="15">
        <f>IFERROR(IF(ISBLANK(K74),IFERROR(VLOOKUP($D74,Sheet3!$H$2:$O$200,R$1,FALSE),IFERROR(VLOOKUP($E74,Sheet3!$H$2:$O$200,R$1,FALSE),VLOOKUP($F74,Sheet3!$H$2:$O$200,R$1,FALSE))),$I$1),$I$1)</f>
        <v>0</v>
      </c>
      <c r="S74" s="15">
        <f>IFERROR(IF(ISBLANK(L74),IFERROR(VLOOKUP($D74,Sheet3!$H$2:$O$200,S$1,FALSE),IFERROR(VLOOKUP($E74,Sheet3!$H$2:$O$200,S$1,FALSE),VLOOKUP($F74,Sheet3!$H$2:$O$200,S$1,FALSE))),$I$1),$I$1)</f>
        <v>0</v>
      </c>
      <c r="T74" s="15">
        <f>IFERROR(IF(ISBLANK(M74),IFERROR(VLOOKUP($D74,Sheet3!$H$2:$O$200,T$1,FALSE),IFERROR(VLOOKUP($E74,Sheet3!$H$2:$O$200,T$1,FALSE),VLOOKUP($F74,Sheet3!$H$2:$O$200,T$1,FALSE))),$I$1),$I$1)</f>
        <v>0</v>
      </c>
      <c r="U74" s="15">
        <f>IFERROR(IF(ISBLANK(N74),IFERROR(VLOOKUP($D74,Sheet3!$H$2:$O$200,U$1,FALSE),IFERROR(VLOOKUP($E74,Sheet3!$H$2:$O$200,U$1,FALSE),VLOOKUP($F74,Sheet3!$H$2:$O$200,U$1,FALSE))),$I$1),$I$1)</f>
        <v>0</v>
      </c>
      <c r="V74" s="15">
        <f>IFERROR(IF(ISBLANK(O74),IFERROR(VLOOKUP($D74,Sheet3!$H$2:$O$200,V$1,FALSE),IFERROR(VLOOKUP($E74,Sheet3!$H$2:$O$200,V$1,FALSE),VLOOKUP($F74,Sheet3!$H$2:$O$200,V$1,FALSE))),$I$1),$I$1)</f>
        <v>0</v>
      </c>
      <c r="W74" s="15">
        <f>IFERROR(IF(ISBLANK(P74),IFERROR(VLOOKUP($D74,Sheet3!$H$2:$O$200,W$1,FALSE),IFERROR(VLOOKUP($E74,Sheet3!$H$2:$O$200,W$1,FALSE),VLOOKUP($F74,Sheet3!$H$2:$O$200,W$1,FALSE))),$I$1),$I$1)</f>
        <v>0</v>
      </c>
      <c r="X74" s="15">
        <f>IFERROR(IF(ISBLANK(Q74),IFERROR(VLOOKUP($E74,Sheet3!$H$2:$O$200,X$1,FALSE),IFERROR(VLOOKUP($F74,Sheet3!$H$2:$O$200,X$1,FALSE),VLOOKUP($G74,Sheet3!$H$2:$O$200,X$1,FALSE))),$I$1),$I$1)</f>
        <v>0</v>
      </c>
      <c r="Y74" s="15">
        <f>IFERROR(IF(ISBLANK(R74),IFERROR(VLOOKUP($E74,Sheet3!$H$2:$O$200,Y$1,FALSE),IFERROR(VLOOKUP($F74,Sheet3!$H$2:$O$200,Y$1,FALSE),VLOOKUP($G74,Sheet3!$H$2:$O$200,Y$1,FALSE))),$I$1),$I$1)</f>
        <v>0</v>
      </c>
      <c r="Z74" s="15">
        <f>IFERROR(IF(ISBLANK(S74),IFERROR(VLOOKUP($E74,Sheet3!$H$2:$O$200,Z$1,FALSE),IFERROR(VLOOKUP($F74,Sheet3!$H$2:$O$200,Z$1,FALSE),VLOOKUP($G74,Sheet3!$H$2:$O$200,Z$1,FALSE))),$I$1),$I$1)</f>
        <v>0</v>
      </c>
      <c r="AA74" s="15">
        <f>IFERROR(IF(ISBLANK(T74),IFERROR(VLOOKUP($E74,Sheet3!$H$2:$O$200,AA$1,FALSE),IFERROR(VLOOKUP($F74,Sheet3!$H$2:$O$200,AA$1,FALSE),VLOOKUP($G74,Sheet3!$H$2:$O$200,AA$1,FALSE))),$I$1),$I$1)</f>
        <v>0</v>
      </c>
      <c r="AB74" s="15">
        <f>IFERROR(IF(ISBLANK(U74),IFERROR(VLOOKUP($E74,Sheet3!$H$2:$O$200,AB$1,FALSE),IFERROR(VLOOKUP($F74,Sheet3!$H$2:$O$200,AB$1,FALSE),VLOOKUP($G74,Sheet3!$H$2:$O$200,AB$1,FALSE))),$I$1),$I$1)</f>
        <v>0</v>
      </c>
      <c r="AC74" s="15">
        <f>IFERROR(IF(ISBLANK(V74),IFERROR(VLOOKUP($E74,Sheet3!$H$2:$O$200,AC$1,FALSE),IFERROR(VLOOKUP($F74,Sheet3!$H$2:$O$200,AC$1,FALSE),VLOOKUP($G74,Sheet3!$H$2:$O$200,AC$1,FALSE))),$I$1),$I$1)</f>
        <v>0</v>
      </c>
      <c r="AD74" s="15">
        <f>IFERROR(IF(ISBLANK(W74),IFERROR(VLOOKUP($E74,Sheet3!$H$2:$O$200,AD$1,FALSE),IFERROR(VLOOKUP($F74,Sheet3!$H$2:$O$200,AD$1,FALSE),VLOOKUP($G74,Sheet3!$H$2:$O$200,AD$1,FALSE))),$I$1),$I$1)</f>
        <v>0</v>
      </c>
      <c r="AE74" s="15">
        <f>IFERROR(IF(ISBLANK(X74),IFERROR(VLOOKUP($F74,Sheet3!$H$2:$O$200,AE$1,FALSE),VLOOKUP($G74,Sheet3!$H$2:$O$200,AE$1,FALSE)),$I$1),$I$1)</f>
        <v>0</v>
      </c>
      <c r="AF74" s="15">
        <f>IFERROR(IF(ISBLANK(Y74),IFERROR(VLOOKUP($F74,Sheet3!$H$2:$O$200,AF$1,FALSE),VLOOKUP($G74,Sheet3!$H$2:$O$200,AF$1,FALSE)),$I$1),$I$1)</f>
        <v>0</v>
      </c>
      <c r="AG74" s="15">
        <f>IFERROR(IF(ISBLANK(Z74),IFERROR(VLOOKUP($F74,Sheet3!$H$2:$O$200,AG$1,FALSE),VLOOKUP($G74,Sheet3!$H$2:$O$200,AG$1,FALSE)),$I$1),$I$1)</f>
        <v>0</v>
      </c>
      <c r="AH74" s="15">
        <f>IFERROR(IF(ISBLANK(AA74),IFERROR(VLOOKUP($F74,Sheet3!$H$2:$O$200,AH$1,FALSE),VLOOKUP($G74,Sheet3!$H$2:$O$200,AH$1,FALSE)),$I$1),$I$1)</f>
        <v>0</v>
      </c>
      <c r="AI74" s="15">
        <f>IFERROR(IF(ISBLANK(AB74),IFERROR(VLOOKUP($F74,Sheet3!$H$2:$O$200,AI$1,FALSE),VLOOKUP($G74,Sheet3!$H$2:$O$200,AI$1,FALSE)),$I$1),$I$1)</f>
        <v>0</v>
      </c>
      <c r="AJ74" s="15">
        <f>IFERROR(IF(ISBLANK(AC74),IFERROR(VLOOKUP($F74,Sheet3!$H$2:$O$200,AJ$1,FALSE),VLOOKUP($G74,Sheet3!$H$2:$O$200,AJ$1,FALSE)),$I$1),$I$1)</f>
        <v>0</v>
      </c>
      <c r="AK74" s="15">
        <f>IFERROR(IF(ISBLANK(AD74),IFERROR(VLOOKUP($F74,Sheet3!$H$2:$O$200,AK$1,FALSE),VLOOKUP($G74,Sheet3!$H$2:$O$200,AK$1,FALSE)),$I$1),$I$1)</f>
        <v>0</v>
      </c>
      <c r="AL74" s="15">
        <f>IFERROR(IF(ISBLANK(AE74),VLOOKUP($G74,Sheet3!$H$2:$O$200,AL$1,FALSE),$I$1),$I$1)</f>
        <v>0</v>
      </c>
      <c r="AM74" s="15">
        <f>IFERROR(IF(ISBLANK(AF74),VLOOKUP($G74,Sheet3!$H$2:$O$200,AM$1,FALSE),$I$1),$I$1)</f>
        <v>0</v>
      </c>
      <c r="AN74" s="15">
        <f>IFERROR(IF(ISBLANK(AG74),VLOOKUP($G74,Sheet3!$H$2:$O$200,AN$1,FALSE),$I$1),$I$1)</f>
        <v>0</v>
      </c>
      <c r="AO74" s="15">
        <f>IFERROR(IF(ISBLANK(AH74),VLOOKUP($G74,Sheet3!$H$2:$O$200,AO$1,FALSE),$I$1),$I$1)</f>
        <v>0</v>
      </c>
      <c r="AP74" s="15">
        <f>IFERROR(IF(ISBLANK(AI74),VLOOKUP($G74,Sheet3!$H$2:$O$200,AP$1,FALSE),$I$1),$I$1)</f>
        <v>0</v>
      </c>
      <c r="AQ74" s="15">
        <f>IFERROR(IF(ISBLANK(AJ74),VLOOKUP($G74,Sheet3!$H$2:$O$200,AQ$1,FALSE),$I$1),$I$1)</f>
        <v>0</v>
      </c>
      <c r="AR74" s="15">
        <f>IFERROR(IF(ISBLANK(AK74),VLOOKUP($G74,Sheet3!$H$2:$O$200,AR$1,FALSE),$I$1),$I$1)</f>
        <v>0</v>
      </c>
      <c r="AS74" s="15">
        <f t="shared" ref="AS74:AY74" si="80">IFERROR(IF(ISBLANK(J74),IF(ISBLANK(Q74),IF(ISBLANK(X74),IF(ISBLANK(AE74),IF(ISBLANK(AL74),$BB$1,AL74),AE74),X74),Q74),J74),$BB$1)</f>
        <v>0</v>
      </c>
      <c r="AT74" s="15">
        <f t="shared" si="80"/>
        <v>0</v>
      </c>
      <c r="AU74" s="15">
        <f t="shared" si="80"/>
        <v>0</v>
      </c>
      <c r="AV74" s="15" t="str">
        <f t="shared" si="80"/>
        <v>triple sec</v>
      </c>
      <c r="AW74" s="15">
        <f t="shared" si="80"/>
        <v>0</v>
      </c>
      <c r="AX74" s="15">
        <f t="shared" si="80"/>
        <v>0</v>
      </c>
      <c r="AY74" s="15">
        <f t="shared" si="80"/>
        <v>0</v>
      </c>
      <c r="BA74" s="13">
        <f t="shared" si="1"/>
        <v>35</v>
      </c>
      <c r="BB74" s="15" t="b">
        <f t="shared" si="2"/>
        <v>0</v>
      </c>
    </row>
    <row r="75" spans="1:54" x14ac:dyDescent="0.2">
      <c r="A75" s="19" t="s">
        <v>177</v>
      </c>
      <c r="B75" s="19" t="s">
        <v>148</v>
      </c>
      <c r="C75" s="19" t="s">
        <v>100</v>
      </c>
      <c r="D75" s="19" t="s">
        <v>38</v>
      </c>
      <c r="E75" s="19" t="s">
        <v>104</v>
      </c>
      <c r="F75" s="19" t="s">
        <v>178</v>
      </c>
      <c r="G75" s="19"/>
      <c r="H75" s="19" t="s">
        <v>177</v>
      </c>
      <c r="I75" s="15">
        <v>4</v>
      </c>
      <c r="J75" s="15">
        <f>IFERROR(VLOOKUP($C75,Sheet3!$H$2:$O$200,J$1,FALSE),IFERROR(VLOOKUP($D75,Sheet3!$H$2:$O$200,J$1,FALSE),VLOOKUP($E75,Sheet3!$H$2:$O$200,J$1,FALSE)))</f>
        <v>0</v>
      </c>
      <c r="K75" s="15">
        <f>IFERROR(VLOOKUP($C75,Sheet3!$H$2:$O$200,K$1,FALSE),IFERROR(VLOOKUP($D75,Sheet3!$H$2:$O$200,K$1,FALSE),VLOOKUP($E75,Sheet3!$H$2:$O$200,K$1,FALSE)))</f>
        <v>0</v>
      </c>
      <c r="L75" s="15">
        <f>IFERROR(VLOOKUP($C75,Sheet3!$H$2:$O$200,L$1,FALSE),IFERROR(VLOOKUP($D75,Sheet3!$H$2:$O$200,L$1,FALSE),VLOOKUP($E75,Sheet3!$H$2:$O$200,L$1,FALSE)))</f>
        <v>0</v>
      </c>
      <c r="M75" s="15" t="str">
        <f>IFERROR(VLOOKUP($C75,Sheet3!$H$2:$O$200,M$1,FALSE),IFERROR(VLOOKUP($D75,Sheet3!$H$2:$O$200,M$1,FALSE),VLOOKUP($E75,Sheet3!$H$2:$O$200,M$1,FALSE)))</f>
        <v>triple sec</v>
      </c>
      <c r="N75" s="15">
        <f>IFERROR(VLOOKUP($C75,Sheet3!$H$2:$O$200,N$1,FALSE),IFERROR(VLOOKUP($D75,Sheet3!$H$2:$O$200,N$1,FALSE),VLOOKUP($E75,Sheet3!$H$2:$O$200,N$1,FALSE)))</f>
        <v>0</v>
      </c>
      <c r="O75" s="15">
        <f>IFERROR(VLOOKUP($C75,Sheet3!$H$2:$O$200,O$1,FALSE),IFERROR(VLOOKUP($D75,Sheet3!$H$2:$O$200,O$1,FALSE),VLOOKUP($E75,Sheet3!$H$2:$O$200,O$1,FALSE)))</f>
        <v>0</v>
      </c>
      <c r="P75" s="15">
        <f>IFERROR(VLOOKUP($C75,Sheet3!$H$2:$O$200,P$1,FALSE),IFERROR(VLOOKUP($D75,Sheet3!$H$2:$O$200,P$1,FALSE),VLOOKUP($E75,Sheet3!$H$2:$O$200,P$1,FALSE)))</f>
        <v>0</v>
      </c>
      <c r="Q75" s="15">
        <f>IFERROR(IF(ISBLANK(J75),IFERROR(VLOOKUP($D75,Sheet3!$H$2:$O$200,Q$1,FALSE),IFERROR(VLOOKUP($E75,Sheet3!$H$2:$O$200,Q$1,FALSE),VLOOKUP($F75,Sheet3!$H$2:$O$200,Q$1,FALSE))),$I$1),$I$1)</f>
        <v>0</v>
      </c>
      <c r="R75" s="15">
        <f>IFERROR(IF(ISBLANK(K75),IFERROR(VLOOKUP($D75,Sheet3!$H$2:$O$200,R$1,FALSE),IFERROR(VLOOKUP($E75,Sheet3!$H$2:$O$200,R$1,FALSE),VLOOKUP($F75,Sheet3!$H$2:$O$200,R$1,FALSE))),$I$1),$I$1)</f>
        <v>0</v>
      </c>
      <c r="S75" s="15">
        <f>IFERROR(IF(ISBLANK(L75),IFERROR(VLOOKUP($D75,Sheet3!$H$2:$O$200,S$1,FALSE),IFERROR(VLOOKUP($E75,Sheet3!$H$2:$O$200,S$1,FALSE),VLOOKUP($F75,Sheet3!$H$2:$O$200,S$1,FALSE))),$I$1),$I$1)</f>
        <v>0</v>
      </c>
      <c r="T75" s="15">
        <f>IFERROR(IF(ISBLANK(M75),IFERROR(VLOOKUP($D75,Sheet3!$H$2:$O$200,T$1,FALSE),IFERROR(VLOOKUP($E75,Sheet3!$H$2:$O$200,T$1,FALSE),VLOOKUP($F75,Sheet3!$H$2:$O$200,T$1,FALSE))),$I$1),$I$1)</f>
        <v>0</v>
      </c>
      <c r="U75" s="15">
        <f>IFERROR(IF(ISBLANK(N75),IFERROR(VLOOKUP($D75,Sheet3!$H$2:$O$200,U$1,FALSE),IFERROR(VLOOKUP($E75,Sheet3!$H$2:$O$200,U$1,FALSE),VLOOKUP($F75,Sheet3!$H$2:$O$200,U$1,FALSE))),$I$1),$I$1)</f>
        <v>0</v>
      </c>
      <c r="V75" s="15">
        <f>IFERROR(IF(ISBLANK(O75),IFERROR(VLOOKUP($D75,Sheet3!$H$2:$O$200,V$1,FALSE),IFERROR(VLOOKUP($E75,Sheet3!$H$2:$O$200,V$1,FALSE),VLOOKUP($F75,Sheet3!$H$2:$O$200,V$1,FALSE))),$I$1),$I$1)</f>
        <v>0</v>
      </c>
      <c r="W75" s="15">
        <f>IFERROR(IF(ISBLANK(P75),IFERROR(VLOOKUP($D75,Sheet3!$H$2:$O$200,W$1,FALSE),IFERROR(VLOOKUP($E75,Sheet3!$H$2:$O$200,W$1,FALSE),VLOOKUP($F75,Sheet3!$H$2:$O$200,W$1,FALSE))),$I$1),$I$1)</f>
        <v>0</v>
      </c>
      <c r="X75" s="15">
        <f>IFERROR(IF(ISBLANK(Q75),IFERROR(VLOOKUP($E75,Sheet3!$H$2:$O$200,X$1,FALSE),IFERROR(VLOOKUP($F75,Sheet3!$H$2:$O$200,X$1,FALSE),VLOOKUP($G75,Sheet3!$H$2:$O$200,X$1,FALSE))),$I$1),$I$1)</f>
        <v>0</v>
      </c>
      <c r="Y75" s="15">
        <f>IFERROR(IF(ISBLANK(R75),IFERROR(VLOOKUP($E75,Sheet3!$H$2:$O$200,Y$1,FALSE),IFERROR(VLOOKUP($F75,Sheet3!$H$2:$O$200,Y$1,FALSE),VLOOKUP($G75,Sheet3!$H$2:$O$200,Y$1,FALSE))),$I$1),$I$1)</f>
        <v>0</v>
      </c>
      <c r="Z75" s="15">
        <f>IFERROR(IF(ISBLANK(S75),IFERROR(VLOOKUP($E75,Sheet3!$H$2:$O$200,Z$1,FALSE),IFERROR(VLOOKUP($F75,Sheet3!$H$2:$O$200,Z$1,FALSE),VLOOKUP($G75,Sheet3!$H$2:$O$200,Z$1,FALSE))),$I$1),$I$1)</f>
        <v>0</v>
      </c>
      <c r="AA75" s="15">
        <f>IFERROR(IF(ISBLANK(T75),IFERROR(VLOOKUP($E75,Sheet3!$H$2:$O$200,AA$1,FALSE),IFERROR(VLOOKUP($F75,Sheet3!$H$2:$O$200,AA$1,FALSE),VLOOKUP($G75,Sheet3!$H$2:$O$200,AA$1,FALSE))),$I$1),$I$1)</f>
        <v>0</v>
      </c>
      <c r="AB75" s="15">
        <f>IFERROR(IF(ISBLANK(U75),IFERROR(VLOOKUP($E75,Sheet3!$H$2:$O$200,AB$1,FALSE),IFERROR(VLOOKUP($F75,Sheet3!$H$2:$O$200,AB$1,FALSE),VLOOKUP($G75,Sheet3!$H$2:$O$200,AB$1,FALSE))),$I$1),$I$1)</f>
        <v>0</v>
      </c>
      <c r="AC75" s="15">
        <f>IFERROR(IF(ISBLANK(V75),IFERROR(VLOOKUP($E75,Sheet3!$H$2:$O$200,AC$1,FALSE),IFERROR(VLOOKUP($F75,Sheet3!$H$2:$O$200,AC$1,FALSE),VLOOKUP($G75,Sheet3!$H$2:$O$200,AC$1,FALSE))),$I$1),$I$1)</f>
        <v>0</v>
      </c>
      <c r="AD75" s="15">
        <f>IFERROR(IF(ISBLANK(W75),IFERROR(VLOOKUP($E75,Sheet3!$H$2:$O$200,AD$1,FALSE),IFERROR(VLOOKUP($F75,Sheet3!$H$2:$O$200,AD$1,FALSE),VLOOKUP($G75,Sheet3!$H$2:$O$200,AD$1,FALSE))),$I$1),$I$1)</f>
        <v>0</v>
      </c>
      <c r="AE75" s="15">
        <f>IFERROR(IF(ISBLANK(X75),IFERROR(VLOOKUP($F75,Sheet3!$H$2:$O$200,AE$1,FALSE),VLOOKUP($G75,Sheet3!$H$2:$O$200,AE$1,FALSE)),$I$1),$I$1)</f>
        <v>0</v>
      </c>
      <c r="AF75" s="15">
        <f>IFERROR(IF(ISBLANK(Y75),IFERROR(VLOOKUP($F75,Sheet3!$H$2:$O$200,AF$1,FALSE),VLOOKUP($G75,Sheet3!$H$2:$O$200,AF$1,FALSE)),$I$1),$I$1)</f>
        <v>0</v>
      </c>
      <c r="AG75" s="15">
        <f>IFERROR(IF(ISBLANK(Z75),IFERROR(VLOOKUP($F75,Sheet3!$H$2:$O$200,AG$1,FALSE),VLOOKUP($G75,Sheet3!$H$2:$O$200,AG$1,FALSE)),$I$1),$I$1)</f>
        <v>0</v>
      </c>
      <c r="AH75" s="15">
        <f>IFERROR(IF(ISBLANK(AA75),IFERROR(VLOOKUP($F75,Sheet3!$H$2:$O$200,AH$1,FALSE),VLOOKUP($G75,Sheet3!$H$2:$O$200,AH$1,FALSE)),$I$1),$I$1)</f>
        <v>0</v>
      </c>
      <c r="AI75" s="15">
        <f>IFERROR(IF(ISBLANK(AB75),IFERROR(VLOOKUP($F75,Sheet3!$H$2:$O$200,AI$1,FALSE),VLOOKUP($G75,Sheet3!$H$2:$O$200,AI$1,FALSE)),$I$1),$I$1)</f>
        <v>0</v>
      </c>
      <c r="AJ75" s="15">
        <f>IFERROR(IF(ISBLANK(AC75),IFERROR(VLOOKUP($F75,Sheet3!$H$2:$O$200,AJ$1,FALSE),VLOOKUP($G75,Sheet3!$H$2:$O$200,AJ$1,FALSE)),$I$1),$I$1)</f>
        <v>0</v>
      </c>
      <c r="AK75" s="15">
        <f>IFERROR(IF(ISBLANK(AD75),IFERROR(VLOOKUP($F75,Sheet3!$H$2:$O$200,AK$1,FALSE),VLOOKUP($G75,Sheet3!$H$2:$O$200,AK$1,FALSE)),$I$1),$I$1)</f>
        <v>0</v>
      </c>
      <c r="AL75" s="15">
        <f>IFERROR(IF(ISBLANK(AE75),VLOOKUP($G75,Sheet3!$H$2:$O$200,AL$1,FALSE),$I$1),$I$1)</f>
        <v>0</v>
      </c>
      <c r="AM75" s="15">
        <f>IFERROR(IF(ISBLANK(AF75),VLOOKUP($G75,Sheet3!$H$2:$O$200,AM$1,FALSE),$I$1),$I$1)</f>
        <v>0</v>
      </c>
      <c r="AN75" s="15">
        <f>IFERROR(IF(ISBLANK(AG75),VLOOKUP($G75,Sheet3!$H$2:$O$200,AN$1,FALSE),$I$1),$I$1)</f>
        <v>0</v>
      </c>
      <c r="AO75" s="15">
        <f>IFERROR(IF(ISBLANK(AH75),VLOOKUP($G75,Sheet3!$H$2:$O$200,AO$1,FALSE),$I$1),$I$1)</f>
        <v>0</v>
      </c>
      <c r="AP75" s="15">
        <f>IFERROR(IF(ISBLANK(AI75),VLOOKUP($G75,Sheet3!$H$2:$O$200,AP$1,FALSE),$I$1),$I$1)</f>
        <v>0</v>
      </c>
      <c r="AQ75" s="15">
        <f>IFERROR(IF(ISBLANK(AJ75),VLOOKUP($G75,Sheet3!$H$2:$O$200,AQ$1,FALSE),$I$1),$I$1)</f>
        <v>0</v>
      </c>
      <c r="AR75" s="15">
        <f>IFERROR(IF(ISBLANK(AK75),VLOOKUP($G75,Sheet3!$H$2:$O$200,AR$1,FALSE),$I$1),$I$1)</f>
        <v>0</v>
      </c>
      <c r="AS75" s="15">
        <f t="shared" ref="AS75:AX75" si="81">IFERROR(IF(ISBLANK(J75),IF(ISBLANK(Q75),IF(ISBLANK(X75),IF(ISBLANK(AE75),IF(ISBLANK(AL75),$BB$1,AL75),AE75),X75),Q75),J75),$BB$1)</f>
        <v>0</v>
      </c>
      <c r="AT75" s="15">
        <f t="shared" si="81"/>
        <v>0</v>
      </c>
      <c r="AU75" s="15">
        <f t="shared" si="81"/>
        <v>0</v>
      </c>
      <c r="AV75" s="15" t="str">
        <f t="shared" si="81"/>
        <v>triple sec</v>
      </c>
      <c r="AW75" s="15">
        <f t="shared" si="81"/>
        <v>0</v>
      </c>
      <c r="AX75" s="15">
        <f t="shared" si="81"/>
        <v>0</v>
      </c>
      <c r="AY75" s="11" t="s">
        <v>393</v>
      </c>
      <c r="AZ75" s="11" t="s">
        <v>178</v>
      </c>
      <c r="BA75" s="13">
        <f t="shared" si="1"/>
        <v>35</v>
      </c>
      <c r="BB75" s="15" t="b">
        <f t="shared" si="2"/>
        <v>0</v>
      </c>
    </row>
    <row r="76" spans="1:54" x14ac:dyDescent="0.2">
      <c r="A76" s="19" t="s">
        <v>179</v>
      </c>
      <c r="B76" s="19" t="s">
        <v>148</v>
      </c>
      <c r="C76" s="19" t="s">
        <v>100</v>
      </c>
      <c r="D76" s="19" t="s">
        <v>38</v>
      </c>
      <c r="E76" s="19" t="s">
        <v>66</v>
      </c>
      <c r="F76" s="19" t="s">
        <v>126</v>
      </c>
      <c r="G76" s="19"/>
      <c r="H76" s="19" t="s">
        <v>179</v>
      </c>
      <c r="I76" s="15">
        <v>4</v>
      </c>
      <c r="J76" s="15">
        <f>IFERROR(VLOOKUP($C76,Sheet3!$H$2:$O$200,J$1,FALSE),IFERROR(VLOOKUP($D76,Sheet3!$H$2:$O$200,J$1,FALSE),VLOOKUP($E76,Sheet3!$H$2:$O$200,J$1,FALSE)))</f>
        <v>0</v>
      </c>
      <c r="K76" s="15">
        <f>IFERROR(VLOOKUP($C76,Sheet3!$H$2:$O$200,K$1,FALSE),IFERROR(VLOOKUP($D76,Sheet3!$H$2:$O$200,K$1,FALSE),VLOOKUP($E76,Sheet3!$H$2:$O$200,K$1,FALSE)))</f>
        <v>0</v>
      </c>
      <c r="L76" s="15">
        <f>IFERROR(VLOOKUP($C76,Sheet3!$H$2:$O$200,L$1,FALSE),IFERROR(VLOOKUP($D76,Sheet3!$H$2:$O$200,L$1,FALSE),VLOOKUP($E76,Sheet3!$H$2:$O$200,L$1,FALSE)))</f>
        <v>0</v>
      </c>
      <c r="M76" s="15" t="str">
        <f>IFERROR(VLOOKUP($C76,Sheet3!$H$2:$O$200,M$1,FALSE),IFERROR(VLOOKUP($D76,Sheet3!$H$2:$O$200,M$1,FALSE),VLOOKUP($E76,Sheet3!$H$2:$O$200,M$1,FALSE)))</f>
        <v>triple sec</v>
      </c>
      <c r="N76" s="15">
        <f>IFERROR(VLOOKUP($C76,Sheet3!$H$2:$O$200,N$1,FALSE),IFERROR(VLOOKUP($D76,Sheet3!$H$2:$O$200,N$1,FALSE),VLOOKUP($E76,Sheet3!$H$2:$O$200,N$1,FALSE)))</f>
        <v>0</v>
      </c>
      <c r="O76" s="15">
        <f>IFERROR(VLOOKUP($C76,Sheet3!$H$2:$O$200,O$1,FALSE),IFERROR(VLOOKUP($D76,Sheet3!$H$2:$O$200,O$1,FALSE),VLOOKUP($E76,Sheet3!$H$2:$O$200,O$1,FALSE)))</f>
        <v>0</v>
      </c>
      <c r="P76" s="15">
        <f>IFERROR(VLOOKUP($C76,Sheet3!$H$2:$O$200,P$1,FALSE),IFERROR(VLOOKUP($D76,Sheet3!$H$2:$O$200,P$1,FALSE),VLOOKUP($E76,Sheet3!$H$2:$O$200,P$1,FALSE)))</f>
        <v>0</v>
      </c>
      <c r="Q76" s="15">
        <f>IFERROR(IF(ISBLANK(J76),IFERROR(VLOOKUP($D76,Sheet3!$H$2:$O$200,Q$1,FALSE),IFERROR(VLOOKUP($E76,Sheet3!$H$2:$O$200,Q$1,FALSE),VLOOKUP($F76,Sheet3!$H$2:$O$200,Q$1,FALSE))),$I$1),$I$1)</f>
        <v>0</v>
      </c>
      <c r="R76" s="15">
        <f>IFERROR(IF(ISBLANK(K76),IFERROR(VLOOKUP($D76,Sheet3!$H$2:$O$200,R$1,FALSE),IFERROR(VLOOKUP($E76,Sheet3!$H$2:$O$200,R$1,FALSE),VLOOKUP($F76,Sheet3!$H$2:$O$200,R$1,FALSE))),$I$1),$I$1)</f>
        <v>0</v>
      </c>
      <c r="S76" s="15">
        <f>IFERROR(IF(ISBLANK(L76),IFERROR(VLOOKUP($D76,Sheet3!$H$2:$O$200,S$1,FALSE),IFERROR(VLOOKUP($E76,Sheet3!$H$2:$O$200,S$1,FALSE),VLOOKUP($F76,Sheet3!$H$2:$O$200,S$1,FALSE))),$I$1),$I$1)</f>
        <v>0</v>
      </c>
      <c r="T76" s="15">
        <f>IFERROR(IF(ISBLANK(M76),IFERROR(VLOOKUP($D76,Sheet3!$H$2:$O$200,T$1,FALSE),IFERROR(VLOOKUP($E76,Sheet3!$H$2:$O$200,T$1,FALSE),VLOOKUP($F76,Sheet3!$H$2:$O$200,T$1,FALSE))),$I$1),$I$1)</f>
        <v>0</v>
      </c>
      <c r="U76" s="15">
        <f>IFERROR(IF(ISBLANK(N76),IFERROR(VLOOKUP($D76,Sheet3!$H$2:$O$200,U$1,FALSE),IFERROR(VLOOKUP($E76,Sheet3!$H$2:$O$200,U$1,FALSE),VLOOKUP($F76,Sheet3!$H$2:$O$200,U$1,FALSE))),$I$1),$I$1)</f>
        <v>0</v>
      </c>
      <c r="V76" s="15">
        <f>IFERROR(IF(ISBLANK(O76),IFERROR(VLOOKUP($D76,Sheet3!$H$2:$O$200,V$1,FALSE),IFERROR(VLOOKUP($E76,Sheet3!$H$2:$O$200,V$1,FALSE),VLOOKUP($F76,Sheet3!$H$2:$O$200,V$1,FALSE))),$I$1),$I$1)</f>
        <v>0</v>
      </c>
      <c r="W76" s="15">
        <f>IFERROR(IF(ISBLANK(P76),IFERROR(VLOOKUP($D76,Sheet3!$H$2:$O$200,W$1,FALSE),IFERROR(VLOOKUP($E76,Sheet3!$H$2:$O$200,W$1,FALSE),VLOOKUP($F76,Sheet3!$H$2:$O$200,W$1,FALSE))),$I$1),$I$1)</f>
        <v>0</v>
      </c>
      <c r="X76" s="15">
        <f>IFERROR(IF(ISBLANK(Q76),IFERROR(VLOOKUP($E76,Sheet3!$H$2:$O$200,X$1,FALSE),IFERROR(VLOOKUP($F76,Sheet3!$H$2:$O$200,X$1,FALSE),VLOOKUP($G76,Sheet3!$H$2:$O$200,X$1,FALSE))),$I$1),$I$1)</f>
        <v>0</v>
      </c>
      <c r="Y76" s="15">
        <f>IFERROR(IF(ISBLANK(R76),IFERROR(VLOOKUP($E76,Sheet3!$H$2:$O$200,Y$1,FALSE),IFERROR(VLOOKUP($F76,Sheet3!$H$2:$O$200,Y$1,FALSE),VLOOKUP($G76,Sheet3!$H$2:$O$200,Y$1,FALSE))),$I$1),$I$1)</f>
        <v>0</v>
      </c>
      <c r="Z76" s="15">
        <f>IFERROR(IF(ISBLANK(S76),IFERROR(VLOOKUP($E76,Sheet3!$H$2:$O$200,Z$1,FALSE),IFERROR(VLOOKUP($F76,Sheet3!$H$2:$O$200,Z$1,FALSE),VLOOKUP($G76,Sheet3!$H$2:$O$200,Z$1,FALSE))),$I$1),$I$1)</f>
        <v>0</v>
      </c>
      <c r="AA76" s="15">
        <f>IFERROR(IF(ISBLANK(T76),IFERROR(VLOOKUP($E76,Sheet3!$H$2:$O$200,AA$1,FALSE),IFERROR(VLOOKUP($F76,Sheet3!$H$2:$O$200,AA$1,FALSE),VLOOKUP($G76,Sheet3!$H$2:$O$200,AA$1,FALSE))),$I$1),$I$1)</f>
        <v>0</v>
      </c>
      <c r="AB76" s="15">
        <f>IFERROR(IF(ISBLANK(U76),IFERROR(VLOOKUP($E76,Sheet3!$H$2:$O$200,AB$1,FALSE),IFERROR(VLOOKUP($F76,Sheet3!$H$2:$O$200,AB$1,FALSE),VLOOKUP($G76,Sheet3!$H$2:$O$200,AB$1,FALSE))),$I$1),$I$1)</f>
        <v>0</v>
      </c>
      <c r="AC76" s="15">
        <f>IFERROR(IF(ISBLANK(V76),IFERROR(VLOOKUP($E76,Sheet3!$H$2:$O$200,AC$1,FALSE),IFERROR(VLOOKUP($F76,Sheet3!$H$2:$O$200,AC$1,FALSE),VLOOKUP($G76,Sheet3!$H$2:$O$200,AC$1,FALSE))),$I$1),$I$1)</f>
        <v>0</v>
      </c>
      <c r="AD76" s="15">
        <f>IFERROR(IF(ISBLANK(W76),IFERROR(VLOOKUP($E76,Sheet3!$H$2:$O$200,AD$1,FALSE),IFERROR(VLOOKUP($F76,Sheet3!$H$2:$O$200,AD$1,FALSE),VLOOKUP($G76,Sheet3!$H$2:$O$200,AD$1,FALSE))),$I$1),$I$1)</f>
        <v>0</v>
      </c>
      <c r="AE76" s="15">
        <f>IFERROR(IF(ISBLANK(X76),IFERROR(VLOOKUP($F76,Sheet3!$H$2:$O$200,AE$1,FALSE),VLOOKUP($G76,Sheet3!$H$2:$O$200,AE$1,FALSE)),$I$1),$I$1)</f>
        <v>0</v>
      </c>
      <c r="AF76" s="15">
        <f>IFERROR(IF(ISBLANK(Y76),IFERROR(VLOOKUP($F76,Sheet3!$H$2:$O$200,AF$1,FALSE),VLOOKUP($G76,Sheet3!$H$2:$O$200,AF$1,FALSE)),$I$1),$I$1)</f>
        <v>0</v>
      </c>
      <c r="AG76" s="15">
        <f>IFERROR(IF(ISBLANK(Z76),IFERROR(VLOOKUP($F76,Sheet3!$H$2:$O$200,AG$1,FALSE),VLOOKUP($G76,Sheet3!$H$2:$O$200,AG$1,FALSE)),$I$1),$I$1)</f>
        <v>0</v>
      </c>
      <c r="AH76" s="15">
        <f>IFERROR(IF(ISBLANK(AA76),IFERROR(VLOOKUP($F76,Sheet3!$H$2:$O$200,AH$1,FALSE),VLOOKUP($G76,Sheet3!$H$2:$O$200,AH$1,FALSE)),$I$1),$I$1)</f>
        <v>0</v>
      </c>
      <c r="AI76" s="15">
        <f>IFERROR(IF(ISBLANK(AB76),IFERROR(VLOOKUP($F76,Sheet3!$H$2:$O$200,AI$1,FALSE),VLOOKUP($G76,Sheet3!$H$2:$O$200,AI$1,FALSE)),$I$1),$I$1)</f>
        <v>0</v>
      </c>
      <c r="AJ76" s="15">
        <f>IFERROR(IF(ISBLANK(AC76),IFERROR(VLOOKUP($F76,Sheet3!$H$2:$O$200,AJ$1,FALSE),VLOOKUP($G76,Sheet3!$H$2:$O$200,AJ$1,FALSE)),$I$1),$I$1)</f>
        <v>0</v>
      </c>
      <c r="AK76" s="15">
        <f>IFERROR(IF(ISBLANK(AD76),IFERROR(VLOOKUP($F76,Sheet3!$H$2:$O$200,AK$1,FALSE),VLOOKUP($G76,Sheet3!$H$2:$O$200,AK$1,FALSE)),$I$1),$I$1)</f>
        <v>0</v>
      </c>
      <c r="AL76" s="15">
        <f>IFERROR(IF(ISBLANK(AE76),VLOOKUP($G76,Sheet3!$H$2:$O$200,AL$1,FALSE),$I$1),$I$1)</f>
        <v>0</v>
      </c>
      <c r="AM76" s="15">
        <f>IFERROR(IF(ISBLANK(AF76),VLOOKUP($G76,Sheet3!$H$2:$O$200,AM$1,FALSE),$I$1),$I$1)</f>
        <v>0</v>
      </c>
      <c r="AN76" s="15">
        <f>IFERROR(IF(ISBLANK(AG76),VLOOKUP($G76,Sheet3!$H$2:$O$200,AN$1,FALSE),$I$1),$I$1)</f>
        <v>0</v>
      </c>
      <c r="AO76" s="15">
        <f>IFERROR(IF(ISBLANK(AH76),VLOOKUP($G76,Sheet3!$H$2:$O$200,AO$1,FALSE),$I$1),$I$1)</f>
        <v>0</v>
      </c>
      <c r="AP76" s="15">
        <f>IFERROR(IF(ISBLANK(AI76),VLOOKUP($G76,Sheet3!$H$2:$O$200,AP$1,FALSE),$I$1),$I$1)</f>
        <v>0</v>
      </c>
      <c r="AQ76" s="15">
        <f>IFERROR(IF(ISBLANK(AJ76),VLOOKUP($G76,Sheet3!$H$2:$O$200,AQ$1,FALSE),$I$1),$I$1)</f>
        <v>0</v>
      </c>
      <c r="AR76" s="15">
        <f>IFERROR(IF(ISBLANK(AK76),VLOOKUP($G76,Sheet3!$H$2:$O$200,AR$1,FALSE),$I$1),$I$1)</f>
        <v>0</v>
      </c>
      <c r="AS76" s="15">
        <f t="shared" ref="AS76:AY76" si="82">IFERROR(IF(ISBLANK(J76),IF(ISBLANK(Q76),IF(ISBLANK(X76),IF(ISBLANK(AE76),IF(ISBLANK(AL76),$BB$1,AL76),AE76),X76),Q76),J76),$BB$1)</f>
        <v>0</v>
      </c>
      <c r="AT76" s="15">
        <f t="shared" si="82"/>
        <v>0</v>
      </c>
      <c r="AU76" s="15">
        <f t="shared" si="82"/>
        <v>0</v>
      </c>
      <c r="AV76" s="15" t="str">
        <f t="shared" si="82"/>
        <v>triple sec</v>
      </c>
      <c r="AW76" s="15">
        <f t="shared" si="82"/>
        <v>0</v>
      </c>
      <c r="AX76" s="15">
        <f t="shared" si="82"/>
        <v>0</v>
      </c>
      <c r="AY76" s="15">
        <f t="shared" si="82"/>
        <v>0</v>
      </c>
      <c r="BA76" s="13">
        <f t="shared" si="1"/>
        <v>35</v>
      </c>
      <c r="BB76" s="15" t="b">
        <f t="shared" si="2"/>
        <v>0</v>
      </c>
    </row>
    <row r="77" spans="1:54" x14ac:dyDescent="0.2">
      <c r="A77" s="19" t="s">
        <v>180</v>
      </c>
      <c r="B77" s="19" t="s">
        <v>148</v>
      </c>
      <c r="C77" s="19" t="s">
        <v>86</v>
      </c>
      <c r="D77" s="19" t="s">
        <v>38</v>
      </c>
      <c r="E77" s="19" t="s">
        <v>62</v>
      </c>
      <c r="F77" s="19"/>
      <c r="G77" s="19"/>
      <c r="H77" s="19" t="s">
        <v>180</v>
      </c>
      <c r="I77" s="15">
        <v>3</v>
      </c>
      <c r="J77" s="15">
        <f>IFERROR(VLOOKUP($C77,Sheet3!$H$2:$O$200,J$1,FALSE),IFERROR(VLOOKUP($D77,Sheet3!$H$2:$O$200,J$1,FALSE),VLOOKUP($E77,Sheet3!$H$2:$O$200,J$1,FALSE)))</f>
        <v>0</v>
      </c>
      <c r="K77" s="15" t="str">
        <f>IFERROR(VLOOKUP($C77,Sheet3!$H$2:$O$200,K$1,FALSE),IFERROR(VLOOKUP($D77,Sheet3!$H$2:$O$200,K$1,FALSE),VLOOKUP($E77,Sheet3!$H$2:$O$200,K$1,FALSE)))</f>
        <v>simple syrup</v>
      </c>
      <c r="L77" s="15">
        <f>IFERROR(VLOOKUP($C77,Sheet3!$H$2:$O$200,L$1,FALSE),IFERROR(VLOOKUP($D77,Sheet3!$H$2:$O$200,L$1,FALSE),VLOOKUP($E77,Sheet3!$H$2:$O$200,L$1,FALSE)))</f>
        <v>0</v>
      </c>
      <c r="M77" s="15">
        <f>IFERROR(VLOOKUP($C77,Sheet3!$H$2:$O$200,M$1,FALSE),IFERROR(VLOOKUP($D77,Sheet3!$H$2:$O$200,M$1,FALSE),VLOOKUP($E77,Sheet3!$H$2:$O$200,M$1,FALSE)))</f>
        <v>0</v>
      </c>
      <c r="N77" s="15">
        <f>IFERROR(VLOOKUP($C77,Sheet3!$H$2:$O$200,N$1,FALSE),IFERROR(VLOOKUP($D77,Sheet3!$H$2:$O$200,N$1,FALSE),VLOOKUP($E77,Sheet3!$H$2:$O$200,N$1,FALSE)))</f>
        <v>0</v>
      </c>
      <c r="O77" s="15">
        <f>IFERROR(VLOOKUP($C77,Sheet3!$H$2:$O$200,O$1,FALSE),IFERROR(VLOOKUP($D77,Sheet3!$H$2:$O$200,O$1,FALSE),VLOOKUP($E77,Sheet3!$H$2:$O$200,O$1,FALSE)))</f>
        <v>0</v>
      </c>
      <c r="P77" s="15">
        <f>IFERROR(VLOOKUP($C77,Sheet3!$H$2:$O$200,P$1,FALSE),IFERROR(VLOOKUP($D77,Sheet3!$H$2:$O$200,P$1,FALSE),VLOOKUP($E77,Sheet3!$H$2:$O$200,P$1,FALSE)))</f>
        <v>0</v>
      </c>
      <c r="Q77" s="15">
        <f>IFERROR(IF(ISBLANK(J77),IFERROR(VLOOKUP($D77,Sheet3!$H$2:$O$200,Q$1,FALSE),IFERROR(VLOOKUP($E77,Sheet3!$H$2:$O$200,Q$1,FALSE),VLOOKUP($F77,Sheet3!$H$2:$O$200,Q$1,FALSE))),$I$1),$I$1)</f>
        <v>0</v>
      </c>
      <c r="R77" s="15">
        <f>IFERROR(IF(ISBLANK(K77),IFERROR(VLOOKUP($D77,Sheet3!$H$2:$O$200,R$1,FALSE),IFERROR(VLOOKUP($E77,Sheet3!$H$2:$O$200,R$1,FALSE),VLOOKUP($F77,Sheet3!$H$2:$O$200,R$1,FALSE))),$I$1),$I$1)</f>
        <v>0</v>
      </c>
      <c r="S77" s="15">
        <f>IFERROR(IF(ISBLANK(L77),IFERROR(VLOOKUP($D77,Sheet3!$H$2:$O$200,S$1,FALSE),IFERROR(VLOOKUP($E77,Sheet3!$H$2:$O$200,S$1,FALSE),VLOOKUP($F77,Sheet3!$H$2:$O$200,S$1,FALSE))),$I$1),$I$1)</f>
        <v>0</v>
      </c>
      <c r="T77" s="15">
        <f>IFERROR(IF(ISBLANK(M77),IFERROR(VLOOKUP($D77,Sheet3!$H$2:$O$200,T$1,FALSE),IFERROR(VLOOKUP($E77,Sheet3!$H$2:$O$200,T$1,FALSE),VLOOKUP($F77,Sheet3!$H$2:$O$200,T$1,FALSE))),$I$1),$I$1)</f>
        <v>0</v>
      </c>
      <c r="U77" s="15">
        <f>IFERROR(IF(ISBLANK(N77),IFERROR(VLOOKUP($D77,Sheet3!$H$2:$O$200,U$1,FALSE),IFERROR(VLOOKUP($E77,Sheet3!$H$2:$O$200,U$1,FALSE),VLOOKUP($F77,Sheet3!$H$2:$O$200,U$1,FALSE))),$I$1),$I$1)</f>
        <v>0</v>
      </c>
      <c r="V77" s="15">
        <f>IFERROR(IF(ISBLANK(O77),IFERROR(VLOOKUP($D77,Sheet3!$H$2:$O$200,V$1,FALSE),IFERROR(VLOOKUP($E77,Sheet3!$H$2:$O$200,V$1,FALSE),VLOOKUP($F77,Sheet3!$H$2:$O$200,V$1,FALSE))),$I$1),$I$1)</f>
        <v>0</v>
      </c>
      <c r="W77" s="15">
        <f>IFERROR(IF(ISBLANK(P77),IFERROR(VLOOKUP($D77,Sheet3!$H$2:$O$200,W$1,FALSE),IFERROR(VLOOKUP($E77,Sheet3!$H$2:$O$200,W$1,FALSE),VLOOKUP($F77,Sheet3!$H$2:$O$200,W$1,FALSE))),$I$1),$I$1)</f>
        <v>0</v>
      </c>
      <c r="X77" s="15">
        <f>IFERROR(IF(ISBLANK(Q77),IFERROR(VLOOKUP($E77,Sheet3!$H$2:$O$200,X$1,FALSE),IFERROR(VLOOKUP($F77,Sheet3!$H$2:$O$200,X$1,FALSE),VLOOKUP($G77,Sheet3!$H$2:$O$200,X$1,FALSE))),$I$1),$I$1)</f>
        <v>0</v>
      </c>
      <c r="Y77" s="15">
        <f>IFERROR(IF(ISBLANK(R77),IFERROR(VLOOKUP($E77,Sheet3!$H$2:$O$200,Y$1,FALSE),IFERROR(VLOOKUP($F77,Sheet3!$H$2:$O$200,Y$1,FALSE),VLOOKUP($G77,Sheet3!$H$2:$O$200,Y$1,FALSE))),$I$1),$I$1)</f>
        <v>0</v>
      </c>
      <c r="Z77" s="15">
        <f>IFERROR(IF(ISBLANK(S77),IFERROR(VLOOKUP($E77,Sheet3!$H$2:$O$200,Z$1,FALSE),IFERROR(VLOOKUP($F77,Sheet3!$H$2:$O$200,Z$1,FALSE),VLOOKUP($G77,Sheet3!$H$2:$O$200,Z$1,FALSE))),$I$1),$I$1)</f>
        <v>0</v>
      </c>
      <c r="AA77" s="15">
        <f>IFERROR(IF(ISBLANK(T77),IFERROR(VLOOKUP($E77,Sheet3!$H$2:$O$200,AA$1,FALSE),IFERROR(VLOOKUP($F77,Sheet3!$H$2:$O$200,AA$1,FALSE),VLOOKUP($G77,Sheet3!$H$2:$O$200,AA$1,FALSE))),$I$1),$I$1)</f>
        <v>0</v>
      </c>
      <c r="AB77" s="15">
        <f>IFERROR(IF(ISBLANK(U77),IFERROR(VLOOKUP($E77,Sheet3!$H$2:$O$200,AB$1,FALSE),IFERROR(VLOOKUP($F77,Sheet3!$H$2:$O$200,AB$1,FALSE),VLOOKUP($G77,Sheet3!$H$2:$O$200,AB$1,FALSE))),$I$1),$I$1)</f>
        <v>0</v>
      </c>
      <c r="AC77" s="15">
        <f>IFERROR(IF(ISBLANK(V77),IFERROR(VLOOKUP($E77,Sheet3!$H$2:$O$200,AC$1,FALSE),IFERROR(VLOOKUP($F77,Sheet3!$H$2:$O$200,AC$1,FALSE),VLOOKUP($G77,Sheet3!$H$2:$O$200,AC$1,FALSE))),$I$1),$I$1)</f>
        <v>0</v>
      </c>
      <c r="AD77" s="15">
        <f>IFERROR(IF(ISBLANK(W77),IFERROR(VLOOKUP($E77,Sheet3!$H$2:$O$200,AD$1,FALSE),IFERROR(VLOOKUP($F77,Sheet3!$H$2:$O$200,AD$1,FALSE),VLOOKUP($G77,Sheet3!$H$2:$O$200,AD$1,FALSE))),$I$1),$I$1)</f>
        <v>0</v>
      </c>
      <c r="AE77" s="15">
        <f>IFERROR(IF(ISBLANK(X77),IFERROR(VLOOKUP($F77,Sheet3!$H$2:$O$200,AE$1,FALSE),VLOOKUP($G77,Sheet3!$H$2:$O$200,AE$1,FALSE)),$I$1),$I$1)</f>
        <v>0</v>
      </c>
      <c r="AF77" s="15">
        <f>IFERROR(IF(ISBLANK(Y77),IFERROR(VLOOKUP($F77,Sheet3!$H$2:$O$200,AF$1,FALSE),VLOOKUP($G77,Sheet3!$H$2:$O$200,AF$1,FALSE)),$I$1),$I$1)</f>
        <v>0</v>
      </c>
      <c r="AG77" s="15">
        <f>IFERROR(IF(ISBLANK(Z77),IFERROR(VLOOKUP($F77,Sheet3!$H$2:$O$200,AG$1,FALSE),VLOOKUP($G77,Sheet3!$H$2:$O$200,AG$1,FALSE)),$I$1),$I$1)</f>
        <v>0</v>
      </c>
      <c r="AH77" s="15">
        <f>IFERROR(IF(ISBLANK(AA77),IFERROR(VLOOKUP($F77,Sheet3!$H$2:$O$200,AH$1,FALSE),VLOOKUP($G77,Sheet3!$H$2:$O$200,AH$1,FALSE)),$I$1),$I$1)</f>
        <v>0</v>
      </c>
      <c r="AI77" s="15">
        <f>IFERROR(IF(ISBLANK(AB77),IFERROR(VLOOKUP($F77,Sheet3!$H$2:$O$200,AI$1,FALSE),VLOOKUP($G77,Sheet3!$H$2:$O$200,AI$1,FALSE)),$I$1),$I$1)</f>
        <v>0</v>
      </c>
      <c r="AJ77" s="15">
        <f>IFERROR(IF(ISBLANK(AC77),IFERROR(VLOOKUP($F77,Sheet3!$H$2:$O$200,AJ$1,FALSE),VLOOKUP($G77,Sheet3!$H$2:$O$200,AJ$1,FALSE)),$I$1),$I$1)</f>
        <v>0</v>
      </c>
      <c r="AK77" s="15">
        <f>IFERROR(IF(ISBLANK(AD77),IFERROR(VLOOKUP($F77,Sheet3!$H$2:$O$200,AK$1,FALSE),VLOOKUP($G77,Sheet3!$H$2:$O$200,AK$1,FALSE)),$I$1),$I$1)</f>
        <v>0</v>
      </c>
      <c r="AL77" s="15">
        <f>IFERROR(IF(ISBLANK(AE77),VLOOKUP($G77,Sheet3!$H$2:$O$200,AL$1,FALSE),$I$1),$I$1)</f>
        <v>0</v>
      </c>
      <c r="AM77" s="15">
        <f>IFERROR(IF(ISBLANK(AF77),VLOOKUP($G77,Sheet3!$H$2:$O$200,AM$1,FALSE),$I$1),$I$1)</f>
        <v>0</v>
      </c>
      <c r="AN77" s="15">
        <f>IFERROR(IF(ISBLANK(AG77),VLOOKUP($G77,Sheet3!$H$2:$O$200,AN$1,FALSE),$I$1),$I$1)</f>
        <v>0</v>
      </c>
      <c r="AO77" s="15">
        <f>IFERROR(IF(ISBLANK(AH77),VLOOKUP($G77,Sheet3!$H$2:$O$200,AO$1,FALSE),$I$1),$I$1)</f>
        <v>0</v>
      </c>
      <c r="AP77" s="15">
        <f>IFERROR(IF(ISBLANK(AI77),VLOOKUP($G77,Sheet3!$H$2:$O$200,AP$1,FALSE),$I$1),$I$1)</f>
        <v>0</v>
      </c>
      <c r="AQ77" s="15">
        <f>IFERROR(IF(ISBLANK(AJ77),VLOOKUP($G77,Sheet3!$H$2:$O$200,AQ$1,FALSE),$I$1),$I$1)</f>
        <v>0</v>
      </c>
      <c r="AR77" s="15">
        <f>IFERROR(IF(ISBLANK(AK77),VLOOKUP($G77,Sheet3!$H$2:$O$200,AR$1,FALSE),$I$1),$I$1)</f>
        <v>0</v>
      </c>
      <c r="AS77" s="15">
        <f t="shared" ref="AS77:AY77" si="83">IFERROR(IF(ISBLANK(J77),IF(ISBLANK(Q77),IF(ISBLANK(X77),IF(ISBLANK(AE77),IF(ISBLANK(AL77),$BB$1,AL77),AE77),X77),Q77),J77),$BB$1)</f>
        <v>0</v>
      </c>
      <c r="AT77" s="15" t="str">
        <f t="shared" si="83"/>
        <v>simple syrup</v>
      </c>
      <c r="AU77" s="15">
        <f t="shared" si="83"/>
        <v>0</v>
      </c>
      <c r="AV77" s="15">
        <f t="shared" si="83"/>
        <v>0</v>
      </c>
      <c r="AW77" s="15">
        <f t="shared" si="83"/>
        <v>0</v>
      </c>
      <c r="AX77" s="15">
        <f t="shared" si="83"/>
        <v>0</v>
      </c>
      <c r="AY77" s="15">
        <f t="shared" si="83"/>
        <v>0</v>
      </c>
      <c r="BA77" s="13">
        <f t="shared" si="1"/>
        <v>35</v>
      </c>
      <c r="BB77" s="15" t="b">
        <f t="shared" si="2"/>
        <v>0</v>
      </c>
    </row>
    <row r="78" spans="1:54" x14ac:dyDescent="0.2">
      <c r="A78" s="19" t="s">
        <v>181</v>
      </c>
      <c r="B78" s="19" t="s">
        <v>148</v>
      </c>
      <c r="C78" s="19" t="s">
        <v>68</v>
      </c>
      <c r="D78" s="19" t="s">
        <v>38</v>
      </c>
      <c r="E78" s="19" t="s">
        <v>62</v>
      </c>
      <c r="F78" s="19" t="s">
        <v>182</v>
      </c>
      <c r="G78" s="19" t="s">
        <v>183</v>
      </c>
      <c r="H78" s="19" t="s">
        <v>181</v>
      </c>
      <c r="I78" s="15">
        <v>5</v>
      </c>
      <c r="J78" s="15">
        <f>IFERROR(VLOOKUP($C78,Sheet3!$H$2:$O$200,J$1,FALSE),IFERROR(VLOOKUP($D78,Sheet3!$H$2:$O$200,J$1,FALSE),VLOOKUP($E78,Sheet3!$H$2:$O$200,J$1,FALSE)))</f>
        <v>0</v>
      </c>
      <c r="K78" s="15">
        <f>IFERROR(VLOOKUP($C78,Sheet3!$H$2:$O$200,K$1,FALSE),IFERROR(VLOOKUP($D78,Sheet3!$H$2:$O$200,K$1,FALSE),VLOOKUP($E78,Sheet3!$H$2:$O$200,K$1,FALSE)))</f>
        <v>0</v>
      </c>
      <c r="L78" s="15">
        <f>IFERROR(VLOOKUP($C78,Sheet3!$H$2:$O$200,L$1,FALSE),IFERROR(VLOOKUP($D78,Sheet3!$H$2:$O$200,L$1,FALSE),VLOOKUP($E78,Sheet3!$H$2:$O$200,L$1,FALSE)))</f>
        <v>0</v>
      </c>
      <c r="M78" s="15" t="str">
        <f>IFERROR(VLOOKUP($C78,Sheet3!$H$2:$O$200,M$1,FALSE),IFERROR(VLOOKUP($D78,Sheet3!$H$2:$O$200,M$1,FALSE),VLOOKUP($E78,Sheet3!$H$2:$O$200,M$1,FALSE)))</f>
        <v>Benedictine</v>
      </c>
      <c r="N78" s="15">
        <f>IFERROR(VLOOKUP($C78,Sheet3!$H$2:$O$200,N$1,FALSE),IFERROR(VLOOKUP($D78,Sheet3!$H$2:$O$200,N$1,FALSE),VLOOKUP($E78,Sheet3!$H$2:$O$200,N$1,FALSE)))</f>
        <v>0</v>
      </c>
      <c r="O78" s="15">
        <f>IFERROR(VLOOKUP($C78,Sheet3!$H$2:$O$200,O$1,FALSE),IFERROR(VLOOKUP($D78,Sheet3!$H$2:$O$200,O$1,FALSE),VLOOKUP($E78,Sheet3!$H$2:$O$200,O$1,FALSE)))</f>
        <v>0</v>
      </c>
      <c r="P78" s="15">
        <f>IFERROR(VLOOKUP($C78,Sheet3!$H$2:$O$200,P$1,FALSE),IFERROR(VLOOKUP($D78,Sheet3!$H$2:$O$200,P$1,FALSE),VLOOKUP($E78,Sheet3!$H$2:$O$200,P$1,FALSE)))</f>
        <v>0</v>
      </c>
      <c r="Q78" s="15">
        <f>IFERROR(IF(ISBLANK(J78),IFERROR(VLOOKUP($D78,Sheet3!$H$2:$O$200,Q$1,FALSE),IFERROR(VLOOKUP($E78,Sheet3!$H$2:$O$200,Q$1,FALSE),VLOOKUP($F78,Sheet3!$H$2:$O$200,Q$1,FALSE))),$I$1),$I$1)</f>
        <v>0</v>
      </c>
      <c r="R78" s="15">
        <f>IFERROR(IF(ISBLANK(K78),IFERROR(VLOOKUP($D78,Sheet3!$H$2:$O$200,R$1,FALSE),IFERROR(VLOOKUP($E78,Sheet3!$H$2:$O$200,R$1,FALSE),VLOOKUP($F78,Sheet3!$H$2:$O$200,R$1,FALSE))),$I$1),$I$1)</f>
        <v>0</v>
      </c>
      <c r="S78" s="15">
        <f>IFERROR(IF(ISBLANK(L78),IFERROR(VLOOKUP($D78,Sheet3!$H$2:$O$200,S$1,FALSE),IFERROR(VLOOKUP($E78,Sheet3!$H$2:$O$200,S$1,FALSE),VLOOKUP($F78,Sheet3!$H$2:$O$200,S$1,FALSE))),$I$1),$I$1)</f>
        <v>0</v>
      </c>
      <c r="T78" s="15">
        <f>IFERROR(IF(ISBLANK(M78),IFERROR(VLOOKUP($D78,Sheet3!$H$2:$O$200,T$1,FALSE),IFERROR(VLOOKUP($E78,Sheet3!$H$2:$O$200,T$1,FALSE),VLOOKUP($F78,Sheet3!$H$2:$O$200,T$1,FALSE))),$I$1),$I$1)</f>
        <v>0</v>
      </c>
      <c r="U78" s="15">
        <f>IFERROR(IF(ISBLANK(N78),IFERROR(VLOOKUP($D78,Sheet3!$H$2:$O$200,U$1,FALSE),IFERROR(VLOOKUP($E78,Sheet3!$H$2:$O$200,U$1,FALSE),VLOOKUP($F78,Sheet3!$H$2:$O$200,U$1,FALSE))),$I$1),$I$1)</f>
        <v>0</v>
      </c>
      <c r="V78" s="15">
        <f>IFERROR(IF(ISBLANK(O78),IFERROR(VLOOKUP($D78,Sheet3!$H$2:$O$200,V$1,FALSE),IFERROR(VLOOKUP($E78,Sheet3!$H$2:$O$200,V$1,FALSE),VLOOKUP($F78,Sheet3!$H$2:$O$200,V$1,FALSE))),$I$1),$I$1)</f>
        <v>0</v>
      </c>
      <c r="W78" s="15">
        <f>IFERROR(IF(ISBLANK(P78),IFERROR(VLOOKUP($D78,Sheet3!$H$2:$O$200,W$1,FALSE),IFERROR(VLOOKUP($E78,Sheet3!$H$2:$O$200,W$1,FALSE),VLOOKUP($F78,Sheet3!$H$2:$O$200,W$1,FALSE))),$I$1),$I$1)</f>
        <v>0</v>
      </c>
      <c r="X78" s="15">
        <f>IFERROR(IF(ISBLANK(Q78),IFERROR(VLOOKUP($E78,Sheet3!$H$2:$O$200,X$1,FALSE),IFERROR(VLOOKUP($F78,Sheet3!$H$2:$O$200,X$1,FALSE),VLOOKUP($G78,Sheet3!$H$2:$O$200,X$1,FALSE))),$I$1),$I$1)</f>
        <v>0</v>
      </c>
      <c r="Y78" s="15">
        <f>IFERROR(IF(ISBLANK(R78),IFERROR(VLOOKUP($E78,Sheet3!$H$2:$O$200,Y$1,FALSE),IFERROR(VLOOKUP($F78,Sheet3!$H$2:$O$200,Y$1,FALSE),VLOOKUP($G78,Sheet3!$H$2:$O$200,Y$1,FALSE))),$I$1),$I$1)</f>
        <v>0</v>
      </c>
      <c r="Z78" s="15">
        <f>IFERROR(IF(ISBLANK(S78),IFERROR(VLOOKUP($E78,Sheet3!$H$2:$O$200,Z$1,FALSE),IFERROR(VLOOKUP($F78,Sheet3!$H$2:$O$200,Z$1,FALSE),VLOOKUP($G78,Sheet3!$H$2:$O$200,Z$1,FALSE))),$I$1),$I$1)</f>
        <v>0</v>
      </c>
      <c r="AA78" s="15">
        <f>IFERROR(IF(ISBLANK(T78),IFERROR(VLOOKUP($E78,Sheet3!$H$2:$O$200,AA$1,FALSE),IFERROR(VLOOKUP($F78,Sheet3!$H$2:$O$200,AA$1,FALSE),VLOOKUP($G78,Sheet3!$H$2:$O$200,AA$1,FALSE))),$I$1),$I$1)</f>
        <v>0</v>
      </c>
      <c r="AB78" s="15">
        <f>IFERROR(IF(ISBLANK(U78),IFERROR(VLOOKUP($E78,Sheet3!$H$2:$O$200,AB$1,FALSE),IFERROR(VLOOKUP($F78,Sheet3!$H$2:$O$200,AB$1,FALSE),VLOOKUP($G78,Sheet3!$H$2:$O$200,AB$1,FALSE))),$I$1),$I$1)</f>
        <v>0</v>
      </c>
      <c r="AC78" s="15">
        <f>IFERROR(IF(ISBLANK(V78),IFERROR(VLOOKUP($E78,Sheet3!$H$2:$O$200,AC$1,FALSE),IFERROR(VLOOKUP($F78,Sheet3!$H$2:$O$200,AC$1,FALSE),VLOOKUP($G78,Sheet3!$H$2:$O$200,AC$1,FALSE))),$I$1),$I$1)</f>
        <v>0</v>
      </c>
      <c r="AD78" s="15">
        <f>IFERROR(IF(ISBLANK(W78),IFERROR(VLOOKUP($E78,Sheet3!$H$2:$O$200,AD$1,FALSE),IFERROR(VLOOKUP($F78,Sheet3!$H$2:$O$200,AD$1,FALSE),VLOOKUP($G78,Sheet3!$H$2:$O$200,AD$1,FALSE))),$I$1),$I$1)</f>
        <v>0</v>
      </c>
      <c r="AE78" s="15">
        <f>IFERROR(IF(ISBLANK(X78),IFERROR(VLOOKUP($F78,Sheet3!$H$2:$O$200,AE$1,FALSE),VLOOKUP($G78,Sheet3!$H$2:$O$200,AE$1,FALSE)),$I$1),$I$1)</f>
        <v>0</v>
      </c>
      <c r="AF78" s="15">
        <f>IFERROR(IF(ISBLANK(Y78),IFERROR(VLOOKUP($F78,Sheet3!$H$2:$O$200,AF$1,FALSE),VLOOKUP($G78,Sheet3!$H$2:$O$200,AF$1,FALSE)),$I$1),$I$1)</f>
        <v>0</v>
      </c>
      <c r="AG78" s="15">
        <f>IFERROR(IF(ISBLANK(Z78),IFERROR(VLOOKUP($F78,Sheet3!$H$2:$O$200,AG$1,FALSE),VLOOKUP($G78,Sheet3!$H$2:$O$200,AG$1,FALSE)),$I$1),$I$1)</f>
        <v>0</v>
      </c>
      <c r="AH78" s="15">
        <f>IFERROR(IF(ISBLANK(AA78),IFERROR(VLOOKUP($F78,Sheet3!$H$2:$O$200,AH$1,FALSE),VLOOKUP($G78,Sheet3!$H$2:$O$200,AH$1,FALSE)),$I$1),$I$1)</f>
        <v>0</v>
      </c>
      <c r="AI78" s="15">
        <f>IFERROR(IF(ISBLANK(AB78),IFERROR(VLOOKUP($F78,Sheet3!$H$2:$O$200,AI$1,FALSE),VLOOKUP($G78,Sheet3!$H$2:$O$200,AI$1,FALSE)),$I$1),$I$1)</f>
        <v>0</v>
      </c>
      <c r="AJ78" s="15">
        <f>IFERROR(IF(ISBLANK(AC78),IFERROR(VLOOKUP($F78,Sheet3!$H$2:$O$200,AJ$1,FALSE),VLOOKUP($G78,Sheet3!$H$2:$O$200,AJ$1,FALSE)),$I$1),$I$1)</f>
        <v>0</v>
      </c>
      <c r="AK78" s="15">
        <f>IFERROR(IF(ISBLANK(AD78),IFERROR(VLOOKUP($F78,Sheet3!$H$2:$O$200,AK$1,FALSE),VLOOKUP($G78,Sheet3!$H$2:$O$200,AK$1,FALSE)),$I$1),$I$1)</f>
        <v>0</v>
      </c>
      <c r="AL78" s="15">
        <f>IFERROR(IF(ISBLANK(AE78),VLOOKUP($G78,Sheet3!$H$2:$O$200,AL$1,FALSE),$I$1),$I$1)</f>
        <v>0</v>
      </c>
      <c r="AM78" s="15">
        <f>IFERROR(IF(ISBLANK(AF78),VLOOKUP($G78,Sheet3!$H$2:$O$200,AM$1,FALSE),$I$1),$I$1)</f>
        <v>0</v>
      </c>
      <c r="AN78" s="15">
        <f>IFERROR(IF(ISBLANK(AG78),VLOOKUP($G78,Sheet3!$H$2:$O$200,AN$1,FALSE),$I$1),$I$1)</f>
        <v>0</v>
      </c>
      <c r="AO78" s="15">
        <f>IFERROR(IF(ISBLANK(AH78),VLOOKUP($G78,Sheet3!$H$2:$O$200,AO$1,FALSE),$I$1),$I$1)</f>
        <v>0</v>
      </c>
      <c r="AP78" s="15">
        <f>IFERROR(IF(ISBLANK(AI78),VLOOKUP($G78,Sheet3!$H$2:$O$200,AP$1,FALSE),$I$1),$I$1)</f>
        <v>0</v>
      </c>
      <c r="AQ78" s="15">
        <f>IFERROR(IF(ISBLANK(AJ78),VLOOKUP($G78,Sheet3!$H$2:$O$200,AQ$1,FALSE),$I$1),$I$1)</f>
        <v>0</v>
      </c>
      <c r="AR78" s="15">
        <f>IFERROR(IF(ISBLANK(AK78),VLOOKUP($G78,Sheet3!$H$2:$O$200,AR$1,FALSE),$I$1),$I$1)</f>
        <v>0</v>
      </c>
      <c r="AS78" s="15">
        <f t="shared" ref="AS78:AY78" si="84">IFERROR(IF(ISBLANK(J78),IF(ISBLANK(Q78),IF(ISBLANK(X78),IF(ISBLANK(AE78),IF(ISBLANK(AL78),$BB$1,AL78),AE78),X78),Q78),J78),$BB$1)</f>
        <v>0</v>
      </c>
      <c r="AT78" s="15">
        <f t="shared" si="84"/>
        <v>0</v>
      </c>
      <c r="AU78" s="15">
        <f t="shared" si="84"/>
        <v>0</v>
      </c>
      <c r="AV78" s="15" t="str">
        <f t="shared" si="84"/>
        <v>Benedictine</v>
      </c>
      <c r="AW78" s="15">
        <f t="shared" si="84"/>
        <v>0</v>
      </c>
      <c r="AX78" s="15">
        <f t="shared" si="84"/>
        <v>0</v>
      </c>
      <c r="AY78" s="15">
        <f t="shared" si="84"/>
        <v>0</v>
      </c>
      <c r="BA78" s="13">
        <f t="shared" si="1"/>
        <v>35</v>
      </c>
      <c r="BB78" s="15" t="b">
        <f t="shared" si="2"/>
        <v>0</v>
      </c>
    </row>
    <row r="79" spans="1:54" x14ac:dyDescent="0.2">
      <c r="A79" s="19" t="s">
        <v>184</v>
      </c>
      <c r="B79" s="19" t="s">
        <v>148</v>
      </c>
      <c r="C79" s="19" t="s">
        <v>185</v>
      </c>
      <c r="D79" s="19" t="s">
        <v>186</v>
      </c>
      <c r="E79" s="19" t="s">
        <v>62</v>
      </c>
      <c r="F79" s="19" t="s">
        <v>187</v>
      </c>
      <c r="G79" s="19" t="s">
        <v>70</v>
      </c>
      <c r="H79" s="19" t="s">
        <v>184</v>
      </c>
      <c r="I79" s="15">
        <v>5</v>
      </c>
      <c r="J79" s="15">
        <f>IFERROR(VLOOKUP($C79,Sheet3!$H$2:$O$200,J$1,FALSE),IFERROR(VLOOKUP($D79,Sheet3!$H$2:$O$200,J$1,FALSE),VLOOKUP($E79,Sheet3!$H$2:$O$200,J$1,FALSE)))</f>
        <v>0</v>
      </c>
      <c r="K79" s="15">
        <f>IFERROR(VLOOKUP($C79,Sheet3!$H$2:$O$200,K$1,FALSE),IFERROR(VLOOKUP($D79,Sheet3!$H$2:$O$200,K$1,FALSE),VLOOKUP($E79,Sheet3!$H$2:$O$200,K$1,FALSE)))</f>
        <v>0</v>
      </c>
      <c r="L79" s="15">
        <f>IFERROR(VLOOKUP($C79,Sheet3!$H$2:$O$200,L$1,FALSE),IFERROR(VLOOKUP($D79,Sheet3!$H$2:$O$200,L$1,FALSE),VLOOKUP($E79,Sheet3!$H$2:$O$200,L$1,FALSE)))</f>
        <v>0</v>
      </c>
      <c r="M79" s="15" t="str">
        <f>IFERROR(VLOOKUP($C79,Sheet3!$H$2:$O$200,M$1,FALSE),IFERROR(VLOOKUP($D79,Sheet3!$H$2:$O$200,M$1,FALSE),VLOOKUP($E79,Sheet3!$H$2:$O$200,M$1,FALSE)))</f>
        <v>Benedictine</v>
      </c>
      <c r="N79" s="15">
        <f>IFERROR(VLOOKUP($C79,Sheet3!$H$2:$O$200,N$1,FALSE),IFERROR(VLOOKUP($D79,Sheet3!$H$2:$O$200,N$1,FALSE),VLOOKUP($E79,Sheet3!$H$2:$O$200,N$1,FALSE)))</f>
        <v>0</v>
      </c>
      <c r="O79" s="15">
        <f>IFERROR(VLOOKUP($C79,Sheet3!$H$2:$O$200,O$1,FALSE),IFERROR(VLOOKUP($D79,Sheet3!$H$2:$O$200,O$1,FALSE),VLOOKUP($E79,Sheet3!$H$2:$O$200,O$1,FALSE)))</f>
        <v>0</v>
      </c>
      <c r="P79" s="15" t="str">
        <f>IFERROR(VLOOKUP($C79,Sheet3!$H$2:$O$200,P$1,FALSE),IFERROR(VLOOKUP($D79,Sheet3!$H$2:$O$200,P$1,FALSE),VLOOKUP($E79,Sheet3!$H$2:$O$200,P$1,FALSE)))</f>
        <v>triple sec</v>
      </c>
      <c r="Q79" s="15">
        <f>IFERROR(IF(ISBLANK(J79),IFERROR(VLOOKUP($D79,Sheet3!$H$2:$O$200,Q$1,FALSE),IFERROR(VLOOKUP($E79,Sheet3!$H$2:$O$200,Q$1,FALSE),VLOOKUP($F79,Sheet3!$H$2:$O$200,Q$1,FALSE))),$I$1),$I$1)</f>
        <v>0</v>
      </c>
      <c r="R79" s="15">
        <f>IFERROR(IF(ISBLANK(K79),IFERROR(VLOOKUP($D79,Sheet3!$H$2:$O$200,R$1,FALSE),IFERROR(VLOOKUP($E79,Sheet3!$H$2:$O$200,R$1,FALSE),VLOOKUP($F79,Sheet3!$H$2:$O$200,R$1,FALSE))),$I$1),$I$1)</f>
        <v>0</v>
      </c>
      <c r="S79" s="15">
        <f>IFERROR(IF(ISBLANK(L79),IFERROR(VLOOKUP($D79,Sheet3!$H$2:$O$200,S$1,FALSE),IFERROR(VLOOKUP($E79,Sheet3!$H$2:$O$200,S$1,FALSE),VLOOKUP($F79,Sheet3!$H$2:$O$200,S$1,FALSE))),$I$1),$I$1)</f>
        <v>0</v>
      </c>
      <c r="T79" s="15">
        <f>IFERROR(IF(ISBLANK(M79),IFERROR(VLOOKUP($D79,Sheet3!$H$2:$O$200,T$1,FALSE),IFERROR(VLOOKUP($E79,Sheet3!$H$2:$O$200,T$1,FALSE),VLOOKUP($F79,Sheet3!$H$2:$O$200,T$1,FALSE))),$I$1),$I$1)</f>
        <v>0</v>
      </c>
      <c r="U79" s="15">
        <f>IFERROR(IF(ISBLANK(N79),IFERROR(VLOOKUP($D79,Sheet3!$H$2:$O$200,U$1,FALSE),IFERROR(VLOOKUP($E79,Sheet3!$H$2:$O$200,U$1,FALSE),VLOOKUP($F79,Sheet3!$H$2:$O$200,U$1,FALSE))),$I$1),$I$1)</f>
        <v>0</v>
      </c>
      <c r="V79" s="15">
        <f>IFERROR(IF(ISBLANK(O79),IFERROR(VLOOKUP($D79,Sheet3!$H$2:$O$200,V$1,FALSE),IFERROR(VLOOKUP($E79,Sheet3!$H$2:$O$200,V$1,FALSE),VLOOKUP($F79,Sheet3!$H$2:$O$200,V$1,FALSE))),$I$1),$I$1)</f>
        <v>0</v>
      </c>
      <c r="W79" s="15">
        <f>IFERROR(IF(ISBLANK(P79),IFERROR(VLOOKUP($D79,Sheet3!$H$2:$O$200,W$1,FALSE),IFERROR(VLOOKUP($E79,Sheet3!$H$2:$O$200,W$1,FALSE),VLOOKUP($F79,Sheet3!$H$2:$O$200,W$1,FALSE))),$I$1),$I$1)</f>
        <v>0</v>
      </c>
      <c r="X79" s="15">
        <f>IFERROR(IF(ISBLANK(Q79),IFERROR(VLOOKUP($E79,Sheet3!$H$2:$O$200,X$1,FALSE),IFERROR(VLOOKUP($F79,Sheet3!$H$2:$O$200,X$1,FALSE),VLOOKUP($G79,Sheet3!$H$2:$O$200,X$1,FALSE))),$I$1),$I$1)</f>
        <v>0</v>
      </c>
      <c r="Y79" s="15">
        <f>IFERROR(IF(ISBLANK(R79),IFERROR(VLOOKUP($E79,Sheet3!$H$2:$O$200,Y$1,FALSE),IFERROR(VLOOKUP($F79,Sheet3!$H$2:$O$200,Y$1,FALSE),VLOOKUP($G79,Sheet3!$H$2:$O$200,Y$1,FALSE))),$I$1),$I$1)</f>
        <v>0</v>
      </c>
      <c r="Z79" s="15">
        <f>IFERROR(IF(ISBLANK(S79),IFERROR(VLOOKUP($E79,Sheet3!$H$2:$O$200,Z$1,FALSE),IFERROR(VLOOKUP($F79,Sheet3!$H$2:$O$200,Z$1,FALSE),VLOOKUP($G79,Sheet3!$H$2:$O$200,Z$1,FALSE))),$I$1),$I$1)</f>
        <v>0</v>
      </c>
      <c r="AA79" s="15">
        <f>IFERROR(IF(ISBLANK(T79),IFERROR(VLOOKUP($E79,Sheet3!$H$2:$O$200,AA$1,FALSE),IFERROR(VLOOKUP($F79,Sheet3!$H$2:$O$200,AA$1,FALSE),VLOOKUP($G79,Sheet3!$H$2:$O$200,AA$1,FALSE))),$I$1),$I$1)</f>
        <v>0</v>
      </c>
      <c r="AB79" s="15">
        <f>IFERROR(IF(ISBLANK(U79),IFERROR(VLOOKUP($E79,Sheet3!$H$2:$O$200,AB$1,FALSE),IFERROR(VLOOKUP($F79,Sheet3!$H$2:$O$200,AB$1,FALSE),VLOOKUP($G79,Sheet3!$H$2:$O$200,AB$1,FALSE))),$I$1),$I$1)</f>
        <v>0</v>
      </c>
      <c r="AC79" s="15">
        <f>IFERROR(IF(ISBLANK(V79),IFERROR(VLOOKUP($E79,Sheet3!$H$2:$O$200,AC$1,FALSE),IFERROR(VLOOKUP($F79,Sheet3!$H$2:$O$200,AC$1,FALSE),VLOOKUP($G79,Sheet3!$H$2:$O$200,AC$1,FALSE))),$I$1),$I$1)</f>
        <v>0</v>
      </c>
      <c r="AD79" s="15">
        <f>IFERROR(IF(ISBLANK(W79),IFERROR(VLOOKUP($E79,Sheet3!$H$2:$O$200,AD$1,FALSE),IFERROR(VLOOKUP($F79,Sheet3!$H$2:$O$200,AD$1,FALSE),VLOOKUP($G79,Sheet3!$H$2:$O$200,AD$1,FALSE))),$I$1),$I$1)</f>
        <v>0</v>
      </c>
      <c r="AE79" s="15">
        <f>IFERROR(IF(ISBLANK(X79),IFERROR(VLOOKUP($F79,Sheet3!$H$2:$O$200,AE$1,FALSE),VLOOKUP($G79,Sheet3!$H$2:$O$200,AE$1,FALSE)),$I$1),$I$1)</f>
        <v>0</v>
      </c>
      <c r="AF79" s="15">
        <f>IFERROR(IF(ISBLANK(Y79),IFERROR(VLOOKUP($F79,Sheet3!$H$2:$O$200,AF$1,FALSE),VLOOKUP($G79,Sheet3!$H$2:$O$200,AF$1,FALSE)),$I$1),$I$1)</f>
        <v>0</v>
      </c>
      <c r="AG79" s="15">
        <f>IFERROR(IF(ISBLANK(Z79),IFERROR(VLOOKUP($F79,Sheet3!$H$2:$O$200,AG$1,FALSE),VLOOKUP($G79,Sheet3!$H$2:$O$200,AG$1,FALSE)),$I$1),$I$1)</f>
        <v>0</v>
      </c>
      <c r="AH79" s="15">
        <f>IFERROR(IF(ISBLANK(AA79),IFERROR(VLOOKUP($F79,Sheet3!$H$2:$O$200,AH$1,FALSE),VLOOKUP($G79,Sheet3!$H$2:$O$200,AH$1,FALSE)),$I$1),$I$1)</f>
        <v>0</v>
      </c>
      <c r="AI79" s="15">
        <f>IFERROR(IF(ISBLANK(AB79),IFERROR(VLOOKUP($F79,Sheet3!$H$2:$O$200,AI$1,FALSE),VLOOKUP($G79,Sheet3!$H$2:$O$200,AI$1,FALSE)),$I$1),$I$1)</f>
        <v>0</v>
      </c>
      <c r="AJ79" s="15">
        <f>IFERROR(IF(ISBLANK(AC79),IFERROR(VLOOKUP($F79,Sheet3!$H$2:$O$200,AJ$1,FALSE),VLOOKUP($G79,Sheet3!$H$2:$O$200,AJ$1,FALSE)),$I$1),$I$1)</f>
        <v>0</v>
      </c>
      <c r="AK79" s="15">
        <f>IFERROR(IF(ISBLANK(AD79),IFERROR(VLOOKUP($F79,Sheet3!$H$2:$O$200,AK$1,FALSE),VLOOKUP($G79,Sheet3!$H$2:$O$200,AK$1,FALSE)),$I$1),$I$1)</f>
        <v>0</v>
      </c>
      <c r="AL79" s="15">
        <f>IFERROR(IF(ISBLANK(AE79),VLOOKUP($G79,Sheet3!$H$2:$O$200,AL$1,FALSE),$I$1),$I$1)</f>
        <v>0</v>
      </c>
      <c r="AM79" s="15">
        <f>IFERROR(IF(ISBLANK(AF79),VLOOKUP($G79,Sheet3!$H$2:$O$200,AM$1,FALSE),$I$1),$I$1)</f>
        <v>0</v>
      </c>
      <c r="AN79" s="15">
        <f>IFERROR(IF(ISBLANK(AG79),VLOOKUP($G79,Sheet3!$H$2:$O$200,AN$1,FALSE),$I$1),$I$1)</f>
        <v>0</v>
      </c>
      <c r="AO79" s="15">
        <f>IFERROR(IF(ISBLANK(AH79),VLOOKUP($G79,Sheet3!$H$2:$O$200,AO$1,FALSE),$I$1),$I$1)</f>
        <v>0</v>
      </c>
      <c r="AP79" s="15">
        <f>IFERROR(IF(ISBLANK(AI79),VLOOKUP($G79,Sheet3!$H$2:$O$200,AP$1,FALSE),$I$1),$I$1)</f>
        <v>0</v>
      </c>
      <c r="AQ79" s="15">
        <f>IFERROR(IF(ISBLANK(AJ79),VLOOKUP($G79,Sheet3!$H$2:$O$200,AQ$1,FALSE),$I$1),$I$1)</f>
        <v>0</v>
      </c>
      <c r="AR79" s="15">
        <f>IFERROR(IF(ISBLANK(AK79),VLOOKUP($G79,Sheet3!$H$2:$O$200,AR$1,FALSE),$I$1),$I$1)</f>
        <v>0</v>
      </c>
      <c r="AS79" s="15">
        <f t="shared" ref="AS79:AY79" si="85">IFERROR(IF(ISBLANK(J79),IF(ISBLANK(Q79),IF(ISBLANK(X79),IF(ISBLANK(AE79),IF(ISBLANK(AL79),$BB$1,AL79),AE79),X79),Q79),J79),$BB$1)</f>
        <v>0</v>
      </c>
      <c r="AT79" s="15">
        <f t="shared" si="85"/>
        <v>0</v>
      </c>
      <c r="AU79" s="15">
        <f t="shared" si="85"/>
        <v>0</v>
      </c>
      <c r="AV79" s="15" t="str">
        <f t="shared" si="85"/>
        <v>Benedictine</v>
      </c>
      <c r="AW79" s="15">
        <f t="shared" si="85"/>
        <v>0</v>
      </c>
      <c r="AX79" s="15">
        <f t="shared" si="85"/>
        <v>0</v>
      </c>
      <c r="AY79" s="15" t="str">
        <f t="shared" si="85"/>
        <v>triple sec</v>
      </c>
      <c r="AZ79" s="11" t="s">
        <v>395</v>
      </c>
      <c r="BA79" s="13">
        <f t="shared" si="1"/>
        <v>35</v>
      </c>
      <c r="BB79" s="15" t="b">
        <f t="shared" si="2"/>
        <v>0</v>
      </c>
    </row>
    <row r="80" spans="1:54" x14ac:dyDescent="0.2">
      <c r="A80" s="19" t="s">
        <v>188</v>
      </c>
      <c r="B80" s="19" t="s">
        <v>148</v>
      </c>
      <c r="C80" s="19" t="s">
        <v>86</v>
      </c>
      <c r="D80" s="18" t="s">
        <v>90</v>
      </c>
      <c r="E80" s="19" t="s">
        <v>62</v>
      </c>
      <c r="F80" s="19" t="s">
        <v>189</v>
      </c>
      <c r="G80" s="18" t="s">
        <v>38</v>
      </c>
      <c r="H80" s="19" t="s">
        <v>188</v>
      </c>
      <c r="I80" s="15">
        <v>5</v>
      </c>
      <c r="J80" s="15">
        <f>IFERROR(VLOOKUP($C80,Sheet3!$H$2:$O$200,J$1,FALSE),IFERROR(VLOOKUP($D80,Sheet3!$H$2:$O$200,J$1,FALSE),VLOOKUP($E80,Sheet3!$H$2:$O$200,J$1,FALSE)))</f>
        <v>0</v>
      </c>
      <c r="K80" s="15" t="str">
        <f>IFERROR(VLOOKUP($C80,Sheet3!$H$2:$O$200,K$1,FALSE),IFERROR(VLOOKUP($D80,Sheet3!$H$2:$O$200,K$1,FALSE),VLOOKUP($E80,Sheet3!$H$2:$O$200,K$1,FALSE)))</f>
        <v>simple syrup</v>
      </c>
      <c r="L80" s="15">
        <f>IFERROR(VLOOKUP($C80,Sheet3!$H$2:$O$200,L$1,FALSE),IFERROR(VLOOKUP($D80,Sheet3!$H$2:$O$200,L$1,FALSE),VLOOKUP($E80,Sheet3!$H$2:$O$200,L$1,FALSE)))</f>
        <v>0</v>
      </c>
      <c r="M80" s="15">
        <f>IFERROR(VLOOKUP($C80,Sheet3!$H$2:$O$200,M$1,FALSE),IFERROR(VLOOKUP($D80,Sheet3!$H$2:$O$200,M$1,FALSE),VLOOKUP($E80,Sheet3!$H$2:$O$200,M$1,FALSE)))</f>
        <v>0</v>
      </c>
      <c r="N80" s="15">
        <f>IFERROR(VLOOKUP($C80,Sheet3!$H$2:$O$200,N$1,FALSE),IFERROR(VLOOKUP($D80,Sheet3!$H$2:$O$200,N$1,FALSE),VLOOKUP($E80,Sheet3!$H$2:$O$200,N$1,FALSE)))</f>
        <v>0</v>
      </c>
      <c r="O80" s="15">
        <f>IFERROR(VLOOKUP($C80,Sheet3!$H$2:$O$200,O$1,FALSE),IFERROR(VLOOKUP($D80,Sheet3!$H$2:$O$200,O$1,FALSE),VLOOKUP($E80,Sheet3!$H$2:$O$200,O$1,FALSE)))</f>
        <v>0</v>
      </c>
      <c r="P80" s="15">
        <f>IFERROR(VLOOKUP($C80,Sheet3!$H$2:$O$200,P$1,FALSE),IFERROR(VLOOKUP($D80,Sheet3!$H$2:$O$200,P$1,FALSE),VLOOKUP($E80,Sheet3!$H$2:$O$200,P$1,FALSE)))</f>
        <v>0</v>
      </c>
      <c r="Q80" s="15">
        <f>IFERROR(IF(ISBLANK(J80),IFERROR(VLOOKUP($D80,Sheet3!$H$2:$O$200,Q$1,FALSE),IFERROR(VLOOKUP($E80,Sheet3!$H$2:$O$200,Q$1,FALSE),VLOOKUP($F80,Sheet3!$H$2:$O$200,Q$1,FALSE))),$I$1),$I$1)</f>
        <v>0</v>
      </c>
      <c r="R80" s="15">
        <f>IFERROR(IF(ISBLANK(K80),IFERROR(VLOOKUP($D80,Sheet3!$H$2:$O$200,R$1,FALSE),IFERROR(VLOOKUP($E80,Sheet3!$H$2:$O$200,R$1,FALSE),VLOOKUP($F80,Sheet3!$H$2:$O$200,R$1,FALSE))),$I$1),$I$1)</f>
        <v>0</v>
      </c>
      <c r="S80" s="15">
        <f>IFERROR(IF(ISBLANK(L80),IFERROR(VLOOKUP($D80,Sheet3!$H$2:$O$200,S$1,FALSE),IFERROR(VLOOKUP($E80,Sheet3!$H$2:$O$200,S$1,FALSE),VLOOKUP($F80,Sheet3!$H$2:$O$200,S$1,FALSE))),$I$1),$I$1)</f>
        <v>0</v>
      </c>
      <c r="T80" s="15">
        <f>IFERROR(IF(ISBLANK(M80),IFERROR(VLOOKUP($D80,Sheet3!$H$2:$O$200,T$1,FALSE),IFERROR(VLOOKUP($E80,Sheet3!$H$2:$O$200,T$1,FALSE),VLOOKUP($F80,Sheet3!$H$2:$O$200,T$1,FALSE))),$I$1),$I$1)</f>
        <v>0</v>
      </c>
      <c r="U80" s="15">
        <f>IFERROR(IF(ISBLANK(N80),IFERROR(VLOOKUP($D80,Sheet3!$H$2:$O$200,U$1,FALSE),IFERROR(VLOOKUP($E80,Sheet3!$H$2:$O$200,U$1,FALSE),VLOOKUP($F80,Sheet3!$H$2:$O$200,U$1,FALSE))),$I$1),$I$1)</f>
        <v>0</v>
      </c>
      <c r="V80" s="15">
        <f>IFERROR(IF(ISBLANK(O80),IFERROR(VLOOKUP($D80,Sheet3!$H$2:$O$200,V$1,FALSE),IFERROR(VLOOKUP($E80,Sheet3!$H$2:$O$200,V$1,FALSE),VLOOKUP($F80,Sheet3!$H$2:$O$200,V$1,FALSE))),$I$1),$I$1)</f>
        <v>0</v>
      </c>
      <c r="W80" s="15">
        <f>IFERROR(IF(ISBLANK(P80),IFERROR(VLOOKUP($D80,Sheet3!$H$2:$O$200,W$1,FALSE),IFERROR(VLOOKUP($E80,Sheet3!$H$2:$O$200,W$1,FALSE),VLOOKUP($F80,Sheet3!$H$2:$O$200,W$1,FALSE))),$I$1),$I$1)</f>
        <v>0</v>
      </c>
      <c r="X80" s="15">
        <f>IFERROR(IF(ISBLANK(Q80),IFERROR(VLOOKUP($E80,Sheet3!$H$2:$O$200,X$1,FALSE),IFERROR(VLOOKUP($F80,Sheet3!$H$2:$O$200,X$1,FALSE),VLOOKUP($G80,Sheet3!$H$2:$O$200,X$1,FALSE))),$I$1),$I$1)</f>
        <v>0</v>
      </c>
      <c r="Y80" s="15">
        <f>IFERROR(IF(ISBLANK(R80),IFERROR(VLOOKUP($E80,Sheet3!$H$2:$O$200,Y$1,FALSE),IFERROR(VLOOKUP($F80,Sheet3!$H$2:$O$200,Y$1,FALSE),VLOOKUP($G80,Sheet3!$H$2:$O$200,Y$1,FALSE))),$I$1),$I$1)</f>
        <v>0</v>
      </c>
      <c r="Z80" s="15">
        <f>IFERROR(IF(ISBLANK(S80),IFERROR(VLOOKUP($E80,Sheet3!$H$2:$O$200,Z$1,FALSE),IFERROR(VLOOKUP($F80,Sheet3!$H$2:$O$200,Z$1,FALSE),VLOOKUP($G80,Sheet3!$H$2:$O$200,Z$1,FALSE))),$I$1),$I$1)</f>
        <v>0</v>
      </c>
      <c r="AA80" s="15">
        <f>IFERROR(IF(ISBLANK(T80),IFERROR(VLOOKUP($E80,Sheet3!$H$2:$O$200,AA$1,FALSE),IFERROR(VLOOKUP($F80,Sheet3!$H$2:$O$200,AA$1,FALSE),VLOOKUP($G80,Sheet3!$H$2:$O$200,AA$1,FALSE))),$I$1),$I$1)</f>
        <v>0</v>
      </c>
      <c r="AB80" s="15">
        <f>IFERROR(IF(ISBLANK(U80),IFERROR(VLOOKUP($E80,Sheet3!$H$2:$O$200,AB$1,FALSE),IFERROR(VLOOKUP($F80,Sheet3!$H$2:$O$200,AB$1,FALSE),VLOOKUP($G80,Sheet3!$H$2:$O$200,AB$1,FALSE))),$I$1),$I$1)</f>
        <v>0</v>
      </c>
      <c r="AC80" s="15">
        <f>IFERROR(IF(ISBLANK(V80),IFERROR(VLOOKUP($E80,Sheet3!$H$2:$O$200,AC$1,FALSE),IFERROR(VLOOKUP($F80,Sheet3!$H$2:$O$200,AC$1,FALSE),VLOOKUP($G80,Sheet3!$H$2:$O$200,AC$1,FALSE))),$I$1),$I$1)</f>
        <v>0</v>
      </c>
      <c r="AD80" s="15">
        <f>IFERROR(IF(ISBLANK(W80),IFERROR(VLOOKUP($E80,Sheet3!$H$2:$O$200,AD$1,FALSE),IFERROR(VLOOKUP($F80,Sheet3!$H$2:$O$200,AD$1,FALSE),VLOOKUP($G80,Sheet3!$H$2:$O$200,AD$1,FALSE))),$I$1),$I$1)</f>
        <v>0</v>
      </c>
      <c r="AE80" s="15">
        <f>IFERROR(IF(ISBLANK(X80),IFERROR(VLOOKUP($F80,Sheet3!$H$2:$O$200,AE$1,FALSE),VLOOKUP($G80,Sheet3!$H$2:$O$200,AE$1,FALSE)),$I$1),$I$1)</f>
        <v>0</v>
      </c>
      <c r="AF80" s="15">
        <f>IFERROR(IF(ISBLANK(Y80),IFERROR(VLOOKUP($F80,Sheet3!$H$2:$O$200,AF$1,FALSE),VLOOKUP($G80,Sheet3!$H$2:$O$200,AF$1,FALSE)),$I$1),$I$1)</f>
        <v>0</v>
      </c>
      <c r="AG80" s="15">
        <f>IFERROR(IF(ISBLANK(Z80),IFERROR(VLOOKUP($F80,Sheet3!$H$2:$O$200,AG$1,FALSE),VLOOKUP($G80,Sheet3!$H$2:$O$200,AG$1,FALSE)),$I$1),$I$1)</f>
        <v>0</v>
      </c>
      <c r="AH80" s="15">
        <f>IFERROR(IF(ISBLANK(AA80),IFERROR(VLOOKUP($F80,Sheet3!$H$2:$O$200,AH$1,FALSE),VLOOKUP($G80,Sheet3!$H$2:$O$200,AH$1,FALSE)),$I$1),$I$1)</f>
        <v>0</v>
      </c>
      <c r="AI80" s="15">
        <f>IFERROR(IF(ISBLANK(AB80),IFERROR(VLOOKUP($F80,Sheet3!$H$2:$O$200,AI$1,FALSE),VLOOKUP($G80,Sheet3!$H$2:$O$200,AI$1,FALSE)),$I$1),$I$1)</f>
        <v>0</v>
      </c>
      <c r="AJ80" s="15">
        <f>IFERROR(IF(ISBLANK(AC80),IFERROR(VLOOKUP($F80,Sheet3!$H$2:$O$200,AJ$1,FALSE),VLOOKUP($G80,Sheet3!$H$2:$O$200,AJ$1,FALSE)),$I$1),$I$1)</f>
        <v>0</v>
      </c>
      <c r="AK80" s="15">
        <f>IFERROR(IF(ISBLANK(AD80),IFERROR(VLOOKUP($F80,Sheet3!$H$2:$O$200,AK$1,FALSE),VLOOKUP($G80,Sheet3!$H$2:$O$200,AK$1,FALSE)),$I$1),$I$1)</f>
        <v>0</v>
      </c>
      <c r="AL80" s="15">
        <f>IFERROR(IF(ISBLANK(AE80),VLOOKUP($G80,Sheet3!$H$2:$O$200,AL$1,FALSE),$I$1),$I$1)</f>
        <v>0</v>
      </c>
      <c r="AM80" s="15">
        <f>IFERROR(IF(ISBLANK(AF80),VLOOKUP($G80,Sheet3!$H$2:$O$200,AM$1,FALSE),$I$1),$I$1)</f>
        <v>0</v>
      </c>
      <c r="AN80" s="15">
        <f>IFERROR(IF(ISBLANK(AG80),VLOOKUP($G80,Sheet3!$H$2:$O$200,AN$1,FALSE),$I$1),$I$1)</f>
        <v>0</v>
      </c>
      <c r="AO80" s="15">
        <f>IFERROR(IF(ISBLANK(AH80),VLOOKUP($G80,Sheet3!$H$2:$O$200,AO$1,FALSE),$I$1),$I$1)</f>
        <v>0</v>
      </c>
      <c r="AP80" s="15">
        <f>IFERROR(IF(ISBLANK(AI80),VLOOKUP($G80,Sheet3!$H$2:$O$200,AP$1,FALSE),$I$1),$I$1)</f>
        <v>0</v>
      </c>
      <c r="AQ80" s="15">
        <f>IFERROR(IF(ISBLANK(AJ80),VLOOKUP($G80,Sheet3!$H$2:$O$200,AQ$1,FALSE),$I$1),$I$1)</f>
        <v>0</v>
      </c>
      <c r="AR80" s="15">
        <f>IFERROR(IF(ISBLANK(AK80),VLOOKUP($G80,Sheet3!$H$2:$O$200,AR$1,FALSE),$I$1),$I$1)</f>
        <v>0</v>
      </c>
      <c r="AS80" s="15">
        <f t="shared" ref="AS80:AV80" si="86">IFERROR(IF(ISBLANK(J80),IF(ISBLANK(Q80),IF(ISBLANK(X80),IF(ISBLANK(AE80),IF(ISBLANK(AL80),$BB$1,AL80),AE80),X80),Q80),J80),$BB$1)</f>
        <v>0</v>
      </c>
      <c r="AT80" s="15" t="str">
        <f t="shared" si="86"/>
        <v>simple syrup</v>
      </c>
      <c r="AU80" s="15">
        <f t="shared" si="86"/>
        <v>0</v>
      </c>
      <c r="AV80" s="15">
        <f t="shared" si="86"/>
        <v>0</v>
      </c>
      <c r="AW80" s="11" t="s">
        <v>38</v>
      </c>
      <c r="AX80" s="15">
        <f t="shared" ref="AX80:AX81" si="87">IFERROR(IF(ISBLANK(O80),IF(ISBLANK(V80),IF(ISBLANK(AC80),IF(ISBLANK(AJ80),IF(ISBLANK(AQ80),$BB$1,AQ80),AJ80),AC80),V80),O80),$BB$1)</f>
        <v>0</v>
      </c>
      <c r="AY80" s="11" t="s">
        <v>62</v>
      </c>
      <c r="AZ80" s="15" t="s">
        <v>189</v>
      </c>
      <c r="BA80" s="13">
        <f t="shared" si="1"/>
        <v>35</v>
      </c>
      <c r="BB80" s="15" t="b">
        <f t="shared" si="2"/>
        <v>0</v>
      </c>
    </row>
    <row r="81" spans="1:54" x14ac:dyDescent="0.2">
      <c r="A81" s="19" t="s">
        <v>190</v>
      </c>
      <c r="B81" s="19" t="s">
        <v>148</v>
      </c>
      <c r="C81" s="19" t="s">
        <v>68</v>
      </c>
      <c r="D81" s="18" t="s">
        <v>38</v>
      </c>
      <c r="E81" s="19" t="s">
        <v>62</v>
      </c>
      <c r="F81" s="19" t="s">
        <v>191</v>
      </c>
      <c r="G81" s="18" t="s">
        <v>192</v>
      </c>
      <c r="H81" s="19" t="s">
        <v>190</v>
      </c>
      <c r="I81" s="15">
        <v>5</v>
      </c>
      <c r="J81" s="15">
        <f>IFERROR(VLOOKUP($C81,Sheet3!$H$2:$O$200,J$1,FALSE),IFERROR(VLOOKUP($D81,Sheet3!$H$2:$O$200,J$1,FALSE),VLOOKUP($E81,Sheet3!$H$2:$O$200,J$1,FALSE)))</f>
        <v>0</v>
      </c>
      <c r="K81" s="15">
        <f>IFERROR(VLOOKUP($C81,Sheet3!$H$2:$O$200,K$1,FALSE),IFERROR(VLOOKUP($D81,Sheet3!$H$2:$O$200,K$1,FALSE),VLOOKUP($E81,Sheet3!$H$2:$O$200,K$1,FALSE)))</f>
        <v>0</v>
      </c>
      <c r="L81" s="15">
        <f>IFERROR(VLOOKUP($C81,Sheet3!$H$2:$O$200,L$1,FALSE),IFERROR(VLOOKUP($D81,Sheet3!$H$2:$O$200,L$1,FALSE),VLOOKUP($E81,Sheet3!$H$2:$O$200,L$1,FALSE)))</f>
        <v>0</v>
      </c>
      <c r="M81" s="15" t="str">
        <f>IFERROR(VLOOKUP($C81,Sheet3!$H$2:$O$200,M$1,FALSE),IFERROR(VLOOKUP($D81,Sheet3!$H$2:$O$200,M$1,FALSE),VLOOKUP($E81,Sheet3!$H$2:$O$200,M$1,FALSE)))</f>
        <v>Benedictine</v>
      </c>
      <c r="N81" s="15">
        <f>IFERROR(VLOOKUP($C81,Sheet3!$H$2:$O$200,N$1,FALSE),IFERROR(VLOOKUP($D81,Sheet3!$H$2:$O$200,N$1,FALSE),VLOOKUP($E81,Sheet3!$H$2:$O$200,N$1,FALSE)))</f>
        <v>0</v>
      </c>
      <c r="O81" s="15">
        <f>IFERROR(VLOOKUP($C81,Sheet3!$H$2:$O$200,O$1,FALSE),IFERROR(VLOOKUP($D81,Sheet3!$H$2:$O$200,O$1,FALSE),VLOOKUP($E81,Sheet3!$H$2:$O$200,O$1,FALSE)))</f>
        <v>0</v>
      </c>
      <c r="P81" s="15">
        <f>IFERROR(VLOOKUP($C81,Sheet3!$H$2:$O$200,P$1,FALSE),IFERROR(VLOOKUP($D81,Sheet3!$H$2:$O$200,P$1,FALSE),VLOOKUP($E81,Sheet3!$H$2:$O$200,P$1,FALSE)))</f>
        <v>0</v>
      </c>
      <c r="Q81" s="15">
        <f>IFERROR(IF(ISBLANK(J81),IFERROR(VLOOKUP($D81,Sheet3!$H$2:$O$200,Q$1,FALSE),IFERROR(VLOOKUP($E81,Sheet3!$H$2:$O$200,Q$1,FALSE),VLOOKUP($F81,Sheet3!$H$2:$O$200,Q$1,FALSE))),$I$1),$I$1)</f>
        <v>0</v>
      </c>
      <c r="R81" s="15">
        <f>IFERROR(IF(ISBLANK(K81),IFERROR(VLOOKUP($D81,Sheet3!$H$2:$O$200,R$1,FALSE),IFERROR(VLOOKUP($E81,Sheet3!$H$2:$O$200,R$1,FALSE),VLOOKUP($F81,Sheet3!$H$2:$O$200,R$1,FALSE))),$I$1),$I$1)</f>
        <v>0</v>
      </c>
      <c r="S81" s="15">
        <f>IFERROR(IF(ISBLANK(L81),IFERROR(VLOOKUP($D81,Sheet3!$H$2:$O$200,S$1,FALSE),IFERROR(VLOOKUP($E81,Sheet3!$H$2:$O$200,S$1,FALSE),VLOOKUP($F81,Sheet3!$H$2:$O$200,S$1,FALSE))),$I$1),$I$1)</f>
        <v>0</v>
      </c>
      <c r="T81" s="15">
        <f>IFERROR(IF(ISBLANK(M81),IFERROR(VLOOKUP($D81,Sheet3!$H$2:$O$200,T$1,FALSE),IFERROR(VLOOKUP($E81,Sheet3!$H$2:$O$200,T$1,FALSE),VLOOKUP($F81,Sheet3!$H$2:$O$200,T$1,FALSE))),$I$1),$I$1)</f>
        <v>0</v>
      </c>
      <c r="U81" s="15">
        <f>IFERROR(IF(ISBLANK(N81),IFERROR(VLOOKUP($D81,Sheet3!$H$2:$O$200,U$1,FALSE),IFERROR(VLOOKUP($E81,Sheet3!$H$2:$O$200,U$1,FALSE),VLOOKUP($F81,Sheet3!$H$2:$O$200,U$1,FALSE))),$I$1),$I$1)</f>
        <v>0</v>
      </c>
      <c r="V81" s="15">
        <f>IFERROR(IF(ISBLANK(O81),IFERROR(VLOOKUP($D81,Sheet3!$H$2:$O$200,V$1,FALSE),IFERROR(VLOOKUP($E81,Sheet3!$H$2:$O$200,V$1,FALSE),VLOOKUP($F81,Sheet3!$H$2:$O$200,V$1,FALSE))),$I$1),$I$1)</f>
        <v>0</v>
      </c>
      <c r="W81" s="15">
        <f>IFERROR(IF(ISBLANK(P81),IFERROR(VLOOKUP($D81,Sheet3!$H$2:$O$200,W$1,FALSE),IFERROR(VLOOKUP($E81,Sheet3!$H$2:$O$200,W$1,FALSE),VLOOKUP($F81,Sheet3!$H$2:$O$200,W$1,FALSE))),$I$1),$I$1)</f>
        <v>0</v>
      </c>
      <c r="X81" s="15">
        <f>IFERROR(IF(ISBLANK(Q81),IFERROR(VLOOKUP($E81,Sheet3!$H$2:$O$200,X$1,FALSE),IFERROR(VLOOKUP($F81,Sheet3!$H$2:$O$200,X$1,FALSE),VLOOKUP($G81,Sheet3!$H$2:$O$200,X$1,FALSE))),$I$1),$I$1)</f>
        <v>0</v>
      </c>
      <c r="Y81" s="15">
        <f>IFERROR(IF(ISBLANK(R81),IFERROR(VLOOKUP($E81,Sheet3!$H$2:$O$200,Y$1,FALSE),IFERROR(VLOOKUP($F81,Sheet3!$H$2:$O$200,Y$1,FALSE),VLOOKUP($G81,Sheet3!$H$2:$O$200,Y$1,FALSE))),$I$1),$I$1)</f>
        <v>0</v>
      </c>
      <c r="Z81" s="15">
        <f>IFERROR(IF(ISBLANK(S81),IFERROR(VLOOKUP($E81,Sheet3!$H$2:$O$200,Z$1,FALSE),IFERROR(VLOOKUP($F81,Sheet3!$H$2:$O$200,Z$1,FALSE),VLOOKUP($G81,Sheet3!$H$2:$O$200,Z$1,FALSE))),$I$1),$I$1)</f>
        <v>0</v>
      </c>
      <c r="AA81" s="15">
        <f>IFERROR(IF(ISBLANK(T81),IFERROR(VLOOKUP($E81,Sheet3!$H$2:$O$200,AA$1,FALSE),IFERROR(VLOOKUP($F81,Sheet3!$H$2:$O$200,AA$1,FALSE),VLOOKUP($G81,Sheet3!$H$2:$O$200,AA$1,FALSE))),$I$1),$I$1)</f>
        <v>0</v>
      </c>
      <c r="AB81" s="15">
        <f>IFERROR(IF(ISBLANK(U81),IFERROR(VLOOKUP($E81,Sheet3!$H$2:$O$200,AB$1,FALSE),IFERROR(VLOOKUP($F81,Sheet3!$H$2:$O$200,AB$1,FALSE),VLOOKUP($G81,Sheet3!$H$2:$O$200,AB$1,FALSE))),$I$1),$I$1)</f>
        <v>0</v>
      </c>
      <c r="AC81" s="15">
        <f>IFERROR(IF(ISBLANK(V81),IFERROR(VLOOKUP($E81,Sheet3!$H$2:$O$200,AC$1,FALSE),IFERROR(VLOOKUP($F81,Sheet3!$H$2:$O$200,AC$1,FALSE),VLOOKUP($G81,Sheet3!$H$2:$O$200,AC$1,FALSE))),$I$1),$I$1)</f>
        <v>0</v>
      </c>
      <c r="AD81" s="15">
        <f>IFERROR(IF(ISBLANK(W81),IFERROR(VLOOKUP($E81,Sheet3!$H$2:$O$200,AD$1,FALSE),IFERROR(VLOOKUP($F81,Sheet3!$H$2:$O$200,AD$1,FALSE),VLOOKUP($G81,Sheet3!$H$2:$O$200,AD$1,FALSE))),$I$1),$I$1)</f>
        <v>0</v>
      </c>
      <c r="AE81" s="15">
        <f>IFERROR(IF(ISBLANK(X81),IFERROR(VLOOKUP($F81,Sheet3!$H$2:$O$200,AE$1,FALSE),VLOOKUP($G81,Sheet3!$H$2:$O$200,AE$1,FALSE)),$I$1),$I$1)</f>
        <v>0</v>
      </c>
      <c r="AF81" s="15">
        <f>IFERROR(IF(ISBLANK(Y81),IFERROR(VLOOKUP($F81,Sheet3!$H$2:$O$200,AF$1,FALSE),VLOOKUP($G81,Sheet3!$H$2:$O$200,AF$1,FALSE)),$I$1),$I$1)</f>
        <v>0</v>
      </c>
      <c r="AG81" s="15">
        <f>IFERROR(IF(ISBLANK(Z81),IFERROR(VLOOKUP($F81,Sheet3!$H$2:$O$200,AG$1,FALSE),VLOOKUP($G81,Sheet3!$H$2:$O$200,AG$1,FALSE)),$I$1),$I$1)</f>
        <v>0</v>
      </c>
      <c r="AH81" s="15">
        <f>IFERROR(IF(ISBLANK(AA81),IFERROR(VLOOKUP($F81,Sheet3!$H$2:$O$200,AH$1,FALSE),VLOOKUP($G81,Sheet3!$H$2:$O$200,AH$1,FALSE)),$I$1),$I$1)</f>
        <v>0</v>
      </c>
      <c r="AI81" s="15">
        <f>IFERROR(IF(ISBLANK(AB81),IFERROR(VLOOKUP($F81,Sheet3!$H$2:$O$200,AI$1,FALSE),VLOOKUP($G81,Sheet3!$H$2:$O$200,AI$1,FALSE)),$I$1),$I$1)</f>
        <v>0</v>
      </c>
      <c r="AJ81" s="15">
        <f>IFERROR(IF(ISBLANK(AC81),IFERROR(VLOOKUP($F81,Sheet3!$H$2:$O$200,AJ$1,FALSE),VLOOKUP($G81,Sheet3!$H$2:$O$200,AJ$1,FALSE)),$I$1),$I$1)</f>
        <v>0</v>
      </c>
      <c r="AK81" s="15">
        <f>IFERROR(IF(ISBLANK(AD81),IFERROR(VLOOKUP($F81,Sheet3!$H$2:$O$200,AK$1,FALSE),VLOOKUP($G81,Sheet3!$H$2:$O$200,AK$1,FALSE)),$I$1),$I$1)</f>
        <v>0</v>
      </c>
      <c r="AL81" s="15">
        <f>IFERROR(IF(ISBLANK(AE81),VLOOKUP($G81,Sheet3!$H$2:$O$200,AL$1,FALSE),$I$1),$I$1)</f>
        <v>0</v>
      </c>
      <c r="AM81" s="15">
        <f>IFERROR(IF(ISBLANK(AF81),VLOOKUP($G81,Sheet3!$H$2:$O$200,AM$1,FALSE),$I$1),$I$1)</f>
        <v>0</v>
      </c>
      <c r="AN81" s="15">
        <f>IFERROR(IF(ISBLANK(AG81),VLOOKUP($G81,Sheet3!$H$2:$O$200,AN$1,FALSE),$I$1),$I$1)</f>
        <v>0</v>
      </c>
      <c r="AO81" s="15">
        <f>IFERROR(IF(ISBLANK(AH81),VLOOKUP($G81,Sheet3!$H$2:$O$200,AO$1,FALSE),$I$1),$I$1)</f>
        <v>0</v>
      </c>
      <c r="AP81" s="15">
        <f>IFERROR(IF(ISBLANK(AI81),VLOOKUP($G81,Sheet3!$H$2:$O$200,AP$1,FALSE),$I$1),$I$1)</f>
        <v>0</v>
      </c>
      <c r="AQ81" s="15">
        <f>IFERROR(IF(ISBLANK(AJ81),VLOOKUP($G81,Sheet3!$H$2:$O$200,AQ$1,FALSE),$I$1),$I$1)</f>
        <v>0</v>
      </c>
      <c r="AR81" s="15">
        <f>IFERROR(IF(ISBLANK(AK81),VLOOKUP($G81,Sheet3!$H$2:$O$200,AR$1,FALSE),$I$1),$I$1)</f>
        <v>0</v>
      </c>
      <c r="AS81" s="15">
        <f t="shared" ref="AS81:AV81" si="88">IFERROR(IF(ISBLANK(J81),IF(ISBLANK(Q81),IF(ISBLANK(X81),IF(ISBLANK(AE81),IF(ISBLANK(AL81),$BB$1,AL81),AE81),X81),Q81),J81),$BB$1)</f>
        <v>0</v>
      </c>
      <c r="AT81" s="15">
        <f t="shared" si="88"/>
        <v>0</v>
      </c>
      <c r="AU81" s="15">
        <f t="shared" si="88"/>
        <v>0</v>
      </c>
      <c r="AV81" s="15" t="str">
        <f t="shared" si="88"/>
        <v>Benedictine</v>
      </c>
      <c r="AW81" s="11" t="s">
        <v>79</v>
      </c>
      <c r="AX81" s="15">
        <f t="shared" si="87"/>
        <v>0</v>
      </c>
      <c r="AY81" s="11" t="s">
        <v>66</v>
      </c>
      <c r="AZ81" s="11" t="s">
        <v>192</v>
      </c>
      <c r="BA81" s="13">
        <f t="shared" si="1"/>
        <v>35</v>
      </c>
      <c r="BB81" s="15" t="b">
        <f t="shared" si="2"/>
        <v>0</v>
      </c>
    </row>
    <row r="82" spans="1:54" x14ac:dyDescent="0.2">
      <c r="A82" s="19" t="s">
        <v>193</v>
      </c>
      <c r="B82" s="19" t="s">
        <v>148</v>
      </c>
      <c r="C82" s="19" t="s">
        <v>57</v>
      </c>
      <c r="D82" s="19" t="s">
        <v>90</v>
      </c>
      <c r="E82" s="19"/>
      <c r="F82" s="19"/>
      <c r="G82" s="19"/>
      <c r="H82" s="19" t="s">
        <v>193</v>
      </c>
      <c r="I82" s="15">
        <v>2</v>
      </c>
      <c r="J82" s="15">
        <f>IFERROR(VLOOKUP($C82,Sheet3!$H$2:$O$200,J$1,FALSE),IFERROR(VLOOKUP($D82,Sheet3!$H$2:$O$200,J$1,FALSE),VLOOKUP($E82,Sheet3!$H$2:$O$200,J$1,FALSE)))</f>
        <v>0</v>
      </c>
      <c r="K82" s="15">
        <f>IFERROR(VLOOKUP($C82,Sheet3!$H$2:$O$200,K$1,FALSE),IFERROR(VLOOKUP($D82,Sheet3!$H$2:$O$200,K$1,FALSE),VLOOKUP($E82,Sheet3!$H$2:$O$200,K$1,FALSE)))</f>
        <v>0</v>
      </c>
      <c r="L82" s="15">
        <f>IFERROR(VLOOKUP($C82,Sheet3!$H$2:$O$200,L$1,FALSE),IFERROR(VLOOKUP($D82,Sheet3!$H$2:$O$200,L$1,FALSE),VLOOKUP($E82,Sheet3!$H$2:$O$200,L$1,FALSE)))</f>
        <v>0</v>
      </c>
      <c r="M82" s="15" t="str">
        <f>IFERROR(VLOOKUP($C82,Sheet3!$H$2:$O$200,M$1,FALSE),IFERROR(VLOOKUP($D82,Sheet3!$H$2:$O$200,M$1,FALSE),VLOOKUP($E82,Sheet3!$H$2:$O$200,M$1,FALSE)))</f>
        <v>crème de noyau</v>
      </c>
      <c r="N82" s="15">
        <f>IFERROR(VLOOKUP($C82,Sheet3!$H$2:$O$200,N$1,FALSE),IFERROR(VLOOKUP($D82,Sheet3!$H$2:$O$200,N$1,FALSE),VLOOKUP($E82,Sheet3!$H$2:$O$200,N$1,FALSE)))</f>
        <v>0</v>
      </c>
      <c r="O82" s="15">
        <f>IFERROR(VLOOKUP($C82,Sheet3!$H$2:$O$200,O$1,FALSE),IFERROR(VLOOKUP($D82,Sheet3!$H$2:$O$200,O$1,FALSE),VLOOKUP($E82,Sheet3!$H$2:$O$200,O$1,FALSE)))</f>
        <v>0</v>
      </c>
      <c r="P82" s="15">
        <f>IFERROR(VLOOKUP($C82,Sheet3!$H$2:$O$200,P$1,FALSE),IFERROR(VLOOKUP($D82,Sheet3!$H$2:$O$200,P$1,FALSE),VLOOKUP($E82,Sheet3!$H$2:$O$200,P$1,FALSE)))</f>
        <v>0</v>
      </c>
      <c r="Q82" s="15">
        <f>IFERROR(IF(ISBLANK(J82),IFERROR(VLOOKUP($D82,Sheet3!$H$2:$O$200,Q$1,FALSE),IFERROR(VLOOKUP($E82,Sheet3!$H$2:$O$200,Q$1,FALSE),VLOOKUP($F82,Sheet3!$H$2:$O$200,Q$1,FALSE))),$I$1),$I$1)</f>
        <v>0</v>
      </c>
      <c r="R82" s="15">
        <f>IFERROR(IF(ISBLANK(K82),IFERROR(VLOOKUP($D82,Sheet3!$H$2:$O$200,R$1,FALSE),IFERROR(VLOOKUP($E82,Sheet3!$H$2:$O$200,R$1,FALSE),VLOOKUP($F82,Sheet3!$H$2:$O$200,R$1,FALSE))),$I$1),$I$1)</f>
        <v>0</v>
      </c>
      <c r="S82" s="15">
        <f>IFERROR(IF(ISBLANK(L82),IFERROR(VLOOKUP($D82,Sheet3!$H$2:$O$200,S$1,FALSE),IFERROR(VLOOKUP($E82,Sheet3!$H$2:$O$200,S$1,FALSE),VLOOKUP($F82,Sheet3!$H$2:$O$200,S$1,FALSE))),$I$1),$I$1)</f>
        <v>0</v>
      </c>
      <c r="T82" s="15">
        <f>IFERROR(IF(ISBLANK(M82),IFERROR(VLOOKUP($D82,Sheet3!$H$2:$O$200,T$1,FALSE),IFERROR(VLOOKUP($E82,Sheet3!$H$2:$O$200,T$1,FALSE),VLOOKUP($F82,Sheet3!$H$2:$O$200,T$1,FALSE))),$I$1),$I$1)</f>
        <v>0</v>
      </c>
      <c r="U82" s="15">
        <f>IFERROR(IF(ISBLANK(N82),IFERROR(VLOOKUP($D82,Sheet3!$H$2:$O$200,U$1,FALSE),IFERROR(VLOOKUP($E82,Sheet3!$H$2:$O$200,U$1,FALSE),VLOOKUP($F82,Sheet3!$H$2:$O$200,U$1,FALSE))),$I$1),$I$1)</f>
        <v>0</v>
      </c>
      <c r="V82" s="15">
        <f>IFERROR(IF(ISBLANK(O82),IFERROR(VLOOKUP($D82,Sheet3!$H$2:$O$200,V$1,FALSE),IFERROR(VLOOKUP($E82,Sheet3!$H$2:$O$200,V$1,FALSE),VLOOKUP($F82,Sheet3!$H$2:$O$200,V$1,FALSE))),$I$1),$I$1)</f>
        <v>0</v>
      </c>
      <c r="W82" s="15">
        <f>IFERROR(IF(ISBLANK(P82),IFERROR(VLOOKUP($D82,Sheet3!$H$2:$O$200,W$1,FALSE),IFERROR(VLOOKUP($E82,Sheet3!$H$2:$O$200,W$1,FALSE),VLOOKUP($F82,Sheet3!$H$2:$O$200,W$1,FALSE))),$I$1),$I$1)</f>
        <v>0</v>
      </c>
      <c r="X82" s="15">
        <f>IFERROR(IF(ISBLANK(Q82),IFERROR(VLOOKUP($E82,Sheet3!$H$2:$O$200,X$1,FALSE),IFERROR(VLOOKUP($F82,Sheet3!$H$2:$O$200,X$1,FALSE),VLOOKUP($G82,Sheet3!$H$2:$O$200,X$1,FALSE))),$I$1),$I$1)</f>
        <v>0</v>
      </c>
      <c r="Y82" s="15">
        <f>IFERROR(IF(ISBLANK(R82),IFERROR(VLOOKUP($E82,Sheet3!$H$2:$O$200,Y$1,FALSE),IFERROR(VLOOKUP($F82,Sheet3!$H$2:$O$200,Y$1,FALSE),VLOOKUP($G82,Sheet3!$H$2:$O$200,Y$1,FALSE))),$I$1),$I$1)</f>
        <v>0</v>
      </c>
      <c r="Z82" s="15">
        <f>IFERROR(IF(ISBLANK(S82),IFERROR(VLOOKUP($E82,Sheet3!$H$2:$O$200,Z$1,FALSE),IFERROR(VLOOKUP($F82,Sheet3!$H$2:$O$200,Z$1,FALSE),VLOOKUP($G82,Sheet3!$H$2:$O$200,Z$1,FALSE))),$I$1),$I$1)</f>
        <v>0</v>
      </c>
      <c r="AA82" s="15">
        <f>IFERROR(IF(ISBLANK(T82),IFERROR(VLOOKUP($E82,Sheet3!$H$2:$O$200,AA$1,FALSE),IFERROR(VLOOKUP($F82,Sheet3!$H$2:$O$200,AA$1,FALSE),VLOOKUP($G82,Sheet3!$H$2:$O$200,AA$1,FALSE))),$I$1),$I$1)</f>
        <v>0</v>
      </c>
      <c r="AB82" s="15">
        <f>IFERROR(IF(ISBLANK(U82),IFERROR(VLOOKUP($E82,Sheet3!$H$2:$O$200,AB$1,FALSE),IFERROR(VLOOKUP($F82,Sheet3!$H$2:$O$200,AB$1,FALSE),VLOOKUP($G82,Sheet3!$H$2:$O$200,AB$1,FALSE))),$I$1),$I$1)</f>
        <v>0</v>
      </c>
      <c r="AC82" s="15">
        <f>IFERROR(IF(ISBLANK(V82),IFERROR(VLOOKUP($E82,Sheet3!$H$2:$O$200,AC$1,FALSE),IFERROR(VLOOKUP($F82,Sheet3!$H$2:$O$200,AC$1,FALSE),VLOOKUP($G82,Sheet3!$H$2:$O$200,AC$1,FALSE))),$I$1),$I$1)</f>
        <v>0</v>
      </c>
      <c r="AD82" s="15">
        <f>IFERROR(IF(ISBLANK(W82),IFERROR(VLOOKUP($E82,Sheet3!$H$2:$O$200,AD$1,FALSE),IFERROR(VLOOKUP($F82,Sheet3!$H$2:$O$200,AD$1,FALSE),VLOOKUP($G82,Sheet3!$H$2:$O$200,AD$1,FALSE))),$I$1),$I$1)</f>
        <v>0</v>
      </c>
      <c r="AE82" s="15">
        <f>IFERROR(IF(ISBLANK(X82),IFERROR(VLOOKUP($F82,Sheet3!$H$2:$O$200,AE$1,FALSE),VLOOKUP($G82,Sheet3!$H$2:$O$200,AE$1,FALSE)),$I$1),$I$1)</f>
        <v>0</v>
      </c>
      <c r="AF82" s="15">
        <f>IFERROR(IF(ISBLANK(Y82),IFERROR(VLOOKUP($F82,Sheet3!$H$2:$O$200,AF$1,FALSE),VLOOKUP($G82,Sheet3!$H$2:$O$200,AF$1,FALSE)),$I$1),$I$1)</f>
        <v>0</v>
      </c>
      <c r="AG82" s="15">
        <f>IFERROR(IF(ISBLANK(Z82),IFERROR(VLOOKUP($F82,Sheet3!$H$2:$O$200,AG$1,FALSE),VLOOKUP($G82,Sheet3!$H$2:$O$200,AG$1,FALSE)),$I$1),$I$1)</f>
        <v>0</v>
      </c>
      <c r="AH82" s="15">
        <f>IFERROR(IF(ISBLANK(AA82),IFERROR(VLOOKUP($F82,Sheet3!$H$2:$O$200,AH$1,FALSE),VLOOKUP($G82,Sheet3!$H$2:$O$200,AH$1,FALSE)),$I$1),$I$1)</f>
        <v>0</v>
      </c>
      <c r="AI82" s="15">
        <f>IFERROR(IF(ISBLANK(AB82),IFERROR(VLOOKUP($F82,Sheet3!$H$2:$O$200,AI$1,FALSE),VLOOKUP($G82,Sheet3!$H$2:$O$200,AI$1,FALSE)),$I$1),$I$1)</f>
        <v>0</v>
      </c>
      <c r="AJ82" s="15">
        <f>IFERROR(IF(ISBLANK(AC82),IFERROR(VLOOKUP($F82,Sheet3!$H$2:$O$200,AJ$1,FALSE),VLOOKUP($G82,Sheet3!$H$2:$O$200,AJ$1,FALSE)),$I$1),$I$1)</f>
        <v>0</v>
      </c>
      <c r="AK82" s="15">
        <f>IFERROR(IF(ISBLANK(AD82),IFERROR(VLOOKUP($F82,Sheet3!$H$2:$O$200,AK$1,FALSE),VLOOKUP($G82,Sheet3!$H$2:$O$200,AK$1,FALSE)),$I$1),$I$1)</f>
        <v>0</v>
      </c>
      <c r="AL82" s="15">
        <f>IFERROR(IF(ISBLANK(AE82),VLOOKUP($G82,Sheet3!$H$2:$O$200,AL$1,FALSE),$I$1),$I$1)</f>
        <v>0</v>
      </c>
      <c r="AM82" s="15">
        <f>IFERROR(IF(ISBLANK(AF82),VLOOKUP($G82,Sheet3!$H$2:$O$200,AM$1,FALSE),$I$1),$I$1)</f>
        <v>0</v>
      </c>
      <c r="AN82" s="15">
        <f>IFERROR(IF(ISBLANK(AG82),VLOOKUP($G82,Sheet3!$H$2:$O$200,AN$1,FALSE),$I$1),$I$1)</f>
        <v>0</v>
      </c>
      <c r="AO82" s="15">
        <f>IFERROR(IF(ISBLANK(AH82),VLOOKUP($G82,Sheet3!$H$2:$O$200,AO$1,FALSE),$I$1),$I$1)</f>
        <v>0</v>
      </c>
      <c r="AP82" s="15">
        <f>IFERROR(IF(ISBLANK(AI82),VLOOKUP($G82,Sheet3!$H$2:$O$200,AP$1,FALSE),$I$1),$I$1)</f>
        <v>0</v>
      </c>
      <c r="AQ82" s="15">
        <f>IFERROR(IF(ISBLANK(AJ82),VLOOKUP($G82,Sheet3!$H$2:$O$200,AQ$1,FALSE),$I$1),$I$1)</f>
        <v>0</v>
      </c>
      <c r="AR82" s="15">
        <f>IFERROR(IF(ISBLANK(AK82),VLOOKUP($G82,Sheet3!$H$2:$O$200,AR$1,FALSE),$I$1),$I$1)</f>
        <v>0</v>
      </c>
      <c r="AS82" s="15">
        <f t="shared" ref="AS82:AY82" si="89">IFERROR(IF(ISBLANK(J82),IF(ISBLANK(Q82),IF(ISBLANK(X82),IF(ISBLANK(AE82),IF(ISBLANK(AL82),$BB$1,AL82),AE82),X82),Q82),J82),$BB$1)</f>
        <v>0</v>
      </c>
      <c r="AT82" s="15">
        <f t="shared" si="89"/>
        <v>0</v>
      </c>
      <c r="AU82" s="15">
        <f t="shared" si="89"/>
        <v>0</v>
      </c>
      <c r="AV82" s="15" t="str">
        <f t="shared" si="89"/>
        <v>crème de noyau</v>
      </c>
      <c r="AW82" s="15">
        <f t="shared" si="89"/>
        <v>0</v>
      </c>
      <c r="AX82" s="15">
        <f t="shared" si="89"/>
        <v>0</v>
      </c>
      <c r="AY82" s="15">
        <f t="shared" si="89"/>
        <v>0</v>
      </c>
      <c r="BA82" s="13">
        <f t="shared" si="1"/>
        <v>35</v>
      </c>
      <c r="BB82" s="15" t="b">
        <f t="shared" si="2"/>
        <v>0</v>
      </c>
    </row>
    <row r="83" spans="1:54" x14ac:dyDescent="0.2">
      <c r="A83" s="20" t="s">
        <v>194</v>
      </c>
      <c r="B83" s="20" t="s">
        <v>148</v>
      </c>
      <c r="C83" s="20" t="s">
        <v>195</v>
      </c>
      <c r="D83" s="20" t="s">
        <v>38</v>
      </c>
      <c r="E83" s="20" t="s">
        <v>86</v>
      </c>
      <c r="F83" s="20"/>
      <c r="G83" s="20"/>
      <c r="H83" s="20" t="s">
        <v>194</v>
      </c>
      <c r="I83" s="15">
        <v>3</v>
      </c>
      <c r="J83" s="15">
        <f>IFERROR(VLOOKUP($C83,Sheet3!$H$2:$O$200,J$1,FALSE),IFERROR(VLOOKUP($D83,Sheet3!$H$2:$O$200,J$1,FALSE),VLOOKUP($E83,Sheet3!$H$2:$O$200,J$1,FALSE)))</f>
        <v>0</v>
      </c>
      <c r="K83" s="15" t="str">
        <f>IFERROR(VLOOKUP($C83,Sheet3!$H$2:$O$200,K$1,FALSE),IFERROR(VLOOKUP($D83,Sheet3!$H$2:$O$200,K$1,FALSE),VLOOKUP($E83,Sheet3!$H$2:$O$200,K$1,FALSE)))</f>
        <v>champagne</v>
      </c>
      <c r="L83" s="15">
        <f>IFERROR(VLOOKUP($C83,Sheet3!$H$2:$O$200,L$1,FALSE),IFERROR(VLOOKUP($D83,Sheet3!$H$2:$O$200,L$1,FALSE),VLOOKUP($E83,Sheet3!$H$2:$O$200,L$1,FALSE)))</f>
        <v>0</v>
      </c>
      <c r="M83" s="15">
        <f>IFERROR(VLOOKUP($C83,Sheet3!$H$2:$O$200,M$1,FALSE),IFERROR(VLOOKUP($D83,Sheet3!$H$2:$O$200,M$1,FALSE),VLOOKUP($E83,Sheet3!$H$2:$O$200,M$1,FALSE)))</f>
        <v>0</v>
      </c>
      <c r="N83" s="15">
        <f>IFERROR(VLOOKUP($C83,Sheet3!$H$2:$O$200,N$1,FALSE),IFERROR(VLOOKUP($D83,Sheet3!$H$2:$O$200,N$1,FALSE),VLOOKUP($E83,Sheet3!$H$2:$O$200,N$1,FALSE)))</f>
        <v>0</v>
      </c>
      <c r="O83" s="15">
        <f>IFERROR(VLOOKUP($C83,Sheet3!$H$2:$O$200,O$1,FALSE),IFERROR(VLOOKUP($D83,Sheet3!$H$2:$O$200,O$1,FALSE),VLOOKUP($E83,Sheet3!$H$2:$O$200,O$1,FALSE)))</f>
        <v>0</v>
      </c>
      <c r="P83" s="15">
        <f>IFERROR(VLOOKUP($C83,Sheet3!$H$2:$O$200,P$1,FALSE),IFERROR(VLOOKUP($D83,Sheet3!$H$2:$O$200,P$1,FALSE),VLOOKUP($E83,Sheet3!$H$2:$O$200,P$1,FALSE)))</f>
        <v>0</v>
      </c>
      <c r="Q83" s="15">
        <f>IFERROR(IF(ISBLANK(J83),IFERROR(VLOOKUP($D83,Sheet3!$H$2:$O$200,Q$1,FALSE),IFERROR(VLOOKUP($E83,Sheet3!$H$2:$O$200,Q$1,FALSE),VLOOKUP($F83,Sheet3!$H$2:$O$200,Q$1,FALSE))),$I$1),$I$1)</f>
        <v>0</v>
      </c>
      <c r="R83" s="15">
        <f>IFERROR(IF(ISBLANK(K83),IFERROR(VLOOKUP($D83,Sheet3!$H$2:$O$200,R$1,FALSE),IFERROR(VLOOKUP($E83,Sheet3!$H$2:$O$200,R$1,FALSE),VLOOKUP($F83,Sheet3!$H$2:$O$200,R$1,FALSE))),$I$1),$I$1)</f>
        <v>0</v>
      </c>
      <c r="S83" s="15">
        <f>IFERROR(IF(ISBLANK(L83),IFERROR(VLOOKUP($D83,Sheet3!$H$2:$O$200,S$1,FALSE),IFERROR(VLOOKUP($E83,Sheet3!$H$2:$O$200,S$1,FALSE),VLOOKUP($F83,Sheet3!$H$2:$O$200,S$1,FALSE))),$I$1),$I$1)</f>
        <v>0</v>
      </c>
      <c r="T83" s="15">
        <f>IFERROR(IF(ISBLANK(M83),IFERROR(VLOOKUP($D83,Sheet3!$H$2:$O$200,T$1,FALSE),IFERROR(VLOOKUP($E83,Sheet3!$H$2:$O$200,T$1,FALSE),VLOOKUP($F83,Sheet3!$H$2:$O$200,T$1,FALSE))),$I$1),$I$1)</f>
        <v>0</v>
      </c>
      <c r="U83" s="15">
        <f>IFERROR(IF(ISBLANK(N83),IFERROR(VLOOKUP($D83,Sheet3!$H$2:$O$200,U$1,FALSE),IFERROR(VLOOKUP($E83,Sheet3!$H$2:$O$200,U$1,FALSE),VLOOKUP($F83,Sheet3!$H$2:$O$200,U$1,FALSE))),$I$1),$I$1)</f>
        <v>0</v>
      </c>
      <c r="V83" s="15">
        <f>IFERROR(IF(ISBLANK(O83),IFERROR(VLOOKUP($D83,Sheet3!$H$2:$O$200,V$1,FALSE),IFERROR(VLOOKUP($E83,Sheet3!$H$2:$O$200,V$1,FALSE),VLOOKUP($F83,Sheet3!$H$2:$O$200,V$1,FALSE))),$I$1),$I$1)</f>
        <v>0</v>
      </c>
      <c r="W83" s="15">
        <f>IFERROR(IF(ISBLANK(P83),IFERROR(VLOOKUP($D83,Sheet3!$H$2:$O$200,W$1,FALSE),IFERROR(VLOOKUP($E83,Sheet3!$H$2:$O$200,W$1,FALSE),VLOOKUP($F83,Sheet3!$H$2:$O$200,W$1,FALSE))),$I$1),$I$1)</f>
        <v>0</v>
      </c>
      <c r="X83" s="15">
        <f>IFERROR(IF(ISBLANK(Q83),IFERROR(VLOOKUP($E83,Sheet3!$H$2:$O$200,X$1,FALSE),IFERROR(VLOOKUP($F83,Sheet3!$H$2:$O$200,X$1,FALSE),VLOOKUP($G83,Sheet3!$H$2:$O$200,X$1,FALSE))),$I$1),$I$1)</f>
        <v>0</v>
      </c>
      <c r="Y83" s="15">
        <f>IFERROR(IF(ISBLANK(R83),IFERROR(VLOOKUP($E83,Sheet3!$H$2:$O$200,Y$1,FALSE),IFERROR(VLOOKUP($F83,Sheet3!$H$2:$O$200,Y$1,FALSE),VLOOKUP($G83,Sheet3!$H$2:$O$200,Y$1,FALSE))),$I$1),$I$1)</f>
        <v>0</v>
      </c>
      <c r="Z83" s="15">
        <f>IFERROR(IF(ISBLANK(S83),IFERROR(VLOOKUP($E83,Sheet3!$H$2:$O$200,Z$1,FALSE),IFERROR(VLOOKUP($F83,Sheet3!$H$2:$O$200,Z$1,FALSE),VLOOKUP($G83,Sheet3!$H$2:$O$200,Z$1,FALSE))),$I$1),$I$1)</f>
        <v>0</v>
      </c>
      <c r="AA83" s="15">
        <f>IFERROR(IF(ISBLANK(T83),IFERROR(VLOOKUP($E83,Sheet3!$H$2:$O$200,AA$1,FALSE),IFERROR(VLOOKUP($F83,Sheet3!$H$2:$O$200,AA$1,FALSE),VLOOKUP($G83,Sheet3!$H$2:$O$200,AA$1,FALSE))),$I$1),$I$1)</f>
        <v>0</v>
      </c>
      <c r="AB83" s="15">
        <f>IFERROR(IF(ISBLANK(U83),IFERROR(VLOOKUP($E83,Sheet3!$H$2:$O$200,AB$1,FALSE),IFERROR(VLOOKUP($F83,Sheet3!$H$2:$O$200,AB$1,FALSE),VLOOKUP($G83,Sheet3!$H$2:$O$200,AB$1,FALSE))),$I$1),$I$1)</f>
        <v>0</v>
      </c>
      <c r="AC83" s="15">
        <f>IFERROR(IF(ISBLANK(V83),IFERROR(VLOOKUP($E83,Sheet3!$H$2:$O$200,AC$1,FALSE),IFERROR(VLOOKUP($F83,Sheet3!$H$2:$O$200,AC$1,FALSE),VLOOKUP($G83,Sheet3!$H$2:$O$200,AC$1,FALSE))),$I$1),$I$1)</f>
        <v>0</v>
      </c>
      <c r="AD83" s="15">
        <f>IFERROR(IF(ISBLANK(W83),IFERROR(VLOOKUP($E83,Sheet3!$H$2:$O$200,AD$1,FALSE),IFERROR(VLOOKUP($F83,Sheet3!$H$2:$O$200,AD$1,FALSE),VLOOKUP($G83,Sheet3!$H$2:$O$200,AD$1,FALSE))),$I$1),$I$1)</f>
        <v>0</v>
      </c>
      <c r="AE83" s="15">
        <f>IFERROR(IF(ISBLANK(X83),IFERROR(VLOOKUP($F83,Sheet3!$H$2:$O$200,AE$1,FALSE),VLOOKUP($G83,Sheet3!$H$2:$O$200,AE$1,FALSE)),$I$1),$I$1)</f>
        <v>0</v>
      </c>
      <c r="AF83" s="15">
        <f>IFERROR(IF(ISBLANK(Y83),IFERROR(VLOOKUP($F83,Sheet3!$H$2:$O$200,AF$1,FALSE),VLOOKUP($G83,Sheet3!$H$2:$O$200,AF$1,FALSE)),$I$1),$I$1)</f>
        <v>0</v>
      </c>
      <c r="AG83" s="15">
        <f>IFERROR(IF(ISBLANK(Z83),IFERROR(VLOOKUP($F83,Sheet3!$H$2:$O$200,AG$1,FALSE),VLOOKUP($G83,Sheet3!$H$2:$O$200,AG$1,FALSE)),$I$1),$I$1)</f>
        <v>0</v>
      </c>
      <c r="AH83" s="15">
        <f>IFERROR(IF(ISBLANK(AA83),IFERROR(VLOOKUP($F83,Sheet3!$H$2:$O$200,AH$1,FALSE),VLOOKUP($G83,Sheet3!$H$2:$O$200,AH$1,FALSE)),$I$1),$I$1)</f>
        <v>0</v>
      </c>
      <c r="AI83" s="15">
        <f>IFERROR(IF(ISBLANK(AB83),IFERROR(VLOOKUP($F83,Sheet3!$H$2:$O$200,AI$1,FALSE),VLOOKUP($G83,Sheet3!$H$2:$O$200,AI$1,FALSE)),$I$1),$I$1)</f>
        <v>0</v>
      </c>
      <c r="AJ83" s="15">
        <f>IFERROR(IF(ISBLANK(AC83),IFERROR(VLOOKUP($F83,Sheet3!$H$2:$O$200,AJ$1,FALSE),VLOOKUP($G83,Sheet3!$H$2:$O$200,AJ$1,FALSE)),$I$1),$I$1)</f>
        <v>0</v>
      </c>
      <c r="AK83" s="15">
        <f>IFERROR(IF(ISBLANK(AD83),IFERROR(VLOOKUP($F83,Sheet3!$H$2:$O$200,AK$1,FALSE),VLOOKUP($G83,Sheet3!$H$2:$O$200,AK$1,FALSE)),$I$1),$I$1)</f>
        <v>0</v>
      </c>
      <c r="AL83" s="15">
        <f>IFERROR(IF(ISBLANK(AE83),VLOOKUP($G83,Sheet3!$H$2:$O$200,AL$1,FALSE),$I$1),$I$1)</f>
        <v>0</v>
      </c>
      <c r="AM83" s="15">
        <f>IFERROR(IF(ISBLANK(AF83),VLOOKUP($G83,Sheet3!$H$2:$O$200,AM$1,FALSE),$I$1),$I$1)</f>
        <v>0</v>
      </c>
      <c r="AN83" s="15">
        <f>IFERROR(IF(ISBLANK(AG83),VLOOKUP($G83,Sheet3!$H$2:$O$200,AN$1,FALSE),$I$1),$I$1)</f>
        <v>0</v>
      </c>
      <c r="AO83" s="15">
        <f>IFERROR(IF(ISBLANK(AH83),VLOOKUP($G83,Sheet3!$H$2:$O$200,AO$1,FALSE),$I$1),$I$1)</f>
        <v>0</v>
      </c>
      <c r="AP83" s="15">
        <f>IFERROR(IF(ISBLANK(AI83),VLOOKUP($G83,Sheet3!$H$2:$O$200,AP$1,FALSE),$I$1),$I$1)</f>
        <v>0</v>
      </c>
      <c r="AQ83" s="15">
        <f>IFERROR(IF(ISBLANK(AJ83),VLOOKUP($G83,Sheet3!$H$2:$O$200,AQ$1,FALSE),$I$1),$I$1)</f>
        <v>0</v>
      </c>
      <c r="AR83" s="15">
        <f>IFERROR(IF(ISBLANK(AK83),VLOOKUP($G83,Sheet3!$H$2:$O$200,AR$1,FALSE),$I$1),$I$1)</f>
        <v>0</v>
      </c>
      <c r="AS83" s="15">
        <f t="shared" ref="AS83:AY83" si="90">IFERROR(IF(ISBLANK(J83),IF(ISBLANK(Q83),IF(ISBLANK(X83),IF(ISBLANK(AE83),IF(ISBLANK(AL83),$BB$1,AL83),AE83),X83),Q83),J83),$BB$1)</f>
        <v>0</v>
      </c>
      <c r="AT83" s="15" t="str">
        <f t="shared" si="90"/>
        <v>champagne</v>
      </c>
      <c r="AU83" s="15">
        <f t="shared" si="90"/>
        <v>0</v>
      </c>
      <c r="AV83" s="15">
        <f t="shared" si="90"/>
        <v>0</v>
      </c>
      <c r="AW83" s="15">
        <f t="shared" si="90"/>
        <v>0</v>
      </c>
      <c r="AX83" s="15">
        <f t="shared" si="90"/>
        <v>0</v>
      </c>
      <c r="AY83" s="15">
        <f t="shared" si="90"/>
        <v>0</v>
      </c>
      <c r="BA83" s="13">
        <f t="shared" si="1"/>
        <v>35</v>
      </c>
      <c r="BB83" s="15" t="b">
        <f t="shared" si="2"/>
        <v>0</v>
      </c>
    </row>
    <row r="84" spans="1:54" x14ac:dyDescent="0.2">
      <c r="A84" s="19" t="s">
        <v>197</v>
      </c>
      <c r="B84" s="19" t="s">
        <v>198</v>
      </c>
      <c r="C84" s="19" t="s">
        <v>52</v>
      </c>
      <c r="D84" s="19"/>
      <c r="E84" s="19" t="s">
        <v>104</v>
      </c>
      <c r="F84" s="19"/>
      <c r="G84" s="19"/>
      <c r="H84" s="19" t="s">
        <v>197</v>
      </c>
      <c r="I84" s="15">
        <v>2</v>
      </c>
      <c r="J84" s="15">
        <f>IFERROR(VLOOKUP($C84,Sheet3!$H$2:$O$200,J$1,FALSE),IFERROR(VLOOKUP($D84,Sheet3!$H$2:$O$200,J$1,FALSE),VLOOKUP($E84,Sheet3!$H$2:$O$200,J$1,FALSE)))</f>
        <v>0</v>
      </c>
      <c r="K84" s="15">
        <f>IFERROR(VLOOKUP($C84,Sheet3!$H$2:$O$200,K$1,FALSE),IFERROR(VLOOKUP($D84,Sheet3!$H$2:$O$200,K$1,FALSE),VLOOKUP($E84,Sheet3!$H$2:$O$200,K$1,FALSE)))</f>
        <v>0</v>
      </c>
      <c r="L84" s="15">
        <f>IFERROR(VLOOKUP($C84,Sheet3!$H$2:$O$200,L$1,FALSE),IFERROR(VLOOKUP($D84,Sheet3!$H$2:$O$200,L$1,FALSE),VLOOKUP($E84,Sheet3!$H$2:$O$200,L$1,FALSE)))</f>
        <v>0</v>
      </c>
      <c r="M84" s="15" t="str">
        <f>IFERROR(VLOOKUP($C84,Sheet3!$H$2:$O$200,M$1,FALSE),IFERROR(VLOOKUP($D84,Sheet3!$H$2:$O$200,M$1,FALSE),VLOOKUP($E84,Sheet3!$H$2:$O$200,M$1,FALSE)))</f>
        <v>dry vermouth</v>
      </c>
      <c r="N84" s="15">
        <f>IFERROR(VLOOKUP($C84,Sheet3!$H$2:$O$200,N$1,FALSE),IFERROR(VLOOKUP($D84,Sheet3!$H$2:$O$200,N$1,FALSE),VLOOKUP($E84,Sheet3!$H$2:$O$200,N$1,FALSE)))</f>
        <v>0</v>
      </c>
      <c r="O84" s="15">
        <f>IFERROR(VLOOKUP($C84,Sheet3!$H$2:$O$200,O$1,FALSE),IFERROR(VLOOKUP($D84,Sheet3!$H$2:$O$200,O$1,FALSE),VLOOKUP($E84,Sheet3!$H$2:$O$200,O$1,FALSE)))</f>
        <v>0</v>
      </c>
      <c r="P84" s="15">
        <f>IFERROR(VLOOKUP($C84,Sheet3!$H$2:$O$200,P$1,FALSE),IFERROR(VLOOKUP($D84,Sheet3!$H$2:$O$200,P$1,FALSE),VLOOKUP($E84,Sheet3!$H$2:$O$200,P$1,FALSE)))</f>
        <v>0</v>
      </c>
      <c r="Q84" s="15">
        <f>IFERROR(IF(ISBLANK(J84),IFERROR(VLOOKUP($D84,Sheet3!$H$2:$O$200,Q$1,FALSE),IFERROR(VLOOKUP($E84,Sheet3!$H$2:$O$200,Q$1,FALSE),VLOOKUP($F84,Sheet3!$H$2:$O$200,Q$1,FALSE))),$I$1),$I$1)</f>
        <v>0</v>
      </c>
      <c r="R84" s="15">
        <f>IFERROR(IF(ISBLANK(K84),IFERROR(VLOOKUP($D84,Sheet3!$H$2:$O$200,R$1,FALSE),IFERROR(VLOOKUP($E84,Sheet3!$H$2:$O$200,R$1,FALSE),VLOOKUP($F84,Sheet3!$H$2:$O$200,R$1,FALSE))),$I$1),$I$1)</f>
        <v>0</v>
      </c>
      <c r="S84" s="15">
        <f>IFERROR(IF(ISBLANK(L84),IFERROR(VLOOKUP($D84,Sheet3!$H$2:$O$200,S$1,FALSE),IFERROR(VLOOKUP($E84,Sheet3!$H$2:$O$200,S$1,FALSE),VLOOKUP($F84,Sheet3!$H$2:$O$200,S$1,FALSE))),$I$1),$I$1)</f>
        <v>0</v>
      </c>
      <c r="T84" s="15">
        <f>IFERROR(IF(ISBLANK(M84),IFERROR(VLOOKUP($D84,Sheet3!$H$2:$O$200,T$1,FALSE),IFERROR(VLOOKUP($E84,Sheet3!$H$2:$O$200,T$1,FALSE),VLOOKUP($F84,Sheet3!$H$2:$O$200,T$1,FALSE))),$I$1),$I$1)</f>
        <v>0</v>
      </c>
      <c r="U84" s="15">
        <f>IFERROR(IF(ISBLANK(N84),IFERROR(VLOOKUP($D84,Sheet3!$H$2:$O$200,U$1,FALSE),IFERROR(VLOOKUP($E84,Sheet3!$H$2:$O$200,U$1,FALSE),VLOOKUP($F84,Sheet3!$H$2:$O$200,U$1,FALSE))),$I$1),$I$1)</f>
        <v>0</v>
      </c>
      <c r="V84" s="15">
        <f>IFERROR(IF(ISBLANK(O84),IFERROR(VLOOKUP($D84,Sheet3!$H$2:$O$200,V$1,FALSE),IFERROR(VLOOKUP($E84,Sheet3!$H$2:$O$200,V$1,FALSE),VLOOKUP($F84,Sheet3!$H$2:$O$200,V$1,FALSE))),$I$1),$I$1)</f>
        <v>0</v>
      </c>
      <c r="W84" s="15">
        <f>IFERROR(IF(ISBLANK(P84),IFERROR(VLOOKUP($D84,Sheet3!$H$2:$O$200,W$1,FALSE),IFERROR(VLOOKUP($E84,Sheet3!$H$2:$O$200,W$1,FALSE),VLOOKUP($F84,Sheet3!$H$2:$O$200,W$1,FALSE))),$I$1),$I$1)</f>
        <v>0</v>
      </c>
      <c r="X84" s="15">
        <f>IFERROR(IF(ISBLANK(Q84),IFERROR(VLOOKUP($E84,Sheet3!$H$2:$O$200,X$1,FALSE),IFERROR(VLOOKUP($F84,Sheet3!$H$2:$O$200,X$1,FALSE),VLOOKUP($G84,Sheet3!$H$2:$O$200,X$1,FALSE))),$I$1),$I$1)</f>
        <v>0</v>
      </c>
      <c r="Y84" s="15">
        <f>IFERROR(IF(ISBLANK(R84),IFERROR(VLOOKUP($E84,Sheet3!$H$2:$O$200,Y$1,FALSE),IFERROR(VLOOKUP($F84,Sheet3!$H$2:$O$200,Y$1,FALSE),VLOOKUP($G84,Sheet3!$H$2:$O$200,Y$1,FALSE))),$I$1),$I$1)</f>
        <v>0</v>
      </c>
      <c r="Z84" s="15">
        <f>IFERROR(IF(ISBLANK(S84),IFERROR(VLOOKUP($E84,Sheet3!$H$2:$O$200,Z$1,FALSE),IFERROR(VLOOKUP($F84,Sheet3!$H$2:$O$200,Z$1,FALSE),VLOOKUP($G84,Sheet3!$H$2:$O$200,Z$1,FALSE))),$I$1),$I$1)</f>
        <v>0</v>
      </c>
      <c r="AA84" s="15">
        <f>IFERROR(IF(ISBLANK(T84),IFERROR(VLOOKUP($E84,Sheet3!$H$2:$O$200,AA$1,FALSE),IFERROR(VLOOKUP($F84,Sheet3!$H$2:$O$200,AA$1,FALSE),VLOOKUP($G84,Sheet3!$H$2:$O$200,AA$1,FALSE))),$I$1),$I$1)</f>
        <v>0</v>
      </c>
      <c r="AB84" s="15">
        <f>IFERROR(IF(ISBLANK(U84),IFERROR(VLOOKUP($E84,Sheet3!$H$2:$O$200,AB$1,FALSE),IFERROR(VLOOKUP($F84,Sheet3!$H$2:$O$200,AB$1,FALSE),VLOOKUP($G84,Sheet3!$H$2:$O$200,AB$1,FALSE))),$I$1),$I$1)</f>
        <v>0</v>
      </c>
      <c r="AC84" s="15">
        <f>IFERROR(IF(ISBLANK(V84),IFERROR(VLOOKUP($E84,Sheet3!$H$2:$O$200,AC$1,FALSE),IFERROR(VLOOKUP($F84,Sheet3!$H$2:$O$200,AC$1,FALSE),VLOOKUP($G84,Sheet3!$H$2:$O$200,AC$1,FALSE))),$I$1),$I$1)</f>
        <v>0</v>
      </c>
      <c r="AD84" s="15">
        <f>IFERROR(IF(ISBLANK(W84),IFERROR(VLOOKUP($E84,Sheet3!$H$2:$O$200,AD$1,FALSE),IFERROR(VLOOKUP($F84,Sheet3!$H$2:$O$200,AD$1,FALSE),VLOOKUP($G84,Sheet3!$H$2:$O$200,AD$1,FALSE))),$I$1),$I$1)</f>
        <v>0</v>
      </c>
      <c r="AE84" s="15">
        <f>IFERROR(IF(ISBLANK(X84),IFERROR(VLOOKUP($F84,Sheet3!$H$2:$O$200,AE$1,FALSE),VLOOKUP($G84,Sheet3!$H$2:$O$200,AE$1,FALSE)),$I$1),$I$1)</f>
        <v>0</v>
      </c>
      <c r="AF84" s="15">
        <f>IFERROR(IF(ISBLANK(Y84),IFERROR(VLOOKUP($F84,Sheet3!$H$2:$O$200,AF$1,FALSE),VLOOKUP($G84,Sheet3!$H$2:$O$200,AF$1,FALSE)),$I$1),$I$1)</f>
        <v>0</v>
      </c>
      <c r="AG84" s="15">
        <f>IFERROR(IF(ISBLANK(Z84),IFERROR(VLOOKUP($F84,Sheet3!$H$2:$O$200,AG$1,FALSE),VLOOKUP($G84,Sheet3!$H$2:$O$200,AG$1,FALSE)),$I$1),$I$1)</f>
        <v>0</v>
      </c>
      <c r="AH84" s="15">
        <f>IFERROR(IF(ISBLANK(AA84),IFERROR(VLOOKUP($F84,Sheet3!$H$2:$O$200,AH$1,FALSE),VLOOKUP($G84,Sheet3!$H$2:$O$200,AH$1,FALSE)),$I$1),$I$1)</f>
        <v>0</v>
      </c>
      <c r="AI84" s="15">
        <f>IFERROR(IF(ISBLANK(AB84),IFERROR(VLOOKUP($F84,Sheet3!$H$2:$O$200,AI$1,FALSE),VLOOKUP($G84,Sheet3!$H$2:$O$200,AI$1,FALSE)),$I$1),$I$1)</f>
        <v>0</v>
      </c>
      <c r="AJ84" s="15">
        <f>IFERROR(IF(ISBLANK(AC84),IFERROR(VLOOKUP($F84,Sheet3!$H$2:$O$200,AJ$1,FALSE),VLOOKUP($G84,Sheet3!$H$2:$O$200,AJ$1,FALSE)),$I$1),$I$1)</f>
        <v>0</v>
      </c>
      <c r="AK84" s="15">
        <f>IFERROR(IF(ISBLANK(AD84),IFERROR(VLOOKUP($F84,Sheet3!$H$2:$O$200,AK$1,FALSE),VLOOKUP($G84,Sheet3!$H$2:$O$200,AK$1,FALSE)),$I$1),$I$1)</f>
        <v>0</v>
      </c>
      <c r="AL84" s="15">
        <f>IFERROR(IF(ISBLANK(AE84),VLOOKUP($G84,Sheet3!$H$2:$O$200,AL$1,FALSE),$I$1),$I$1)</f>
        <v>0</v>
      </c>
      <c r="AM84" s="15">
        <f>IFERROR(IF(ISBLANK(AF84),VLOOKUP($G84,Sheet3!$H$2:$O$200,AM$1,FALSE),$I$1),$I$1)</f>
        <v>0</v>
      </c>
      <c r="AN84" s="15">
        <f>IFERROR(IF(ISBLANK(AG84),VLOOKUP($G84,Sheet3!$H$2:$O$200,AN$1,FALSE),$I$1),$I$1)</f>
        <v>0</v>
      </c>
      <c r="AO84" s="15">
        <f>IFERROR(IF(ISBLANK(AH84),VLOOKUP($G84,Sheet3!$H$2:$O$200,AO$1,FALSE),$I$1),$I$1)</f>
        <v>0</v>
      </c>
      <c r="AP84" s="15">
        <f>IFERROR(IF(ISBLANK(AI84),VLOOKUP($G84,Sheet3!$H$2:$O$200,AP$1,FALSE),$I$1),$I$1)</f>
        <v>0</v>
      </c>
      <c r="AQ84" s="15">
        <f>IFERROR(IF(ISBLANK(AJ84),VLOOKUP($G84,Sheet3!$H$2:$O$200,AQ$1,FALSE),$I$1),$I$1)</f>
        <v>0</v>
      </c>
      <c r="AR84" s="15">
        <f>IFERROR(IF(ISBLANK(AK84),VLOOKUP($G84,Sheet3!$H$2:$O$200,AR$1,FALSE),$I$1),$I$1)</f>
        <v>0</v>
      </c>
      <c r="AS84" s="15">
        <f t="shared" ref="AS84:AY84" si="91">IFERROR(IF(ISBLANK(J84),IF(ISBLANK(Q84),IF(ISBLANK(X84),IF(ISBLANK(AE84),IF(ISBLANK(AL84),$BB$1,AL84),AE84),X84),Q84),J84),$BB$1)</f>
        <v>0</v>
      </c>
      <c r="AT84" s="15">
        <f t="shared" si="91"/>
        <v>0</v>
      </c>
      <c r="AU84" s="15">
        <f t="shared" si="91"/>
        <v>0</v>
      </c>
      <c r="AV84" s="15" t="str">
        <f t="shared" si="91"/>
        <v>dry vermouth</v>
      </c>
      <c r="AW84" s="15">
        <f t="shared" si="91"/>
        <v>0</v>
      </c>
      <c r="AX84" s="15">
        <f t="shared" si="91"/>
        <v>0</v>
      </c>
      <c r="AY84" s="15">
        <f t="shared" si="91"/>
        <v>0</v>
      </c>
      <c r="BA84" s="13">
        <f t="shared" si="1"/>
        <v>35</v>
      </c>
      <c r="BB84" s="15" t="b">
        <f t="shared" si="2"/>
        <v>0</v>
      </c>
    </row>
    <row r="85" spans="1:54" x14ac:dyDescent="0.2">
      <c r="A85" s="19" t="s">
        <v>200</v>
      </c>
      <c r="B85" s="19" t="s">
        <v>198</v>
      </c>
      <c r="C85" s="19" t="s">
        <v>52</v>
      </c>
      <c r="D85" s="19" t="s">
        <v>126</v>
      </c>
      <c r="E85" s="18" t="s">
        <v>74</v>
      </c>
      <c r="F85" s="18" t="s">
        <v>201</v>
      </c>
      <c r="G85" s="19"/>
      <c r="H85" s="19" t="s">
        <v>200</v>
      </c>
      <c r="I85" s="15">
        <v>4</v>
      </c>
      <c r="J85" s="15">
        <f>IFERROR(VLOOKUP($C85,Sheet3!$H$2:$O$200,J$1,FALSE),IFERROR(VLOOKUP($D85,Sheet3!$H$2:$O$200,J$1,FALSE),VLOOKUP($E85,Sheet3!$H$2:$O$200,J$1,FALSE)))</f>
        <v>0</v>
      </c>
      <c r="K85" s="15">
        <f>IFERROR(VLOOKUP($C85,Sheet3!$H$2:$O$200,K$1,FALSE),IFERROR(VLOOKUP($D85,Sheet3!$H$2:$O$200,K$1,FALSE),VLOOKUP($E85,Sheet3!$H$2:$O$200,K$1,FALSE)))</f>
        <v>0</v>
      </c>
      <c r="L85" s="15">
        <f>IFERROR(VLOOKUP($C85,Sheet3!$H$2:$O$200,L$1,FALSE),IFERROR(VLOOKUP($D85,Sheet3!$H$2:$O$200,L$1,FALSE),VLOOKUP($E85,Sheet3!$H$2:$O$200,L$1,FALSE)))</f>
        <v>0</v>
      </c>
      <c r="M85" s="15" t="str">
        <f>IFERROR(VLOOKUP($C85,Sheet3!$H$2:$O$200,M$1,FALSE),IFERROR(VLOOKUP($D85,Sheet3!$H$2:$O$200,M$1,FALSE),VLOOKUP($E85,Sheet3!$H$2:$O$200,M$1,FALSE)))</f>
        <v>dry vermouth</v>
      </c>
      <c r="N85" s="15">
        <f>IFERROR(VLOOKUP($C85,Sheet3!$H$2:$O$200,N$1,FALSE),IFERROR(VLOOKUP($D85,Sheet3!$H$2:$O$200,N$1,FALSE),VLOOKUP($E85,Sheet3!$H$2:$O$200,N$1,FALSE)))</f>
        <v>0</v>
      </c>
      <c r="O85" s="15">
        <f>IFERROR(VLOOKUP($C85,Sheet3!$H$2:$O$200,O$1,FALSE),IFERROR(VLOOKUP($D85,Sheet3!$H$2:$O$200,O$1,FALSE),VLOOKUP($E85,Sheet3!$H$2:$O$200,O$1,FALSE)))</f>
        <v>0</v>
      </c>
      <c r="P85" s="15">
        <f>IFERROR(VLOOKUP($C85,Sheet3!$H$2:$O$200,P$1,FALSE),IFERROR(VLOOKUP($D85,Sheet3!$H$2:$O$200,P$1,FALSE),VLOOKUP($E85,Sheet3!$H$2:$O$200,P$1,FALSE)))</f>
        <v>0</v>
      </c>
      <c r="Q85" s="15">
        <f>IFERROR(IF(ISBLANK(J85),IFERROR(VLOOKUP($D85,Sheet3!$H$2:$O$200,Q$1,FALSE),IFERROR(VLOOKUP($E85,Sheet3!$H$2:$O$200,Q$1,FALSE),VLOOKUP($F85,Sheet3!$H$2:$O$200,Q$1,FALSE))),$I$1),$I$1)</f>
        <v>0</v>
      </c>
      <c r="R85" s="15">
        <f>IFERROR(IF(ISBLANK(K85),IFERROR(VLOOKUP($D85,Sheet3!$H$2:$O$200,R$1,FALSE),IFERROR(VLOOKUP($E85,Sheet3!$H$2:$O$200,R$1,FALSE),VLOOKUP($F85,Sheet3!$H$2:$O$200,R$1,FALSE))),$I$1),$I$1)</f>
        <v>0</v>
      </c>
      <c r="S85" s="15">
        <f>IFERROR(IF(ISBLANK(L85),IFERROR(VLOOKUP($D85,Sheet3!$H$2:$O$200,S$1,FALSE),IFERROR(VLOOKUP($E85,Sheet3!$H$2:$O$200,S$1,FALSE),VLOOKUP($F85,Sheet3!$H$2:$O$200,S$1,FALSE))),$I$1),$I$1)</f>
        <v>0</v>
      </c>
      <c r="T85" s="15">
        <f>IFERROR(IF(ISBLANK(M85),IFERROR(VLOOKUP($D85,Sheet3!$H$2:$O$200,T$1,FALSE),IFERROR(VLOOKUP($E85,Sheet3!$H$2:$O$200,T$1,FALSE),VLOOKUP($F85,Sheet3!$H$2:$O$200,T$1,FALSE))),$I$1),$I$1)</f>
        <v>0</v>
      </c>
      <c r="U85" s="15">
        <f>IFERROR(IF(ISBLANK(N85),IFERROR(VLOOKUP($D85,Sheet3!$H$2:$O$200,U$1,FALSE),IFERROR(VLOOKUP($E85,Sheet3!$H$2:$O$200,U$1,FALSE),VLOOKUP($F85,Sheet3!$H$2:$O$200,U$1,FALSE))),$I$1),$I$1)</f>
        <v>0</v>
      </c>
      <c r="V85" s="15">
        <f>IFERROR(IF(ISBLANK(O85),IFERROR(VLOOKUP($D85,Sheet3!$H$2:$O$200,V$1,FALSE),IFERROR(VLOOKUP($E85,Sheet3!$H$2:$O$200,V$1,FALSE),VLOOKUP($F85,Sheet3!$H$2:$O$200,V$1,FALSE))),$I$1),$I$1)</f>
        <v>0</v>
      </c>
      <c r="W85" s="15">
        <f>IFERROR(IF(ISBLANK(P85),IFERROR(VLOOKUP($D85,Sheet3!$H$2:$O$200,W$1,FALSE),IFERROR(VLOOKUP($E85,Sheet3!$H$2:$O$200,W$1,FALSE),VLOOKUP($F85,Sheet3!$H$2:$O$200,W$1,FALSE))),$I$1),$I$1)</f>
        <v>0</v>
      </c>
      <c r="X85" s="15">
        <f>IFERROR(IF(ISBLANK(Q85),IFERROR(VLOOKUP($E85,Sheet3!$H$2:$O$200,X$1,FALSE),IFERROR(VLOOKUP($F85,Sheet3!$H$2:$O$200,X$1,FALSE),VLOOKUP($G85,Sheet3!$H$2:$O$200,X$1,FALSE))),$I$1),$I$1)</f>
        <v>0</v>
      </c>
      <c r="Y85" s="15">
        <f>IFERROR(IF(ISBLANK(R85),IFERROR(VLOOKUP($E85,Sheet3!$H$2:$O$200,Y$1,FALSE),IFERROR(VLOOKUP($F85,Sheet3!$H$2:$O$200,Y$1,FALSE),VLOOKUP($G85,Sheet3!$H$2:$O$200,Y$1,FALSE))),$I$1),$I$1)</f>
        <v>0</v>
      </c>
      <c r="Z85" s="15">
        <f>IFERROR(IF(ISBLANK(S85),IFERROR(VLOOKUP($E85,Sheet3!$H$2:$O$200,Z$1,FALSE),IFERROR(VLOOKUP($F85,Sheet3!$H$2:$O$200,Z$1,FALSE),VLOOKUP($G85,Sheet3!$H$2:$O$200,Z$1,FALSE))),$I$1),$I$1)</f>
        <v>0</v>
      </c>
      <c r="AA85" s="15">
        <f>IFERROR(IF(ISBLANK(T85),IFERROR(VLOOKUP($E85,Sheet3!$H$2:$O$200,AA$1,FALSE),IFERROR(VLOOKUP($F85,Sheet3!$H$2:$O$200,AA$1,FALSE),VLOOKUP($G85,Sheet3!$H$2:$O$200,AA$1,FALSE))),$I$1),$I$1)</f>
        <v>0</v>
      </c>
      <c r="AB85" s="15">
        <f>IFERROR(IF(ISBLANK(U85),IFERROR(VLOOKUP($E85,Sheet3!$H$2:$O$200,AB$1,FALSE),IFERROR(VLOOKUP($F85,Sheet3!$H$2:$O$200,AB$1,FALSE),VLOOKUP($G85,Sheet3!$H$2:$O$200,AB$1,FALSE))),$I$1),$I$1)</f>
        <v>0</v>
      </c>
      <c r="AC85" s="15">
        <f>IFERROR(IF(ISBLANK(V85),IFERROR(VLOOKUP($E85,Sheet3!$H$2:$O$200,AC$1,FALSE),IFERROR(VLOOKUP($F85,Sheet3!$H$2:$O$200,AC$1,FALSE),VLOOKUP($G85,Sheet3!$H$2:$O$200,AC$1,FALSE))),$I$1),$I$1)</f>
        <v>0</v>
      </c>
      <c r="AD85" s="15">
        <f>IFERROR(IF(ISBLANK(W85),IFERROR(VLOOKUP($E85,Sheet3!$H$2:$O$200,AD$1,FALSE),IFERROR(VLOOKUP($F85,Sheet3!$H$2:$O$200,AD$1,FALSE),VLOOKUP($G85,Sheet3!$H$2:$O$200,AD$1,FALSE))),$I$1),$I$1)</f>
        <v>0</v>
      </c>
      <c r="AE85" s="15">
        <f>IFERROR(IF(ISBLANK(X85),IFERROR(VLOOKUP($F85,Sheet3!$H$2:$O$200,AE$1,FALSE),VLOOKUP($G85,Sheet3!$H$2:$O$200,AE$1,FALSE)),$I$1),$I$1)</f>
        <v>0</v>
      </c>
      <c r="AF85" s="15">
        <f>IFERROR(IF(ISBLANK(Y85),IFERROR(VLOOKUP($F85,Sheet3!$H$2:$O$200,AF$1,FALSE),VLOOKUP($G85,Sheet3!$H$2:$O$200,AF$1,FALSE)),$I$1),$I$1)</f>
        <v>0</v>
      </c>
      <c r="AG85" s="15">
        <f>IFERROR(IF(ISBLANK(Z85),IFERROR(VLOOKUP($F85,Sheet3!$H$2:$O$200,AG$1,FALSE),VLOOKUP($G85,Sheet3!$H$2:$O$200,AG$1,FALSE)),$I$1),$I$1)</f>
        <v>0</v>
      </c>
      <c r="AH85" s="15">
        <f>IFERROR(IF(ISBLANK(AA85),IFERROR(VLOOKUP($F85,Sheet3!$H$2:$O$200,AH$1,FALSE),VLOOKUP($G85,Sheet3!$H$2:$O$200,AH$1,FALSE)),$I$1),$I$1)</f>
        <v>0</v>
      </c>
      <c r="AI85" s="15">
        <f>IFERROR(IF(ISBLANK(AB85),IFERROR(VLOOKUP($F85,Sheet3!$H$2:$O$200,AI$1,FALSE),VLOOKUP($G85,Sheet3!$H$2:$O$200,AI$1,FALSE)),$I$1),$I$1)</f>
        <v>0</v>
      </c>
      <c r="AJ85" s="15">
        <f>IFERROR(IF(ISBLANK(AC85),IFERROR(VLOOKUP($F85,Sheet3!$H$2:$O$200,AJ$1,FALSE),VLOOKUP($G85,Sheet3!$H$2:$O$200,AJ$1,FALSE)),$I$1),$I$1)</f>
        <v>0</v>
      </c>
      <c r="AK85" s="15">
        <f>IFERROR(IF(ISBLANK(AD85),IFERROR(VLOOKUP($F85,Sheet3!$H$2:$O$200,AK$1,FALSE),VLOOKUP($G85,Sheet3!$H$2:$O$200,AK$1,FALSE)),$I$1),$I$1)</f>
        <v>0</v>
      </c>
      <c r="AL85" s="15">
        <f>IFERROR(IF(ISBLANK(AE85),VLOOKUP($G85,Sheet3!$H$2:$O$200,AL$1,FALSE),$I$1),$I$1)</f>
        <v>0</v>
      </c>
      <c r="AM85" s="15">
        <f>IFERROR(IF(ISBLANK(AF85),VLOOKUP($G85,Sheet3!$H$2:$O$200,AM$1,FALSE),$I$1),$I$1)</f>
        <v>0</v>
      </c>
      <c r="AN85" s="15">
        <f>IFERROR(IF(ISBLANK(AG85),VLOOKUP($G85,Sheet3!$H$2:$O$200,AN$1,FALSE),$I$1),$I$1)</f>
        <v>0</v>
      </c>
      <c r="AO85" s="15">
        <f>IFERROR(IF(ISBLANK(AH85),VLOOKUP($G85,Sheet3!$H$2:$O$200,AO$1,FALSE),$I$1),$I$1)</f>
        <v>0</v>
      </c>
      <c r="AP85" s="15">
        <f>IFERROR(IF(ISBLANK(AI85),VLOOKUP($G85,Sheet3!$H$2:$O$200,AP$1,FALSE),$I$1),$I$1)</f>
        <v>0</v>
      </c>
      <c r="AQ85" s="15">
        <f>IFERROR(IF(ISBLANK(AJ85),VLOOKUP($G85,Sheet3!$H$2:$O$200,AQ$1,FALSE),$I$1),$I$1)</f>
        <v>0</v>
      </c>
      <c r="AR85" s="15">
        <f>IFERROR(IF(ISBLANK(AK85),VLOOKUP($G85,Sheet3!$H$2:$O$200,AR$1,FALSE),$I$1),$I$1)</f>
        <v>0</v>
      </c>
      <c r="AS85" s="15">
        <f t="shared" ref="AS85:AY85" si="92">IFERROR(IF(ISBLANK(J85),IF(ISBLANK(Q85),IF(ISBLANK(X85),IF(ISBLANK(AE85),IF(ISBLANK(AL85),$BB$1,AL85),AE85),X85),Q85),J85),$BB$1)</f>
        <v>0</v>
      </c>
      <c r="AT85" s="15">
        <f t="shared" si="92"/>
        <v>0</v>
      </c>
      <c r="AU85" s="15">
        <f t="shared" si="92"/>
        <v>0</v>
      </c>
      <c r="AV85" s="15" t="str">
        <f t="shared" si="92"/>
        <v>dry vermouth</v>
      </c>
      <c r="AW85" s="15">
        <f t="shared" si="92"/>
        <v>0</v>
      </c>
      <c r="AX85" s="15">
        <f t="shared" si="92"/>
        <v>0</v>
      </c>
      <c r="AY85" s="15">
        <f t="shared" si="92"/>
        <v>0</v>
      </c>
      <c r="BA85" s="13">
        <f t="shared" si="1"/>
        <v>35</v>
      </c>
      <c r="BB85" s="15" t="b">
        <f t="shared" si="2"/>
        <v>0</v>
      </c>
    </row>
    <row r="86" spans="1:54" x14ac:dyDescent="0.2">
      <c r="A86" s="19" t="s">
        <v>202</v>
      </c>
      <c r="B86" s="19" t="s">
        <v>198</v>
      </c>
      <c r="C86" s="19" t="s">
        <v>178</v>
      </c>
      <c r="D86" s="19" t="s">
        <v>126</v>
      </c>
      <c r="E86" s="19" t="s">
        <v>66</v>
      </c>
      <c r="F86" s="19"/>
      <c r="G86" s="19"/>
      <c r="H86" s="19" t="s">
        <v>202</v>
      </c>
      <c r="I86" s="15">
        <v>3</v>
      </c>
      <c r="J86" s="15">
        <f>IFERROR(VLOOKUP($C86,Sheet3!$H$2:$O$200,J$1,FALSE),IFERROR(VLOOKUP($D86,Sheet3!$H$2:$O$200,J$1,FALSE),VLOOKUP($E86,Sheet3!$H$2:$O$200,J$1,FALSE)))</f>
        <v>0</v>
      </c>
      <c r="K86" s="15">
        <f>IFERROR(VLOOKUP($C86,Sheet3!$H$2:$O$200,K$1,FALSE),IFERROR(VLOOKUP($D86,Sheet3!$H$2:$O$200,K$1,FALSE),VLOOKUP($E86,Sheet3!$H$2:$O$200,K$1,FALSE)))</f>
        <v>0</v>
      </c>
      <c r="L86" s="15">
        <f>IFERROR(VLOOKUP($C86,Sheet3!$H$2:$O$200,L$1,FALSE),IFERROR(VLOOKUP($D86,Sheet3!$H$2:$O$200,L$1,FALSE),VLOOKUP($E86,Sheet3!$H$2:$O$200,L$1,FALSE)))</f>
        <v>0</v>
      </c>
      <c r="M86" s="15" t="str">
        <f>IFERROR(VLOOKUP($C86,Sheet3!$H$2:$O$200,M$1,FALSE),IFERROR(VLOOKUP($D86,Sheet3!$H$2:$O$200,M$1,FALSE),VLOOKUP($E86,Sheet3!$H$2:$O$200,M$1,FALSE)))</f>
        <v>Lillet</v>
      </c>
      <c r="N86" s="15">
        <f>IFERROR(VLOOKUP($C86,Sheet3!$H$2:$O$200,N$1,FALSE),IFERROR(VLOOKUP($D86,Sheet3!$H$2:$O$200,N$1,FALSE),VLOOKUP($E86,Sheet3!$H$2:$O$200,N$1,FALSE)))</f>
        <v>0</v>
      </c>
      <c r="O86" s="15">
        <f>IFERROR(VLOOKUP($C86,Sheet3!$H$2:$O$200,O$1,FALSE),IFERROR(VLOOKUP($D86,Sheet3!$H$2:$O$200,O$1,FALSE),VLOOKUP($E86,Sheet3!$H$2:$O$200,O$1,FALSE)))</f>
        <v>0</v>
      </c>
      <c r="P86" s="15">
        <f>IFERROR(VLOOKUP($C86,Sheet3!$H$2:$O$200,P$1,FALSE),IFERROR(VLOOKUP($D86,Sheet3!$H$2:$O$200,P$1,FALSE),VLOOKUP($E86,Sheet3!$H$2:$O$200,P$1,FALSE)))</f>
        <v>0</v>
      </c>
      <c r="Q86" s="15">
        <f>IFERROR(IF(ISBLANK(J86),IFERROR(VLOOKUP($D86,Sheet3!$H$2:$O$200,Q$1,FALSE),IFERROR(VLOOKUP($E86,Sheet3!$H$2:$O$200,Q$1,FALSE),VLOOKUP($F86,Sheet3!$H$2:$O$200,Q$1,FALSE))),$I$1),$I$1)</f>
        <v>0</v>
      </c>
      <c r="R86" s="15">
        <f>IFERROR(IF(ISBLANK(K86),IFERROR(VLOOKUP($D86,Sheet3!$H$2:$O$200,R$1,FALSE),IFERROR(VLOOKUP($E86,Sheet3!$H$2:$O$200,R$1,FALSE),VLOOKUP($F86,Sheet3!$H$2:$O$200,R$1,FALSE))),$I$1),$I$1)</f>
        <v>0</v>
      </c>
      <c r="S86" s="15">
        <f>IFERROR(IF(ISBLANK(L86),IFERROR(VLOOKUP($D86,Sheet3!$H$2:$O$200,S$1,FALSE),IFERROR(VLOOKUP($E86,Sheet3!$H$2:$O$200,S$1,FALSE),VLOOKUP($F86,Sheet3!$H$2:$O$200,S$1,FALSE))),$I$1),$I$1)</f>
        <v>0</v>
      </c>
      <c r="T86" s="15">
        <f>IFERROR(IF(ISBLANK(M86),IFERROR(VLOOKUP($D86,Sheet3!$H$2:$O$200,T$1,FALSE),IFERROR(VLOOKUP($E86,Sheet3!$H$2:$O$200,T$1,FALSE),VLOOKUP($F86,Sheet3!$H$2:$O$200,T$1,FALSE))),$I$1),$I$1)</f>
        <v>0</v>
      </c>
      <c r="U86" s="15">
        <f>IFERROR(IF(ISBLANK(N86),IFERROR(VLOOKUP($D86,Sheet3!$H$2:$O$200,U$1,FALSE),IFERROR(VLOOKUP($E86,Sheet3!$H$2:$O$200,U$1,FALSE),VLOOKUP($F86,Sheet3!$H$2:$O$200,U$1,FALSE))),$I$1),$I$1)</f>
        <v>0</v>
      </c>
      <c r="V86" s="15">
        <f>IFERROR(IF(ISBLANK(O86),IFERROR(VLOOKUP($D86,Sheet3!$H$2:$O$200,V$1,FALSE),IFERROR(VLOOKUP($E86,Sheet3!$H$2:$O$200,V$1,FALSE),VLOOKUP($F86,Sheet3!$H$2:$O$200,V$1,FALSE))),$I$1),$I$1)</f>
        <v>0</v>
      </c>
      <c r="W86" s="15">
        <f>IFERROR(IF(ISBLANK(P86),IFERROR(VLOOKUP($D86,Sheet3!$H$2:$O$200,W$1,FALSE),IFERROR(VLOOKUP($E86,Sheet3!$H$2:$O$200,W$1,FALSE),VLOOKUP($F86,Sheet3!$H$2:$O$200,W$1,FALSE))),$I$1),$I$1)</f>
        <v>0</v>
      </c>
      <c r="X86" s="15">
        <f>IFERROR(IF(ISBLANK(Q86),IFERROR(VLOOKUP($E86,Sheet3!$H$2:$O$200,X$1,FALSE),IFERROR(VLOOKUP($F86,Sheet3!$H$2:$O$200,X$1,FALSE),VLOOKUP($G86,Sheet3!$H$2:$O$200,X$1,FALSE))),$I$1),$I$1)</f>
        <v>0</v>
      </c>
      <c r="Y86" s="15">
        <f>IFERROR(IF(ISBLANK(R86),IFERROR(VLOOKUP($E86,Sheet3!$H$2:$O$200,Y$1,FALSE),IFERROR(VLOOKUP($F86,Sheet3!$H$2:$O$200,Y$1,FALSE),VLOOKUP($G86,Sheet3!$H$2:$O$200,Y$1,FALSE))),$I$1),$I$1)</f>
        <v>0</v>
      </c>
      <c r="Z86" s="15">
        <f>IFERROR(IF(ISBLANK(S86),IFERROR(VLOOKUP($E86,Sheet3!$H$2:$O$200,Z$1,FALSE),IFERROR(VLOOKUP($F86,Sheet3!$H$2:$O$200,Z$1,FALSE),VLOOKUP($G86,Sheet3!$H$2:$O$200,Z$1,FALSE))),$I$1),$I$1)</f>
        <v>0</v>
      </c>
      <c r="AA86" s="15">
        <f>IFERROR(IF(ISBLANK(T86),IFERROR(VLOOKUP($E86,Sheet3!$H$2:$O$200,AA$1,FALSE),IFERROR(VLOOKUP($F86,Sheet3!$H$2:$O$200,AA$1,FALSE),VLOOKUP($G86,Sheet3!$H$2:$O$200,AA$1,FALSE))),$I$1),$I$1)</f>
        <v>0</v>
      </c>
      <c r="AB86" s="15">
        <f>IFERROR(IF(ISBLANK(U86),IFERROR(VLOOKUP($E86,Sheet3!$H$2:$O$200,AB$1,FALSE),IFERROR(VLOOKUP($F86,Sheet3!$H$2:$O$200,AB$1,FALSE),VLOOKUP($G86,Sheet3!$H$2:$O$200,AB$1,FALSE))),$I$1),$I$1)</f>
        <v>0</v>
      </c>
      <c r="AC86" s="15">
        <f>IFERROR(IF(ISBLANK(V86),IFERROR(VLOOKUP($E86,Sheet3!$H$2:$O$200,AC$1,FALSE),IFERROR(VLOOKUP($F86,Sheet3!$H$2:$O$200,AC$1,FALSE),VLOOKUP($G86,Sheet3!$H$2:$O$200,AC$1,FALSE))),$I$1),$I$1)</f>
        <v>0</v>
      </c>
      <c r="AD86" s="15">
        <f>IFERROR(IF(ISBLANK(W86),IFERROR(VLOOKUP($E86,Sheet3!$H$2:$O$200,AD$1,FALSE),IFERROR(VLOOKUP($F86,Sheet3!$H$2:$O$200,AD$1,FALSE),VLOOKUP($G86,Sheet3!$H$2:$O$200,AD$1,FALSE))),$I$1),$I$1)</f>
        <v>0</v>
      </c>
      <c r="AE86" s="15">
        <f>IFERROR(IF(ISBLANK(X86),IFERROR(VLOOKUP($F86,Sheet3!$H$2:$O$200,AE$1,FALSE),VLOOKUP($G86,Sheet3!$H$2:$O$200,AE$1,FALSE)),$I$1),$I$1)</f>
        <v>0</v>
      </c>
      <c r="AF86" s="15">
        <f>IFERROR(IF(ISBLANK(Y86),IFERROR(VLOOKUP($F86,Sheet3!$H$2:$O$200,AF$1,FALSE),VLOOKUP($G86,Sheet3!$H$2:$O$200,AF$1,FALSE)),$I$1),$I$1)</f>
        <v>0</v>
      </c>
      <c r="AG86" s="15">
        <f>IFERROR(IF(ISBLANK(Z86),IFERROR(VLOOKUP($F86,Sheet3!$H$2:$O$200,AG$1,FALSE),VLOOKUP($G86,Sheet3!$H$2:$O$200,AG$1,FALSE)),$I$1),$I$1)</f>
        <v>0</v>
      </c>
      <c r="AH86" s="15">
        <f>IFERROR(IF(ISBLANK(AA86),IFERROR(VLOOKUP($F86,Sheet3!$H$2:$O$200,AH$1,FALSE),VLOOKUP($G86,Sheet3!$H$2:$O$200,AH$1,FALSE)),$I$1),$I$1)</f>
        <v>0</v>
      </c>
      <c r="AI86" s="15">
        <f>IFERROR(IF(ISBLANK(AB86),IFERROR(VLOOKUP($F86,Sheet3!$H$2:$O$200,AI$1,FALSE),VLOOKUP($G86,Sheet3!$H$2:$O$200,AI$1,FALSE)),$I$1),$I$1)</f>
        <v>0</v>
      </c>
      <c r="AJ86" s="15">
        <f>IFERROR(IF(ISBLANK(AC86),IFERROR(VLOOKUP($F86,Sheet3!$H$2:$O$200,AJ$1,FALSE),VLOOKUP($G86,Sheet3!$H$2:$O$200,AJ$1,FALSE)),$I$1),$I$1)</f>
        <v>0</v>
      </c>
      <c r="AK86" s="15">
        <f>IFERROR(IF(ISBLANK(AD86),IFERROR(VLOOKUP($F86,Sheet3!$H$2:$O$200,AK$1,FALSE),VLOOKUP($G86,Sheet3!$H$2:$O$200,AK$1,FALSE)),$I$1),$I$1)</f>
        <v>0</v>
      </c>
      <c r="AL86" s="15">
        <f>IFERROR(IF(ISBLANK(AE86),VLOOKUP($G86,Sheet3!$H$2:$O$200,AL$1,FALSE),$I$1),$I$1)</f>
        <v>0</v>
      </c>
      <c r="AM86" s="15">
        <f>IFERROR(IF(ISBLANK(AF86),VLOOKUP($G86,Sheet3!$H$2:$O$200,AM$1,FALSE),$I$1),$I$1)</f>
        <v>0</v>
      </c>
      <c r="AN86" s="15">
        <f>IFERROR(IF(ISBLANK(AG86),VLOOKUP($G86,Sheet3!$H$2:$O$200,AN$1,FALSE),$I$1),$I$1)</f>
        <v>0</v>
      </c>
      <c r="AO86" s="15">
        <f>IFERROR(IF(ISBLANK(AH86),VLOOKUP($G86,Sheet3!$H$2:$O$200,AO$1,FALSE),$I$1),$I$1)</f>
        <v>0</v>
      </c>
      <c r="AP86" s="15">
        <f>IFERROR(IF(ISBLANK(AI86),VLOOKUP($G86,Sheet3!$H$2:$O$200,AP$1,FALSE),$I$1),$I$1)</f>
        <v>0</v>
      </c>
      <c r="AQ86" s="15">
        <f>IFERROR(IF(ISBLANK(AJ86),VLOOKUP($G86,Sheet3!$H$2:$O$200,AQ$1,FALSE),$I$1),$I$1)</f>
        <v>0</v>
      </c>
      <c r="AR86" s="15">
        <f>IFERROR(IF(ISBLANK(AK86),VLOOKUP($G86,Sheet3!$H$2:$O$200,AR$1,FALSE),$I$1),$I$1)</f>
        <v>0</v>
      </c>
      <c r="AS86" s="15">
        <f t="shared" ref="AS86:AY86" si="93">IFERROR(IF(ISBLANK(J86),IF(ISBLANK(Q86),IF(ISBLANK(X86),IF(ISBLANK(AE86),IF(ISBLANK(AL86),$BB$1,AL86),AE86),X86),Q86),J86),$BB$1)</f>
        <v>0</v>
      </c>
      <c r="AT86" s="15">
        <f t="shared" si="93"/>
        <v>0</v>
      </c>
      <c r="AU86" s="15">
        <f t="shared" si="93"/>
        <v>0</v>
      </c>
      <c r="AV86" s="15" t="str">
        <f t="shared" si="93"/>
        <v>Lillet</v>
      </c>
      <c r="AW86" s="15">
        <f t="shared" si="93"/>
        <v>0</v>
      </c>
      <c r="AX86" s="15">
        <f t="shared" si="93"/>
        <v>0</v>
      </c>
      <c r="AY86" s="15">
        <f t="shared" si="93"/>
        <v>0</v>
      </c>
      <c r="BA86" s="13">
        <f t="shared" si="1"/>
        <v>35</v>
      </c>
      <c r="BB86" s="15" t="b">
        <f t="shared" si="2"/>
        <v>0</v>
      </c>
    </row>
    <row r="87" spans="1:54" x14ac:dyDescent="0.2">
      <c r="A87" s="19" t="s">
        <v>203</v>
      </c>
      <c r="B87" s="19" t="s">
        <v>198</v>
      </c>
      <c r="C87" s="19" t="s">
        <v>204</v>
      </c>
      <c r="D87" s="19" t="s">
        <v>126</v>
      </c>
      <c r="E87" s="19" t="s">
        <v>74</v>
      </c>
      <c r="F87" s="19"/>
      <c r="G87" s="19"/>
      <c r="H87" s="19" t="s">
        <v>203</v>
      </c>
      <c r="I87" s="15">
        <v>3</v>
      </c>
      <c r="J87" s="15">
        <f>IFERROR(VLOOKUP($C87,Sheet3!$H$2:$O$200,J$1,FALSE),IFERROR(VLOOKUP($D87,Sheet3!$H$2:$O$200,J$1,FALSE),VLOOKUP($E87,Sheet3!$H$2:$O$200,J$1,FALSE)))</f>
        <v>0</v>
      </c>
      <c r="K87" s="15">
        <f>IFERROR(VLOOKUP($C87,Sheet3!$H$2:$O$200,K$1,FALSE),IFERROR(VLOOKUP($D87,Sheet3!$H$2:$O$200,K$1,FALSE),VLOOKUP($E87,Sheet3!$H$2:$O$200,K$1,FALSE)))</f>
        <v>0</v>
      </c>
      <c r="L87" s="15">
        <f>IFERROR(VLOOKUP($C87,Sheet3!$H$2:$O$200,L$1,FALSE),IFERROR(VLOOKUP($D87,Sheet3!$H$2:$O$200,L$1,FALSE),VLOOKUP($E87,Sheet3!$H$2:$O$200,L$1,FALSE)))</f>
        <v>0</v>
      </c>
      <c r="M87" s="15" t="str">
        <f>IFERROR(VLOOKUP($C87,Sheet3!$H$2:$O$200,M$1,FALSE),IFERROR(VLOOKUP($D87,Sheet3!$H$2:$O$200,M$1,FALSE),VLOOKUP($E87,Sheet3!$H$2:$O$200,M$1,FALSE)))</f>
        <v>dry vermouth</v>
      </c>
      <c r="N87" s="15">
        <f>IFERROR(VLOOKUP($C87,Sheet3!$H$2:$O$200,N$1,FALSE),IFERROR(VLOOKUP($D87,Sheet3!$H$2:$O$200,N$1,FALSE),VLOOKUP($E87,Sheet3!$H$2:$O$200,N$1,FALSE)))</f>
        <v>0</v>
      </c>
      <c r="O87" s="15">
        <f>IFERROR(VLOOKUP($C87,Sheet3!$H$2:$O$200,O$1,FALSE),IFERROR(VLOOKUP($D87,Sheet3!$H$2:$O$200,O$1,FALSE),VLOOKUP($E87,Sheet3!$H$2:$O$200,O$1,FALSE)))</f>
        <v>0</v>
      </c>
      <c r="P87" s="15" t="str">
        <f>IFERROR(VLOOKUP($C87,Sheet3!$H$2:$O$200,P$1,FALSE),IFERROR(VLOOKUP($D87,Sheet3!$H$2:$O$200,P$1,FALSE),VLOOKUP($E87,Sheet3!$H$2:$O$200,P$1,FALSE)))</f>
        <v>sweet vermouth</v>
      </c>
      <c r="Q87" s="15">
        <f>IFERROR(IF(ISBLANK(J87),IFERROR(VLOOKUP($D87,Sheet3!$H$2:$O$200,Q$1,FALSE),IFERROR(VLOOKUP($E87,Sheet3!$H$2:$O$200,Q$1,FALSE),VLOOKUP($F87,Sheet3!$H$2:$O$200,Q$1,FALSE))),$I$1),$I$1)</f>
        <v>0</v>
      </c>
      <c r="R87" s="15">
        <f>IFERROR(IF(ISBLANK(K87),IFERROR(VLOOKUP($D87,Sheet3!$H$2:$O$200,R$1,FALSE),IFERROR(VLOOKUP($E87,Sheet3!$H$2:$O$200,R$1,FALSE),VLOOKUP($F87,Sheet3!$H$2:$O$200,R$1,FALSE))),$I$1),$I$1)</f>
        <v>0</v>
      </c>
      <c r="S87" s="15">
        <f>IFERROR(IF(ISBLANK(L87),IFERROR(VLOOKUP($D87,Sheet3!$H$2:$O$200,S$1,FALSE),IFERROR(VLOOKUP($E87,Sheet3!$H$2:$O$200,S$1,FALSE),VLOOKUP($F87,Sheet3!$H$2:$O$200,S$1,FALSE))),$I$1),$I$1)</f>
        <v>0</v>
      </c>
      <c r="T87" s="15">
        <f>IFERROR(IF(ISBLANK(M87),IFERROR(VLOOKUP($D87,Sheet3!$H$2:$O$200,T$1,FALSE),IFERROR(VLOOKUP($E87,Sheet3!$H$2:$O$200,T$1,FALSE),VLOOKUP($F87,Sheet3!$H$2:$O$200,T$1,FALSE))),$I$1),$I$1)</f>
        <v>0</v>
      </c>
      <c r="U87" s="15">
        <f>IFERROR(IF(ISBLANK(N87),IFERROR(VLOOKUP($D87,Sheet3!$H$2:$O$200,U$1,FALSE),IFERROR(VLOOKUP($E87,Sheet3!$H$2:$O$200,U$1,FALSE),VLOOKUP($F87,Sheet3!$H$2:$O$200,U$1,FALSE))),$I$1),$I$1)</f>
        <v>0</v>
      </c>
      <c r="V87" s="15">
        <f>IFERROR(IF(ISBLANK(O87),IFERROR(VLOOKUP($D87,Sheet3!$H$2:$O$200,V$1,FALSE),IFERROR(VLOOKUP($E87,Sheet3!$H$2:$O$200,V$1,FALSE),VLOOKUP($F87,Sheet3!$H$2:$O$200,V$1,FALSE))),$I$1),$I$1)</f>
        <v>0</v>
      </c>
      <c r="W87" s="15">
        <f>IFERROR(IF(ISBLANK(P87),IFERROR(VLOOKUP($D87,Sheet3!$H$2:$O$200,W$1,FALSE),IFERROR(VLOOKUP($E87,Sheet3!$H$2:$O$200,W$1,FALSE),VLOOKUP($F87,Sheet3!$H$2:$O$200,W$1,FALSE))),$I$1),$I$1)</f>
        <v>0</v>
      </c>
      <c r="X87" s="15">
        <f>IFERROR(IF(ISBLANK(Q87),IFERROR(VLOOKUP($E87,Sheet3!$H$2:$O$200,X$1,FALSE),IFERROR(VLOOKUP($F87,Sheet3!$H$2:$O$200,X$1,FALSE),VLOOKUP($G87,Sheet3!$H$2:$O$200,X$1,FALSE))),$I$1),$I$1)</f>
        <v>0</v>
      </c>
      <c r="Y87" s="15">
        <f>IFERROR(IF(ISBLANK(R87),IFERROR(VLOOKUP($E87,Sheet3!$H$2:$O$200,Y$1,FALSE),IFERROR(VLOOKUP($F87,Sheet3!$H$2:$O$200,Y$1,FALSE),VLOOKUP($G87,Sheet3!$H$2:$O$200,Y$1,FALSE))),$I$1),$I$1)</f>
        <v>0</v>
      </c>
      <c r="Z87" s="15">
        <f>IFERROR(IF(ISBLANK(S87),IFERROR(VLOOKUP($E87,Sheet3!$H$2:$O$200,Z$1,FALSE),IFERROR(VLOOKUP($F87,Sheet3!$H$2:$O$200,Z$1,FALSE),VLOOKUP($G87,Sheet3!$H$2:$O$200,Z$1,FALSE))),$I$1),$I$1)</f>
        <v>0</v>
      </c>
      <c r="AA87" s="15">
        <f>IFERROR(IF(ISBLANK(T87),IFERROR(VLOOKUP($E87,Sheet3!$H$2:$O$200,AA$1,FALSE),IFERROR(VLOOKUP($F87,Sheet3!$H$2:$O$200,AA$1,FALSE),VLOOKUP($G87,Sheet3!$H$2:$O$200,AA$1,FALSE))),$I$1),$I$1)</f>
        <v>0</v>
      </c>
      <c r="AB87" s="15">
        <f>IFERROR(IF(ISBLANK(U87),IFERROR(VLOOKUP($E87,Sheet3!$H$2:$O$200,AB$1,FALSE),IFERROR(VLOOKUP($F87,Sheet3!$H$2:$O$200,AB$1,FALSE),VLOOKUP($G87,Sheet3!$H$2:$O$200,AB$1,FALSE))),$I$1),$I$1)</f>
        <v>0</v>
      </c>
      <c r="AC87" s="15">
        <f>IFERROR(IF(ISBLANK(V87),IFERROR(VLOOKUP($E87,Sheet3!$H$2:$O$200,AC$1,FALSE),IFERROR(VLOOKUP($F87,Sheet3!$H$2:$O$200,AC$1,FALSE),VLOOKUP($G87,Sheet3!$H$2:$O$200,AC$1,FALSE))),$I$1),$I$1)</f>
        <v>0</v>
      </c>
      <c r="AD87" s="15">
        <f>IFERROR(IF(ISBLANK(W87),IFERROR(VLOOKUP($E87,Sheet3!$H$2:$O$200,AD$1,FALSE),IFERROR(VLOOKUP($F87,Sheet3!$H$2:$O$200,AD$1,FALSE),VLOOKUP($G87,Sheet3!$H$2:$O$200,AD$1,FALSE))),$I$1),$I$1)</f>
        <v>0</v>
      </c>
      <c r="AE87" s="15">
        <f>IFERROR(IF(ISBLANK(X87),IFERROR(VLOOKUP($F87,Sheet3!$H$2:$O$200,AE$1,FALSE),VLOOKUP($G87,Sheet3!$H$2:$O$200,AE$1,FALSE)),$I$1),$I$1)</f>
        <v>0</v>
      </c>
      <c r="AF87" s="15">
        <f>IFERROR(IF(ISBLANK(Y87),IFERROR(VLOOKUP($F87,Sheet3!$H$2:$O$200,AF$1,FALSE),VLOOKUP($G87,Sheet3!$H$2:$O$200,AF$1,FALSE)),$I$1),$I$1)</f>
        <v>0</v>
      </c>
      <c r="AG87" s="15">
        <f>IFERROR(IF(ISBLANK(Z87),IFERROR(VLOOKUP($F87,Sheet3!$H$2:$O$200,AG$1,FALSE),VLOOKUP($G87,Sheet3!$H$2:$O$200,AG$1,FALSE)),$I$1),$I$1)</f>
        <v>0</v>
      </c>
      <c r="AH87" s="15">
        <f>IFERROR(IF(ISBLANK(AA87),IFERROR(VLOOKUP($F87,Sheet3!$H$2:$O$200,AH$1,FALSE),VLOOKUP($G87,Sheet3!$H$2:$O$200,AH$1,FALSE)),$I$1),$I$1)</f>
        <v>0</v>
      </c>
      <c r="AI87" s="15">
        <f>IFERROR(IF(ISBLANK(AB87),IFERROR(VLOOKUP($F87,Sheet3!$H$2:$O$200,AI$1,FALSE),VLOOKUP($G87,Sheet3!$H$2:$O$200,AI$1,FALSE)),$I$1),$I$1)</f>
        <v>0</v>
      </c>
      <c r="AJ87" s="15">
        <f>IFERROR(IF(ISBLANK(AC87),IFERROR(VLOOKUP($F87,Sheet3!$H$2:$O$200,AJ$1,FALSE),VLOOKUP($G87,Sheet3!$H$2:$O$200,AJ$1,FALSE)),$I$1),$I$1)</f>
        <v>0</v>
      </c>
      <c r="AK87" s="15">
        <f>IFERROR(IF(ISBLANK(AD87),IFERROR(VLOOKUP($F87,Sheet3!$H$2:$O$200,AK$1,FALSE),VLOOKUP($G87,Sheet3!$H$2:$O$200,AK$1,FALSE)),$I$1),$I$1)</f>
        <v>0</v>
      </c>
      <c r="AL87" s="15">
        <f>IFERROR(IF(ISBLANK(AE87),VLOOKUP($G87,Sheet3!$H$2:$O$200,AL$1,FALSE),$I$1),$I$1)</f>
        <v>0</v>
      </c>
      <c r="AM87" s="15">
        <f>IFERROR(IF(ISBLANK(AF87),VLOOKUP($G87,Sheet3!$H$2:$O$200,AM$1,FALSE),$I$1),$I$1)</f>
        <v>0</v>
      </c>
      <c r="AN87" s="15">
        <f>IFERROR(IF(ISBLANK(AG87),VLOOKUP($G87,Sheet3!$H$2:$O$200,AN$1,FALSE),$I$1),$I$1)</f>
        <v>0</v>
      </c>
      <c r="AO87" s="15">
        <f>IFERROR(IF(ISBLANK(AH87),VLOOKUP($G87,Sheet3!$H$2:$O$200,AO$1,FALSE),$I$1),$I$1)</f>
        <v>0</v>
      </c>
      <c r="AP87" s="15">
        <f>IFERROR(IF(ISBLANK(AI87),VLOOKUP($G87,Sheet3!$H$2:$O$200,AP$1,FALSE),$I$1),$I$1)</f>
        <v>0</v>
      </c>
      <c r="AQ87" s="15">
        <f>IFERROR(IF(ISBLANK(AJ87),VLOOKUP($G87,Sheet3!$H$2:$O$200,AQ$1,FALSE),$I$1),$I$1)</f>
        <v>0</v>
      </c>
      <c r="AR87" s="15">
        <f>IFERROR(IF(ISBLANK(AK87),VLOOKUP($G87,Sheet3!$H$2:$O$200,AR$1,FALSE),$I$1),$I$1)</f>
        <v>0</v>
      </c>
      <c r="AS87" s="15">
        <f t="shared" ref="AS87:AY87" si="94">IFERROR(IF(ISBLANK(J87),IF(ISBLANK(Q87),IF(ISBLANK(X87),IF(ISBLANK(AE87),IF(ISBLANK(AL87),$BB$1,AL87),AE87),X87),Q87),J87),$BB$1)</f>
        <v>0</v>
      </c>
      <c r="AT87" s="15">
        <f t="shared" si="94"/>
        <v>0</v>
      </c>
      <c r="AU87" s="15">
        <f t="shared" si="94"/>
        <v>0</v>
      </c>
      <c r="AV87" s="15" t="str">
        <f t="shared" si="94"/>
        <v>dry vermouth</v>
      </c>
      <c r="AW87" s="15">
        <f t="shared" si="94"/>
        <v>0</v>
      </c>
      <c r="AX87" s="15">
        <f t="shared" si="94"/>
        <v>0</v>
      </c>
      <c r="AY87" s="15" t="str">
        <f t="shared" si="94"/>
        <v>sweet vermouth</v>
      </c>
      <c r="BA87" s="13">
        <f t="shared" si="1"/>
        <v>35</v>
      </c>
      <c r="BB87" s="15" t="b">
        <f t="shared" si="2"/>
        <v>0</v>
      </c>
    </row>
    <row r="88" spans="1:54" x14ac:dyDescent="0.2">
      <c r="A88" s="19" t="s">
        <v>205</v>
      </c>
      <c r="B88" s="19" t="s">
        <v>198</v>
      </c>
      <c r="C88" s="19" t="s">
        <v>204</v>
      </c>
      <c r="D88" s="19" t="s">
        <v>126</v>
      </c>
      <c r="E88" s="19" t="s">
        <v>66</v>
      </c>
      <c r="F88" s="19"/>
      <c r="G88" s="19"/>
      <c r="H88" s="19" t="s">
        <v>205</v>
      </c>
      <c r="I88" s="15">
        <v>3</v>
      </c>
      <c r="J88" s="15">
        <f>IFERROR(VLOOKUP($C88,Sheet3!$H$2:$O$200,J$1,FALSE),IFERROR(VLOOKUP($D88,Sheet3!$H$2:$O$200,J$1,FALSE),VLOOKUP($E88,Sheet3!$H$2:$O$200,J$1,FALSE)))</f>
        <v>0</v>
      </c>
      <c r="K88" s="15">
        <f>IFERROR(VLOOKUP($C88,Sheet3!$H$2:$O$200,K$1,FALSE),IFERROR(VLOOKUP($D88,Sheet3!$H$2:$O$200,K$1,FALSE),VLOOKUP($E88,Sheet3!$H$2:$O$200,K$1,FALSE)))</f>
        <v>0</v>
      </c>
      <c r="L88" s="15">
        <f>IFERROR(VLOOKUP($C88,Sheet3!$H$2:$O$200,L$1,FALSE),IFERROR(VLOOKUP($D88,Sheet3!$H$2:$O$200,L$1,FALSE),VLOOKUP($E88,Sheet3!$H$2:$O$200,L$1,FALSE)))</f>
        <v>0</v>
      </c>
      <c r="M88" s="15" t="str">
        <f>IFERROR(VLOOKUP($C88,Sheet3!$H$2:$O$200,M$1,FALSE),IFERROR(VLOOKUP($D88,Sheet3!$H$2:$O$200,M$1,FALSE),VLOOKUP($E88,Sheet3!$H$2:$O$200,M$1,FALSE)))</f>
        <v>dry vermouth</v>
      </c>
      <c r="N88" s="15">
        <f>IFERROR(VLOOKUP($C88,Sheet3!$H$2:$O$200,N$1,FALSE),IFERROR(VLOOKUP($D88,Sheet3!$H$2:$O$200,N$1,FALSE),VLOOKUP($E88,Sheet3!$H$2:$O$200,N$1,FALSE)))</f>
        <v>0</v>
      </c>
      <c r="O88" s="15">
        <f>IFERROR(VLOOKUP($C88,Sheet3!$H$2:$O$200,O$1,FALSE),IFERROR(VLOOKUP($D88,Sheet3!$H$2:$O$200,O$1,FALSE),VLOOKUP($E88,Sheet3!$H$2:$O$200,O$1,FALSE)))</f>
        <v>0</v>
      </c>
      <c r="P88" s="15" t="str">
        <f>IFERROR(VLOOKUP($C88,Sheet3!$H$2:$O$200,P$1,FALSE),IFERROR(VLOOKUP($D88,Sheet3!$H$2:$O$200,P$1,FALSE),VLOOKUP($E88,Sheet3!$H$2:$O$200,P$1,FALSE)))</f>
        <v>sweet vermouth</v>
      </c>
      <c r="Q88" s="15">
        <f>IFERROR(IF(ISBLANK(J88),IFERROR(VLOOKUP($D88,Sheet3!$H$2:$O$200,Q$1,FALSE),IFERROR(VLOOKUP($E88,Sheet3!$H$2:$O$200,Q$1,FALSE),VLOOKUP($F88,Sheet3!$H$2:$O$200,Q$1,FALSE))),$I$1),$I$1)</f>
        <v>0</v>
      </c>
      <c r="R88" s="15">
        <f>IFERROR(IF(ISBLANK(K88),IFERROR(VLOOKUP($D88,Sheet3!$H$2:$O$200,R$1,FALSE),IFERROR(VLOOKUP($E88,Sheet3!$H$2:$O$200,R$1,FALSE),VLOOKUP($F88,Sheet3!$H$2:$O$200,R$1,FALSE))),$I$1),$I$1)</f>
        <v>0</v>
      </c>
      <c r="S88" s="15">
        <f>IFERROR(IF(ISBLANK(L88),IFERROR(VLOOKUP($D88,Sheet3!$H$2:$O$200,S$1,FALSE),IFERROR(VLOOKUP($E88,Sheet3!$H$2:$O$200,S$1,FALSE),VLOOKUP($F88,Sheet3!$H$2:$O$200,S$1,FALSE))),$I$1),$I$1)</f>
        <v>0</v>
      </c>
      <c r="T88" s="15">
        <f>IFERROR(IF(ISBLANK(M88),IFERROR(VLOOKUP($D88,Sheet3!$H$2:$O$200,T$1,FALSE),IFERROR(VLOOKUP($E88,Sheet3!$H$2:$O$200,T$1,FALSE),VLOOKUP($F88,Sheet3!$H$2:$O$200,T$1,FALSE))),$I$1),$I$1)</f>
        <v>0</v>
      </c>
      <c r="U88" s="15">
        <f>IFERROR(IF(ISBLANK(N88),IFERROR(VLOOKUP($D88,Sheet3!$H$2:$O$200,U$1,FALSE),IFERROR(VLOOKUP($E88,Sheet3!$H$2:$O$200,U$1,FALSE),VLOOKUP($F88,Sheet3!$H$2:$O$200,U$1,FALSE))),$I$1),$I$1)</f>
        <v>0</v>
      </c>
      <c r="V88" s="15">
        <f>IFERROR(IF(ISBLANK(O88),IFERROR(VLOOKUP($D88,Sheet3!$H$2:$O$200,V$1,FALSE),IFERROR(VLOOKUP($E88,Sheet3!$H$2:$O$200,V$1,FALSE),VLOOKUP($F88,Sheet3!$H$2:$O$200,V$1,FALSE))),$I$1),$I$1)</f>
        <v>0</v>
      </c>
      <c r="W88" s="15">
        <f>IFERROR(IF(ISBLANK(P88),IFERROR(VLOOKUP($D88,Sheet3!$H$2:$O$200,W$1,FALSE),IFERROR(VLOOKUP($E88,Sheet3!$H$2:$O$200,W$1,FALSE),VLOOKUP($F88,Sheet3!$H$2:$O$200,W$1,FALSE))),$I$1),$I$1)</f>
        <v>0</v>
      </c>
      <c r="X88" s="15">
        <f>IFERROR(IF(ISBLANK(Q88),IFERROR(VLOOKUP($E88,Sheet3!$H$2:$O$200,X$1,FALSE),IFERROR(VLOOKUP($F88,Sheet3!$H$2:$O$200,X$1,FALSE),VLOOKUP($G88,Sheet3!$H$2:$O$200,X$1,FALSE))),$I$1),$I$1)</f>
        <v>0</v>
      </c>
      <c r="Y88" s="15">
        <f>IFERROR(IF(ISBLANK(R88),IFERROR(VLOOKUP($E88,Sheet3!$H$2:$O$200,Y$1,FALSE),IFERROR(VLOOKUP($F88,Sheet3!$H$2:$O$200,Y$1,FALSE),VLOOKUP($G88,Sheet3!$H$2:$O$200,Y$1,FALSE))),$I$1),$I$1)</f>
        <v>0</v>
      </c>
      <c r="Z88" s="15">
        <f>IFERROR(IF(ISBLANK(S88),IFERROR(VLOOKUP($E88,Sheet3!$H$2:$O$200,Z$1,FALSE),IFERROR(VLOOKUP($F88,Sheet3!$H$2:$O$200,Z$1,FALSE),VLOOKUP($G88,Sheet3!$H$2:$O$200,Z$1,FALSE))),$I$1),$I$1)</f>
        <v>0</v>
      </c>
      <c r="AA88" s="15">
        <f>IFERROR(IF(ISBLANK(T88),IFERROR(VLOOKUP($E88,Sheet3!$H$2:$O$200,AA$1,FALSE),IFERROR(VLOOKUP($F88,Sheet3!$H$2:$O$200,AA$1,FALSE),VLOOKUP($G88,Sheet3!$H$2:$O$200,AA$1,FALSE))),$I$1),$I$1)</f>
        <v>0</v>
      </c>
      <c r="AB88" s="15">
        <f>IFERROR(IF(ISBLANK(U88),IFERROR(VLOOKUP($E88,Sheet3!$H$2:$O$200,AB$1,FALSE),IFERROR(VLOOKUP($F88,Sheet3!$H$2:$O$200,AB$1,FALSE),VLOOKUP($G88,Sheet3!$H$2:$O$200,AB$1,FALSE))),$I$1),$I$1)</f>
        <v>0</v>
      </c>
      <c r="AC88" s="15">
        <f>IFERROR(IF(ISBLANK(V88),IFERROR(VLOOKUP($E88,Sheet3!$H$2:$O$200,AC$1,FALSE),IFERROR(VLOOKUP($F88,Sheet3!$H$2:$O$200,AC$1,FALSE),VLOOKUP($G88,Sheet3!$H$2:$O$200,AC$1,FALSE))),$I$1),$I$1)</f>
        <v>0</v>
      </c>
      <c r="AD88" s="15">
        <f>IFERROR(IF(ISBLANK(W88),IFERROR(VLOOKUP($E88,Sheet3!$H$2:$O$200,AD$1,FALSE),IFERROR(VLOOKUP($F88,Sheet3!$H$2:$O$200,AD$1,FALSE),VLOOKUP($G88,Sheet3!$H$2:$O$200,AD$1,FALSE))),$I$1),$I$1)</f>
        <v>0</v>
      </c>
      <c r="AE88" s="15">
        <f>IFERROR(IF(ISBLANK(X88),IFERROR(VLOOKUP($F88,Sheet3!$H$2:$O$200,AE$1,FALSE),VLOOKUP($G88,Sheet3!$H$2:$O$200,AE$1,FALSE)),$I$1),$I$1)</f>
        <v>0</v>
      </c>
      <c r="AF88" s="15">
        <f>IFERROR(IF(ISBLANK(Y88),IFERROR(VLOOKUP($F88,Sheet3!$H$2:$O$200,AF$1,FALSE),VLOOKUP($G88,Sheet3!$H$2:$O$200,AF$1,FALSE)),$I$1),$I$1)</f>
        <v>0</v>
      </c>
      <c r="AG88" s="15">
        <f>IFERROR(IF(ISBLANK(Z88),IFERROR(VLOOKUP($F88,Sheet3!$H$2:$O$200,AG$1,FALSE),VLOOKUP($G88,Sheet3!$H$2:$O$200,AG$1,FALSE)),$I$1),$I$1)</f>
        <v>0</v>
      </c>
      <c r="AH88" s="15">
        <f>IFERROR(IF(ISBLANK(AA88),IFERROR(VLOOKUP($F88,Sheet3!$H$2:$O$200,AH$1,FALSE),VLOOKUP($G88,Sheet3!$H$2:$O$200,AH$1,FALSE)),$I$1),$I$1)</f>
        <v>0</v>
      </c>
      <c r="AI88" s="15">
        <f>IFERROR(IF(ISBLANK(AB88),IFERROR(VLOOKUP($F88,Sheet3!$H$2:$O$200,AI$1,FALSE),VLOOKUP($G88,Sheet3!$H$2:$O$200,AI$1,FALSE)),$I$1),$I$1)</f>
        <v>0</v>
      </c>
      <c r="AJ88" s="15">
        <f>IFERROR(IF(ISBLANK(AC88),IFERROR(VLOOKUP($F88,Sheet3!$H$2:$O$200,AJ$1,FALSE),VLOOKUP($G88,Sheet3!$H$2:$O$200,AJ$1,FALSE)),$I$1),$I$1)</f>
        <v>0</v>
      </c>
      <c r="AK88" s="15">
        <f>IFERROR(IF(ISBLANK(AD88),IFERROR(VLOOKUP($F88,Sheet3!$H$2:$O$200,AK$1,FALSE),VLOOKUP($G88,Sheet3!$H$2:$O$200,AK$1,FALSE)),$I$1),$I$1)</f>
        <v>0</v>
      </c>
      <c r="AL88" s="15">
        <f>IFERROR(IF(ISBLANK(AE88),VLOOKUP($G88,Sheet3!$H$2:$O$200,AL$1,FALSE),$I$1),$I$1)</f>
        <v>0</v>
      </c>
      <c r="AM88" s="15">
        <f>IFERROR(IF(ISBLANK(AF88),VLOOKUP($G88,Sheet3!$H$2:$O$200,AM$1,FALSE),$I$1),$I$1)</f>
        <v>0</v>
      </c>
      <c r="AN88" s="15">
        <f>IFERROR(IF(ISBLANK(AG88),VLOOKUP($G88,Sheet3!$H$2:$O$200,AN$1,FALSE),$I$1),$I$1)</f>
        <v>0</v>
      </c>
      <c r="AO88" s="15">
        <f>IFERROR(IF(ISBLANK(AH88),VLOOKUP($G88,Sheet3!$H$2:$O$200,AO$1,FALSE),$I$1),$I$1)</f>
        <v>0</v>
      </c>
      <c r="AP88" s="15">
        <f>IFERROR(IF(ISBLANK(AI88),VLOOKUP($G88,Sheet3!$H$2:$O$200,AP$1,FALSE),$I$1),$I$1)</f>
        <v>0</v>
      </c>
      <c r="AQ88" s="15">
        <f>IFERROR(IF(ISBLANK(AJ88),VLOOKUP($G88,Sheet3!$H$2:$O$200,AQ$1,FALSE),$I$1),$I$1)</f>
        <v>0</v>
      </c>
      <c r="AR88" s="15">
        <f>IFERROR(IF(ISBLANK(AK88),VLOOKUP($G88,Sheet3!$H$2:$O$200,AR$1,FALSE),$I$1),$I$1)</f>
        <v>0</v>
      </c>
      <c r="AS88" s="15">
        <f t="shared" ref="AS88:AY88" si="95">IFERROR(IF(ISBLANK(J88),IF(ISBLANK(Q88),IF(ISBLANK(X88),IF(ISBLANK(AE88),IF(ISBLANK(AL88),$BB$1,AL88),AE88),X88),Q88),J88),$BB$1)</f>
        <v>0</v>
      </c>
      <c r="AT88" s="15">
        <f t="shared" si="95"/>
        <v>0</v>
      </c>
      <c r="AU88" s="15">
        <f t="shared" si="95"/>
        <v>0</v>
      </c>
      <c r="AV88" s="15" t="str">
        <f t="shared" si="95"/>
        <v>dry vermouth</v>
      </c>
      <c r="AW88" s="15">
        <f t="shared" si="95"/>
        <v>0</v>
      </c>
      <c r="AX88" s="15">
        <f t="shared" si="95"/>
        <v>0</v>
      </c>
      <c r="AY88" s="15" t="str">
        <f t="shared" si="95"/>
        <v>sweet vermouth</v>
      </c>
      <c r="BA88" s="13">
        <f t="shared" si="1"/>
        <v>35</v>
      </c>
      <c r="BB88" s="15" t="b">
        <f t="shared" si="2"/>
        <v>0</v>
      </c>
    </row>
    <row r="89" spans="1:54" x14ac:dyDescent="0.2">
      <c r="A89" s="19" t="s">
        <v>206</v>
      </c>
      <c r="B89" s="19" t="s">
        <v>198</v>
      </c>
      <c r="C89" s="19" t="s">
        <v>204</v>
      </c>
      <c r="D89" s="19" t="s">
        <v>126</v>
      </c>
      <c r="E89" s="19" t="s">
        <v>104</v>
      </c>
      <c r="F89" s="19"/>
      <c r="G89" s="19"/>
      <c r="H89" s="19" t="s">
        <v>206</v>
      </c>
      <c r="I89" s="15">
        <v>3</v>
      </c>
      <c r="J89" s="15">
        <f>IFERROR(VLOOKUP($C89,Sheet3!$H$2:$O$200,J$1,FALSE),IFERROR(VLOOKUP($D89,Sheet3!$H$2:$O$200,J$1,FALSE),VLOOKUP($E89,Sheet3!$H$2:$O$200,J$1,FALSE)))</f>
        <v>0</v>
      </c>
      <c r="K89" s="15">
        <f>IFERROR(VLOOKUP($C89,Sheet3!$H$2:$O$200,K$1,FALSE),IFERROR(VLOOKUP($D89,Sheet3!$H$2:$O$200,K$1,FALSE),VLOOKUP($E89,Sheet3!$H$2:$O$200,K$1,FALSE)))</f>
        <v>0</v>
      </c>
      <c r="L89" s="15">
        <f>IFERROR(VLOOKUP($C89,Sheet3!$H$2:$O$200,L$1,FALSE),IFERROR(VLOOKUP($D89,Sheet3!$H$2:$O$200,L$1,FALSE),VLOOKUP($E89,Sheet3!$H$2:$O$200,L$1,FALSE)))</f>
        <v>0</v>
      </c>
      <c r="M89" s="15" t="str">
        <f>IFERROR(VLOOKUP($C89,Sheet3!$H$2:$O$200,M$1,FALSE),IFERROR(VLOOKUP($D89,Sheet3!$H$2:$O$200,M$1,FALSE),VLOOKUP($E89,Sheet3!$H$2:$O$200,M$1,FALSE)))</f>
        <v>dry vermouth</v>
      </c>
      <c r="N89" s="15">
        <f>IFERROR(VLOOKUP($C89,Sheet3!$H$2:$O$200,N$1,FALSE),IFERROR(VLOOKUP($D89,Sheet3!$H$2:$O$200,N$1,FALSE),VLOOKUP($E89,Sheet3!$H$2:$O$200,N$1,FALSE)))</f>
        <v>0</v>
      </c>
      <c r="O89" s="15">
        <f>IFERROR(VLOOKUP($C89,Sheet3!$H$2:$O$200,O$1,FALSE),IFERROR(VLOOKUP($D89,Sheet3!$H$2:$O$200,O$1,FALSE),VLOOKUP($E89,Sheet3!$H$2:$O$200,O$1,FALSE)))</f>
        <v>0</v>
      </c>
      <c r="P89" s="15" t="str">
        <f>IFERROR(VLOOKUP($C89,Sheet3!$H$2:$O$200,P$1,FALSE),IFERROR(VLOOKUP($D89,Sheet3!$H$2:$O$200,P$1,FALSE),VLOOKUP($E89,Sheet3!$H$2:$O$200,P$1,FALSE)))</f>
        <v>sweet vermouth</v>
      </c>
      <c r="Q89" s="15">
        <f>IFERROR(IF(ISBLANK(J89),IFERROR(VLOOKUP($D89,Sheet3!$H$2:$O$200,Q$1,FALSE),IFERROR(VLOOKUP($E89,Sheet3!$H$2:$O$200,Q$1,FALSE),VLOOKUP($F89,Sheet3!$H$2:$O$200,Q$1,FALSE))),$I$1),$I$1)</f>
        <v>0</v>
      </c>
      <c r="R89" s="15">
        <f>IFERROR(IF(ISBLANK(K89),IFERROR(VLOOKUP($D89,Sheet3!$H$2:$O$200,R$1,FALSE),IFERROR(VLOOKUP($E89,Sheet3!$H$2:$O$200,R$1,FALSE),VLOOKUP($F89,Sheet3!$H$2:$O$200,R$1,FALSE))),$I$1),$I$1)</f>
        <v>0</v>
      </c>
      <c r="S89" s="15">
        <f>IFERROR(IF(ISBLANK(L89),IFERROR(VLOOKUP($D89,Sheet3!$H$2:$O$200,S$1,FALSE),IFERROR(VLOOKUP($E89,Sheet3!$H$2:$O$200,S$1,FALSE),VLOOKUP($F89,Sheet3!$H$2:$O$200,S$1,FALSE))),$I$1),$I$1)</f>
        <v>0</v>
      </c>
      <c r="T89" s="15">
        <f>IFERROR(IF(ISBLANK(M89),IFERROR(VLOOKUP($D89,Sheet3!$H$2:$O$200,T$1,FALSE),IFERROR(VLOOKUP($E89,Sheet3!$H$2:$O$200,T$1,FALSE),VLOOKUP($F89,Sheet3!$H$2:$O$200,T$1,FALSE))),$I$1),$I$1)</f>
        <v>0</v>
      </c>
      <c r="U89" s="15">
        <f>IFERROR(IF(ISBLANK(N89),IFERROR(VLOOKUP($D89,Sheet3!$H$2:$O$200,U$1,FALSE),IFERROR(VLOOKUP($E89,Sheet3!$H$2:$O$200,U$1,FALSE),VLOOKUP($F89,Sheet3!$H$2:$O$200,U$1,FALSE))),$I$1),$I$1)</f>
        <v>0</v>
      </c>
      <c r="V89" s="15">
        <f>IFERROR(IF(ISBLANK(O89),IFERROR(VLOOKUP($D89,Sheet3!$H$2:$O$200,V$1,FALSE),IFERROR(VLOOKUP($E89,Sheet3!$H$2:$O$200,V$1,FALSE),VLOOKUP($F89,Sheet3!$H$2:$O$200,V$1,FALSE))),$I$1),$I$1)</f>
        <v>0</v>
      </c>
      <c r="W89" s="15">
        <f>IFERROR(IF(ISBLANK(P89),IFERROR(VLOOKUP($D89,Sheet3!$H$2:$O$200,W$1,FALSE),IFERROR(VLOOKUP($E89,Sheet3!$H$2:$O$200,W$1,FALSE),VLOOKUP($F89,Sheet3!$H$2:$O$200,W$1,FALSE))),$I$1),$I$1)</f>
        <v>0</v>
      </c>
      <c r="X89" s="15">
        <f>IFERROR(IF(ISBLANK(Q89),IFERROR(VLOOKUP($E89,Sheet3!$H$2:$O$200,X$1,FALSE),IFERROR(VLOOKUP($F89,Sheet3!$H$2:$O$200,X$1,FALSE),VLOOKUP($G89,Sheet3!$H$2:$O$200,X$1,FALSE))),$I$1),$I$1)</f>
        <v>0</v>
      </c>
      <c r="Y89" s="15">
        <f>IFERROR(IF(ISBLANK(R89),IFERROR(VLOOKUP($E89,Sheet3!$H$2:$O$200,Y$1,FALSE),IFERROR(VLOOKUP($F89,Sheet3!$H$2:$O$200,Y$1,FALSE),VLOOKUP($G89,Sheet3!$H$2:$O$200,Y$1,FALSE))),$I$1),$I$1)</f>
        <v>0</v>
      </c>
      <c r="Z89" s="15">
        <f>IFERROR(IF(ISBLANK(S89),IFERROR(VLOOKUP($E89,Sheet3!$H$2:$O$200,Z$1,FALSE),IFERROR(VLOOKUP($F89,Sheet3!$H$2:$O$200,Z$1,FALSE),VLOOKUP($G89,Sheet3!$H$2:$O$200,Z$1,FALSE))),$I$1),$I$1)</f>
        <v>0</v>
      </c>
      <c r="AA89" s="15">
        <f>IFERROR(IF(ISBLANK(T89),IFERROR(VLOOKUP($E89,Sheet3!$H$2:$O$200,AA$1,FALSE),IFERROR(VLOOKUP($F89,Sheet3!$H$2:$O$200,AA$1,FALSE),VLOOKUP($G89,Sheet3!$H$2:$O$200,AA$1,FALSE))),$I$1),$I$1)</f>
        <v>0</v>
      </c>
      <c r="AB89" s="15">
        <f>IFERROR(IF(ISBLANK(U89),IFERROR(VLOOKUP($E89,Sheet3!$H$2:$O$200,AB$1,FALSE),IFERROR(VLOOKUP($F89,Sheet3!$H$2:$O$200,AB$1,FALSE),VLOOKUP($G89,Sheet3!$H$2:$O$200,AB$1,FALSE))),$I$1),$I$1)</f>
        <v>0</v>
      </c>
      <c r="AC89" s="15">
        <f>IFERROR(IF(ISBLANK(V89),IFERROR(VLOOKUP($E89,Sheet3!$H$2:$O$200,AC$1,FALSE),IFERROR(VLOOKUP($F89,Sheet3!$H$2:$O$200,AC$1,FALSE),VLOOKUP($G89,Sheet3!$H$2:$O$200,AC$1,FALSE))),$I$1),$I$1)</f>
        <v>0</v>
      </c>
      <c r="AD89" s="15">
        <f>IFERROR(IF(ISBLANK(W89),IFERROR(VLOOKUP($E89,Sheet3!$H$2:$O$200,AD$1,FALSE),IFERROR(VLOOKUP($F89,Sheet3!$H$2:$O$200,AD$1,FALSE),VLOOKUP($G89,Sheet3!$H$2:$O$200,AD$1,FALSE))),$I$1),$I$1)</f>
        <v>0</v>
      </c>
      <c r="AE89" s="15">
        <f>IFERROR(IF(ISBLANK(X89),IFERROR(VLOOKUP($F89,Sheet3!$H$2:$O$200,AE$1,FALSE),VLOOKUP($G89,Sheet3!$H$2:$O$200,AE$1,FALSE)),$I$1),$I$1)</f>
        <v>0</v>
      </c>
      <c r="AF89" s="15">
        <f>IFERROR(IF(ISBLANK(Y89),IFERROR(VLOOKUP($F89,Sheet3!$H$2:$O$200,AF$1,FALSE),VLOOKUP($G89,Sheet3!$H$2:$O$200,AF$1,FALSE)),$I$1),$I$1)</f>
        <v>0</v>
      </c>
      <c r="AG89" s="15">
        <f>IFERROR(IF(ISBLANK(Z89),IFERROR(VLOOKUP($F89,Sheet3!$H$2:$O$200,AG$1,FALSE),VLOOKUP($G89,Sheet3!$H$2:$O$200,AG$1,FALSE)),$I$1),$I$1)</f>
        <v>0</v>
      </c>
      <c r="AH89" s="15">
        <f>IFERROR(IF(ISBLANK(AA89),IFERROR(VLOOKUP($F89,Sheet3!$H$2:$O$200,AH$1,FALSE),VLOOKUP($G89,Sheet3!$H$2:$O$200,AH$1,FALSE)),$I$1),$I$1)</f>
        <v>0</v>
      </c>
      <c r="AI89" s="15">
        <f>IFERROR(IF(ISBLANK(AB89),IFERROR(VLOOKUP($F89,Sheet3!$H$2:$O$200,AI$1,FALSE),VLOOKUP($G89,Sheet3!$H$2:$O$200,AI$1,FALSE)),$I$1),$I$1)</f>
        <v>0</v>
      </c>
      <c r="AJ89" s="15">
        <f>IFERROR(IF(ISBLANK(AC89),IFERROR(VLOOKUP($F89,Sheet3!$H$2:$O$200,AJ$1,FALSE),VLOOKUP($G89,Sheet3!$H$2:$O$200,AJ$1,FALSE)),$I$1),$I$1)</f>
        <v>0</v>
      </c>
      <c r="AK89" s="15">
        <f>IFERROR(IF(ISBLANK(AD89),IFERROR(VLOOKUP($F89,Sheet3!$H$2:$O$200,AK$1,FALSE),VLOOKUP($G89,Sheet3!$H$2:$O$200,AK$1,FALSE)),$I$1),$I$1)</f>
        <v>0</v>
      </c>
      <c r="AL89" s="15">
        <f>IFERROR(IF(ISBLANK(AE89),VLOOKUP($G89,Sheet3!$H$2:$O$200,AL$1,FALSE),$I$1),$I$1)</f>
        <v>0</v>
      </c>
      <c r="AM89" s="15">
        <f>IFERROR(IF(ISBLANK(AF89),VLOOKUP($G89,Sheet3!$H$2:$O$200,AM$1,FALSE),$I$1),$I$1)</f>
        <v>0</v>
      </c>
      <c r="AN89" s="15">
        <f>IFERROR(IF(ISBLANK(AG89),VLOOKUP($G89,Sheet3!$H$2:$O$200,AN$1,FALSE),$I$1),$I$1)</f>
        <v>0</v>
      </c>
      <c r="AO89" s="15">
        <f>IFERROR(IF(ISBLANK(AH89),VLOOKUP($G89,Sheet3!$H$2:$O$200,AO$1,FALSE),$I$1),$I$1)</f>
        <v>0</v>
      </c>
      <c r="AP89" s="15">
        <f>IFERROR(IF(ISBLANK(AI89),VLOOKUP($G89,Sheet3!$H$2:$O$200,AP$1,FALSE),$I$1),$I$1)</f>
        <v>0</v>
      </c>
      <c r="AQ89" s="15">
        <f>IFERROR(IF(ISBLANK(AJ89),VLOOKUP($G89,Sheet3!$H$2:$O$200,AQ$1,FALSE),$I$1),$I$1)</f>
        <v>0</v>
      </c>
      <c r="AR89" s="15">
        <f>IFERROR(IF(ISBLANK(AK89),VLOOKUP($G89,Sheet3!$H$2:$O$200,AR$1,FALSE),$I$1),$I$1)</f>
        <v>0</v>
      </c>
      <c r="AS89" s="15">
        <f t="shared" ref="AS89:AY89" si="96">IFERROR(IF(ISBLANK(J89),IF(ISBLANK(Q89),IF(ISBLANK(X89),IF(ISBLANK(AE89),IF(ISBLANK(AL89),$BB$1,AL89),AE89),X89),Q89),J89),$BB$1)</f>
        <v>0</v>
      </c>
      <c r="AT89" s="15">
        <f t="shared" si="96"/>
        <v>0</v>
      </c>
      <c r="AU89" s="15">
        <f t="shared" si="96"/>
        <v>0</v>
      </c>
      <c r="AV89" s="15" t="str">
        <f t="shared" si="96"/>
        <v>dry vermouth</v>
      </c>
      <c r="AW89" s="15">
        <f t="shared" si="96"/>
        <v>0</v>
      </c>
      <c r="AX89" s="15">
        <f t="shared" si="96"/>
        <v>0</v>
      </c>
      <c r="AY89" s="15" t="str">
        <f t="shared" si="96"/>
        <v>sweet vermouth</v>
      </c>
      <c r="AZ89" s="11" t="s">
        <v>104</v>
      </c>
      <c r="BA89" s="13">
        <f t="shared" si="1"/>
        <v>35</v>
      </c>
      <c r="BB89" s="15" t="b">
        <f t="shared" si="2"/>
        <v>0</v>
      </c>
    </row>
    <row r="90" spans="1:54" x14ac:dyDescent="0.2">
      <c r="A90" s="19" t="s">
        <v>207</v>
      </c>
      <c r="B90" s="19" t="s">
        <v>198</v>
      </c>
      <c r="C90" s="19" t="s">
        <v>48</v>
      </c>
      <c r="D90" s="19" t="s">
        <v>134</v>
      </c>
      <c r="E90" s="19" t="s">
        <v>100</v>
      </c>
      <c r="F90" s="19" t="s">
        <v>208</v>
      </c>
      <c r="G90" s="19"/>
      <c r="H90" s="19" t="s">
        <v>207</v>
      </c>
      <c r="I90" s="15">
        <v>4</v>
      </c>
      <c r="J90" s="15">
        <f>IFERROR(VLOOKUP($C90,Sheet3!$H$2:$O$200,J$1,FALSE),IFERROR(VLOOKUP($D90,Sheet3!$H$2:$O$200,J$1,FALSE),VLOOKUP($E90,Sheet3!$H$2:$O$200,J$1,FALSE)))</f>
        <v>0</v>
      </c>
      <c r="K90" s="15">
        <f>IFERROR(VLOOKUP($C90,Sheet3!$H$2:$O$200,K$1,FALSE),IFERROR(VLOOKUP($D90,Sheet3!$H$2:$O$200,K$1,FALSE),VLOOKUP($E90,Sheet3!$H$2:$O$200,K$1,FALSE)))</f>
        <v>0</v>
      </c>
      <c r="L90" s="15">
        <f>IFERROR(VLOOKUP($C90,Sheet3!$H$2:$O$200,L$1,FALSE),IFERROR(VLOOKUP($D90,Sheet3!$H$2:$O$200,L$1,FALSE),VLOOKUP($E90,Sheet3!$H$2:$O$200,L$1,FALSE)))</f>
        <v>0</v>
      </c>
      <c r="M90" s="15" t="str">
        <f>IFERROR(VLOOKUP($C90,Sheet3!$H$2:$O$200,M$1,FALSE),IFERROR(VLOOKUP($D90,Sheet3!$H$2:$O$200,M$1,FALSE),VLOOKUP($E90,Sheet3!$H$2:$O$200,M$1,FALSE)))</f>
        <v>sweet vermouth</v>
      </c>
      <c r="N90" s="15">
        <f>IFERROR(VLOOKUP($C90,Sheet3!$H$2:$O$200,N$1,FALSE),IFERROR(VLOOKUP($D90,Sheet3!$H$2:$O$200,N$1,FALSE),VLOOKUP($E90,Sheet3!$H$2:$O$200,N$1,FALSE)))</f>
        <v>0</v>
      </c>
      <c r="O90" s="15">
        <f>IFERROR(VLOOKUP($C90,Sheet3!$H$2:$O$200,O$1,FALSE),IFERROR(VLOOKUP($D90,Sheet3!$H$2:$O$200,O$1,FALSE),VLOOKUP($E90,Sheet3!$H$2:$O$200,O$1,FALSE)))</f>
        <v>0</v>
      </c>
      <c r="P90" s="15">
        <f>IFERROR(VLOOKUP($C90,Sheet3!$H$2:$O$200,P$1,FALSE),IFERROR(VLOOKUP($D90,Sheet3!$H$2:$O$200,P$1,FALSE),VLOOKUP($E90,Sheet3!$H$2:$O$200,P$1,FALSE)))</f>
        <v>0</v>
      </c>
      <c r="Q90" s="15">
        <f>IFERROR(IF(ISBLANK(J90),IFERROR(VLOOKUP($D90,Sheet3!$H$2:$O$200,Q$1,FALSE),IFERROR(VLOOKUP($E90,Sheet3!$H$2:$O$200,Q$1,FALSE),VLOOKUP($F90,Sheet3!$H$2:$O$200,Q$1,FALSE))),$I$1),$I$1)</f>
        <v>0</v>
      </c>
      <c r="R90" s="15">
        <f>IFERROR(IF(ISBLANK(K90),IFERROR(VLOOKUP($D90,Sheet3!$H$2:$O$200,R$1,FALSE),IFERROR(VLOOKUP($E90,Sheet3!$H$2:$O$200,R$1,FALSE),VLOOKUP($F90,Sheet3!$H$2:$O$200,R$1,FALSE))),$I$1),$I$1)</f>
        <v>0</v>
      </c>
      <c r="S90" s="15">
        <f>IFERROR(IF(ISBLANK(L90),IFERROR(VLOOKUP($D90,Sheet3!$H$2:$O$200,S$1,FALSE),IFERROR(VLOOKUP($E90,Sheet3!$H$2:$O$200,S$1,FALSE),VLOOKUP($F90,Sheet3!$H$2:$O$200,S$1,FALSE))),$I$1),$I$1)</f>
        <v>0</v>
      </c>
      <c r="T90" s="15">
        <f>IFERROR(IF(ISBLANK(M90),IFERROR(VLOOKUP($D90,Sheet3!$H$2:$O$200,T$1,FALSE),IFERROR(VLOOKUP($E90,Sheet3!$H$2:$O$200,T$1,FALSE),VLOOKUP($F90,Sheet3!$H$2:$O$200,T$1,FALSE))),$I$1),$I$1)</f>
        <v>0</v>
      </c>
      <c r="U90" s="15">
        <f>IFERROR(IF(ISBLANK(N90),IFERROR(VLOOKUP($D90,Sheet3!$H$2:$O$200,U$1,FALSE),IFERROR(VLOOKUP($E90,Sheet3!$H$2:$O$200,U$1,FALSE),VLOOKUP($F90,Sheet3!$H$2:$O$200,U$1,FALSE))),$I$1),$I$1)</f>
        <v>0</v>
      </c>
      <c r="V90" s="15">
        <f>IFERROR(IF(ISBLANK(O90),IFERROR(VLOOKUP($D90,Sheet3!$H$2:$O$200,V$1,FALSE),IFERROR(VLOOKUP($E90,Sheet3!$H$2:$O$200,V$1,FALSE),VLOOKUP($F90,Sheet3!$H$2:$O$200,V$1,FALSE))),$I$1),$I$1)</f>
        <v>0</v>
      </c>
      <c r="W90" s="15">
        <f>IFERROR(IF(ISBLANK(P90),IFERROR(VLOOKUP($D90,Sheet3!$H$2:$O$200,W$1,FALSE),IFERROR(VLOOKUP($E90,Sheet3!$H$2:$O$200,W$1,FALSE),VLOOKUP($F90,Sheet3!$H$2:$O$200,W$1,FALSE))),$I$1),$I$1)</f>
        <v>0</v>
      </c>
      <c r="X90" s="15">
        <f>IFERROR(IF(ISBLANK(Q90),IFERROR(VLOOKUP($E90,Sheet3!$H$2:$O$200,X$1,FALSE),IFERROR(VLOOKUP($F90,Sheet3!$H$2:$O$200,X$1,FALSE),VLOOKUP($G90,Sheet3!$H$2:$O$200,X$1,FALSE))),$I$1),$I$1)</f>
        <v>0</v>
      </c>
      <c r="Y90" s="15">
        <f>IFERROR(IF(ISBLANK(R90),IFERROR(VLOOKUP($E90,Sheet3!$H$2:$O$200,Y$1,FALSE),IFERROR(VLOOKUP($F90,Sheet3!$H$2:$O$200,Y$1,FALSE),VLOOKUP($G90,Sheet3!$H$2:$O$200,Y$1,FALSE))),$I$1),$I$1)</f>
        <v>0</v>
      </c>
      <c r="Z90" s="15">
        <f>IFERROR(IF(ISBLANK(S90),IFERROR(VLOOKUP($E90,Sheet3!$H$2:$O$200,Z$1,FALSE),IFERROR(VLOOKUP($F90,Sheet3!$H$2:$O$200,Z$1,FALSE),VLOOKUP($G90,Sheet3!$H$2:$O$200,Z$1,FALSE))),$I$1),$I$1)</f>
        <v>0</v>
      </c>
      <c r="AA90" s="15">
        <f>IFERROR(IF(ISBLANK(T90),IFERROR(VLOOKUP($E90,Sheet3!$H$2:$O$200,AA$1,FALSE),IFERROR(VLOOKUP($F90,Sheet3!$H$2:$O$200,AA$1,FALSE),VLOOKUP($G90,Sheet3!$H$2:$O$200,AA$1,FALSE))),$I$1),$I$1)</f>
        <v>0</v>
      </c>
      <c r="AB90" s="15">
        <f>IFERROR(IF(ISBLANK(U90),IFERROR(VLOOKUP($E90,Sheet3!$H$2:$O$200,AB$1,FALSE),IFERROR(VLOOKUP($F90,Sheet3!$H$2:$O$200,AB$1,FALSE),VLOOKUP($G90,Sheet3!$H$2:$O$200,AB$1,FALSE))),$I$1),$I$1)</f>
        <v>0</v>
      </c>
      <c r="AC90" s="15">
        <f>IFERROR(IF(ISBLANK(V90),IFERROR(VLOOKUP($E90,Sheet3!$H$2:$O$200,AC$1,FALSE),IFERROR(VLOOKUP($F90,Sheet3!$H$2:$O$200,AC$1,FALSE),VLOOKUP($G90,Sheet3!$H$2:$O$200,AC$1,FALSE))),$I$1),$I$1)</f>
        <v>0</v>
      </c>
      <c r="AD90" s="15">
        <f>IFERROR(IF(ISBLANK(W90),IFERROR(VLOOKUP($E90,Sheet3!$H$2:$O$200,AD$1,FALSE),IFERROR(VLOOKUP($F90,Sheet3!$H$2:$O$200,AD$1,FALSE),VLOOKUP($G90,Sheet3!$H$2:$O$200,AD$1,FALSE))),$I$1),$I$1)</f>
        <v>0</v>
      </c>
      <c r="AE90" s="15">
        <f>IFERROR(IF(ISBLANK(X90),IFERROR(VLOOKUP($F90,Sheet3!$H$2:$O$200,AE$1,FALSE),VLOOKUP($G90,Sheet3!$H$2:$O$200,AE$1,FALSE)),$I$1),$I$1)</f>
        <v>0</v>
      </c>
      <c r="AF90" s="15">
        <f>IFERROR(IF(ISBLANK(Y90),IFERROR(VLOOKUP($F90,Sheet3!$H$2:$O$200,AF$1,FALSE),VLOOKUP($G90,Sheet3!$H$2:$O$200,AF$1,FALSE)),$I$1),$I$1)</f>
        <v>0</v>
      </c>
      <c r="AG90" s="15">
        <f>IFERROR(IF(ISBLANK(Z90),IFERROR(VLOOKUP($F90,Sheet3!$H$2:$O$200,AG$1,FALSE),VLOOKUP($G90,Sheet3!$H$2:$O$200,AG$1,FALSE)),$I$1),$I$1)</f>
        <v>0</v>
      </c>
      <c r="AH90" s="15">
        <f>IFERROR(IF(ISBLANK(AA90),IFERROR(VLOOKUP($F90,Sheet3!$H$2:$O$200,AH$1,FALSE),VLOOKUP($G90,Sheet3!$H$2:$O$200,AH$1,FALSE)),$I$1),$I$1)</f>
        <v>0</v>
      </c>
      <c r="AI90" s="15">
        <f>IFERROR(IF(ISBLANK(AB90),IFERROR(VLOOKUP($F90,Sheet3!$H$2:$O$200,AI$1,FALSE),VLOOKUP($G90,Sheet3!$H$2:$O$200,AI$1,FALSE)),$I$1),$I$1)</f>
        <v>0</v>
      </c>
      <c r="AJ90" s="15">
        <f>IFERROR(IF(ISBLANK(AC90),IFERROR(VLOOKUP($F90,Sheet3!$H$2:$O$200,AJ$1,FALSE),VLOOKUP($G90,Sheet3!$H$2:$O$200,AJ$1,FALSE)),$I$1),$I$1)</f>
        <v>0</v>
      </c>
      <c r="AK90" s="15">
        <f>IFERROR(IF(ISBLANK(AD90),IFERROR(VLOOKUP($F90,Sheet3!$H$2:$O$200,AK$1,FALSE),VLOOKUP($G90,Sheet3!$H$2:$O$200,AK$1,FALSE)),$I$1),$I$1)</f>
        <v>0</v>
      </c>
      <c r="AL90" s="15">
        <f>IFERROR(IF(ISBLANK(AE90),VLOOKUP($G90,Sheet3!$H$2:$O$200,AL$1,FALSE),$I$1),$I$1)</f>
        <v>0</v>
      </c>
      <c r="AM90" s="15">
        <f>IFERROR(IF(ISBLANK(AF90),VLOOKUP($G90,Sheet3!$H$2:$O$200,AM$1,FALSE),$I$1),$I$1)</f>
        <v>0</v>
      </c>
      <c r="AN90" s="15">
        <f>IFERROR(IF(ISBLANK(AG90),VLOOKUP($G90,Sheet3!$H$2:$O$200,AN$1,FALSE),$I$1),$I$1)</f>
        <v>0</v>
      </c>
      <c r="AO90" s="15">
        <f>IFERROR(IF(ISBLANK(AH90),VLOOKUP($G90,Sheet3!$H$2:$O$200,AO$1,FALSE),$I$1),$I$1)</f>
        <v>0</v>
      </c>
      <c r="AP90" s="15">
        <f>IFERROR(IF(ISBLANK(AI90),VLOOKUP($G90,Sheet3!$H$2:$O$200,AP$1,FALSE),$I$1),$I$1)</f>
        <v>0</v>
      </c>
      <c r="AQ90" s="15">
        <f>IFERROR(IF(ISBLANK(AJ90),VLOOKUP($G90,Sheet3!$H$2:$O$200,AQ$1,FALSE),$I$1),$I$1)</f>
        <v>0</v>
      </c>
      <c r="AR90" s="15">
        <f>IFERROR(IF(ISBLANK(AK90),VLOOKUP($G90,Sheet3!$H$2:$O$200,AR$1,FALSE),$I$1),$I$1)</f>
        <v>0</v>
      </c>
      <c r="AS90" s="15">
        <f t="shared" ref="AS90:AY90" si="97">IFERROR(IF(ISBLANK(J90),IF(ISBLANK(Q90),IF(ISBLANK(X90),IF(ISBLANK(AE90),IF(ISBLANK(AL90),$BB$1,AL90),AE90),X90),Q90),J90),$BB$1)</f>
        <v>0</v>
      </c>
      <c r="AT90" s="15">
        <f t="shared" si="97"/>
        <v>0</v>
      </c>
      <c r="AU90" s="15">
        <f t="shared" si="97"/>
        <v>0</v>
      </c>
      <c r="AV90" s="15" t="str">
        <f t="shared" si="97"/>
        <v>sweet vermouth</v>
      </c>
      <c r="AW90" s="15">
        <f t="shared" si="97"/>
        <v>0</v>
      </c>
      <c r="AX90" s="15">
        <f t="shared" si="97"/>
        <v>0</v>
      </c>
      <c r="AY90" s="15">
        <f t="shared" si="97"/>
        <v>0</v>
      </c>
      <c r="BA90" s="13">
        <f t="shared" si="1"/>
        <v>35</v>
      </c>
      <c r="BB90" s="15" t="b">
        <f t="shared" si="2"/>
        <v>0</v>
      </c>
    </row>
    <row r="91" spans="1:54" x14ac:dyDescent="0.2">
      <c r="A91" s="19" t="s">
        <v>209</v>
      </c>
      <c r="B91" s="19" t="s">
        <v>198</v>
      </c>
      <c r="C91" s="19" t="s">
        <v>52</v>
      </c>
      <c r="D91" s="19"/>
      <c r="E91" s="19" t="s">
        <v>100</v>
      </c>
      <c r="F91" s="19"/>
      <c r="G91" s="19"/>
      <c r="H91" s="19" t="s">
        <v>209</v>
      </c>
      <c r="I91" s="15">
        <v>2</v>
      </c>
      <c r="J91" s="15">
        <f>IFERROR(VLOOKUP($C91,Sheet3!$H$2:$O$200,J$1,FALSE),IFERROR(VLOOKUP($D91,Sheet3!$H$2:$O$200,J$1,FALSE),VLOOKUP($E91,Sheet3!$H$2:$O$200,J$1,FALSE)))</f>
        <v>0</v>
      </c>
      <c r="K91" s="15">
        <f>IFERROR(VLOOKUP($C91,Sheet3!$H$2:$O$200,K$1,FALSE),IFERROR(VLOOKUP($D91,Sheet3!$H$2:$O$200,K$1,FALSE),VLOOKUP($E91,Sheet3!$H$2:$O$200,K$1,FALSE)))</f>
        <v>0</v>
      </c>
      <c r="L91" s="15">
        <f>IFERROR(VLOOKUP($C91,Sheet3!$H$2:$O$200,L$1,FALSE),IFERROR(VLOOKUP($D91,Sheet3!$H$2:$O$200,L$1,FALSE),VLOOKUP($E91,Sheet3!$H$2:$O$200,L$1,FALSE)))</f>
        <v>0</v>
      </c>
      <c r="M91" s="15" t="str">
        <f>IFERROR(VLOOKUP($C91,Sheet3!$H$2:$O$200,M$1,FALSE),IFERROR(VLOOKUP($D91,Sheet3!$H$2:$O$200,M$1,FALSE),VLOOKUP($E91,Sheet3!$H$2:$O$200,M$1,FALSE)))</f>
        <v>dry vermouth</v>
      </c>
      <c r="N91" s="15">
        <f>IFERROR(VLOOKUP($C91,Sheet3!$H$2:$O$200,N$1,FALSE),IFERROR(VLOOKUP($D91,Sheet3!$H$2:$O$200,N$1,FALSE),VLOOKUP($E91,Sheet3!$H$2:$O$200,N$1,FALSE)))</f>
        <v>0</v>
      </c>
      <c r="O91" s="15">
        <f>IFERROR(VLOOKUP($C91,Sheet3!$H$2:$O$200,O$1,FALSE),IFERROR(VLOOKUP($D91,Sheet3!$H$2:$O$200,O$1,FALSE),VLOOKUP($E91,Sheet3!$H$2:$O$200,O$1,FALSE)))</f>
        <v>0</v>
      </c>
      <c r="P91" s="15">
        <f>IFERROR(VLOOKUP($C91,Sheet3!$H$2:$O$200,P$1,FALSE),IFERROR(VLOOKUP($D91,Sheet3!$H$2:$O$200,P$1,FALSE),VLOOKUP($E91,Sheet3!$H$2:$O$200,P$1,FALSE)))</f>
        <v>0</v>
      </c>
      <c r="Q91" s="15">
        <f>IFERROR(IF(ISBLANK(J91),IFERROR(VLOOKUP($D91,Sheet3!$H$2:$O$200,Q$1,FALSE),IFERROR(VLOOKUP($E91,Sheet3!$H$2:$O$200,Q$1,FALSE),VLOOKUP($F91,Sheet3!$H$2:$O$200,Q$1,FALSE))),$I$1),$I$1)</f>
        <v>0</v>
      </c>
      <c r="R91" s="15">
        <f>IFERROR(IF(ISBLANK(K91),IFERROR(VLOOKUP($D91,Sheet3!$H$2:$O$200,R$1,FALSE),IFERROR(VLOOKUP($E91,Sheet3!$H$2:$O$200,R$1,FALSE),VLOOKUP($F91,Sheet3!$H$2:$O$200,R$1,FALSE))),$I$1),$I$1)</f>
        <v>0</v>
      </c>
      <c r="S91" s="15">
        <f>IFERROR(IF(ISBLANK(L91),IFERROR(VLOOKUP($D91,Sheet3!$H$2:$O$200,S$1,FALSE),IFERROR(VLOOKUP($E91,Sheet3!$H$2:$O$200,S$1,FALSE),VLOOKUP($F91,Sheet3!$H$2:$O$200,S$1,FALSE))),$I$1),$I$1)</f>
        <v>0</v>
      </c>
      <c r="T91" s="15">
        <f>IFERROR(IF(ISBLANK(M91),IFERROR(VLOOKUP($D91,Sheet3!$H$2:$O$200,T$1,FALSE),IFERROR(VLOOKUP($E91,Sheet3!$H$2:$O$200,T$1,FALSE),VLOOKUP($F91,Sheet3!$H$2:$O$200,T$1,FALSE))),$I$1),$I$1)</f>
        <v>0</v>
      </c>
      <c r="U91" s="15">
        <f>IFERROR(IF(ISBLANK(N91),IFERROR(VLOOKUP($D91,Sheet3!$H$2:$O$200,U$1,FALSE),IFERROR(VLOOKUP($E91,Sheet3!$H$2:$O$200,U$1,FALSE),VLOOKUP($F91,Sheet3!$H$2:$O$200,U$1,FALSE))),$I$1),$I$1)</f>
        <v>0</v>
      </c>
      <c r="V91" s="15">
        <f>IFERROR(IF(ISBLANK(O91),IFERROR(VLOOKUP($D91,Sheet3!$H$2:$O$200,V$1,FALSE),IFERROR(VLOOKUP($E91,Sheet3!$H$2:$O$200,V$1,FALSE),VLOOKUP($F91,Sheet3!$H$2:$O$200,V$1,FALSE))),$I$1),$I$1)</f>
        <v>0</v>
      </c>
      <c r="W91" s="15">
        <f>IFERROR(IF(ISBLANK(P91),IFERROR(VLOOKUP($D91,Sheet3!$H$2:$O$200,W$1,FALSE),IFERROR(VLOOKUP($E91,Sheet3!$H$2:$O$200,W$1,FALSE),VLOOKUP($F91,Sheet3!$H$2:$O$200,W$1,FALSE))),$I$1),$I$1)</f>
        <v>0</v>
      </c>
      <c r="X91" s="15">
        <f>IFERROR(IF(ISBLANK(Q91),IFERROR(VLOOKUP($E91,Sheet3!$H$2:$O$200,X$1,FALSE),IFERROR(VLOOKUP($F91,Sheet3!$H$2:$O$200,X$1,FALSE),VLOOKUP($G91,Sheet3!$H$2:$O$200,X$1,FALSE))),$I$1),$I$1)</f>
        <v>0</v>
      </c>
      <c r="Y91" s="15">
        <f>IFERROR(IF(ISBLANK(R91),IFERROR(VLOOKUP($E91,Sheet3!$H$2:$O$200,Y$1,FALSE),IFERROR(VLOOKUP($F91,Sheet3!$H$2:$O$200,Y$1,FALSE),VLOOKUP($G91,Sheet3!$H$2:$O$200,Y$1,FALSE))),$I$1),$I$1)</f>
        <v>0</v>
      </c>
      <c r="Z91" s="15">
        <f>IFERROR(IF(ISBLANK(S91),IFERROR(VLOOKUP($E91,Sheet3!$H$2:$O$200,Z$1,FALSE),IFERROR(VLOOKUP($F91,Sheet3!$H$2:$O$200,Z$1,FALSE),VLOOKUP($G91,Sheet3!$H$2:$O$200,Z$1,FALSE))),$I$1),$I$1)</f>
        <v>0</v>
      </c>
      <c r="AA91" s="15">
        <f>IFERROR(IF(ISBLANK(T91),IFERROR(VLOOKUP($E91,Sheet3!$H$2:$O$200,AA$1,FALSE),IFERROR(VLOOKUP($F91,Sheet3!$H$2:$O$200,AA$1,FALSE),VLOOKUP($G91,Sheet3!$H$2:$O$200,AA$1,FALSE))),$I$1),$I$1)</f>
        <v>0</v>
      </c>
      <c r="AB91" s="15">
        <f>IFERROR(IF(ISBLANK(U91),IFERROR(VLOOKUP($E91,Sheet3!$H$2:$O$200,AB$1,FALSE),IFERROR(VLOOKUP($F91,Sheet3!$H$2:$O$200,AB$1,FALSE),VLOOKUP($G91,Sheet3!$H$2:$O$200,AB$1,FALSE))),$I$1),$I$1)</f>
        <v>0</v>
      </c>
      <c r="AC91" s="15">
        <f>IFERROR(IF(ISBLANK(V91),IFERROR(VLOOKUP($E91,Sheet3!$H$2:$O$200,AC$1,FALSE),IFERROR(VLOOKUP($F91,Sheet3!$H$2:$O$200,AC$1,FALSE),VLOOKUP($G91,Sheet3!$H$2:$O$200,AC$1,FALSE))),$I$1),$I$1)</f>
        <v>0</v>
      </c>
      <c r="AD91" s="15">
        <f>IFERROR(IF(ISBLANK(W91),IFERROR(VLOOKUP($E91,Sheet3!$H$2:$O$200,AD$1,FALSE),IFERROR(VLOOKUP($F91,Sheet3!$H$2:$O$200,AD$1,FALSE),VLOOKUP($G91,Sheet3!$H$2:$O$200,AD$1,FALSE))),$I$1),$I$1)</f>
        <v>0</v>
      </c>
      <c r="AE91" s="15">
        <f>IFERROR(IF(ISBLANK(X91),IFERROR(VLOOKUP($F91,Sheet3!$H$2:$O$200,AE$1,FALSE),VLOOKUP($G91,Sheet3!$H$2:$O$200,AE$1,FALSE)),$I$1),$I$1)</f>
        <v>0</v>
      </c>
      <c r="AF91" s="15">
        <f>IFERROR(IF(ISBLANK(Y91),IFERROR(VLOOKUP($F91,Sheet3!$H$2:$O$200,AF$1,FALSE),VLOOKUP($G91,Sheet3!$H$2:$O$200,AF$1,FALSE)),$I$1),$I$1)</f>
        <v>0</v>
      </c>
      <c r="AG91" s="15">
        <f>IFERROR(IF(ISBLANK(Z91),IFERROR(VLOOKUP($F91,Sheet3!$H$2:$O$200,AG$1,FALSE),VLOOKUP($G91,Sheet3!$H$2:$O$200,AG$1,FALSE)),$I$1),$I$1)</f>
        <v>0</v>
      </c>
      <c r="AH91" s="15">
        <f>IFERROR(IF(ISBLANK(AA91),IFERROR(VLOOKUP($F91,Sheet3!$H$2:$O$200,AH$1,FALSE),VLOOKUP($G91,Sheet3!$H$2:$O$200,AH$1,FALSE)),$I$1),$I$1)</f>
        <v>0</v>
      </c>
      <c r="AI91" s="15">
        <f>IFERROR(IF(ISBLANK(AB91),IFERROR(VLOOKUP($F91,Sheet3!$H$2:$O$200,AI$1,FALSE),VLOOKUP($G91,Sheet3!$H$2:$O$200,AI$1,FALSE)),$I$1),$I$1)</f>
        <v>0</v>
      </c>
      <c r="AJ91" s="15">
        <f>IFERROR(IF(ISBLANK(AC91),IFERROR(VLOOKUP($F91,Sheet3!$H$2:$O$200,AJ$1,FALSE),VLOOKUP($G91,Sheet3!$H$2:$O$200,AJ$1,FALSE)),$I$1),$I$1)</f>
        <v>0</v>
      </c>
      <c r="AK91" s="15">
        <f>IFERROR(IF(ISBLANK(AD91),IFERROR(VLOOKUP($F91,Sheet3!$H$2:$O$200,AK$1,FALSE),VLOOKUP($G91,Sheet3!$H$2:$O$200,AK$1,FALSE)),$I$1),$I$1)</f>
        <v>0</v>
      </c>
      <c r="AL91" s="15">
        <f>IFERROR(IF(ISBLANK(AE91),VLOOKUP($G91,Sheet3!$H$2:$O$200,AL$1,FALSE),$I$1),$I$1)</f>
        <v>0</v>
      </c>
      <c r="AM91" s="15">
        <f>IFERROR(IF(ISBLANK(AF91),VLOOKUP($G91,Sheet3!$H$2:$O$200,AM$1,FALSE),$I$1),$I$1)</f>
        <v>0</v>
      </c>
      <c r="AN91" s="15">
        <f>IFERROR(IF(ISBLANK(AG91),VLOOKUP($G91,Sheet3!$H$2:$O$200,AN$1,FALSE),$I$1),$I$1)</f>
        <v>0</v>
      </c>
      <c r="AO91" s="15">
        <f>IFERROR(IF(ISBLANK(AH91),VLOOKUP($G91,Sheet3!$H$2:$O$200,AO$1,FALSE),$I$1),$I$1)</f>
        <v>0</v>
      </c>
      <c r="AP91" s="15">
        <f>IFERROR(IF(ISBLANK(AI91),VLOOKUP($G91,Sheet3!$H$2:$O$200,AP$1,FALSE),$I$1),$I$1)</f>
        <v>0</v>
      </c>
      <c r="AQ91" s="15">
        <f>IFERROR(IF(ISBLANK(AJ91),VLOOKUP($G91,Sheet3!$H$2:$O$200,AQ$1,FALSE),$I$1),$I$1)</f>
        <v>0</v>
      </c>
      <c r="AR91" s="15">
        <f>IFERROR(IF(ISBLANK(AK91),VLOOKUP($G91,Sheet3!$H$2:$O$200,AR$1,FALSE),$I$1),$I$1)</f>
        <v>0</v>
      </c>
      <c r="AS91" s="15">
        <f t="shared" ref="AS91:AY91" si="98">IFERROR(IF(ISBLANK(J91),IF(ISBLANK(Q91),IF(ISBLANK(X91),IF(ISBLANK(AE91),IF(ISBLANK(AL91),$BB$1,AL91),AE91),X91),Q91),J91),$BB$1)</f>
        <v>0</v>
      </c>
      <c r="AT91" s="15">
        <f t="shared" si="98"/>
        <v>0</v>
      </c>
      <c r="AU91" s="15">
        <f t="shared" si="98"/>
        <v>0</v>
      </c>
      <c r="AV91" s="15" t="str">
        <f t="shared" si="98"/>
        <v>dry vermouth</v>
      </c>
      <c r="AW91" s="15">
        <f t="shared" si="98"/>
        <v>0</v>
      </c>
      <c r="AX91" s="15">
        <f t="shared" si="98"/>
        <v>0</v>
      </c>
      <c r="AY91" s="15">
        <f t="shared" si="98"/>
        <v>0</v>
      </c>
      <c r="BA91" s="13">
        <f t="shared" si="1"/>
        <v>35</v>
      </c>
      <c r="BB91" s="15" t="b">
        <f t="shared" si="2"/>
        <v>0</v>
      </c>
    </row>
    <row r="92" spans="1:54" x14ac:dyDescent="0.2">
      <c r="A92" s="19" t="s">
        <v>210</v>
      </c>
      <c r="B92" s="19" t="s">
        <v>198</v>
      </c>
      <c r="C92" s="19" t="s">
        <v>52</v>
      </c>
      <c r="D92" s="19"/>
      <c r="E92" s="19" t="s">
        <v>100</v>
      </c>
      <c r="F92" s="19" t="s">
        <v>60</v>
      </c>
      <c r="G92" s="19"/>
      <c r="H92" s="19" t="s">
        <v>210</v>
      </c>
      <c r="I92" s="15">
        <v>3</v>
      </c>
      <c r="J92" s="15">
        <f>IFERROR(VLOOKUP($C92,Sheet3!$H$2:$O$200,J$1,FALSE),IFERROR(VLOOKUP($D92,Sheet3!$H$2:$O$200,J$1,FALSE),VLOOKUP($E92,Sheet3!$H$2:$O$200,J$1,FALSE)))</f>
        <v>0</v>
      </c>
      <c r="K92" s="15">
        <f>IFERROR(VLOOKUP($C92,Sheet3!$H$2:$O$200,K$1,FALSE),IFERROR(VLOOKUP($D92,Sheet3!$H$2:$O$200,K$1,FALSE),VLOOKUP($E92,Sheet3!$H$2:$O$200,K$1,FALSE)))</f>
        <v>0</v>
      </c>
      <c r="L92" s="15">
        <f>IFERROR(VLOOKUP($C92,Sheet3!$H$2:$O$200,L$1,FALSE),IFERROR(VLOOKUP($D92,Sheet3!$H$2:$O$200,L$1,FALSE),VLOOKUP($E92,Sheet3!$H$2:$O$200,L$1,FALSE)))</f>
        <v>0</v>
      </c>
      <c r="M92" s="15" t="str">
        <f>IFERROR(VLOOKUP($C92,Sheet3!$H$2:$O$200,M$1,FALSE),IFERROR(VLOOKUP($D92,Sheet3!$H$2:$O$200,M$1,FALSE),VLOOKUP($E92,Sheet3!$H$2:$O$200,M$1,FALSE)))</f>
        <v>dry vermouth</v>
      </c>
      <c r="N92" s="15">
        <f>IFERROR(VLOOKUP($C92,Sheet3!$H$2:$O$200,N$1,FALSE),IFERROR(VLOOKUP($D92,Sheet3!$H$2:$O$200,N$1,FALSE),VLOOKUP($E92,Sheet3!$H$2:$O$200,N$1,FALSE)))</f>
        <v>0</v>
      </c>
      <c r="O92" s="15">
        <f>IFERROR(VLOOKUP($C92,Sheet3!$H$2:$O$200,O$1,FALSE),IFERROR(VLOOKUP($D92,Sheet3!$H$2:$O$200,O$1,FALSE),VLOOKUP($E92,Sheet3!$H$2:$O$200,O$1,FALSE)))</f>
        <v>0</v>
      </c>
      <c r="P92" s="15">
        <f>IFERROR(VLOOKUP($C92,Sheet3!$H$2:$O$200,P$1,FALSE),IFERROR(VLOOKUP($D92,Sheet3!$H$2:$O$200,P$1,FALSE),VLOOKUP($E92,Sheet3!$H$2:$O$200,P$1,FALSE)))</f>
        <v>0</v>
      </c>
      <c r="Q92" s="15">
        <f>IFERROR(IF(ISBLANK(J92),IFERROR(VLOOKUP($D92,Sheet3!$H$2:$O$200,Q$1,FALSE),IFERROR(VLOOKUP($E92,Sheet3!$H$2:$O$200,Q$1,FALSE),VLOOKUP($F92,Sheet3!$H$2:$O$200,Q$1,FALSE))),$I$1),$I$1)</f>
        <v>0</v>
      </c>
      <c r="R92" s="15">
        <f>IFERROR(IF(ISBLANK(K92),IFERROR(VLOOKUP($D92,Sheet3!$H$2:$O$200,R$1,FALSE),IFERROR(VLOOKUP($E92,Sheet3!$H$2:$O$200,R$1,FALSE),VLOOKUP($F92,Sheet3!$H$2:$O$200,R$1,FALSE))),$I$1),$I$1)</f>
        <v>0</v>
      </c>
      <c r="S92" s="15">
        <f>IFERROR(IF(ISBLANK(L92),IFERROR(VLOOKUP($D92,Sheet3!$H$2:$O$200,S$1,FALSE),IFERROR(VLOOKUP($E92,Sheet3!$H$2:$O$200,S$1,FALSE),VLOOKUP($F92,Sheet3!$H$2:$O$200,S$1,FALSE))),$I$1),$I$1)</f>
        <v>0</v>
      </c>
      <c r="T92" s="15">
        <f>IFERROR(IF(ISBLANK(M92),IFERROR(VLOOKUP($D92,Sheet3!$H$2:$O$200,T$1,FALSE),IFERROR(VLOOKUP($E92,Sheet3!$H$2:$O$200,T$1,FALSE),VLOOKUP($F92,Sheet3!$H$2:$O$200,T$1,FALSE))),$I$1),$I$1)</f>
        <v>0</v>
      </c>
      <c r="U92" s="15">
        <f>IFERROR(IF(ISBLANK(N92),IFERROR(VLOOKUP($D92,Sheet3!$H$2:$O$200,U$1,FALSE),IFERROR(VLOOKUP($E92,Sheet3!$H$2:$O$200,U$1,FALSE),VLOOKUP($F92,Sheet3!$H$2:$O$200,U$1,FALSE))),$I$1),$I$1)</f>
        <v>0</v>
      </c>
      <c r="V92" s="15">
        <f>IFERROR(IF(ISBLANK(O92),IFERROR(VLOOKUP($D92,Sheet3!$H$2:$O$200,V$1,FALSE),IFERROR(VLOOKUP($E92,Sheet3!$H$2:$O$200,V$1,FALSE),VLOOKUP($F92,Sheet3!$H$2:$O$200,V$1,FALSE))),$I$1),$I$1)</f>
        <v>0</v>
      </c>
      <c r="W92" s="15">
        <f>IFERROR(IF(ISBLANK(P92),IFERROR(VLOOKUP($D92,Sheet3!$H$2:$O$200,W$1,FALSE),IFERROR(VLOOKUP($E92,Sheet3!$H$2:$O$200,W$1,FALSE),VLOOKUP($F92,Sheet3!$H$2:$O$200,W$1,FALSE))),$I$1),$I$1)</f>
        <v>0</v>
      </c>
      <c r="X92" s="15">
        <f>IFERROR(IF(ISBLANK(Q92),IFERROR(VLOOKUP($E92,Sheet3!$H$2:$O$200,X$1,FALSE),IFERROR(VLOOKUP($F92,Sheet3!$H$2:$O$200,X$1,FALSE),VLOOKUP($G92,Sheet3!$H$2:$O$200,X$1,FALSE))),$I$1),$I$1)</f>
        <v>0</v>
      </c>
      <c r="Y92" s="15">
        <f>IFERROR(IF(ISBLANK(R92),IFERROR(VLOOKUP($E92,Sheet3!$H$2:$O$200,Y$1,FALSE),IFERROR(VLOOKUP($F92,Sheet3!$H$2:$O$200,Y$1,FALSE),VLOOKUP($G92,Sheet3!$H$2:$O$200,Y$1,FALSE))),$I$1),$I$1)</f>
        <v>0</v>
      </c>
      <c r="Z92" s="15">
        <f>IFERROR(IF(ISBLANK(S92),IFERROR(VLOOKUP($E92,Sheet3!$H$2:$O$200,Z$1,FALSE),IFERROR(VLOOKUP($F92,Sheet3!$H$2:$O$200,Z$1,FALSE),VLOOKUP($G92,Sheet3!$H$2:$O$200,Z$1,FALSE))),$I$1),$I$1)</f>
        <v>0</v>
      </c>
      <c r="AA92" s="15">
        <f>IFERROR(IF(ISBLANK(T92),IFERROR(VLOOKUP($E92,Sheet3!$H$2:$O$200,AA$1,FALSE),IFERROR(VLOOKUP($F92,Sheet3!$H$2:$O$200,AA$1,FALSE),VLOOKUP($G92,Sheet3!$H$2:$O$200,AA$1,FALSE))),$I$1),$I$1)</f>
        <v>0</v>
      </c>
      <c r="AB92" s="15">
        <f>IFERROR(IF(ISBLANK(U92),IFERROR(VLOOKUP($E92,Sheet3!$H$2:$O$200,AB$1,FALSE),IFERROR(VLOOKUP($F92,Sheet3!$H$2:$O$200,AB$1,FALSE),VLOOKUP($G92,Sheet3!$H$2:$O$200,AB$1,FALSE))),$I$1),$I$1)</f>
        <v>0</v>
      </c>
      <c r="AC92" s="15">
        <f>IFERROR(IF(ISBLANK(V92),IFERROR(VLOOKUP($E92,Sheet3!$H$2:$O$200,AC$1,FALSE),IFERROR(VLOOKUP($F92,Sheet3!$H$2:$O$200,AC$1,FALSE),VLOOKUP($G92,Sheet3!$H$2:$O$200,AC$1,FALSE))),$I$1),$I$1)</f>
        <v>0</v>
      </c>
      <c r="AD92" s="15">
        <f>IFERROR(IF(ISBLANK(W92),IFERROR(VLOOKUP($E92,Sheet3!$H$2:$O$200,AD$1,FALSE),IFERROR(VLOOKUP($F92,Sheet3!$H$2:$O$200,AD$1,FALSE),VLOOKUP($G92,Sheet3!$H$2:$O$200,AD$1,FALSE))),$I$1),$I$1)</f>
        <v>0</v>
      </c>
      <c r="AE92" s="15">
        <f>IFERROR(IF(ISBLANK(X92),IFERROR(VLOOKUP($F92,Sheet3!$H$2:$O$200,AE$1,FALSE),VLOOKUP($G92,Sheet3!$H$2:$O$200,AE$1,FALSE)),$I$1),$I$1)</f>
        <v>0</v>
      </c>
      <c r="AF92" s="15">
        <f>IFERROR(IF(ISBLANK(Y92),IFERROR(VLOOKUP($F92,Sheet3!$H$2:$O$200,AF$1,FALSE),VLOOKUP($G92,Sheet3!$H$2:$O$200,AF$1,FALSE)),$I$1),$I$1)</f>
        <v>0</v>
      </c>
      <c r="AG92" s="15">
        <f>IFERROR(IF(ISBLANK(Z92),IFERROR(VLOOKUP($F92,Sheet3!$H$2:$O$200,AG$1,FALSE),VLOOKUP($G92,Sheet3!$H$2:$O$200,AG$1,FALSE)),$I$1),$I$1)</f>
        <v>0</v>
      </c>
      <c r="AH92" s="15">
        <f>IFERROR(IF(ISBLANK(AA92),IFERROR(VLOOKUP($F92,Sheet3!$H$2:$O$200,AH$1,FALSE),VLOOKUP($G92,Sheet3!$H$2:$O$200,AH$1,FALSE)),$I$1),$I$1)</f>
        <v>0</v>
      </c>
      <c r="AI92" s="15">
        <f>IFERROR(IF(ISBLANK(AB92),IFERROR(VLOOKUP($F92,Sheet3!$H$2:$O$200,AI$1,FALSE),VLOOKUP($G92,Sheet3!$H$2:$O$200,AI$1,FALSE)),$I$1),$I$1)</f>
        <v>0</v>
      </c>
      <c r="AJ92" s="15">
        <f>IFERROR(IF(ISBLANK(AC92),IFERROR(VLOOKUP($F92,Sheet3!$H$2:$O$200,AJ$1,FALSE),VLOOKUP($G92,Sheet3!$H$2:$O$200,AJ$1,FALSE)),$I$1),$I$1)</f>
        <v>0</v>
      </c>
      <c r="AK92" s="15">
        <f>IFERROR(IF(ISBLANK(AD92),IFERROR(VLOOKUP($F92,Sheet3!$H$2:$O$200,AK$1,FALSE),VLOOKUP($G92,Sheet3!$H$2:$O$200,AK$1,FALSE)),$I$1),$I$1)</f>
        <v>0</v>
      </c>
      <c r="AL92" s="15">
        <f>IFERROR(IF(ISBLANK(AE92),VLOOKUP($G92,Sheet3!$H$2:$O$200,AL$1,FALSE),$I$1),$I$1)</f>
        <v>0</v>
      </c>
      <c r="AM92" s="15">
        <f>IFERROR(IF(ISBLANK(AF92),VLOOKUP($G92,Sheet3!$H$2:$O$200,AM$1,FALSE),$I$1),$I$1)</f>
        <v>0</v>
      </c>
      <c r="AN92" s="15">
        <f>IFERROR(IF(ISBLANK(AG92),VLOOKUP($G92,Sheet3!$H$2:$O$200,AN$1,FALSE),$I$1),$I$1)</f>
        <v>0</v>
      </c>
      <c r="AO92" s="15">
        <f>IFERROR(IF(ISBLANK(AH92),VLOOKUP($G92,Sheet3!$H$2:$O$200,AO$1,FALSE),$I$1),$I$1)</f>
        <v>0</v>
      </c>
      <c r="AP92" s="15">
        <f>IFERROR(IF(ISBLANK(AI92),VLOOKUP($G92,Sheet3!$H$2:$O$200,AP$1,FALSE),$I$1),$I$1)</f>
        <v>0</v>
      </c>
      <c r="AQ92" s="15">
        <f>IFERROR(IF(ISBLANK(AJ92),VLOOKUP($G92,Sheet3!$H$2:$O$200,AQ$1,FALSE),$I$1),$I$1)</f>
        <v>0</v>
      </c>
      <c r="AR92" s="15">
        <f>IFERROR(IF(ISBLANK(AK92),VLOOKUP($G92,Sheet3!$H$2:$O$200,AR$1,FALSE),$I$1),$I$1)</f>
        <v>0</v>
      </c>
      <c r="AS92" s="15">
        <f t="shared" ref="AS92:AX92" si="99">IFERROR(IF(ISBLANK(J92),IF(ISBLANK(Q92),IF(ISBLANK(X92),IF(ISBLANK(AE92),IF(ISBLANK(AL92),$BB$1,AL92),AE92),X92),Q92),J92),$BB$1)</f>
        <v>0</v>
      </c>
      <c r="AT92" s="15">
        <f t="shared" si="99"/>
        <v>0</v>
      </c>
      <c r="AU92" s="15">
        <f t="shared" si="99"/>
        <v>0</v>
      </c>
      <c r="AV92" s="15" t="str">
        <f t="shared" si="99"/>
        <v>dry vermouth</v>
      </c>
      <c r="AW92" s="15">
        <f t="shared" si="99"/>
        <v>0</v>
      </c>
      <c r="AX92" s="15">
        <f t="shared" si="99"/>
        <v>0</v>
      </c>
      <c r="AY92" s="11" t="s">
        <v>100</v>
      </c>
      <c r="AZ92" s="11" t="s">
        <v>60</v>
      </c>
      <c r="BA92" s="13">
        <f t="shared" si="1"/>
        <v>35</v>
      </c>
      <c r="BB92" s="15" t="b">
        <f t="shared" si="2"/>
        <v>0</v>
      </c>
    </row>
    <row r="93" spans="1:54" x14ac:dyDescent="0.2">
      <c r="A93" s="19" t="s">
        <v>211</v>
      </c>
      <c r="B93" s="19" t="s">
        <v>198</v>
      </c>
      <c r="C93" s="19" t="s">
        <v>52</v>
      </c>
      <c r="D93" s="19"/>
      <c r="E93" s="19" t="s">
        <v>108</v>
      </c>
      <c r="F93" s="19"/>
      <c r="G93" s="19"/>
      <c r="H93" s="19" t="s">
        <v>211</v>
      </c>
      <c r="I93" s="15">
        <v>2</v>
      </c>
      <c r="J93" s="15">
        <f>IFERROR(VLOOKUP($C93,Sheet3!$H$2:$O$200,J$1,FALSE),IFERROR(VLOOKUP($D93,Sheet3!$H$2:$O$200,J$1,FALSE),VLOOKUP($E93,Sheet3!$H$2:$O$200,J$1,FALSE)))</f>
        <v>0</v>
      </c>
      <c r="K93" s="15">
        <f>IFERROR(VLOOKUP($C93,Sheet3!$H$2:$O$200,K$1,FALSE),IFERROR(VLOOKUP($D93,Sheet3!$H$2:$O$200,K$1,FALSE),VLOOKUP($E93,Sheet3!$H$2:$O$200,K$1,FALSE)))</f>
        <v>0</v>
      </c>
      <c r="L93" s="15">
        <f>IFERROR(VLOOKUP($C93,Sheet3!$H$2:$O$200,L$1,FALSE),IFERROR(VLOOKUP($D93,Sheet3!$H$2:$O$200,L$1,FALSE),VLOOKUP($E93,Sheet3!$H$2:$O$200,L$1,FALSE)))</f>
        <v>0</v>
      </c>
      <c r="M93" s="15" t="str">
        <f>IFERROR(VLOOKUP($C93,Sheet3!$H$2:$O$200,M$1,FALSE),IFERROR(VLOOKUP($D93,Sheet3!$H$2:$O$200,M$1,FALSE),VLOOKUP($E93,Sheet3!$H$2:$O$200,M$1,FALSE)))</f>
        <v>dry vermouth</v>
      </c>
      <c r="N93" s="15">
        <f>IFERROR(VLOOKUP($C93,Sheet3!$H$2:$O$200,N$1,FALSE),IFERROR(VLOOKUP($D93,Sheet3!$H$2:$O$200,N$1,FALSE),VLOOKUP($E93,Sheet3!$H$2:$O$200,N$1,FALSE)))</f>
        <v>0</v>
      </c>
      <c r="O93" s="15">
        <f>IFERROR(VLOOKUP($C93,Sheet3!$H$2:$O$200,O$1,FALSE),IFERROR(VLOOKUP($D93,Sheet3!$H$2:$O$200,O$1,FALSE),VLOOKUP($E93,Sheet3!$H$2:$O$200,O$1,FALSE)))</f>
        <v>0</v>
      </c>
      <c r="P93" s="15">
        <f>IFERROR(VLOOKUP($C93,Sheet3!$H$2:$O$200,P$1,FALSE),IFERROR(VLOOKUP($D93,Sheet3!$H$2:$O$200,P$1,FALSE),VLOOKUP($E93,Sheet3!$H$2:$O$200,P$1,FALSE)))</f>
        <v>0</v>
      </c>
      <c r="Q93" s="15">
        <f>IFERROR(IF(ISBLANK(J93),IFERROR(VLOOKUP($D93,Sheet3!$H$2:$O$200,Q$1,FALSE),IFERROR(VLOOKUP($E93,Sheet3!$H$2:$O$200,Q$1,FALSE),VLOOKUP($F93,Sheet3!$H$2:$O$200,Q$1,FALSE))),$I$1),$I$1)</f>
        <v>0</v>
      </c>
      <c r="R93" s="15">
        <f>IFERROR(IF(ISBLANK(K93),IFERROR(VLOOKUP($D93,Sheet3!$H$2:$O$200,R$1,FALSE),IFERROR(VLOOKUP($E93,Sheet3!$H$2:$O$200,R$1,FALSE),VLOOKUP($F93,Sheet3!$H$2:$O$200,R$1,FALSE))),$I$1),$I$1)</f>
        <v>0</v>
      </c>
      <c r="S93" s="15">
        <f>IFERROR(IF(ISBLANK(L93),IFERROR(VLOOKUP($D93,Sheet3!$H$2:$O$200,S$1,FALSE),IFERROR(VLOOKUP($E93,Sheet3!$H$2:$O$200,S$1,FALSE),VLOOKUP($F93,Sheet3!$H$2:$O$200,S$1,FALSE))),$I$1),$I$1)</f>
        <v>0</v>
      </c>
      <c r="T93" s="15">
        <f>IFERROR(IF(ISBLANK(M93),IFERROR(VLOOKUP($D93,Sheet3!$H$2:$O$200,T$1,FALSE),IFERROR(VLOOKUP($E93,Sheet3!$H$2:$O$200,T$1,FALSE),VLOOKUP($F93,Sheet3!$H$2:$O$200,T$1,FALSE))),$I$1),$I$1)</f>
        <v>0</v>
      </c>
      <c r="U93" s="15">
        <f>IFERROR(IF(ISBLANK(N93),IFERROR(VLOOKUP($D93,Sheet3!$H$2:$O$200,U$1,FALSE),IFERROR(VLOOKUP($E93,Sheet3!$H$2:$O$200,U$1,FALSE),VLOOKUP($F93,Sheet3!$H$2:$O$200,U$1,FALSE))),$I$1),$I$1)</f>
        <v>0</v>
      </c>
      <c r="V93" s="15">
        <f>IFERROR(IF(ISBLANK(O93),IFERROR(VLOOKUP($D93,Sheet3!$H$2:$O$200,V$1,FALSE),IFERROR(VLOOKUP($E93,Sheet3!$H$2:$O$200,V$1,FALSE),VLOOKUP($F93,Sheet3!$H$2:$O$200,V$1,FALSE))),$I$1),$I$1)</f>
        <v>0</v>
      </c>
      <c r="W93" s="15">
        <f>IFERROR(IF(ISBLANK(P93),IFERROR(VLOOKUP($D93,Sheet3!$H$2:$O$200,W$1,FALSE),IFERROR(VLOOKUP($E93,Sheet3!$H$2:$O$200,W$1,FALSE),VLOOKUP($F93,Sheet3!$H$2:$O$200,W$1,FALSE))),$I$1),$I$1)</f>
        <v>0</v>
      </c>
      <c r="X93" s="15">
        <f>IFERROR(IF(ISBLANK(Q93),IFERROR(VLOOKUP($E93,Sheet3!$H$2:$O$200,X$1,FALSE),IFERROR(VLOOKUP($F93,Sheet3!$H$2:$O$200,X$1,FALSE),VLOOKUP($G93,Sheet3!$H$2:$O$200,X$1,FALSE))),$I$1),$I$1)</f>
        <v>0</v>
      </c>
      <c r="Y93" s="15">
        <f>IFERROR(IF(ISBLANK(R93),IFERROR(VLOOKUP($E93,Sheet3!$H$2:$O$200,Y$1,FALSE),IFERROR(VLOOKUP($F93,Sheet3!$H$2:$O$200,Y$1,FALSE),VLOOKUP($G93,Sheet3!$H$2:$O$200,Y$1,FALSE))),$I$1),$I$1)</f>
        <v>0</v>
      </c>
      <c r="Z93" s="15">
        <f>IFERROR(IF(ISBLANK(S93),IFERROR(VLOOKUP($E93,Sheet3!$H$2:$O$200,Z$1,FALSE),IFERROR(VLOOKUP($F93,Sheet3!$H$2:$O$200,Z$1,FALSE),VLOOKUP($G93,Sheet3!$H$2:$O$200,Z$1,FALSE))),$I$1),$I$1)</f>
        <v>0</v>
      </c>
      <c r="AA93" s="15">
        <f>IFERROR(IF(ISBLANK(T93),IFERROR(VLOOKUP($E93,Sheet3!$H$2:$O$200,AA$1,FALSE),IFERROR(VLOOKUP($F93,Sheet3!$H$2:$O$200,AA$1,FALSE),VLOOKUP($G93,Sheet3!$H$2:$O$200,AA$1,FALSE))),$I$1),$I$1)</f>
        <v>0</v>
      </c>
      <c r="AB93" s="15">
        <f>IFERROR(IF(ISBLANK(U93),IFERROR(VLOOKUP($E93,Sheet3!$H$2:$O$200,AB$1,FALSE),IFERROR(VLOOKUP($F93,Sheet3!$H$2:$O$200,AB$1,FALSE),VLOOKUP($G93,Sheet3!$H$2:$O$200,AB$1,FALSE))),$I$1),$I$1)</f>
        <v>0</v>
      </c>
      <c r="AC93" s="15">
        <f>IFERROR(IF(ISBLANK(V93),IFERROR(VLOOKUP($E93,Sheet3!$H$2:$O$200,AC$1,FALSE),IFERROR(VLOOKUP($F93,Sheet3!$H$2:$O$200,AC$1,FALSE),VLOOKUP($G93,Sheet3!$H$2:$O$200,AC$1,FALSE))),$I$1),$I$1)</f>
        <v>0</v>
      </c>
      <c r="AD93" s="15">
        <f>IFERROR(IF(ISBLANK(W93),IFERROR(VLOOKUP($E93,Sheet3!$H$2:$O$200,AD$1,FALSE),IFERROR(VLOOKUP($F93,Sheet3!$H$2:$O$200,AD$1,FALSE),VLOOKUP($G93,Sheet3!$H$2:$O$200,AD$1,FALSE))),$I$1),$I$1)</f>
        <v>0</v>
      </c>
      <c r="AE93" s="15">
        <f>IFERROR(IF(ISBLANK(X93),IFERROR(VLOOKUP($F93,Sheet3!$H$2:$O$200,AE$1,FALSE),VLOOKUP($G93,Sheet3!$H$2:$O$200,AE$1,FALSE)),$I$1),$I$1)</f>
        <v>0</v>
      </c>
      <c r="AF93" s="15">
        <f>IFERROR(IF(ISBLANK(Y93),IFERROR(VLOOKUP($F93,Sheet3!$H$2:$O$200,AF$1,FALSE),VLOOKUP($G93,Sheet3!$H$2:$O$200,AF$1,FALSE)),$I$1),$I$1)</f>
        <v>0</v>
      </c>
      <c r="AG93" s="15">
        <f>IFERROR(IF(ISBLANK(Z93),IFERROR(VLOOKUP($F93,Sheet3!$H$2:$O$200,AG$1,FALSE),VLOOKUP($G93,Sheet3!$H$2:$O$200,AG$1,FALSE)),$I$1),$I$1)</f>
        <v>0</v>
      </c>
      <c r="AH93" s="15">
        <f>IFERROR(IF(ISBLANK(AA93),IFERROR(VLOOKUP($F93,Sheet3!$H$2:$O$200,AH$1,FALSE),VLOOKUP($G93,Sheet3!$H$2:$O$200,AH$1,FALSE)),$I$1),$I$1)</f>
        <v>0</v>
      </c>
      <c r="AI93" s="15">
        <f>IFERROR(IF(ISBLANK(AB93),IFERROR(VLOOKUP($F93,Sheet3!$H$2:$O$200,AI$1,FALSE),VLOOKUP($G93,Sheet3!$H$2:$O$200,AI$1,FALSE)),$I$1),$I$1)</f>
        <v>0</v>
      </c>
      <c r="AJ93" s="15">
        <f>IFERROR(IF(ISBLANK(AC93),IFERROR(VLOOKUP($F93,Sheet3!$H$2:$O$200,AJ$1,FALSE),VLOOKUP($G93,Sheet3!$H$2:$O$200,AJ$1,FALSE)),$I$1),$I$1)</f>
        <v>0</v>
      </c>
      <c r="AK93" s="15">
        <f>IFERROR(IF(ISBLANK(AD93),IFERROR(VLOOKUP($F93,Sheet3!$H$2:$O$200,AK$1,FALSE),VLOOKUP($G93,Sheet3!$H$2:$O$200,AK$1,FALSE)),$I$1),$I$1)</f>
        <v>0</v>
      </c>
      <c r="AL93" s="15">
        <f>IFERROR(IF(ISBLANK(AE93),VLOOKUP($G93,Sheet3!$H$2:$O$200,AL$1,FALSE),$I$1),$I$1)</f>
        <v>0</v>
      </c>
      <c r="AM93" s="15">
        <f>IFERROR(IF(ISBLANK(AF93),VLOOKUP($G93,Sheet3!$H$2:$O$200,AM$1,FALSE),$I$1),$I$1)</f>
        <v>0</v>
      </c>
      <c r="AN93" s="15">
        <f>IFERROR(IF(ISBLANK(AG93),VLOOKUP($G93,Sheet3!$H$2:$O$200,AN$1,FALSE),$I$1),$I$1)</f>
        <v>0</v>
      </c>
      <c r="AO93" s="15">
        <f>IFERROR(IF(ISBLANK(AH93),VLOOKUP($G93,Sheet3!$H$2:$O$200,AO$1,FALSE),$I$1),$I$1)</f>
        <v>0</v>
      </c>
      <c r="AP93" s="15">
        <f>IFERROR(IF(ISBLANK(AI93),VLOOKUP($G93,Sheet3!$H$2:$O$200,AP$1,FALSE),$I$1),$I$1)</f>
        <v>0</v>
      </c>
      <c r="AQ93" s="15">
        <f>IFERROR(IF(ISBLANK(AJ93),VLOOKUP($G93,Sheet3!$H$2:$O$200,AQ$1,FALSE),$I$1),$I$1)</f>
        <v>0</v>
      </c>
      <c r="AR93" s="15">
        <f>IFERROR(IF(ISBLANK(AK93),VLOOKUP($G93,Sheet3!$H$2:$O$200,AR$1,FALSE),$I$1),$I$1)</f>
        <v>0</v>
      </c>
      <c r="AS93" s="15">
        <f t="shared" ref="AS93:AY93" si="100">IFERROR(IF(ISBLANK(J93),IF(ISBLANK(Q93),IF(ISBLANK(X93),IF(ISBLANK(AE93),IF(ISBLANK(AL93),$BB$1,AL93),AE93),X93),Q93),J93),$BB$1)</f>
        <v>0</v>
      </c>
      <c r="AT93" s="15">
        <f t="shared" si="100"/>
        <v>0</v>
      </c>
      <c r="AU93" s="15">
        <f t="shared" si="100"/>
        <v>0</v>
      </c>
      <c r="AV93" s="15" t="str">
        <f t="shared" si="100"/>
        <v>dry vermouth</v>
      </c>
      <c r="AW93" s="15">
        <f t="shared" si="100"/>
        <v>0</v>
      </c>
      <c r="AX93" s="15">
        <f t="shared" si="100"/>
        <v>0</v>
      </c>
      <c r="AY93" s="15">
        <f t="shared" si="100"/>
        <v>0</v>
      </c>
      <c r="BA93" s="13">
        <f t="shared" si="1"/>
        <v>35</v>
      </c>
      <c r="BB93" s="15" t="b">
        <f t="shared" si="2"/>
        <v>0</v>
      </c>
    </row>
    <row r="94" spans="1:54" x14ac:dyDescent="0.2">
      <c r="A94" s="19" t="s">
        <v>212</v>
      </c>
      <c r="B94" s="19" t="s">
        <v>198</v>
      </c>
      <c r="C94" s="19" t="s">
        <v>52</v>
      </c>
      <c r="D94" s="19"/>
      <c r="E94" s="19" t="s">
        <v>213</v>
      </c>
      <c r="F94" s="19"/>
      <c r="G94" s="19"/>
      <c r="H94" s="19" t="s">
        <v>212</v>
      </c>
      <c r="I94" s="15">
        <v>2</v>
      </c>
      <c r="J94" s="15">
        <f>IFERROR(VLOOKUP($C94,Sheet3!$H$2:$O$200,J$1,FALSE),IFERROR(VLOOKUP($D94,Sheet3!$H$2:$O$200,J$1,FALSE),VLOOKUP($E94,Sheet3!$H$2:$O$200,J$1,FALSE)))</f>
        <v>0</v>
      </c>
      <c r="K94" s="15">
        <f>IFERROR(VLOOKUP($C94,Sheet3!$H$2:$O$200,K$1,FALSE),IFERROR(VLOOKUP($D94,Sheet3!$H$2:$O$200,K$1,FALSE),VLOOKUP($E94,Sheet3!$H$2:$O$200,K$1,FALSE)))</f>
        <v>0</v>
      </c>
      <c r="L94" s="15">
        <f>IFERROR(VLOOKUP($C94,Sheet3!$H$2:$O$200,L$1,FALSE),IFERROR(VLOOKUP($D94,Sheet3!$H$2:$O$200,L$1,FALSE),VLOOKUP($E94,Sheet3!$H$2:$O$200,L$1,FALSE)))</f>
        <v>0</v>
      </c>
      <c r="M94" s="15" t="str">
        <f>IFERROR(VLOOKUP($C94,Sheet3!$H$2:$O$200,M$1,FALSE),IFERROR(VLOOKUP($D94,Sheet3!$H$2:$O$200,M$1,FALSE),VLOOKUP($E94,Sheet3!$H$2:$O$200,M$1,FALSE)))</f>
        <v>dry vermouth</v>
      </c>
      <c r="N94" s="15">
        <f>IFERROR(VLOOKUP($C94,Sheet3!$H$2:$O$200,N$1,FALSE),IFERROR(VLOOKUP($D94,Sheet3!$H$2:$O$200,N$1,FALSE),VLOOKUP($E94,Sheet3!$H$2:$O$200,N$1,FALSE)))</f>
        <v>0</v>
      </c>
      <c r="O94" s="15">
        <f>IFERROR(VLOOKUP($C94,Sheet3!$H$2:$O$200,O$1,FALSE),IFERROR(VLOOKUP($D94,Sheet3!$H$2:$O$200,O$1,FALSE),VLOOKUP($E94,Sheet3!$H$2:$O$200,O$1,FALSE)))</f>
        <v>0</v>
      </c>
      <c r="P94" s="15">
        <f>IFERROR(VLOOKUP($C94,Sheet3!$H$2:$O$200,P$1,FALSE),IFERROR(VLOOKUP($D94,Sheet3!$H$2:$O$200,P$1,FALSE),VLOOKUP($E94,Sheet3!$H$2:$O$200,P$1,FALSE)))</f>
        <v>0</v>
      </c>
      <c r="Q94" s="15">
        <f>IFERROR(IF(ISBLANK(J94),IFERROR(VLOOKUP($D94,Sheet3!$H$2:$O$200,Q$1,FALSE),IFERROR(VLOOKUP($E94,Sheet3!$H$2:$O$200,Q$1,FALSE),VLOOKUP($F94,Sheet3!$H$2:$O$200,Q$1,FALSE))),$I$1),$I$1)</f>
        <v>0</v>
      </c>
      <c r="R94" s="15">
        <f>IFERROR(IF(ISBLANK(K94),IFERROR(VLOOKUP($D94,Sheet3!$H$2:$O$200,R$1,FALSE),IFERROR(VLOOKUP($E94,Sheet3!$H$2:$O$200,R$1,FALSE),VLOOKUP($F94,Sheet3!$H$2:$O$200,R$1,FALSE))),$I$1),$I$1)</f>
        <v>0</v>
      </c>
      <c r="S94" s="15">
        <f>IFERROR(IF(ISBLANK(L94),IFERROR(VLOOKUP($D94,Sheet3!$H$2:$O$200,S$1,FALSE),IFERROR(VLOOKUP($E94,Sheet3!$H$2:$O$200,S$1,FALSE),VLOOKUP($F94,Sheet3!$H$2:$O$200,S$1,FALSE))),$I$1),$I$1)</f>
        <v>0</v>
      </c>
      <c r="T94" s="15">
        <f>IFERROR(IF(ISBLANK(M94),IFERROR(VLOOKUP($D94,Sheet3!$H$2:$O$200,T$1,FALSE),IFERROR(VLOOKUP($E94,Sheet3!$H$2:$O$200,T$1,FALSE),VLOOKUP($F94,Sheet3!$H$2:$O$200,T$1,FALSE))),$I$1),$I$1)</f>
        <v>0</v>
      </c>
      <c r="U94" s="15">
        <f>IFERROR(IF(ISBLANK(N94),IFERROR(VLOOKUP($D94,Sheet3!$H$2:$O$200,U$1,FALSE),IFERROR(VLOOKUP($E94,Sheet3!$H$2:$O$200,U$1,FALSE),VLOOKUP($F94,Sheet3!$H$2:$O$200,U$1,FALSE))),$I$1),$I$1)</f>
        <v>0</v>
      </c>
      <c r="V94" s="15">
        <f>IFERROR(IF(ISBLANK(O94),IFERROR(VLOOKUP($D94,Sheet3!$H$2:$O$200,V$1,FALSE),IFERROR(VLOOKUP($E94,Sheet3!$H$2:$O$200,V$1,FALSE),VLOOKUP($F94,Sheet3!$H$2:$O$200,V$1,FALSE))),$I$1),$I$1)</f>
        <v>0</v>
      </c>
      <c r="W94" s="15">
        <f>IFERROR(IF(ISBLANK(P94),IFERROR(VLOOKUP($D94,Sheet3!$H$2:$O$200,W$1,FALSE),IFERROR(VLOOKUP($E94,Sheet3!$H$2:$O$200,W$1,FALSE),VLOOKUP($F94,Sheet3!$H$2:$O$200,W$1,FALSE))),$I$1),$I$1)</f>
        <v>0</v>
      </c>
      <c r="X94" s="15">
        <f>IFERROR(IF(ISBLANK(Q94),IFERROR(VLOOKUP($E94,Sheet3!$H$2:$O$200,X$1,FALSE),IFERROR(VLOOKUP($F94,Sheet3!$H$2:$O$200,X$1,FALSE),VLOOKUP($G94,Sheet3!$H$2:$O$200,X$1,FALSE))),$I$1),$I$1)</f>
        <v>0</v>
      </c>
      <c r="Y94" s="15">
        <f>IFERROR(IF(ISBLANK(R94),IFERROR(VLOOKUP($E94,Sheet3!$H$2:$O$200,Y$1,FALSE),IFERROR(VLOOKUP($F94,Sheet3!$H$2:$O$200,Y$1,FALSE),VLOOKUP($G94,Sheet3!$H$2:$O$200,Y$1,FALSE))),$I$1),$I$1)</f>
        <v>0</v>
      </c>
      <c r="Z94" s="15">
        <f>IFERROR(IF(ISBLANK(S94),IFERROR(VLOOKUP($E94,Sheet3!$H$2:$O$200,Z$1,FALSE),IFERROR(VLOOKUP($F94,Sheet3!$H$2:$O$200,Z$1,FALSE),VLOOKUP($G94,Sheet3!$H$2:$O$200,Z$1,FALSE))),$I$1),$I$1)</f>
        <v>0</v>
      </c>
      <c r="AA94" s="15">
        <f>IFERROR(IF(ISBLANK(T94),IFERROR(VLOOKUP($E94,Sheet3!$H$2:$O$200,AA$1,FALSE),IFERROR(VLOOKUP($F94,Sheet3!$H$2:$O$200,AA$1,FALSE),VLOOKUP($G94,Sheet3!$H$2:$O$200,AA$1,FALSE))),$I$1),$I$1)</f>
        <v>0</v>
      </c>
      <c r="AB94" s="15">
        <f>IFERROR(IF(ISBLANK(U94),IFERROR(VLOOKUP($E94,Sheet3!$H$2:$O$200,AB$1,FALSE),IFERROR(VLOOKUP($F94,Sheet3!$H$2:$O$200,AB$1,FALSE),VLOOKUP($G94,Sheet3!$H$2:$O$200,AB$1,FALSE))),$I$1),$I$1)</f>
        <v>0</v>
      </c>
      <c r="AC94" s="15">
        <f>IFERROR(IF(ISBLANK(V94),IFERROR(VLOOKUP($E94,Sheet3!$H$2:$O$200,AC$1,FALSE),IFERROR(VLOOKUP($F94,Sheet3!$H$2:$O$200,AC$1,FALSE),VLOOKUP($G94,Sheet3!$H$2:$O$200,AC$1,FALSE))),$I$1),$I$1)</f>
        <v>0</v>
      </c>
      <c r="AD94" s="15">
        <f>IFERROR(IF(ISBLANK(W94),IFERROR(VLOOKUP($E94,Sheet3!$H$2:$O$200,AD$1,FALSE),IFERROR(VLOOKUP($F94,Sheet3!$H$2:$O$200,AD$1,FALSE),VLOOKUP($G94,Sheet3!$H$2:$O$200,AD$1,FALSE))),$I$1),$I$1)</f>
        <v>0</v>
      </c>
      <c r="AE94" s="15">
        <f>IFERROR(IF(ISBLANK(X94),IFERROR(VLOOKUP($F94,Sheet3!$H$2:$O$200,AE$1,FALSE),VLOOKUP($G94,Sheet3!$H$2:$O$200,AE$1,FALSE)),$I$1),$I$1)</f>
        <v>0</v>
      </c>
      <c r="AF94" s="15">
        <f>IFERROR(IF(ISBLANK(Y94),IFERROR(VLOOKUP($F94,Sheet3!$H$2:$O$200,AF$1,FALSE),VLOOKUP($G94,Sheet3!$H$2:$O$200,AF$1,FALSE)),$I$1),$I$1)</f>
        <v>0</v>
      </c>
      <c r="AG94" s="15">
        <f>IFERROR(IF(ISBLANK(Z94),IFERROR(VLOOKUP($F94,Sheet3!$H$2:$O$200,AG$1,FALSE),VLOOKUP($G94,Sheet3!$H$2:$O$200,AG$1,FALSE)),$I$1),$I$1)</f>
        <v>0</v>
      </c>
      <c r="AH94" s="15">
        <f>IFERROR(IF(ISBLANK(AA94),IFERROR(VLOOKUP($F94,Sheet3!$H$2:$O$200,AH$1,FALSE),VLOOKUP($G94,Sheet3!$H$2:$O$200,AH$1,FALSE)),$I$1),$I$1)</f>
        <v>0</v>
      </c>
      <c r="AI94" s="15">
        <f>IFERROR(IF(ISBLANK(AB94),IFERROR(VLOOKUP($F94,Sheet3!$H$2:$O$200,AI$1,FALSE),VLOOKUP($G94,Sheet3!$H$2:$O$200,AI$1,FALSE)),$I$1),$I$1)</f>
        <v>0</v>
      </c>
      <c r="AJ94" s="15">
        <f>IFERROR(IF(ISBLANK(AC94),IFERROR(VLOOKUP($F94,Sheet3!$H$2:$O$200,AJ$1,FALSE),VLOOKUP($G94,Sheet3!$H$2:$O$200,AJ$1,FALSE)),$I$1),$I$1)</f>
        <v>0</v>
      </c>
      <c r="AK94" s="15">
        <f>IFERROR(IF(ISBLANK(AD94),IFERROR(VLOOKUP($F94,Sheet3!$H$2:$O$200,AK$1,FALSE),VLOOKUP($G94,Sheet3!$H$2:$O$200,AK$1,FALSE)),$I$1),$I$1)</f>
        <v>0</v>
      </c>
      <c r="AL94" s="15">
        <f>IFERROR(IF(ISBLANK(AE94),VLOOKUP($G94,Sheet3!$H$2:$O$200,AL$1,FALSE),$I$1),$I$1)</f>
        <v>0</v>
      </c>
      <c r="AM94" s="15">
        <f>IFERROR(IF(ISBLANK(AF94),VLOOKUP($G94,Sheet3!$H$2:$O$200,AM$1,FALSE),$I$1),$I$1)</f>
        <v>0</v>
      </c>
      <c r="AN94" s="15">
        <f>IFERROR(IF(ISBLANK(AG94),VLOOKUP($G94,Sheet3!$H$2:$O$200,AN$1,FALSE),$I$1),$I$1)</f>
        <v>0</v>
      </c>
      <c r="AO94" s="15">
        <f>IFERROR(IF(ISBLANK(AH94),VLOOKUP($G94,Sheet3!$H$2:$O$200,AO$1,FALSE),$I$1),$I$1)</f>
        <v>0</v>
      </c>
      <c r="AP94" s="15">
        <f>IFERROR(IF(ISBLANK(AI94),VLOOKUP($G94,Sheet3!$H$2:$O$200,AP$1,FALSE),$I$1),$I$1)</f>
        <v>0</v>
      </c>
      <c r="AQ94" s="15">
        <f>IFERROR(IF(ISBLANK(AJ94),VLOOKUP($G94,Sheet3!$H$2:$O$200,AQ$1,FALSE),$I$1),$I$1)</f>
        <v>0</v>
      </c>
      <c r="AR94" s="15">
        <f>IFERROR(IF(ISBLANK(AK94),VLOOKUP($G94,Sheet3!$H$2:$O$200,AR$1,FALSE),$I$1),$I$1)</f>
        <v>0</v>
      </c>
      <c r="AS94" s="15">
        <f t="shared" ref="AS94:AY94" si="101">IFERROR(IF(ISBLANK(J94),IF(ISBLANK(Q94),IF(ISBLANK(X94),IF(ISBLANK(AE94),IF(ISBLANK(AL94),$BB$1,AL94),AE94),X94),Q94),J94),$BB$1)</f>
        <v>0</v>
      </c>
      <c r="AT94" s="15">
        <f t="shared" si="101"/>
        <v>0</v>
      </c>
      <c r="AU94" s="15">
        <f t="shared" si="101"/>
        <v>0</v>
      </c>
      <c r="AV94" s="15" t="str">
        <f t="shared" si="101"/>
        <v>dry vermouth</v>
      </c>
      <c r="AW94" s="15">
        <f t="shared" si="101"/>
        <v>0</v>
      </c>
      <c r="AX94" s="15">
        <f t="shared" si="101"/>
        <v>0</v>
      </c>
      <c r="AY94" s="15">
        <f t="shared" si="101"/>
        <v>0</v>
      </c>
      <c r="BA94" s="13">
        <f t="shared" si="1"/>
        <v>35</v>
      </c>
      <c r="BB94" s="15" t="b">
        <f t="shared" si="2"/>
        <v>0</v>
      </c>
    </row>
    <row r="95" spans="1:54" x14ac:dyDescent="0.2">
      <c r="A95" s="19" t="s">
        <v>214</v>
      </c>
      <c r="B95" s="19" t="s">
        <v>198</v>
      </c>
      <c r="C95" s="19" t="s">
        <v>52</v>
      </c>
      <c r="D95" s="19"/>
      <c r="E95" s="19" t="s">
        <v>215</v>
      </c>
      <c r="F95" s="19"/>
      <c r="G95" s="19"/>
      <c r="H95" s="19" t="s">
        <v>214</v>
      </c>
      <c r="I95" s="15">
        <v>2</v>
      </c>
      <c r="J95" s="15">
        <f>IFERROR(VLOOKUP($C95,Sheet3!$H$2:$O$200,J$1,FALSE),IFERROR(VLOOKUP($D95,Sheet3!$H$2:$O$200,J$1,FALSE),VLOOKUP($E95,Sheet3!$H$2:$O$200,J$1,FALSE)))</f>
        <v>0</v>
      </c>
      <c r="K95" s="15">
        <f>IFERROR(VLOOKUP($C95,Sheet3!$H$2:$O$200,K$1,FALSE),IFERROR(VLOOKUP($D95,Sheet3!$H$2:$O$200,K$1,FALSE),VLOOKUP($E95,Sheet3!$H$2:$O$200,K$1,FALSE)))</f>
        <v>0</v>
      </c>
      <c r="L95" s="15">
        <f>IFERROR(VLOOKUP($C95,Sheet3!$H$2:$O$200,L$1,FALSE),IFERROR(VLOOKUP($D95,Sheet3!$H$2:$O$200,L$1,FALSE),VLOOKUP($E95,Sheet3!$H$2:$O$200,L$1,FALSE)))</f>
        <v>0</v>
      </c>
      <c r="M95" s="15" t="str">
        <f>IFERROR(VLOOKUP($C95,Sheet3!$H$2:$O$200,M$1,FALSE),IFERROR(VLOOKUP($D95,Sheet3!$H$2:$O$200,M$1,FALSE),VLOOKUP($E95,Sheet3!$H$2:$O$200,M$1,FALSE)))</f>
        <v>dry vermouth</v>
      </c>
      <c r="N95" s="15">
        <f>IFERROR(VLOOKUP($C95,Sheet3!$H$2:$O$200,N$1,FALSE),IFERROR(VLOOKUP($D95,Sheet3!$H$2:$O$200,N$1,FALSE),VLOOKUP($E95,Sheet3!$H$2:$O$200,N$1,FALSE)))</f>
        <v>0</v>
      </c>
      <c r="O95" s="15">
        <f>IFERROR(VLOOKUP($C95,Sheet3!$H$2:$O$200,O$1,FALSE),IFERROR(VLOOKUP($D95,Sheet3!$H$2:$O$200,O$1,FALSE),VLOOKUP($E95,Sheet3!$H$2:$O$200,O$1,FALSE)))</f>
        <v>0</v>
      </c>
      <c r="P95" s="15">
        <f>IFERROR(VLOOKUP($C95,Sheet3!$H$2:$O$200,P$1,FALSE),IFERROR(VLOOKUP($D95,Sheet3!$H$2:$O$200,P$1,FALSE),VLOOKUP($E95,Sheet3!$H$2:$O$200,P$1,FALSE)))</f>
        <v>0</v>
      </c>
      <c r="Q95" s="15">
        <f>IFERROR(IF(ISBLANK(J95),IFERROR(VLOOKUP($D95,Sheet3!$H$2:$O$200,Q$1,FALSE),IFERROR(VLOOKUP($E95,Sheet3!$H$2:$O$200,Q$1,FALSE),VLOOKUP($F95,Sheet3!$H$2:$O$200,Q$1,FALSE))),$I$1),$I$1)</f>
        <v>0</v>
      </c>
      <c r="R95" s="15">
        <f>IFERROR(IF(ISBLANK(K95),IFERROR(VLOOKUP($D95,Sheet3!$H$2:$O$200,R$1,FALSE),IFERROR(VLOOKUP($E95,Sheet3!$H$2:$O$200,R$1,FALSE),VLOOKUP($F95,Sheet3!$H$2:$O$200,R$1,FALSE))),$I$1),$I$1)</f>
        <v>0</v>
      </c>
      <c r="S95" s="15">
        <f>IFERROR(IF(ISBLANK(L95),IFERROR(VLOOKUP($D95,Sheet3!$H$2:$O$200,S$1,FALSE),IFERROR(VLOOKUP($E95,Sheet3!$H$2:$O$200,S$1,FALSE),VLOOKUP($F95,Sheet3!$H$2:$O$200,S$1,FALSE))),$I$1),$I$1)</f>
        <v>0</v>
      </c>
      <c r="T95" s="15">
        <f>IFERROR(IF(ISBLANK(M95),IFERROR(VLOOKUP($D95,Sheet3!$H$2:$O$200,T$1,FALSE),IFERROR(VLOOKUP($E95,Sheet3!$H$2:$O$200,T$1,FALSE),VLOOKUP($F95,Sheet3!$H$2:$O$200,T$1,FALSE))),$I$1),$I$1)</f>
        <v>0</v>
      </c>
      <c r="U95" s="15">
        <f>IFERROR(IF(ISBLANK(N95),IFERROR(VLOOKUP($D95,Sheet3!$H$2:$O$200,U$1,FALSE),IFERROR(VLOOKUP($E95,Sheet3!$H$2:$O$200,U$1,FALSE),VLOOKUP($F95,Sheet3!$H$2:$O$200,U$1,FALSE))),$I$1),$I$1)</f>
        <v>0</v>
      </c>
      <c r="V95" s="15">
        <f>IFERROR(IF(ISBLANK(O95),IFERROR(VLOOKUP($D95,Sheet3!$H$2:$O$200,V$1,FALSE),IFERROR(VLOOKUP($E95,Sheet3!$H$2:$O$200,V$1,FALSE),VLOOKUP($F95,Sheet3!$H$2:$O$200,V$1,FALSE))),$I$1),$I$1)</f>
        <v>0</v>
      </c>
      <c r="W95" s="15">
        <f>IFERROR(IF(ISBLANK(P95),IFERROR(VLOOKUP($D95,Sheet3!$H$2:$O$200,W$1,FALSE),IFERROR(VLOOKUP($E95,Sheet3!$H$2:$O$200,W$1,FALSE),VLOOKUP($F95,Sheet3!$H$2:$O$200,W$1,FALSE))),$I$1),$I$1)</f>
        <v>0</v>
      </c>
      <c r="X95" s="15">
        <f>IFERROR(IF(ISBLANK(Q95),IFERROR(VLOOKUP($E95,Sheet3!$H$2:$O$200,X$1,FALSE),IFERROR(VLOOKUP($F95,Sheet3!$H$2:$O$200,X$1,FALSE),VLOOKUP($G95,Sheet3!$H$2:$O$200,X$1,FALSE))),$I$1),$I$1)</f>
        <v>0</v>
      </c>
      <c r="Y95" s="15">
        <f>IFERROR(IF(ISBLANK(R95),IFERROR(VLOOKUP($E95,Sheet3!$H$2:$O$200,Y$1,FALSE),IFERROR(VLOOKUP($F95,Sheet3!$H$2:$O$200,Y$1,FALSE),VLOOKUP($G95,Sheet3!$H$2:$O$200,Y$1,FALSE))),$I$1),$I$1)</f>
        <v>0</v>
      </c>
      <c r="Z95" s="15">
        <f>IFERROR(IF(ISBLANK(S95),IFERROR(VLOOKUP($E95,Sheet3!$H$2:$O$200,Z$1,FALSE),IFERROR(VLOOKUP($F95,Sheet3!$H$2:$O$200,Z$1,FALSE),VLOOKUP($G95,Sheet3!$H$2:$O$200,Z$1,FALSE))),$I$1),$I$1)</f>
        <v>0</v>
      </c>
      <c r="AA95" s="15">
        <f>IFERROR(IF(ISBLANK(T95),IFERROR(VLOOKUP($E95,Sheet3!$H$2:$O$200,AA$1,FALSE),IFERROR(VLOOKUP($F95,Sheet3!$H$2:$O$200,AA$1,FALSE),VLOOKUP($G95,Sheet3!$H$2:$O$200,AA$1,FALSE))),$I$1),$I$1)</f>
        <v>0</v>
      </c>
      <c r="AB95" s="15">
        <f>IFERROR(IF(ISBLANK(U95),IFERROR(VLOOKUP($E95,Sheet3!$H$2:$O$200,AB$1,FALSE),IFERROR(VLOOKUP($F95,Sheet3!$H$2:$O$200,AB$1,FALSE),VLOOKUP($G95,Sheet3!$H$2:$O$200,AB$1,FALSE))),$I$1),$I$1)</f>
        <v>0</v>
      </c>
      <c r="AC95" s="15">
        <f>IFERROR(IF(ISBLANK(V95),IFERROR(VLOOKUP($E95,Sheet3!$H$2:$O$200,AC$1,FALSE),IFERROR(VLOOKUP($F95,Sheet3!$H$2:$O$200,AC$1,FALSE),VLOOKUP($G95,Sheet3!$H$2:$O$200,AC$1,FALSE))),$I$1),$I$1)</f>
        <v>0</v>
      </c>
      <c r="AD95" s="15">
        <f>IFERROR(IF(ISBLANK(W95),IFERROR(VLOOKUP($E95,Sheet3!$H$2:$O$200,AD$1,FALSE),IFERROR(VLOOKUP($F95,Sheet3!$H$2:$O$200,AD$1,FALSE),VLOOKUP($G95,Sheet3!$H$2:$O$200,AD$1,FALSE))),$I$1),$I$1)</f>
        <v>0</v>
      </c>
      <c r="AE95" s="15">
        <f>IFERROR(IF(ISBLANK(X95),IFERROR(VLOOKUP($F95,Sheet3!$H$2:$O$200,AE$1,FALSE),VLOOKUP($G95,Sheet3!$H$2:$O$200,AE$1,FALSE)),$I$1),$I$1)</f>
        <v>0</v>
      </c>
      <c r="AF95" s="15">
        <f>IFERROR(IF(ISBLANK(Y95),IFERROR(VLOOKUP($F95,Sheet3!$H$2:$O$200,AF$1,FALSE),VLOOKUP($G95,Sheet3!$H$2:$O$200,AF$1,FALSE)),$I$1),$I$1)</f>
        <v>0</v>
      </c>
      <c r="AG95" s="15">
        <f>IFERROR(IF(ISBLANK(Z95),IFERROR(VLOOKUP($F95,Sheet3!$H$2:$O$200,AG$1,FALSE),VLOOKUP($G95,Sheet3!$H$2:$O$200,AG$1,FALSE)),$I$1),$I$1)</f>
        <v>0</v>
      </c>
      <c r="AH95" s="15">
        <f>IFERROR(IF(ISBLANK(AA95),IFERROR(VLOOKUP($F95,Sheet3!$H$2:$O$200,AH$1,FALSE),VLOOKUP($G95,Sheet3!$H$2:$O$200,AH$1,FALSE)),$I$1),$I$1)</f>
        <v>0</v>
      </c>
      <c r="AI95" s="15">
        <f>IFERROR(IF(ISBLANK(AB95),IFERROR(VLOOKUP($F95,Sheet3!$H$2:$O$200,AI$1,FALSE),VLOOKUP($G95,Sheet3!$H$2:$O$200,AI$1,FALSE)),$I$1),$I$1)</f>
        <v>0</v>
      </c>
      <c r="AJ95" s="15">
        <f>IFERROR(IF(ISBLANK(AC95),IFERROR(VLOOKUP($F95,Sheet3!$H$2:$O$200,AJ$1,FALSE),VLOOKUP($G95,Sheet3!$H$2:$O$200,AJ$1,FALSE)),$I$1),$I$1)</f>
        <v>0</v>
      </c>
      <c r="AK95" s="15">
        <f>IFERROR(IF(ISBLANK(AD95),IFERROR(VLOOKUP($F95,Sheet3!$H$2:$O$200,AK$1,FALSE),VLOOKUP($G95,Sheet3!$H$2:$O$200,AK$1,FALSE)),$I$1),$I$1)</f>
        <v>0</v>
      </c>
      <c r="AL95" s="15">
        <f>IFERROR(IF(ISBLANK(AE95),VLOOKUP($G95,Sheet3!$H$2:$O$200,AL$1,FALSE),$I$1),$I$1)</f>
        <v>0</v>
      </c>
      <c r="AM95" s="15">
        <f>IFERROR(IF(ISBLANK(AF95),VLOOKUP($G95,Sheet3!$H$2:$O$200,AM$1,FALSE),$I$1),$I$1)</f>
        <v>0</v>
      </c>
      <c r="AN95" s="15">
        <f>IFERROR(IF(ISBLANK(AG95),VLOOKUP($G95,Sheet3!$H$2:$O$200,AN$1,FALSE),$I$1),$I$1)</f>
        <v>0</v>
      </c>
      <c r="AO95" s="15">
        <f>IFERROR(IF(ISBLANK(AH95),VLOOKUP($G95,Sheet3!$H$2:$O$200,AO$1,FALSE),$I$1),$I$1)</f>
        <v>0</v>
      </c>
      <c r="AP95" s="15">
        <f>IFERROR(IF(ISBLANK(AI95),VLOOKUP($G95,Sheet3!$H$2:$O$200,AP$1,FALSE),$I$1),$I$1)</f>
        <v>0</v>
      </c>
      <c r="AQ95" s="15">
        <f>IFERROR(IF(ISBLANK(AJ95),VLOOKUP($G95,Sheet3!$H$2:$O$200,AQ$1,FALSE),$I$1),$I$1)</f>
        <v>0</v>
      </c>
      <c r="AR95" s="15">
        <f>IFERROR(IF(ISBLANK(AK95),VLOOKUP($G95,Sheet3!$H$2:$O$200,AR$1,FALSE),$I$1),$I$1)</f>
        <v>0</v>
      </c>
      <c r="AS95" s="15">
        <f t="shared" ref="AS95:AY95" si="102">IFERROR(IF(ISBLANK(J95),IF(ISBLANK(Q95),IF(ISBLANK(X95),IF(ISBLANK(AE95),IF(ISBLANK(AL95),$BB$1,AL95),AE95),X95),Q95),J95),$BB$1)</f>
        <v>0</v>
      </c>
      <c r="AT95" s="15">
        <f t="shared" si="102"/>
        <v>0</v>
      </c>
      <c r="AU95" s="15">
        <f t="shared" si="102"/>
        <v>0</v>
      </c>
      <c r="AV95" s="15" t="str">
        <f t="shared" si="102"/>
        <v>dry vermouth</v>
      </c>
      <c r="AW95" s="15">
        <f t="shared" si="102"/>
        <v>0</v>
      </c>
      <c r="AX95" s="15">
        <f t="shared" si="102"/>
        <v>0</v>
      </c>
      <c r="AY95" s="15">
        <f t="shared" si="102"/>
        <v>0</v>
      </c>
      <c r="BA95" s="13">
        <f t="shared" si="1"/>
        <v>35</v>
      </c>
      <c r="BB95" s="15" t="b">
        <f t="shared" si="2"/>
        <v>0</v>
      </c>
    </row>
    <row r="96" spans="1:54" x14ac:dyDescent="0.2">
      <c r="A96" s="19" t="s">
        <v>216</v>
      </c>
      <c r="B96" s="19" t="s">
        <v>198</v>
      </c>
      <c r="C96" s="19" t="s">
        <v>48</v>
      </c>
      <c r="D96" s="19"/>
      <c r="E96" s="19" t="s">
        <v>73</v>
      </c>
      <c r="F96" s="19" t="s">
        <v>66</v>
      </c>
      <c r="G96" s="19"/>
      <c r="H96" s="19" t="s">
        <v>216</v>
      </c>
      <c r="I96" s="15">
        <v>3</v>
      </c>
      <c r="J96" s="15">
        <f>IFERROR(VLOOKUP($C96,Sheet3!$H$2:$O$200,J$1,FALSE),IFERROR(VLOOKUP($D96,Sheet3!$H$2:$O$200,J$1,FALSE),VLOOKUP($E96,Sheet3!$H$2:$O$200,J$1,FALSE)))</f>
        <v>0</v>
      </c>
      <c r="K96" s="15">
        <f>IFERROR(VLOOKUP($C96,Sheet3!$H$2:$O$200,K$1,FALSE),IFERROR(VLOOKUP($D96,Sheet3!$H$2:$O$200,K$1,FALSE),VLOOKUP($E96,Sheet3!$H$2:$O$200,K$1,FALSE)))</f>
        <v>0</v>
      </c>
      <c r="L96" s="15">
        <f>IFERROR(VLOOKUP($C96,Sheet3!$H$2:$O$200,L$1,FALSE),IFERROR(VLOOKUP($D96,Sheet3!$H$2:$O$200,L$1,FALSE),VLOOKUP($E96,Sheet3!$H$2:$O$200,L$1,FALSE)))</f>
        <v>0</v>
      </c>
      <c r="M96" s="15" t="str">
        <f>IFERROR(VLOOKUP($C96,Sheet3!$H$2:$O$200,M$1,FALSE),IFERROR(VLOOKUP($D96,Sheet3!$H$2:$O$200,M$1,FALSE),VLOOKUP($E96,Sheet3!$H$2:$O$200,M$1,FALSE)))</f>
        <v>sweet vermouth</v>
      </c>
      <c r="N96" s="15">
        <f>IFERROR(VLOOKUP($C96,Sheet3!$H$2:$O$200,N$1,FALSE),IFERROR(VLOOKUP($D96,Sheet3!$H$2:$O$200,N$1,FALSE),VLOOKUP($E96,Sheet3!$H$2:$O$200,N$1,FALSE)))</f>
        <v>0</v>
      </c>
      <c r="O96" s="15">
        <f>IFERROR(VLOOKUP($C96,Sheet3!$H$2:$O$200,O$1,FALSE),IFERROR(VLOOKUP($D96,Sheet3!$H$2:$O$200,O$1,FALSE),VLOOKUP($E96,Sheet3!$H$2:$O$200,O$1,FALSE)))</f>
        <v>0</v>
      </c>
      <c r="P96" s="15">
        <f>IFERROR(VLOOKUP($C96,Sheet3!$H$2:$O$200,P$1,FALSE),IFERROR(VLOOKUP($D96,Sheet3!$H$2:$O$200,P$1,FALSE),VLOOKUP($E96,Sheet3!$H$2:$O$200,P$1,FALSE)))</f>
        <v>0</v>
      </c>
      <c r="Q96" s="15">
        <f>IFERROR(IF(ISBLANK(J96),IFERROR(VLOOKUP($D96,Sheet3!$H$2:$O$200,Q$1,FALSE),IFERROR(VLOOKUP($E96,Sheet3!$H$2:$O$200,Q$1,FALSE),VLOOKUP($F96,Sheet3!$H$2:$O$200,Q$1,FALSE))),$I$1),$I$1)</f>
        <v>0</v>
      </c>
      <c r="R96" s="15">
        <f>IFERROR(IF(ISBLANK(K96),IFERROR(VLOOKUP($D96,Sheet3!$H$2:$O$200,R$1,FALSE),IFERROR(VLOOKUP($E96,Sheet3!$H$2:$O$200,R$1,FALSE),VLOOKUP($F96,Sheet3!$H$2:$O$200,R$1,FALSE))),$I$1),$I$1)</f>
        <v>0</v>
      </c>
      <c r="S96" s="15">
        <f>IFERROR(IF(ISBLANK(L96),IFERROR(VLOOKUP($D96,Sheet3!$H$2:$O$200,S$1,FALSE),IFERROR(VLOOKUP($E96,Sheet3!$H$2:$O$200,S$1,FALSE),VLOOKUP($F96,Sheet3!$H$2:$O$200,S$1,FALSE))),$I$1),$I$1)</f>
        <v>0</v>
      </c>
      <c r="T96" s="15">
        <f>IFERROR(IF(ISBLANK(M96),IFERROR(VLOOKUP($D96,Sheet3!$H$2:$O$200,T$1,FALSE),IFERROR(VLOOKUP($E96,Sheet3!$H$2:$O$200,T$1,FALSE),VLOOKUP($F96,Sheet3!$H$2:$O$200,T$1,FALSE))),$I$1),$I$1)</f>
        <v>0</v>
      </c>
      <c r="U96" s="15">
        <f>IFERROR(IF(ISBLANK(N96),IFERROR(VLOOKUP($D96,Sheet3!$H$2:$O$200,U$1,FALSE),IFERROR(VLOOKUP($E96,Sheet3!$H$2:$O$200,U$1,FALSE),VLOOKUP($F96,Sheet3!$H$2:$O$200,U$1,FALSE))),$I$1),$I$1)</f>
        <v>0</v>
      </c>
      <c r="V96" s="15">
        <f>IFERROR(IF(ISBLANK(O96),IFERROR(VLOOKUP($D96,Sheet3!$H$2:$O$200,V$1,FALSE),IFERROR(VLOOKUP($E96,Sheet3!$H$2:$O$200,V$1,FALSE),VLOOKUP($F96,Sheet3!$H$2:$O$200,V$1,FALSE))),$I$1),$I$1)</f>
        <v>0</v>
      </c>
      <c r="W96" s="15">
        <f>IFERROR(IF(ISBLANK(P96),IFERROR(VLOOKUP($D96,Sheet3!$H$2:$O$200,W$1,FALSE),IFERROR(VLOOKUP($E96,Sheet3!$H$2:$O$200,W$1,FALSE),VLOOKUP($F96,Sheet3!$H$2:$O$200,W$1,FALSE))),$I$1),$I$1)</f>
        <v>0</v>
      </c>
      <c r="X96" s="15">
        <f>IFERROR(IF(ISBLANK(Q96),IFERROR(VLOOKUP($E96,Sheet3!$H$2:$O$200,X$1,FALSE),IFERROR(VLOOKUP($F96,Sheet3!$H$2:$O$200,X$1,FALSE),VLOOKUP($G96,Sheet3!$H$2:$O$200,X$1,FALSE))),$I$1),$I$1)</f>
        <v>0</v>
      </c>
      <c r="Y96" s="15">
        <f>IFERROR(IF(ISBLANK(R96),IFERROR(VLOOKUP($E96,Sheet3!$H$2:$O$200,Y$1,FALSE),IFERROR(VLOOKUP($F96,Sheet3!$H$2:$O$200,Y$1,FALSE),VLOOKUP($G96,Sheet3!$H$2:$O$200,Y$1,FALSE))),$I$1),$I$1)</f>
        <v>0</v>
      </c>
      <c r="Z96" s="15">
        <f>IFERROR(IF(ISBLANK(S96),IFERROR(VLOOKUP($E96,Sheet3!$H$2:$O$200,Z$1,FALSE),IFERROR(VLOOKUP($F96,Sheet3!$H$2:$O$200,Z$1,FALSE),VLOOKUP($G96,Sheet3!$H$2:$O$200,Z$1,FALSE))),$I$1),$I$1)</f>
        <v>0</v>
      </c>
      <c r="AA96" s="15">
        <f>IFERROR(IF(ISBLANK(T96),IFERROR(VLOOKUP($E96,Sheet3!$H$2:$O$200,AA$1,FALSE),IFERROR(VLOOKUP($F96,Sheet3!$H$2:$O$200,AA$1,FALSE),VLOOKUP($G96,Sheet3!$H$2:$O$200,AA$1,FALSE))),$I$1),$I$1)</f>
        <v>0</v>
      </c>
      <c r="AB96" s="15">
        <f>IFERROR(IF(ISBLANK(U96),IFERROR(VLOOKUP($E96,Sheet3!$H$2:$O$200,AB$1,FALSE),IFERROR(VLOOKUP($F96,Sheet3!$H$2:$O$200,AB$1,FALSE),VLOOKUP($G96,Sheet3!$H$2:$O$200,AB$1,FALSE))),$I$1),$I$1)</f>
        <v>0</v>
      </c>
      <c r="AC96" s="15">
        <f>IFERROR(IF(ISBLANK(V96),IFERROR(VLOOKUP($E96,Sheet3!$H$2:$O$200,AC$1,FALSE),IFERROR(VLOOKUP($F96,Sheet3!$H$2:$O$200,AC$1,FALSE),VLOOKUP($G96,Sheet3!$H$2:$O$200,AC$1,FALSE))),$I$1),$I$1)</f>
        <v>0</v>
      </c>
      <c r="AD96" s="15">
        <f>IFERROR(IF(ISBLANK(W96),IFERROR(VLOOKUP($E96,Sheet3!$H$2:$O$200,AD$1,FALSE),IFERROR(VLOOKUP($F96,Sheet3!$H$2:$O$200,AD$1,FALSE),VLOOKUP($G96,Sheet3!$H$2:$O$200,AD$1,FALSE))),$I$1),$I$1)</f>
        <v>0</v>
      </c>
      <c r="AE96" s="15">
        <f>IFERROR(IF(ISBLANK(X96),IFERROR(VLOOKUP($F96,Sheet3!$H$2:$O$200,AE$1,FALSE),VLOOKUP($G96,Sheet3!$H$2:$O$200,AE$1,FALSE)),$I$1),$I$1)</f>
        <v>0</v>
      </c>
      <c r="AF96" s="15">
        <f>IFERROR(IF(ISBLANK(Y96),IFERROR(VLOOKUP($F96,Sheet3!$H$2:$O$200,AF$1,FALSE),VLOOKUP($G96,Sheet3!$H$2:$O$200,AF$1,FALSE)),$I$1),$I$1)</f>
        <v>0</v>
      </c>
      <c r="AG96" s="15">
        <f>IFERROR(IF(ISBLANK(Z96),IFERROR(VLOOKUP($F96,Sheet3!$H$2:$O$200,AG$1,FALSE),VLOOKUP($G96,Sheet3!$H$2:$O$200,AG$1,FALSE)),$I$1),$I$1)</f>
        <v>0</v>
      </c>
      <c r="AH96" s="15">
        <f>IFERROR(IF(ISBLANK(AA96),IFERROR(VLOOKUP($F96,Sheet3!$H$2:$O$200,AH$1,FALSE),VLOOKUP($G96,Sheet3!$H$2:$O$200,AH$1,FALSE)),$I$1),$I$1)</f>
        <v>0</v>
      </c>
      <c r="AI96" s="15">
        <f>IFERROR(IF(ISBLANK(AB96),IFERROR(VLOOKUP($F96,Sheet3!$H$2:$O$200,AI$1,FALSE),VLOOKUP($G96,Sheet3!$H$2:$O$200,AI$1,FALSE)),$I$1),$I$1)</f>
        <v>0</v>
      </c>
      <c r="AJ96" s="15">
        <f>IFERROR(IF(ISBLANK(AC96),IFERROR(VLOOKUP($F96,Sheet3!$H$2:$O$200,AJ$1,FALSE),VLOOKUP($G96,Sheet3!$H$2:$O$200,AJ$1,FALSE)),$I$1),$I$1)</f>
        <v>0</v>
      </c>
      <c r="AK96" s="15">
        <f>IFERROR(IF(ISBLANK(AD96),IFERROR(VLOOKUP($F96,Sheet3!$H$2:$O$200,AK$1,FALSE),VLOOKUP($G96,Sheet3!$H$2:$O$200,AK$1,FALSE)),$I$1),$I$1)</f>
        <v>0</v>
      </c>
      <c r="AL96" s="15">
        <f>IFERROR(IF(ISBLANK(AE96),VLOOKUP($G96,Sheet3!$H$2:$O$200,AL$1,FALSE),$I$1),$I$1)</f>
        <v>0</v>
      </c>
      <c r="AM96" s="15">
        <f>IFERROR(IF(ISBLANK(AF96),VLOOKUP($G96,Sheet3!$H$2:$O$200,AM$1,FALSE),$I$1),$I$1)</f>
        <v>0</v>
      </c>
      <c r="AN96" s="15">
        <f>IFERROR(IF(ISBLANK(AG96),VLOOKUP($G96,Sheet3!$H$2:$O$200,AN$1,FALSE),$I$1),$I$1)</f>
        <v>0</v>
      </c>
      <c r="AO96" s="15">
        <f>IFERROR(IF(ISBLANK(AH96),VLOOKUP($G96,Sheet3!$H$2:$O$200,AO$1,FALSE),$I$1),$I$1)</f>
        <v>0</v>
      </c>
      <c r="AP96" s="15">
        <f>IFERROR(IF(ISBLANK(AI96),VLOOKUP($G96,Sheet3!$H$2:$O$200,AP$1,FALSE),$I$1),$I$1)</f>
        <v>0</v>
      </c>
      <c r="AQ96" s="15">
        <f>IFERROR(IF(ISBLANK(AJ96),VLOOKUP($G96,Sheet3!$H$2:$O$200,AQ$1,FALSE),$I$1),$I$1)</f>
        <v>0</v>
      </c>
      <c r="AR96" s="15">
        <f>IFERROR(IF(ISBLANK(AK96),VLOOKUP($G96,Sheet3!$H$2:$O$200,AR$1,FALSE),$I$1),$I$1)</f>
        <v>0</v>
      </c>
      <c r="AS96" s="15">
        <f t="shared" ref="AS96:AY96" si="103">IFERROR(IF(ISBLANK(J96),IF(ISBLANK(Q96),IF(ISBLANK(X96),IF(ISBLANK(AE96),IF(ISBLANK(AL96),$BB$1,AL96),AE96),X96),Q96),J96),$BB$1)</f>
        <v>0</v>
      </c>
      <c r="AT96" s="15">
        <f t="shared" si="103"/>
        <v>0</v>
      </c>
      <c r="AU96" s="15">
        <f t="shared" si="103"/>
        <v>0</v>
      </c>
      <c r="AV96" s="15" t="str">
        <f t="shared" si="103"/>
        <v>sweet vermouth</v>
      </c>
      <c r="AW96" s="15">
        <f t="shared" si="103"/>
        <v>0</v>
      </c>
      <c r="AX96" s="15">
        <f t="shared" si="103"/>
        <v>0</v>
      </c>
      <c r="AY96" s="15">
        <f t="shared" si="103"/>
        <v>0</v>
      </c>
      <c r="BA96" s="13">
        <f t="shared" si="1"/>
        <v>35</v>
      </c>
      <c r="BB96" s="15" t="b">
        <f t="shared" si="2"/>
        <v>0</v>
      </c>
    </row>
    <row r="97" spans="1:54" x14ac:dyDescent="0.2">
      <c r="A97" s="19" t="s">
        <v>217</v>
      </c>
      <c r="B97" s="19" t="s">
        <v>198</v>
      </c>
      <c r="C97" s="19" t="s">
        <v>48</v>
      </c>
      <c r="D97" s="19"/>
      <c r="E97" s="19" t="s">
        <v>60</v>
      </c>
      <c r="F97" s="19" t="s">
        <v>55</v>
      </c>
      <c r="G97" s="19"/>
      <c r="H97" s="19" t="s">
        <v>217</v>
      </c>
      <c r="I97" s="15">
        <v>3</v>
      </c>
      <c r="J97" s="15">
        <f>IFERROR(VLOOKUP($C97,Sheet3!$H$2:$O$200,J$1,FALSE),IFERROR(VLOOKUP($D97,Sheet3!$H$2:$O$200,J$1,FALSE),VLOOKUP($E97,Sheet3!$H$2:$O$200,J$1,FALSE)))</f>
        <v>0</v>
      </c>
      <c r="K97" s="15">
        <f>IFERROR(VLOOKUP($C97,Sheet3!$H$2:$O$200,K$1,FALSE),IFERROR(VLOOKUP($D97,Sheet3!$H$2:$O$200,K$1,FALSE),VLOOKUP($E97,Sheet3!$H$2:$O$200,K$1,FALSE)))</f>
        <v>0</v>
      </c>
      <c r="L97" s="15">
        <f>IFERROR(VLOOKUP($C97,Sheet3!$H$2:$O$200,L$1,FALSE),IFERROR(VLOOKUP($D97,Sheet3!$H$2:$O$200,L$1,FALSE),VLOOKUP($E97,Sheet3!$H$2:$O$200,L$1,FALSE)))</f>
        <v>0</v>
      </c>
      <c r="M97" s="15" t="str">
        <f>IFERROR(VLOOKUP($C97,Sheet3!$H$2:$O$200,M$1,FALSE),IFERROR(VLOOKUP($D97,Sheet3!$H$2:$O$200,M$1,FALSE),VLOOKUP($E97,Sheet3!$H$2:$O$200,M$1,FALSE)))</f>
        <v>sweet vermouth</v>
      </c>
      <c r="N97" s="15">
        <f>IFERROR(VLOOKUP($C97,Sheet3!$H$2:$O$200,N$1,FALSE),IFERROR(VLOOKUP($D97,Sheet3!$H$2:$O$200,N$1,FALSE),VLOOKUP($E97,Sheet3!$H$2:$O$200,N$1,FALSE)))</f>
        <v>0</v>
      </c>
      <c r="O97" s="15">
        <f>IFERROR(VLOOKUP($C97,Sheet3!$H$2:$O$200,O$1,FALSE),IFERROR(VLOOKUP($D97,Sheet3!$H$2:$O$200,O$1,FALSE),VLOOKUP($E97,Sheet3!$H$2:$O$200,O$1,FALSE)))</f>
        <v>0</v>
      </c>
      <c r="P97" s="15">
        <f>IFERROR(VLOOKUP($C97,Sheet3!$H$2:$O$200,P$1,FALSE),IFERROR(VLOOKUP($D97,Sheet3!$H$2:$O$200,P$1,FALSE),VLOOKUP($E97,Sheet3!$H$2:$O$200,P$1,FALSE)))</f>
        <v>0</v>
      </c>
      <c r="Q97" s="15">
        <f>IFERROR(IF(ISBLANK(J97),IFERROR(VLOOKUP($D97,Sheet3!$H$2:$O$200,Q$1,FALSE),IFERROR(VLOOKUP($E97,Sheet3!$H$2:$O$200,Q$1,FALSE),VLOOKUP($F97,Sheet3!$H$2:$O$200,Q$1,FALSE))),$I$1),$I$1)</f>
        <v>0</v>
      </c>
      <c r="R97" s="15">
        <f>IFERROR(IF(ISBLANK(K97),IFERROR(VLOOKUP($D97,Sheet3!$H$2:$O$200,R$1,FALSE),IFERROR(VLOOKUP($E97,Sheet3!$H$2:$O$200,R$1,FALSE),VLOOKUP($F97,Sheet3!$H$2:$O$200,R$1,FALSE))),$I$1),$I$1)</f>
        <v>0</v>
      </c>
      <c r="S97" s="15">
        <f>IFERROR(IF(ISBLANK(L97),IFERROR(VLOOKUP($D97,Sheet3!$H$2:$O$200,S$1,FALSE),IFERROR(VLOOKUP($E97,Sheet3!$H$2:$O$200,S$1,FALSE),VLOOKUP($F97,Sheet3!$H$2:$O$200,S$1,FALSE))),$I$1),$I$1)</f>
        <v>0</v>
      </c>
      <c r="T97" s="15">
        <f>IFERROR(IF(ISBLANK(M97),IFERROR(VLOOKUP($D97,Sheet3!$H$2:$O$200,T$1,FALSE),IFERROR(VLOOKUP($E97,Sheet3!$H$2:$O$200,T$1,FALSE),VLOOKUP($F97,Sheet3!$H$2:$O$200,T$1,FALSE))),$I$1),$I$1)</f>
        <v>0</v>
      </c>
      <c r="U97" s="15">
        <f>IFERROR(IF(ISBLANK(N97),IFERROR(VLOOKUP($D97,Sheet3!$H$2:$O$200,U$1,FALSE),IFERROR(VLOOKUP($E97,Sheet3!$H$2:$O$200,U$1,FALSE),VLOOKUP($F97,Sheet3!$H$2:$O$200,U$1,FALSE))),$I$1),$I$1)</f>
        <v>0</v>
      </c>
      <c r="V97" s="15">
        <f>IFERROR(IF(ISBLANK(O97),IFERROR(VLOOKUP($D97,Sheet3!$H$2:$O$200,V$1,FALSE),IFERROR(VLOOKUP($E97,Sheet3!$H$2:$O$200,V$1,FALSE),VLOOKUP($F97,Sheet3!$H$2:$O$200,V$1,FALSE))),$I$1),$I$1)</f>
        <v>0</v>
      </c>
      <c r="W97" s="15">
        <f>IFERROR(IF(ISBLANK(P97),IFERROR(VLOOKUP($D97,Sheet3!$H$2:$O$200,W$1,FALSE),IFERROR(VLOOKUP($E97,Sheet3!$H$2:$O$200,W$1,FALSE),VLOOKUP($F97,Sheet3!$H$2:$O$200,W$1,FALSE))),$I$1),$I$1)</f>
        <v>0</v>
      </c>
      <c r="X97" s="15">
        <f>IFERROR(IF(ISBLANK(Q97),IFERROR(VLOOKUP($E97,Sheet3!$H$2:$O$200,X$1,FALSE),IFERROR(VLOOKUP($F97,Sheet3!$H$2:$O$200,X$1,FALSE),VLOOKUP($G97,Sheet3!$H$2:$O$200,X$1,FALSE))),$I$1),$I$1)</f>
        <v>0</v>
      </c>
      <c r="Y97" s="15">
        <f>IFERROR(IF(ISBLANK(R97),IFERROR(VLOOKUP($E97,Sheet3!$H$2:$O$200,Y$1,FALSE),IFERROR(VLOOKUP($F97,Sheet3!$H$2:$O$200,Y$1,FALSE),VLOOKUP($G97,Sheet3!$H$2:$O$200,Y$1,FALSE))),$I$1),$I$1)</f>
        <v>0</v>
      </c>
      <c r="Z97" s="15">
        <f>IFERROR(IF(ISBLANK(S97),IFERROR(VLOOKUP($E97,Sheet3!$H$2:$O$200,Z$1,FALSE),IFERROR(VLOOKUP($F97,Sheet3!$H$2:$O$200,Z$1,FALSE),VLOOKUP($G97,Sheet3!$H$2:$O$200,Z$1,FALSE))),$I$1),$I$1)</f>
        <v>0</v>
      </c>
      <c r="AA97" s="15">
        <f>IFERROR(IF(ISBLANK(T97),IFERROR(VLOOKUP($E97,Sheet3!$H$2:$O$200,AA$1,FALSE),IFERROR(VLOOKUP($F97,Sheet3!$H$2:$O$200,AA$1,FALSE),VLOOKUP($G97,Sheet3!$H$2:$O$200,AA$1,FALSE))),$I$1),$I$1)</f>
        <v>0</v>
      </c>
      <c r="AB97" s="15">
        <f>IFERROR(IF(ISBLANK(U97),IFERROR(VLOOKUP($E97,Sheet3!$H$2:$O$200,AB$1,FALSE),IFERROR(VLOOKUP($F97,Sheet3!$H$2:$O$200,AB$1,FALSE),VLOOKUP($G97,Sheet3!$H$2:$O$200,AB$1,FALSE))),$I$1),$I$1)</f>
        <v>0</v>
      </c>
      <c r="AC97" s="15">
        <f>IFERROR(IF(ISBLANK(V97),IFERROR(VLOOKUP($E97,Sheet3!$H$2:$O$200,AC$1,FALSE),IFERROR(VLOOKUP($F97,Sheet3!$H$2:$O$200,AC$1,FALSE),VLOOKUP($G97,Sheet3!$H$2:$O$200,AC$1,FALSE))),$I$1),$I$1)</f>
        <v>0</v>
      </c>
      <c r="AD97" s="15">
        <f>IFERROR(IF(ISBLANK(W97),IFERROR(VLOOKUP($E97,Sheet3!$H$2:$O$200,AD$1,FALSE),IFERROR(VLOOKUP($F97,Sheet3!$H$2:$O$200,AD$1,FALSE),VLOOKUP($G97,Sheet3!$H$2:$O$200,AD$1,FALSE))),$I$1),$I$1)</f>
        <v>0</v>
      </c>
      <c r="AE97" s="15">
        <f>IFERROR(IF(ISBLANK(X97),IFERROR(VLOOKUP($F97,Sheet3!$H$2:$O$200,AE$1,FALSE),VLOOKUP($G97,Sheet3!$H$2:$O$200,AE$1,FALSE)),$I$1),$I$1)</f>
        <v>0</v>
      </c>
      <c r="AF97" s="15">
        <f>IFERROR(IF(ISBLANK(Y97),IFERROR(VLOOKUP($F97,Sheet3!$H$2:$O$200,AF$1,FALSE),VLOOKUP($G97,Sheet3!$H$2:$O$200,AF$1,FALSE)),$I$1),$I$1)</f>
        <v>0</v>
      </c>
      <c r="AG97" s="15">
        <f>IFERROR(IF(ISBLANK(Z97),IFERROR(VLOOKUP($F97,Sheet3!$H$2:$O$200,AG$1,FALSE),VLOOKUP($G97,Sheet3!$H$2:$O$200,AG$1,FALSE)),$I$1),$I$1)</f>
        <v>0</v>
      </c>
      <c r="AH97" s="15">
        <f>IFERROR(IF(ISBLANK(AA97),IFERROR(VLOOKUP($F97,Sheet3!$H$2:$O$200,AH$1,FALSE),VLOOKUP($G97,Sheet3!$H$2:$O$200,AH$1,FALSE)),$I$1),$I$1)</f>
        <v>0</v>
      </c>
      <c r="AI97" s="15">
        <f>IFERROR(IF(ISBLANK(AB97),IFERROR(VLOOKUP($F97,Sheet3!$H$2:$O$200,AI$1,FALSE),VLOOKUP($G97,Sheet3!$H$2:$O$200,AI$1,FALSE)),$I$1),$I$1)</f>
        <v>0</v>
      </c>
      <c r="AJ97" s="15">
        <f>IFERROR(IF(ISBLANK(AC97),IFERROR(VLOOKUP($F97,Sheet3!$H$2:$O$200,AJ$1,FALSE),VLOOKUP($G97,Sheet3!$H$2:$O$200,AJ$1,FALSE)),$I$1),$I$1)</f>
        <v>0</v>
      </c>
      <c r="AK97" s="15">
        <f>IFERROR(IF(ISBLANK(AD97),IFERROR(VLOOKUP($F97,Sheet3!$H$2:$O$200,AK$1,FALSE),VLOOKUP($G97,Sheet3!$H$2:$O$200,AK$1,FALSE)),$I$1),$I$1)</f>
        <v>0</v>
      </c>
      <c r="AL97" s="15">
        <f>IFERROR(IF(ISBLANK(AE97),VLOOKUP($G97,Sheet3!$H$2:$O$200,AL$1,FALSE),$I$1),$I$1)</f>
        <v>0</v>
      </c>
      <c r="AM97" s="15">
        <f>IFERROR(IF(ISBLANK(AF97),VLOOKUP($G97,Sheet3!$H$2:$O$200,AM$1,FALSE),$I$1),$I$1)</f>
        <v>0</v>
      </c>
      <c r="AN97" s="15">
        <f>IFERROR(IF(ISBLANK(AG97),VLOOKUP($G97,Sheet3!$H$2:$O$200,AN$1,FALSE),$I$1),$I$1)</f>
        <v>0</v>
      </c>
      <c r="AO97" s="15">
        <f>IFERROR(IF(ISBLANK(AH97),VLOOKUP($G97,Sheet3!$H$2:$O$200,AO$1,FALSE),$I$1),$I$1)</f>
        <v>0</v>
      </c>
      <c r="AP97" s="15">
        <f>IFERROR(IF(ISBLANK(AI97),VLOOKUP($G97,Sheet3!$H$2:$O$200,AP$1,FALSE),$I$1),$I$1)</f>
        <v>0</v>
      </c>
      <c r="AQ97" s="15">
        <f>IFERROR(IF(ISBLANK(AJ97),VLOOKUP($G97,Sheet3!$H$2:$O$200,AQ$1,FALSE),$I$1),$I$1)</f>
        <v>0</v>
      </c>
      <c r="AR97" s="15">
        <f>IFERROR(IF(ISBLANK(AK97),VLOOKUP($G97,Sheet3!$H$2:$O$200,AR$1,FALSE),$I$1),$I$1)</f>
        <v>0</v>
      </c>
      <c r="AS97" s="15">
        <f t="shared" ref="AS97:AY97" si="104">IFERROR(IF(ISBLANK(J97),IF(ISBLANK(Q97),IF(ISBLANK(X97),IF(ISBLANK(AE97),IF(ISBLANK(AL97),$BB$1,AL97),AE97),X97),Q97),J97),$BB$1)</f>
        <v>0</v>
      </c>
      <c r="AT97" s="15">
        <f t="shared" si="104"/>
        <v>0</v>
      </c>
      <c r="AU97" s="15">
        <f t="shared" si="104"/>
        <v>0</v>
      </c>
      <c r="AV97" s="15" t="str">
        <f t="shared" si="104"/>
        <v>sweet vermouth</v>
      </c>
      <c r="AW97" s="15">
        <f t="shared" si="104"/>
        <v>0</v>
      </c>
      <c r="AX97" s="15">
        <f t="shared" si="104"/>
        <v>0</v>
      </c>
      <c r="AY97" s="15">
        <f t="shared" si="104"/>
        <v>0</v>
      </c>
      <c r="BA97" s="13">
        <f t="shared" si="1"/>
        <v>35</v>
      </c>
      <c r="BB97" s="15" t="b">
        <f t="shared" si="2"/>
        <v>0</v>
      </c>
    </row>
    <row r="98" spans="1:54" x14ac:dyDescent="0.2">
      <c r="A98" s="19" t="s">
        <v>218</v>
      </c>
      <c r="B98" s="19" t="s">
        <v>219</v>
      </c>
      <c r="C98" s="19" t="s">
        <v>173</v>
      </c>
      <c r="D98" s="19"/>
      <c r="E98" s="19"/>
      <c r="F98" s="19"/>
      <c r="G98" s="19"/>
      <c r="H98" s="19" t="s">
        <v>218</v>
      </c>
      <c r="I98" s="15">
        <v>1</v>
      </c>
      <c r="J98" s="15">
        <f>IFERROR(VLOOKUP($C98,Sheet3!$H$2:$O$200,J$1,FALSE),IFERROR(VLOOKUP($D98,Sheet3!$H$2:$O$200,J$1,FALSE),VLOOKUP($E98,Sheet3!$H$2:$O$200,J$1,FALSE)))</f>
        <v>0</v>
      </c>
      <c r="K98" s="15">
        <f>IFERROR(VLOOKUP($C98,Sheet3!$H$2:$O$200,K$1,FALSE),IFERROR(VLOOKUP($D98,Sheet3!$H$2:$O$200,K$1,FALSE),VLOOKUP($E98,Sheet3!$H$2:$O$200,K$1,FALSE)))</f>
        <v>0</v>
      </c>
      <c r="L98" s="15">
        <f>IFERROR(VLOOKUP($C98,Sheet3!$H$2:$O$200,L$1,FALSE),IFERROR(VLOOKUP($D98,Sheet3!$H$2:$O$200,L$1,FALSE),VLOOKUP($E98,Sheet3!$H$2:$O$200,L$1,FALSE)))</f>
        <v>0</v>
      </c>
      <c r="M98" s="15" t="str">
        <f>IFERROR(VLOOKUP($C98,Sheet3!$H$2:$O$200,M$1,FALSE),IFERROR(VLOOKUP($D98,Sheet3!$H$2:$O$200,M$1,FALSE),VLOOKUP($E98,Sheet3!$H$2:$O$200,M$1,FALSE)))</f>
        <v>ginger liqueur</v>
      </c>
      <c r="N98" s="15">
        <f>IFERROR(VLOOKUP($C98,Sheet3!$H$2:$O$200,N$1,FALSE),IFERROR(VLOOKUP($D98,Sheet3!$H$2:$O$200,N$1,FALSE),VLOOKUP($E98,Sheet3!$H$2:$O$200,N$1,FALSE)))</f>
        <v>0</v>
      </c>
      <c r="O98" s="15">
        <f>IFERROR(VLOOKUP($C98,Sheet3!$H$2:$O$200,O$1,FALSE),IFERROR(VLOOKUP($D98,Sheet3!$H$2:$O$200,O$1,FALSE),VLOOKUP($E98,Sheet3!$H$2:$O$200,O$1,FALSE)))</f>
        <v>0</v>
      </c>
      <c r="P98" s="15">
        <f>IFERROR(VLOOKUP($C98,Sheet3!$H$2:$O$200,P$1,FALSE),IFERROR(VLOOKUP($D98,Sheet3!$H$2:$O$200,P$1,FALSE),VLOOKUP($E98,Sheet3!$H$2:$O$200,P$1,FALSE)))</f>
        <v>0</v>
      </c>
      <c r="Q98" s="15">
        <f>IFERROR(IF(ISBLANK(J98),IFERROR(VLOOKUP($D98,Sheet3!$H$2:$O$200,Q$1,FALSE),IFERROR(VLOOKUP($E98,Sheet3!$H$2:$O$200,Q$1,FALSE),VLOOKUP($F98,Sheet3!$H$2:$O$200,Q$1,FALSE))),$I$1),$I$1)</f>
        <v>0</v>
      </c>
      <c r="R98" s="15">
        <f>IFERROR(IF(ISBLANK(K98),IFERROR(VLOOKUP($D98,Sheet3!$H$2:$O$200,R$1,FALSE),IFERROR(VLOOKUP($E98,Sheet3!$H$2:$O$200,R$1,FALSE),VLOOKUP($F98,Sheet3!$H$2:$O$200,R$1,FALSE))),$I$1),$I$1)</f>
        <v>0</v>
      </c>
      <c r="S98" s="15">
        <f>IFERROR(IF(ISBLANK(L98),IFERROR(VLOOKUP($D98,Sheet3!$H$2:$O$200,S$1,FALSE),IFERROR(VLOOKUP($E98,Sheet3!$H$2:$O$200,S$1,FALSE),VLOOKUP($F98,Sheet3!$H$2:$O$200,S$1,FALSE))),$I$1),$I$1)</f>
        <v>0</v>
      </c>
      <c r="T98" s="15">
        <f>IFERROR(IF(ISBLANK(M98),IFERROR(VLOOKUP($D98,Sheet3!$H$2:$O$200,T$1,FALSE),IFERROR(VLOOKUP($E98,Sheet3!$H$2:$O$200,T$1,FALSE),VLOOKUP($F98,Sheet3!$H$2:$O$200,T$1,FALSE))),$I$1),$I$1)</f>
        <v>0</v>
      </c>
      <c r="U98" s="15">
        <f>IFERROR(IF(ISBLANK(N98),IFERROR(VLOOKUP($D98,Sheet3!$H$2:$O$200,U$1,FALSE),IFERROR(VLOOKUP($E98,Sheet3!$H$2:$O$200,U$1,FALSE),VLOOKUP($F98,Sheet3!$H$2:$O$200,U$1,FALSE))),$I$1),$I$1)</f>
        <v>0</v>
      </c>
      <c r="V98" s="15">
        <f>IFERROR(IF(ISBLANK(O98),IFERROR(VLOOKUP($D98,Sheet3!$H$2:$O$200,V$1,FALSE),IFERROR(VLOOKUP($E98,Sheet3!$H$2:$O$200,V$1,FALSE),VLOOKUP($F98,Sheet3!$H$2:$O$200,V$1,FALSE))),$I$1),$I$1)</f>
        <v>0</v>
      </c>
      <c r="W98" s="15">
        <f>IFERROR(IF(ISBLANK(P98),IFERROR(VLOOKUP($D98,Sheet3!$H$2:$O$200,W$1,FALSE),IFERROR(VLOOKUP($E98,Sheet3!$H$2:$O$200,W$1,FALSE),VLOOKUP($F98,Sheet3!$H$2:$O$200,W$1,FALSE))),$I$1),$I$1)</f>
        <v>0</v>
      </c>
      <c r="X98" s="15">
        <f>IFERROR(IF(ISBLANK(Q98),IFERROR(VLOOKUP($E98,Sheet3!$H$2:$O$200,X$1,FALSE),IFERROR(VLOOKUP($F98,Sheet3!$H$2:$O$200,X$1,FALSE),VLOOKUP($G98,Sheet3!$H$2:$O$200,X$1,FALSE))),$I$1),$I$1)</f>
        <v>0</v>
      </c>
      <c r="Y98" s="15">
        <f>IFERROR(IF(ISBLANK(R98),IFERROR(VLOOKUP($E98,Sheet3!$H$2:$O$200,Y$1,FALSE),IFERROR(VLOOKUP($F98,Sheet3!$H$2:$O$200,Y$1,FALSE),VLOOKUP($G98,Sheet3!$H$2:$O$200,Y$1,FALSE))),$I$1),$I$1)</f>
        <v>0</v>
      </c>
      <c r="Z98" s="15">
        <f>IFERROR(IF(ISBLANK(S98),IFERROR(VLOOKUP($E98,Sheet3!$H$2:$O$200,Z$1,FALSE),IFERROR(VLOOKUP($F98,Sheet3!$H$2:$O$200,Z$1,FALSE),VLOOKUP($G98,Sheet3!$H$2:$O$200,Z$1,FALSE))),$I$1),$I$1)</f>
        <v>0</v>
      </c>
      <c r="AA98" s="15">
        <f>IFERROR(IF(ISBLANK(T98),IFERROR(VLOOKUP($E98,Sheet3!$H$2:$O$200,AA$1,FALSE),IFERROR(VLOOKUP($F98,Sheet3!$H$2:$O$200,AA$1,FALSE),VLOOKUP($G98,Sheet3!$H$2:$O$200,AA$1,FALSE))),$I$1),$I$1)</f>
        <v>0</v>
      </c>
      <c r="AB98" s="15">
        <f>IFERROR(IF(ISBLANK(U98),IFERROR(VLOOKUP($E98,Sheet3!$H$2:$O$200,AB$1,FALSE),IFERROR(VLOOKUP($F98,Sheet3!$H$2:$O$200,AB$1,FALSE),VLOOKUP($G98,Sheet3!$H$2:$O$200,AB$1,FALSE))),$I$1),$I$1)</f>
        <v>0</v>
      </c>
      <c r="AC98" s="15">
        <f>IFERROR(IF(ISBLANK(V98),IFERROR(VLOOKUP($E98,Sheet3!$H$2:$O$200,AC$1,FALSE),IFERROR(VLOOKUP($F98,Sheet3!$H$2:$O$200,AC$1,FALSE),VLOOKUP($G98,Sheet3!$H$2:$O$200,AC$1,FALSE))),$I$1),$I$1)</f>
        <v>0</v>
      </c>
      <c r="AD98" s="15">
        <f>IFERROR(IF(ISBLANK(W98),IFERROR(VLOOKUP($E98,Sheet3!$H$2:$O$200,AD$1,FALSE),IFERROR(VLOOKUP($F98,Sheet3!$H$2:$O$200,AD$1,FALSE),VLOOKUP($G98,Sheet3!$H$2:$O$200,AD$1,FALSE))),$I$1),$I$1)</f>
        <v>0</v>
      </c>
      <c r="AE98" s="15">
        <f>IFERROR(IF(ISBLANK(X98),IFERROR(VLOOKUP($F98,Sheet3!$H$2:$O$200,AE$1,FALSE),VLOOKUP($G98,Sheet3!$H$2:$O$200,AE$1,FALSE)),$I$1),$I$1)</f>
        <v>0</v>
      </c>
      <c r="AF98" s="15">
        <f>IFERROR(IF(ISBLANK(Y98),IFERROR(VLOOKUP($F98,Sheet3!$H$2:$O$200,AF$1,FALSE),VLOOKUP($G98,Sheet3!$H$2:$O$200,AF$1,FALSE)),$I$1),$I$1)</f>
        <v>0</v>
      </c>
      <c r="AG98" s="15">
        <f>IFERROR(IF(ISBLANK(Z98),IFERROR(VLOOKUP($F98,Sheet3!$H$2:$O$200,AG$1,FALSE),VLOOKUP($G98,Sheet3!$H$2:$O$200,AG$1,FALSE)),$I$1),$I$1)</f>
        <v>0</v>
      </c>
      <c r="AH98" s="15">
        <f>IFERROR(IF(ISBLANK(AA98),IFERROR(VLOOKUP($F98,Sheet3!$H$2:$O$200,AH$1,FALSE),VLOOKUP($G98,Sheet3!$H$2:$O$200,AH$1,FALSE)),$I$1),$I$1)</f>
        <v>0</v>
      </c>
      <c r="AI98" s="15">
        <f>IFERROR(IF(ISBLANK(AB98),IFERROR(VLOOKUP($F98,Sheet3!$H$2:$O$200,AI$1,FALSE),VLOOKUP($G98,Sheet3!$H$2:$O$200,AI$1,FALSE)),$I$1),$I$1)</f>
        <v>0</v>
      </c>
      <c r="AJ98" s="15">
        <f>IFERROR(IF(ISBLANK(AC98),IFERROR(VLOOKUP($F98,Sheet3!$H$2:$O$200,AJ$1,FALSE),VLOOKUP($G98,Sheet3!$H$2:$O$200,AJ$1,FALSE)),$I$1),$I$1)</f>
        <v>0</v>
      </c>
      <c r="AK98" s="15">
        <f>IFERROR(IF(ISBLANK(AD98),IFERROR(VLOOKUP($F98,Sheet3!$H$2:$O$200,AK$1,FALSE),VLOOKUP($G98,Sheet3!$H$2:$O$200,AK$1,FALSE)),$I$1),$I$1)</f>
        <v>0</v>
      </c>
      <c r="AL98" s="15">
        <f>IFERROR(IF(ISBLANK(AE98),VLOOKUP($G98,Sheet3!$H$2:$O$200,AL$1,FALSE),$I$1),$I$1)</f>
        <v>0</v>
      </c>
      <c r="AM98" s="15">
        <f>IFERROR(IF(ISBLANK(AF98),VLOOKUP($G98,Sheet3!$H$2:$O$200,AM$1,FALSE),$I$1),$I$1)</f>
        <v>0</v>
      </c>
      <c r="AN98" s="15">
        <f>IFERROR(IF(ISBLANK(AG98),VLOOKUP($G98,Sheet3!$H$2:$O$200,AN$1,FALSE),$I$1),$I$1)</f>
        <v>0</v>
      </c>
      <c r="AO98" s="15">
        <f>IFERROR(IF(ISBLANK(AH98),VLOOKUP($G98,Sheet3!$H$2:$O$200,AO$1,FALSE),$I$1),$I$1)</f>
        <v>0</v>
      </c>
      <c r="AP98" s="15">
        <f>IFERROR(IF(ISBLANK(AI98),VLOOKUP($G98,Sheet3!$H$2:$O$200,AP$1,FALSE),$I$1),$I$1)</f>
        <v>0</v>
      </c>
      <c r="AQ98" s="15">
        <f>IFERROR(IF(ISBLANK(AJ98),VLOOKUP($G98,Sheet3!$H$2:$O$200,AQ$1,FALSE),$I$1),$I$1)</f>
        <v>0</v>
      </c>
      <c r="AR98" s="15">
        <f>IFERROR(IF(ISBLANK(AK98),VLOOKUP($G98,Sheet3!$H$2:$O$200,AR$1,FALSE),$I$1),$I$1)</f>
        <v>0</v>
      </c>
      <c r="AS98" s="15">
        <f t="shared" ref="AS98:AY98" si="105">IFERROR(IF(ISBLANK(J98),IF(ISBLANK(Q98),IF(ISBLANK(X98),IF(ISBLANK(AE98),IF(ISBLANK(AL98),$BB$1,AL98),AE98),X98),Q98),J98),$BB$1)</f>
        <v>0</v>
      </c>
      <c r="AT98" s="15">
        <f t="shared" si="105"/>
        <v>0</v>
      </c>
      <c r="AU98" s="15">
        <f t="shared" si="105"/>
        <v>0</v>
      </c>
      <c r="AV98" s="15" t="str">
        <f t="shared" si="105"/>
        <v>ginger liqueur</v>
      </c>
      <c r="AW98" s="15">
        <f t="shared" si="105"/>
        <v>0</v>
      </c>
      <c r="AX98" s="15">
        <f t="shared" si="105"/>
        <v>0</v>
      </c>
      <c r="AY98" s="15">
        <f t="shared" si="105"/>
        <v>0</v>
      </c>
      <c r="BA98" s="13">
        <f t="shared" si="1"/>
        <v>35</v>
      </c>
      <c r="BB98" s="15" t="b">
        <f t="shared" si="2"/>
        <v>0</v>
      </c>
    </row>
    <row r="99" spans="1:54" x14ac:dyDescent="0.2">
      <c r="A99" s="19" t="s">
        <v>220</v>
      </c>
      <c r="B99" s="19" t="s">
        <v>219</v>
      </c>
      <c r="C99" s="19" t="s">
        <v>221</v>
      </c>
      <c r="D99" s="19"/>
      <c r="E99" s="19"/>
      <c r="F99" s="19"/>
      <c r="G99" s="19"/>
      <c r="H99" s="19" t="s">
        <v>220</v>
      </c>
      <c r="I99" s="15">
        <v>1</v>
      </c>
      <c r="J99" s="15">
        <f>IFERROR(VLOOKUP($C99,Sheet3!$H$2:$O$200,J$1,FALSE),IFERROR(VLOOKUP($D99,Sheet3!$H$2:$O$200,J$1,FALSE),VLOOKUP($E99,Sheet3!$H$2:$O$200,J$1,FALSE)))</f>
        <v>0</v>
      </c>
      <c r="K99" s="15">
        <f>IFERROR(VLOOKUP($C99,Sheet3!$H$2:$O$200,K$1,FALSE),IFERROR(VLOOKUP($D99,Sheet3!$H$2:$O$200,K$1,FALSE),VLOOKUP($E99,Sheet3!$H$2:$O$200,K$1,FALSE)))</f>
        <v>0</v>
      </c>
      <c r="L99" s="15">
        <f>IFERROR(VLOOKUP($C99,Sheet3!$H$2:$O$200,L$1,FALSE),IFERROR(VLOOKUP($D99,Sheet3!$H$2:$O$200,L$1,FALSE),VLOOKUP($E99,Sheet3!$H$2:$O$200,L$1,FALSE)))</f>
        <v>0</v>
      </c>
      <c r="M99" s="15" t="str">
        <f>IFERROR(VLOOKUP($C99,Sheet3!$H$2:$O$200,M$1,FALSE),IFERROR(VLOOKUP($D99,Sheet3!$H$2:$O$200,M$1,FALSE),VLOOKUP($E99,Sheet3!$H$2:$O$200,M$1,FALSE)))</f>
        <v>green-apple schnapps</v>
      </c>
      <c r="N99" s="15">
        <f>IFERROR(VLOOKUP($C99,Sheet3!$H$2:$O$200,N$1,FALSE),IFERROR(VLOOKUP($D99,Sheet3!$H$2:$O$200,N$1,FALSE),VLOOKUP($E99,Sheet3!$H$2:$O$200,N$1,FALSE)))</f>
        <v>0</v>
      </c>
      <c r="O99" s="15">
        <f>IFERROR(VLOOKUP($C99,Sheet3!$H$2:$O$200,O$1,FALSE),IFERROR(VLOOKUP($D99,Sheet3!$H$2:$O$200,O$1,FALSE),VLOOKUP($E99,Sheet3!$H$2:$O$200,O$1,FALSE)))</f>
        <v>0</v>
      </c>
      <c r="P99" s="15">
        <f>IFERROR(VLOOKUP($C99,Sheet3!$H$2:$O$200,P$1,FALSE),IFERROR(VLOOKUP($D99,Sheet3!$H$2:$O$200,P$1,FALSE),VLOOKUP($E99,Sheet3!$H$2:$O$200,P$1,FALSE)))</f>
        <v>0</v>
      </c>
      <c r="Q99" s="15">
        <f>IFERROR(IF(ISBLANK(J99),IFERROR(VLOOKUP($D99,Sheet3!$H$2:$O$200,Q$1,FALSE),IFERROR(VLOOKUP($E99,Sheet3!$H$2:$O$200,Q$1,FALSE),VLOOKUP($F99,Sheet3!$H$2:$O$200,Q$1,FALSE))),$I$1),$I$1)</f>
        <v>0</v>
      </c>
      <c r="R99" s="15">
        <f>IFERROR(IF(ISBLANK(K99),IFERROR(VLOOKUP($D99,Sheet3!$H$2:$O$200,R$1,FALSE),IFERROR(VLOOKUP($E99,Sheet3!$H$2:$O$200,R$1,FALSE),VLOOKUP($F99,Sheet3!$H$2:$O$200,R$1,FALSE))),$I$1),$I$1)</f>
        <v>0</v>
      </c>
      <c r="S99" s="15">
        <f>IFERROR(IF(ISBLANK(L99),IFERROR(VLOOKUP($D99,Sheet3!$H$2:$O$200,S$1,FALSE),IFERROR(VLOOKUP($E99,Sheet3!$H$2:$O$200,S$1,FALSE),VLOOKUP($F99,Sheet3!$H$2:$O$200,S$1,FALSE))),$I$1),$I$1)</f>
        <v>0</v>
      </c>
      <c r="T99" s="15">
        <f>IFERROR(IF(ISBLANK(M99),IFERROR(VLOOKUP($D99,Sheet3!$H$2:$O$200,T$1,FALSE),IFERROR(VLOOKUP($E99,Sheet3!$H$2:$O$200,T$1,FALSE),VLOOKUP($F99,Sheet3!$H$2:$O$200,T$1,FALSE))),$I$1),$I$1)</f>
        <v>0</v>
      </c>
      <c r="U99" s="15">
        <f>IFERROR(IF(ISBLANK(N99),IFERROR(VLOOKUP($D99,Sheet3!$H$2:$O$200,U$1,FALSE),IFERROR(VLOOKUP($E99,Sheet3!$H$2:$O$200,U$1,FALSE),VLOOKUP($F99,Sheet3!$H$2:$O$200,U$1,FALSE))),$I$1),$I$1)</f>
        <v>0</v>
      </c>
      <c r="V99" s="15">
        <f>IFERROR(IF(ISBLANK(O99),IFERROR(VLOOKUP($D99,Sheet3!$H$2:$O$200,V$1,FALSE),IFERROR(VLOOKUP($E99,Sheet3!$H$2:$O$200,V$1,FALSE),VLOOKUP($F99,Sheet3!$H$2:$O$200,V$1,FALSE))),$I$1),$I$1)</f>
        <v>0</v>
      </c>
      <c r="W99" s="15">
        <f>IFERROR(IF(ISBLANK(P99),IFERROR(VLOOKUP($D99,Sheet3!$H$2:$O$200,W$1,FALSE),IFERROR(VLOOKUP($E99,Sheet3!$H$2:$O$200,W$1,FALSE),VLOOKUP($F99,Sheet3!$H$2:$O$200,W$1,FALSE))),$I$1),$I$1)</f>
        <v>0</v>
      </c>
      <c r="X99" s="15">
        <f>IFERROR(IF(ISBLANK(Q99),IFERROR(VLOOKUP($E99,Sheet3!$H$2:$O$200,X$1,FALSE),IFERROR(VLOOKUP($F99,Sheet3!$H$2:$O$200,X$1,FALSE),VLOOKUP($G99,Sheet3!$H$2:$O$200,X$1,FALSE))),$I$1),$I$1)</f>
        <v>0</v>
      </c>
      <c r="Y99" s="15">
        <f>IFERROR(IF(ISBLANK(R99),IFERROR(VLOOKUP($E99,Sheet3!$H$2:$O$200,Y$1,FALSE),IFERROR(VLOOKUP($F99,Sheet3!$H$2:$O$200,Y$1,FALSE),VLOOKUP($G99,Sheet3!$H$2:$O$200,Y$1,FALSE))),$I$1),$I$1)</f>
        <v>0</v>
      </c>
      <c r="Z99" s="15">
        <f>IFERROR(IF(ISBLANK(S99),IFERROR(VLOOKUP($E99,Sheet3!$H$2:$O$200,Z$1,FALSE),IFERROR(VLOOKUP($F99,Sheet3!$H$2:$O$200,Z$1,FALSE),VLOOKUP($G99,Sheet3!$H$2:$O$200,Z$1,FALSE))),$I$1),$I$1)</f>
        <v>0</v>
      </c>
      <c r="AA99" s="15">
        <f>IFERROR(IF(ISBLANK(T99),IFERROR(VLOOKUP($E99,Sheet3!$H$2:$O$200,AA$1,FALSE),IFERROR(VLOOKUP($F99,Sheet3!$H$2:$O$200,AA$1,FALSE),VLOOKUP($G99,Sheet3!$H$2:$O$200,AA$1,FALSE))),$I$1),$I$1)</f>
        <v>0</v>
      </c>
      <c r="AB99" s="15">
        <f>IFERROR(IF(ISBLANK(U99),IFERROR(VLOOKUP($E99,Sheet3!$H$2:$O$200,AB$1,FALSE),IFERROR(VLOOKUP($F99,Sheet3!$H$2:$O$200,AB$1,FALSE),VLOOKUP($G99,Sheet3!$H$2:$O$200,AB$1,FALSE))),$I$1),$I$1)</f>
        <v>0</v>
      </c>
      <c r="AC99" s="15">
        <f>IFERROR(IF(ISBLANK(V99),IFERROR(VLOOKUP($E99,Sheet3!$H$2:$O$200,AC$1,FALSE),IFERROR(VLOOKUP($F99,Sheet3!$H$2:$O$200,AC$1,FALSE),VLOOKUP($G99,Sheet3!$H$2:$O$200,AC$1,FALSE))),$I$1),$I$1)</f>
        <v>0</v>
      </c>
      <c r="AD99" s="15">
        <f>IFERROR(IF(ISBLANK(W99),IFERROR(VLOOKUP($E99,Sheet3!$H$2:$O$200,AD$1,FALSE),IFERROR(VLOOKUP($F99,Sheet3!$H$2:$O$200,AD$1,FALSE),VLOOKUP($G99,Sheet3!$H$2:$O$200,AD$1,FALSE))),$I$1),$I$1)</f>
        <v>0</v>
      </c>
      <c r="AE99" s="15">
        <f>IFERROR(IF(ISBLANK(X99),IFERROR(VLOOKUP($F99,Sheet3!$H$2:$O$200,AE$1,FALSE),VLOOKUP($G99,Sheet3!$H$2:$O$200,AE$1,FALSE)),$I$1),$I$1)</f>
        <v>0</v>
      </c>
      <c r="AF99" s="15">
        <f>IFERROR(IF(ISBLANK(Y99),IFERROR(VLOOKUP($F99,Sheet3!$H$2:$O$200,AF$1,FALSE),VLOOKUP($G99,Sheet3!$H$2:$O$200,AF$1,FALSE)),$I$1),$I$1)</f>
        <v>0</v>
      </c>
      <c r="AG99" s="15">
        <f>IFERROR(IF(ISBLANK(Z99),IFERROR(VLOOKUP($F99,Sheet3!$H$2:$O$200,AG$1,FALSE),VLOOKUP($G99,Sheet3!$H$2:$O$200,AG$1,FALSE)),$I$1),$I$1)</f>
        <v>0</v>
      </c>
      <c r="AH99" s="15">
        <f>IFERROR(IF(ISBLANK(AA99),IFERROR(VLOOKUP($F99,Sheet3!$H$2:$O$200,AH$1,FALSE),VLOOKUP($G99,Sheet3!$H$2:$O$200,AH$1,FALSE)),$I$1),$I$1)</f>
        <v>0</v>
      </c>
      <c r="AI99" s="15">
        <f>IFERROR(IF(ISBLANK(AB99),IFERROR(VLOOKUP($F99,Sheet3!$H$2:$O$200,AI$1,FALSE),VLOOKUP($G99,Sheet3!$H$2:$O$200,AI$1,FALSE)),$I$1),$I$1)</f>
        <v>0</v>
      </c>
      <c r="AJ99" s="15">
        <f>IFERROR(IF(ISBLANK(AC99),IFERROR(VLOOKUP($F99,Sheet3!$H$2:$O$200,AJ$1,FALSE),VLOOKUP($G99,Sheet3!$H$2:$O$200,AJ$1,FALSE)),$I$1),$I$1)</f>
        <v>0</v>
      </c>
      <c r="AK99" s="15">
        <f>IFERROR(IF(ISBLANK(AD99),IFERROR(VLOOKUP($F99,Sheet3!$H$2:$O$200,AK$1,FALSE),VLOOKUP($G99,Sheet3!$H$2:$O$200,AK$1,FALSE)),$I$1),$I$1)</f>
        <v>0</v>
      </c>
      <c r="AL99" s="15">
        <f>IFERROR(IF(ISBLANK(AE99),VLOOKUP($G99,Sheet3!$H$2:$O$200,AL$1,FALSE),$I$1),$I$1)</f>
        <v>0</v>
      </c>
      <c r="AM99" s="15">
        <f>IFERROR(IF(ISBLANK(AF99),VLOOKUP($G99,Sheet3!$H$2:$O$200,AM$1,FALSE),$I$1),$I$1)</f>
        <v>0</v>
      </c>
      <c r="AN99" s="15">
        <f>IFERROR(IF(ISBLANK(AG99),VLOOKUP($G99,Sheet3!$H$2:$O$200,AN$1,FALSE),$I$1),$I$1)</f>
        <v>0</v>
      </c>
      <c r="AO99" s="15">
        <f>IFERROR(IF(ISBLANK(AH99),VLOOKUP($G99,Sheet3!$H$2:$O$200,AO$1,FALSE),$I$1),$I$1)</f>
        <v>0</v>
      </c>
      <c r="AP99" s="15">
        <f>IFERROR(IF(ISBLANK(AI99),VLOOKUP($G99,Sheet3!$H$2:$O$200,AP$1,FALSE),$I$1),$I$1)</f>
        <v>0</v>
      </c>
      <c r="AQ99" s="15">
        <f>IFERROR(IF(ISBLANK(AJ99),VLOOKUP($G99,Sheet3!$H$2:$O$200,AQ$1,FALSE),$I$1),$I$1)</f>
        <v>0</v>
      </c>
      <c r="AR99" s="15">
        <f>IFERROR(IF(ISBLANK(AK99),VLOOKUP($G99,Sheet3!$H$2:$O$200,AR$1,FALSE),$I$1),$I$1)</f>
        <v>0</v>
      </c>
      <c r="AS99" s="15">
        <f t="shared" ref="AS99:AY99" si="106">IFERROR(IF(ISBLANK(J99),IF(ISBLANK(Q99),IF(ISBLANK(X99),IF(ISBLANK(AE99),IF(ISBLANK(AL99),$BB$1,AL99),AE99),X99),Q99),J99),$BB$1)</f>
        <v>0</v>
      </c>
      <c r="AT99" s="15">
        <f t="shared" si="106"/>
        <v>0</v>
      </c>
      <c r="AU99" s="15">
        <f t="shared" si="106"/>
        <v>0</v>
      </c>
      <c r="AV99" s="15" t="str">
        <f t="shared" si="106"/>
        <v>green-apple schnapps</v>
      </c>
      <c r="AW99" s="15">
        <f t="shared" si="106"/>
        <v>0</v>
      </c>
      <c r="AX99" s="15">
        <f t="shared" si="106"/>
        <v>0</v>
      </c>
      <c r="AY99" s="15">
        <f t="shared" si="106"/>
        <v>0</v>
      </c>
      <c r="BA99" s="13">
        <f t="shared" si="1"/>
        <v>35</v>
      </c>
      <c r="BB99" s="15" t="b">
        <f t="shared" si="2"/>
        <v>0</v>
      </c>
    </row>
    <row r="100" spans="1:54" x14ac:dyDescent="0.2">
      <c r="A100" s="20" t="s">
        <v>222</v>
      </c>
      <c r="B100" s="20" t="s">
        <v>219</v>
      </c>
      <c r="C100" s="20" t="s">
        <v>52</v>
      </c>
      <c r="D100" s="20"/>
      <c r="E100" s="20"/>
      <c r="F100" s="20"/>
      <c r="G100" s="20"/>
      <c r="H100" s="20" t="s">
        <v>222</v>
      </c>
      <c r="I100" s="15">
        <v>1</v>
      </c>
      <c r="J100" s="15">
        <f>IFERROR(VLOOKUP($C100,Sheet3!$H$2:$O$200,J$1,FALSE),IFERROR(VLOOKUP($D100,Sheet3!$H$2:$O$200,J$1,FALSE),VLOOKUP($E100,Sheet3!$H$2:$O$200,J$1,FALSE)))</f>
        <v>0</v>
      </c>
      <c r="K100" s="15">
        <f>IFERROR(VLOOKUP($C100,Sheet3!$H$2:$O$200,K$1,FALSE),IFERROR(VLOOKUP($D100,Sheet3!$H$2:$O$200,K$1,FALSE),VLOOKUP($E100,Sheet3!$H$2:$O$200,K$1,FALSE)))</f>
        <v>0</v>
      </c>
      <c r="L100" s="15">
        <f>IFERROR(VLOOKUP($C100,Sheet3!$H$2:$O$200,L$1,FALSE),IFERROR(VLOOKUP($D100,Sheet3!$H$2:$O$200,L$1,FALSE),VLOOKUP($E100,Sheet3!$H$2:$O$200,L$1,FALSE)))</f>
        <v>0</v>
      </c>
      <c r="M100" s="15" t="str">
        <f>IFERROR(VLOOKUP($C100,Sheet3!$H$2:$O$200,M$1,FALSE),IFERROR(VLOOKUP($D100,Sheet3!$H$2:$O$200,M$1,FALSE),VLOOKUP($E100,Sheet3!$H$2:$O$200,M$1,FALSE)))</f>
        <v>dry vermouth</v>
      </c>
      <c r="N100" s="15">
        <f>IFERROR(VLOOKUP($C100,Sheet3!$H$2:$O$200,N$1,FALSE),IFERROR(VLOOKUP($D100,Sheet3!$H$2:$O$200,N$1,FALSE),VLOOKUP($E100,Sheet3!$H$2:$O$200,N$1,FALSE)))</f>
        <v>0</v>
      </c>
      <c r="O100" s="15">
        <f>IFERROR(VLOOKUP($C100,Sheet3!$H$2:$O$200,O$1,FALSE),IFERROR(VLOOKUP($D100,Sheet3!$H$2:$O$200,O$1,FALSE),VLOOKUP($E100,Sheet3!$H$2:$O$200,O$1,FALSE)))</f>
        <v>0</v>
      </c>
      <c r="P100" s="15">
        <f>IFERROR(VLOOKUP($C100,Sheet3!$H$2:$O$200,P$1,FALSE),IFERROR(VLOOKUP($D100,Sheet3!$H$2:$O$200,P$1,FALSE),VLOOKUP($E100,Sheet3!$H$2:$O$200,P$1,FALSE)))</f>
        <v>0</v>
      </c>
      <c r="Q100" s="15">
        <f>IFERROR(IF(ISBLANK(J100),IFERROR(VLOOKUP($D100,Sheet3!$H$2:$O$200,Q$1,FALSE),IFERROR(VLOOKUP($E100,Sheet3!$H$2:$O$200,Q$1,FALSE),VLOOKUP($F100,Sheet3!$H$2:$O$200,Q$1,FALSE))),$I$1),$I$1)</f>
        <v>0</v>
      </c>
      <c r="R100" s="15">
        <f>IFERROR(IF(ISBLANK(K100),IFERROR(VLOOKUP($D100,Sheet3!$H$2:$O$200,R$1,FALSE),IFERROR(VLOOKUP($E100,Sheet3!$H$2:$O$200,R$1,FALSE),VLOOKUP($F100,Sheet3!$H$2:$O$200,R$1,FALSE))),$I$1),$I$1)</f>
        <v>0</v>
      </c>
      <c r="S100" s="15">
        <f>IFERROR(IF(ISBLANK(L100),IFERROR(VLOOKUP($D100,Sheet3!$H$2:$O$200,S$1,FALSE),IFERROR(VLOOKUP($E100,Sheet3!$H$2:$O$200,S$1,FALSE),VLOOKUP($F100,Sheet3!$H$2:$O$200,S$1,FALSE))),$I$1),$I$1)</f>
        <v>0</v>
      </c>
      <c r="T100" s="15">
        <f>IFERROR(IF(ISBLANK(M100),IFERROR(VLOOKUP($D100,Sheet3!$H$2:$O$200,T$1,FALSE),IFERROR(VLOOKUP($E100,Sheet3!$H$2:$O$200,T$1,FALSE),VLOOKUP($F100,Sheet3!$H$2:$O$200,T$1,FALSE))),$I$1),$I$1)</f>
        <v>0</v>
      </c>
      <c r="U100" s="15">
        <f>IFERROR(IF(ISBLANK(N100),IFERROR(VLOOKUP($D100,Sheet3!$H$2:$O$200,U$1,FALSE),IFERROR(VLOOKUP($E100,Sheet3!$H$2:$O$200,U$1,FALSE),VLOOKUP($F100,Sheet3!$H$2:$O$200,U$1,FALSE))),$I$1),$I$1)</f>
        <v>0</v>
      </c>
      <c r="V100" s="15">
        <f>IFERROR(IF(ISBLANK(O100),IFERROR(VLOOKUP($D100,Sheet3!$H$2:$O$200,V$1,FALSE),IFERROR(VLOOKUP($E100,Sheet3!$H$2:$O$200,V$1,FALSE),VLOOKUP($F100,Sheet3!$H$2:$O$200,V$1,FALSE))),$I$1),$I$1)</f>
        <v>0</v>
      </c>
      <c r="W100" s="15">
        <f>IFERROR(IF(ISBLANK(P100),IFERROR(VLOOKUP($D100,Sheet3!$H$2:$O$200,W$1,FALSE),IFERROR(VLOOKUP($E100,Sheet3!$H$2:$O$200,W$1,FALSE),VLOOKUP($F100,Sheet3!$H$2:$O$200,W$1,FALSE))),$I$1),$I$1)</f>
        <v>0</v>
      </c>
      <c r="X100" s="15">
        <f>IFERROR(IF(ISBLANK(Q100),IFERROR(VLOOKUP($E100,Sheet3!$H$2:$O$200,X$1,FALSE),IFERROR(VLOOKUP($F100,Sheet3!$H$2:$O$200,X$1,FALSE),VLOOKUP($G100,Sheet3!$H$2:$O$200,X$1,FALSE))),$I$1),$I$1)</f>
        <v>0</v>
      </c>
      <c r="Y100" s="15">
        <f>IFERROR(IF(ISBLANK(R100),IFERROR(VLOOKUP($E100,Sheet3!$H$2:$O$200,Y$1,FALSE),IFERROR(VLOOKUP($F100,Sheet3!$H$2:$O$200,Y$1,FALSE),VLOOKUP($G100,Sheet3!$H$2:$O$200,Y$1,FALSE))),$I$1),$I$1)</f>
        <v>0</v>
      </c>
      <c r="Z100" s="15">
        <f>IFERROR(IF(ISBLANK(S100),IFERROR(VLOOKUP($E100,Sheet3!$H$2:$O$200,Z$1,FALSE),IFERROR(VLOOKUP($F100,Sheet3!$H$2:$O$200,Z$1,FALSE),VLOOKUP($G100,Sheet3!$H$2:$O$200,Z$1,FALSE))),$I$1),$I$1)</f>
        <v>0</v>
      </c>
      <c r="AA100" s="15">
        <f>IFERROR(IF(ISBLANK(T100),IFERROR(VLOOKUP($E100,Sheet3!$H$2:$O$200,AA$1,FALSE),IFERROR(VLOOKUP($F100,Sheet3!$H$2:$O$200,AA$1,FALSE),VLOOKUP($G100,Sheet3!$H$2:$O$200,AA$1,FALSE))),$I$1),$I$1)</f>
        <v>0</v>
      </c>
      <c r="AB100" s="15">
        <f>IFERROR(IF(ISBLANK(U100),IFERROR(VLOOKUP($E100,Sheet3!$H$2:$O$200,AB$1,FALSE),IFERROR(VLOOKUP($F100,Sheet3!$H$2:$O$200,AB$1,FALSE),VLOOKUP($G100,Sheet3!$H$2:$O$200,AB$1,FALSE))),$I$1),$I$1)</f>
        <v>0</v>
      </c>
      <c r="AC100" s="15">
        <f>IFERROR(IF(ISBLANK(V100),IFERROR(VLOOKUP($E100,Sheet3!$H$2:$O$200,AC$1,FALSE),IFERROR(VLOOKUP($F100,Sheet3!$H$2:$O$200,AC$1,FALSE),VLOOKUP($G100,Sheet3!$H$2:$O$200,AC$1,FALSE))),$I$1),$I$1)</f>
        <v>0</v>
      </c>
      <c r="AD100" s="15">
        <f>IFERROR(IF(ISBLANK(W100),IFERROR(VLOOKUP($E100,Sheet3!$H$2:$O$200,AD$1,FALSE),IFERROR(VLOOKUP($F100,Sheet3!$H$2:$O$200,AD$1,FALSE),VLOOKUP($G100,Sheet3!$H$2:$O$200,AD$1,FALSE))),$I$1),$I$1)</f>
        <v>0</v>
      </c>
      <c r="AE100" s="15">
        <f>IFERROR(IF(ISBLANK(X100),IFERROR(VLOOKUP($F100,Sheet3!$H$2:$O$200,AE$1,FALSE),VLOOKUP($G100,Sheet3!$H$2:$O$200,AE$1,FALSE)),$I$1),$I$1)</f>
        <v>0</v>
      </c>
      <c r="AF100" s="15">
        <f>IFERROR(IF(ISBLANK(Y100),IFERROR(VLOOKUP($F100,Sheet3!$H$2:$O$200,AF$1,FALSE),VLOOKUP($G100,Sheet3!$H$2:$O$200,AF$1,FALSE)),$I$1),$I$1)</f>
        <v>0</v>
      </c>
      <c r="AG100" s="15">
        <f>IFERROR(IF(ISBLANK(Z100),IFERROR(VLOOKUP($F100,Sheet3!$H$2:$O$200,AG$1,FALSE),VLOOKUP($G100,Sheet3!$H$2:$O$200,AG$1,FALSE)),$I$1),$I$1)</f>
        <v>0</v>
      </c>
      <c r="AH100" s="15">
        <f>IFERROR(IF(ISBLANK(AA100),IFERROR(VLOOKUP($F100,Sheet3!$H$2:$O$200,AH$1,FALSE),VLOOKUP($G100,Sheet3!$H$2:$O$200,AH$1,FALSE)),$I$1),$I$1)</f>
        <v>0</v>
      </c>
      <c r="AI100" s="15">
        <f>IFERROR(IF(ISBLANK(AB100),IFERROR(VLOOKUP($F100,Sheet3!$H$2:$O$200,AI$1,FALSE),VLOOKUP($G100,Sheet3!$H$2:$O$200,AI$1,FALSE)),$I$1),$I$1)</f>
        <v>0</v>
      </c>
      <c r="AJ100" s="15">
        <f>IFERROR(IF(ISBLANK(AC100),IFERROR(VLOOKUP($F100,Sheet3!$H$2:$O$200,AJ$1,FALSE),VLOOKUP($G100,Sheet3!$H$2:$O$200,AJ$1,FALSE)),$I$1),$I$1)</f>
        <v>0</v>
      </c>
      <c r="AK100" s="15">
        <f>IFERROR(IF(ISBLANK(AD100),IFERROR(VLOOKUP($F100,Sheet3!$H$2:$O$200,AK$1,FALSE),VLOOKUP($G100,Sheet3!$H$2:$O$200,AK$1,FALSE)),$I$1),$I$1)</f>
        <v>0</v>
      </c>
      <c r="AL100" s="15">
        <f>IFERROR(IF(ISBLANK(AE100),VLOOKUP($G100,Sheet3!$H$2:$O$200,AL$1,FALSE),$I$1),$I$1)</f>
        <v>0</v>
      </c>
      <c r="AM100" s="15">
        <f>IFERROR(IF(ISBLANK(AF100),VLOOKUP($G100,Sheet3!$H$2:$O$200,AM$1,FALSE),$I$1),$I$1)</f>
        <v>0</v>
      </c>
      <c r="AN100" s="15">
        <f>IFERROR(IF(ISBLANK(AG100),VLOOKUP($G100,Sheet3!$H$2:$O$200,AN$1,FALSE),$I$1),$I$1)</f>
        <v>0</v>
      </c>
      <c r="AO100" s="15">
        <f>IFERROR(IF(ISBLANK(AH100),VLOOKUP($G100,Sheet3!$H$2:$O$200,AO$1,FALSE),$I$1),$I$1)</f>
        <v>0</v>
      </c>
      <c r="AP100" s="15">
        <f>IFERROR(IF(ISBLANK(AI100),VLOOKUP($G100,Sheet3!$H$2:$O$200,AP$1,FALSE),$I$1),$I$1)</f>
        <v>0</v>
      </c>
      <c r="AQ100" s="15">
        <f>IFERROR(IF(ISBLANK(AJ100),VLOOKUP($G100,Sheet3!$H$2:$O$200,AQ$1,FALSE),$I$1),$I$1)</f>
        <v>0</v>
      </c>
      <c r="AR100" s="15">
        <f>IFERROR(IF(ISBLANK(AK100),VLOOKUP($G100,Sheet3!$H$2:$O$200,AR$1,FALSE),$I$1),$I$1)</f>
        <v>0</v>
      </c>
      <c r="AS100" s="15">
        <f t="shared" ref="AS100:AY100" si="107">IFERROR(IF(ISBLANK(J100),IF(ISBLANK(Q100),IF(ISBLANK(X100),IF(ISBLANK(AE100),IF(ISBLANK(AL100),$BB$1,AL100),AE100),X100),Q100),J100),$BB$1)</f>
        <v>0</v>
      </c>
      <c r="AT100" s="15">
        <f t="shared" si="107"/>
        <v>0</v>
      </c>
      <c r="AU100" s="15">
        <f t="shared" si="107"/>
        <v>0</v>
      </c>
      <c r="AV100" s="15" t="str">
        <f t="shared" si="107"/>
        <v>dry vermouth</v>
      </c>
      <c r="AW100" s="15">
        <f t="shared" si="107"/>
        <v>0</v>
      </c>
      <c r="AX100" s="15">
        <f t="shared" si="107"/>
        <v>0</v>
      </c>
      <c r="AY100" s="15">
        <f t="shared" si="107"/>
        <v>0</v>
      </c>
      <c r="BA100" s="13">
        <f t="shared" si="1"/>
        <v>35</v>
      </c>
      <c r="BB100" s="15" t="b">
        <f t="shared" si="2"/>
        <v>0</v>
      </c>
    </row>
    <row r="101" spans="1:54" x14ac:dyDescent="0.2">
      <c r="A101" s="19" t="s">
        <v>223</v>
      </c>
      <c r="B101" s="19" t="s">
        <v>219</v>
      </c>
      <c r="C101" s="19" t="s">
        <v>52</v>
      </c>
      <c r="D101" s="19"/>
      <c r="E101" s="19" t="s">
        <v>224</v>
      </c>
      <c r="F101" s="19"/>
      <c r="G101" s="19"/>
      <c r="H101" s="19" t="s">
        <v>223</v>
      </c>
      <c r="I101" s="15">
        <v>2</v>
      </c>
      <c r="J101" s="15">
        <f>IFERROR(VLOOKUP($C101,Sheet3!$H$2:$O$200,J$1,FALSE),IFERROR(VLOOKUP($D101,Sheet3!$H$2:$O$200,J$1,FALSE),VLOOKUP($E101,Sheet3!$H$2:$O$200,J$1,FALSE)))</f>
        <v>0</v>
      </c>
      <c r="K101" s="15">
        <f>IFERROR(VLOOKUP($C101,Sheet3!$H$2:$O$200,K$1,FALSE),IFERROR(VLOOKUP($D101,Sheet3!$H$2:$O$200,K$1,FALSE),VLOOKUP($E101,Sheet3!$H$2:$O$200,K$1,FALSE)))</f>
        <v>0</v>
      </c>
      <c r="L101" s="15">
        <f>IFERROR(VLOOKUP($C101,Sheet3!$H$2:$O$200,L$1,FALSE),IFERROR(VLOOKUP($D101,Sheet3!$H$2:$O$200,L$1,FALSE),VLOOKUP($E101,Sheet3!$H$2:$O$200,L$1,FALSE)))</f>
        <v>0</v>
      </c>
      <c r="M101" s="15" t="str">
        <f>IFERROR(VLOOKUP($C101,Sheet3!$H$2:$O$200,M$1,FALSE),IFERROR(VLOOKUP($D101,Sheet3!$H$2:$O$200,M$1,FALSE),VLOOKUP($E101,Sheet3!$H$2:$O$200,M$1,FALSE)))</f>
        <v>dry vermouth</v>
      </c>
      <c r="N101" s="15">
        <f>IFERROR(VLOOKUP($C101,Sheet3!$H$2:$O$200,N$1,FALSE),IFERROR(VLOOKUP($D101,Sheet3!$H$2:$O$200,N$1,FALSE),VLOOKUP($E101,Sheet3!$H$2:$O$200,N$1,FALSE)))</f>
        <v>0</v>
      </c>
      <c r="O101" s="15">
        <f>IFERROR(VLOOKUP($C101,Sheet3!$H$2:$O$200,O$1,FALSE),IFERROR(VLOOKUP($D101,Sheet3!$H$2:$O$200,O$1,FALSE),VLOOKUP($E101,Sheet3!$H$2:$O$200,O$1,FALSE)))</f>
        <v>0</v>
      </c>
      <c r="P101" s="15">
        <f>IFERROR(VLOOKUP($C101,Sheet3!$H$2:$O$200,P$1,FALSE),IFERROR(VLOOKUP($D101,Sheet3!$H$2:$O$200,P$1,FALSE),VLOOKUP($E101,Sheet3!$H$2:$O$200,P$1,FALSE)))</f>
        <v>0</v>
      </c>
      <c r="Q101" s="15">
        <f>IFERROR(IF(ISBLANK(J101),IFERROR(VLOOKUP($D101,Sheet3!$H$2:$O$200,Q$1,FALSE),IFERROR(VLOOKUP($E101,Sheet3!$H$2:$O$200,Q$1,FALSE),VLOOKUP($F101,Sheet3!$H$2:$O$200,Q$1,FALSE))),$I$1),$I$1)</f>
        <v>0</v>
      </c>
      <c r="R101" s="15">
        <f>IFERROR(IF(ISBLANK(K101),IFERROR(VLOOKUP($D101,Sheet3!$H$2:$O$200,R$1,FALSE),IFERROR(VLOOKUP($E101,Sheet3!$H$2:$O$200,R$1,FALSE),VLOOKUP($F101,Sheet3!$H$2:$O$200,R$1,FALSE))),$I$1),$I$1)</f>
        <v>0</v>
      </c>
      <c r="S101" s="15">
        <f>IFERROR(IF(ISBLANK(L101),IFERROR(VLOOKUP($D101,Sheet3!$H$2:$O$200,S$1,FALSE),IFERROR(VLOOKUP($E101,Sheet3!$H$2:$O$200,S$1,FALSE),VLOOKUP($F101,Sheet3!$H$2:$O$200,S$1,FALSE))),$I$1),$I$1)</f>
        <v>0</v>
      </c>
      <c r="T101" s="15">
        <f>IFERROR(IF(ISBLANK(M101),IFERROR(VLOOKUP($D101,Sheet3!$H$2:$O$200,T$1,FALSE),IFERROR(VLOOKUP($E101,Sheet3!$H$2:$O$200,T$1,FALSE),VLOOKUP($F101,Sheet3!$H$2:$O$200,T$1,FALSE))),$I$1),$I$1)</f>
        <v>0</v>
      </c>
      <c r="U101" s="15">
        <f>IFERROR(IF(ISBLANK(N101),IFERROR(VLOOKUP($D101,Sheet3!$H$2:$O$200,U$1,FALSE),IFERROR(VLOOKUP($E101,Sheet3!$H$2:$O$200,U$1,FALSE),VLOOKUP($F101,Sheet3!$H$2:$O$200,U$1,FALSE))),$I$1),$I$1)</f>
        <v>0</v>
      </c>
      <c r="V101" s="15">
        <f>IFERROR(IF(ISBLANK(O101),IFERROR(VLOOKUP($D101,Sheet3!$H$2:$O$200,V$1,FALSE),IFERROR(VLOOKUP($E101,Sheet3!$H$2:$O$200,V$1,FALSE),VLOOKUP($F101,Sheet3!$H$2:$O$200,V$1,FALSE))),$I$1),$I$1)</f>
        <v>0</v>
      </c>
      <c r="W101" s="15">
        <f>IFERROR(IF(ISBLANK(P101),IFERROR(VLOOKUP($D101,Sheet3!$H$2:$O$200,W$1,FALSE),IFERROR(VLOOKUP($E101,Sheet3!$H$2:$O$200,W$1,FALSE),VLOOKUP($F101,Sheet3!$H$2:$O$200,W$1,FALSE))),$I$1),$I$1)</f>
        <v>0</v>
      </c>
      <c r="X101" s="15">
        <f>IFERROR(IF(ISBLANK(Q101),IFERROR(VLOOKUP($E101,Sheet3!$H$2:$O$200,X$1,FALSE),IFERROR(VLOOKUP($F101,Sheet3!$H$2:$O$200,X$1,FALSE),VLOOKUP($G101,Sheet3!$H$2:$O$200,X$1,FALSE))),$I$1),$I$1)</f>
        <v>0</v>
      </c>
      <c r="Y101" s="15">
        <f>IFERROR(IF(ISBLANK(R101),IFERROR(VLOOKUP($E101,Sheet3!$H$2:$O$200,Y$1,FALSE),IFERROR(VLOOKUP($F101,Sheet3!$H$2:$O$200,Y$1,FALSE),VLOOKUP($G101,Sheet3!$H$2:$O$200,Y$1,FALSE))),$I$1),$I$1)</f>
        <v>0</v>
      </c>
      <c r="Z101" s="15">
        <f>IFERROR(IF(ISBLANK(S101),IFERROR(VLOOKUP($E101,Sheet3!$H$2:$O$200,Z$1,FALSE),IFERROR(VLOOKUP($F101,Sheet3!$H$2:$O$200,Z$1,FALSE),VLOOKUP($G101,Sheet3!$H$2:$O$200,Z$1,FALSE))),$I$1),$I$1)</f>
        <v>0</v>
      </c>
      <c r="AA101" s="15">
        <f>IFERROR(IF(ISBLANK(T101),IFERROR(VLOOKUP($E101,Sheet3!$H$2:$O$200,AA$1,FALSE),IFERROR(VLOOKUP($F101,Sheet3!$H$2:$O$200,AA$1,FALSE),VLOOKUP($G101,Sheet3!$H$2:$O$200,AA$1,FALSE))),$I$1),$I$1)</f>
        <v>0</v>
      </c>
      <c r="AB101" s="15">
        <f>IFERROR(IF(ISBLANK(U101),IFERROR(VLOOKUP($E101,Sheet3!$H$2:$O$200,AB$1,FALSE),IFERROR(VLOOKUP($F101,Sheet3!$H$2:$O$200,AB$1,FALSE),VLOOKUP($G101,Sheet3!$H$2:$O$200,AB$1,FALSE))),$I$1),$I$1)</f>
        <v>0</v>
      </c>
      <c r="AC101" s="15">
        <f>IFERROR(IF(ISBLANK(V101),IFERROR(VLOOKUP($E101,Sheet3!$H$2:$O$200,AC$1,FALSE),IFERROR(VLOOKUP($F101,Sheet3!$H$2:$O$200,AC$1,FALSE),VLOOKUP($G101,Sheet3!$H$2:$O$200,AC$1,FALSE))),$I$1),$I$1)</f>
        <v>0</v>
      </c>
      <c r="AD101" s="15">
        <f>IFERROR(IF(ISBLANK(W101),IFERROR(VLOOKUP($E101,Sheet3!$H$2:$O$200,AD$1,FALSE),IFERROR(VLOOKUP($F101,Sheet3!$H$2:$O$200,AD$1,FALSE),VLOOKUP($G101,Sheet3!$H$2:$O$200,AD$1,FALSE))),$I$1),$I$1)</f>
        <v>0</v>
      </c>
      <c r="AE101" s="15">
        <f>IFERROR(IF(ISBLANK(X101),IFERROR(VLOOKUP($F101,Sheet3!$H$2:$O$200,AE$1,FALSE),VLOOKUP($G101,Sheet3!$H$2:$O$200,AE$1,FALSE)),$I$1),$I$1)</f>
        <v>0</v>
      </c>
      <c r="AF101" s="15">
        <f>IFERROR(IF(ISBLANK(Y101),IFERROR(VLOOKUP($F101,Sheet3!$H$2:$O$200,AF$1,FALSE),VLOOKUP($G101,Sheet3!$H$2:$O$200,AF$1,FALSE)),$I$1),$I$1)</f>
        <v>0</v>
      </c>
      <c r="AG101" s="15">
        <f>IFERROR(IF(ISBLANK(Z101),IFERROR(VLOOKUP($F101,Sheet3!$H$2:$O$200,AG$1,FALSE),VLOOKUP($G101,Sheet3!$H$2:$O$200,AG$1,FALSE)),$I$1),$I$1)</f>
        <v>0</v>
      </c>
      <c r="AH101" s="15">
        <f>IFERROR(IF(ISBLANK(AA101),IFERROR(VLOOKUP($F101,Sheet3!$H$2:$O$200,AH$1,FALSE),VLOOKUP($G101,Sheet3!$H$2:$O$200,AH$1,FALSE)),$I$1),$I$1)</f>
        <v>0</v>
      </c>
      <c r="AI101" s="15">
        <f>IFERROR(IF(ISBLANK(AB101),IFERROR(VLOOKUP($F101,Sheet3!$H$2:$O$200,AI$1,FALSE),VLOOKUP($G101,Sheet3!$H$2:$O$200,AI$1,FALSE)),$I$1),$I$1)</f>
        <v>0</v>
      </c>
      <c r="AJ101" s="15">
        <f>IFERROR(IF(ISBLANK(AC101),IFERROR(VLOOKUP($F101,Sheet3!$H$2:$O$200,AJ$1,FALSE),VLOOKUP($G101,Sheet3!$H$2:$O$200,AJ$1,FALSE)),$I$1),$I$1)</f>
        <v>0</v>
      </c>
      <c r="AK101" s="15">
        <f>IFERROR(IF(ISBLANK(AD101),IFERROR(VLOOKUP($F101,Sheet3!$H$2:$O$200,AK$1,FALSE),VLOOKUP($G101,Sheet3!$H$2:$O$200,AK$1,FALSE)),$I$1),$I$1)</f>
        <v>0</v>
      </c>
      <c r="AL101" s="15">
        <f>IFERROR(IF(ISBLANK(AE101),VLOOKUP($G101,Sheet3!$H$2:$O$200,AL$1,FALSE),$I$1),$I$1)</f>
        <v>0</v>
      </c>
      <c r="AM101" s="15">
        <f>IFERROR(IF(ISBLANK(AF101),VLOOKUP($G101,Sheet3!$H$2:$O$200,AM$1,FALSE),$I$1),$I$1)</f>
        <v>0</v>
      </c>
      <c r="AN101" s="15">
        <f>IFERROR(IF(ISBLANK(AG101),VLOOKUP($G101,Sheet3!$H$2:$O$200,AN$1,FALSE),$I$1),$I$1)</f>
        <v>0</v>
      </c>
      <c r="AO101" s="15">
        <f>IFERROR(IF(ISBLANK(AH101),VLOOKUP($G101,Sheet3!$H$2:$O$200,AO$1,FALSE),$I$1),$I$1)</f>
        <v>0</v>
      </c>
      <c r="AP101" s="15">
        <f>IFERROR(IF(ISBLANK(AI101),VLOOKUP($G101,Sheet3!$H$2:$O$200,AP$1,FALSE),$I$1),$I$1)</f>
        <v>0</v>
      </c>
      <c r="AQ101" s="15">
        <f>IFERROR(IF(ISBLANK(AJ101),VLOOKUP($G101,Sheet3!$H$2:$O$200,AQ$1,FALSE),$I$1),$I$1)</f>
        <v>0</v>
      </c>
      <c r="AR101" s="15">
        <f>IFERROR(IF(ISBLANK(AK101),VLOOKUP($G101,Sheet3!$H$2:$O$200,AR$1,FALSE),$I$1),$I$1)</f>
        <v>0</v>
      </c>
      <c r="AS101" s="15">
        <f t="shared" ref="AS101:AY101" si="108">IFERROR(IF(ISBLANK(J101),IF(ISBLANK(Q101),IF(ISBLANK(X101),IF(ISBLANK(AE101),IF(ISBLANK(AL101),$BB$1,AL101),AE101),X101),Q101),J101),$BB$1)</f>
        <v>0</v>
      </c>
      <c r="AT101" s="15">
        <f t="shared" si="108"/>
        <v>0</v>
      </c>
      <c r="AU101" s="15">
        <f t="shared" si="108"/>
        <v>0</v>
      </c>
      <c r="AV101" s="15" t="str">
        <f t="shared" si="108"/>
        <v>dry vermouth</v>
      </c>
      <c r="AW101" s="15">
        <f t="shared" si="108"/>
        <v>0</v>
      </c>
      <c r="AX101" s="15">
        <f t="shared" si="108"/>
        <v>0</v>
      </c>
      <c r="AY101" s="15">
        <f t="shared" si="108"/>
        <v>0</v>
      </c>
      <c r="BA101" s="13">
        <f t="shared" si="1"/>
        <v>35</v>
      </c>
      <c r="BB101" s="15" t="b">
        <f t="shared" si="2"/>
        <v>0</v>
      </c>
    </row>
    <row r="102" spans="1:54" x14ac:dyDescent="0.2">
      <c r="A102" s="20" t="s">
        <v>225</v>
      </c>
      <c r="B102" s="20" t="s">
        <v>219</v>
      </c>
      <c r="C102" s="20" t="s">
        <v>52</v>
      </c>
      <c r="D102" s="20"/>
      <c r="E102" s="20" t="s">
        <v>226</v>
      </c>
      <c r="F102" s="20"/>
      <c r="G102" s="20"/>
      <c r="H102" s="20" t="s">
        <v>225</v>
      </c>
      <c r="I102" s="15">
        <v>2</v>
      </c>
      <c r="J102" s="15">
        <f>IFERROR(VLOOKUP($C102,Sheet3!$H$2:$O$200,J$1,FALSE),IFERROR(VLOOKUP($D102,Sheet3!$H$2:$O$200,J$1,FALSE),VLOOKUP($E102,Sheet3!$H$2:$O$200,J$1,FALSE)))</f>
        <v>0</v>
      </c>
      <c r="K102" s="15">
        <f>IFERROR(VLOOKUP($C102,Sheet3!$H$2:$O$200,K$1,FALSE),IFERROR(VLOOKUP($D102,Sheet3!$H$2:$O$200,K$1,FALSE),VLOOKUP($E102,Sheet3!$H$2:$O$200,K$1,FALSE)))</f>
        <v>0</v>
      </c>
      <c r="L102" s="15">
        <f>IFERROR(VLOOKUP($C102,Sheet3!$H$2:$O$200,L$1,FALSE),IFERROR(VLOOKUP($D102,Sheet3!$H$2:$O$200,L$1,FALSE),VLOOKUP($E102,Sheet3!$H$2:$O$200,L$1,FALSE)))</f>
        <v>0</v>
      </c>
      <c r="M102" s="15" t="str">
        <f>IFERROR(VLOOKUP($C102,Sheet3!$H$2:$O$200,M$1,FALSE),IFERROR(VLOOKUP($D102,Sheet3!$H$2:$O$200,M$1,FALSE),VLOOKUP($E102,Sheet3!$H$2:$O$200,M$1,FALSE)))</f>
        <v>dry vermouth</v>
      </c>
      <c r="N102" s="15">
        <f>IFERROR(VLOOKUP($C102,Sheet3!$H$2:$O$200,N$1,FALSE),IFERROR(VLOOKUP($D102,Sheet3!$H$2:$O$200,N$1,FALSE),VLOOKUP($E102,Sheet3!$H$2:$O$200,N$1,FALSE)))</f>
        <v>0</v>
      </c>
      <c r="O102" s="15">
        <f>IFERROR(VLOOKUP($C102,Sheet3!$H$2:$O$200,O$1,FALSE),IFERROR(VLOOKUP($D102,Sheet3!$H$2:$O$200,O$1,FALSE),VLOOKUP($E102,Sheet3!$H$2:$O$200,O$1,FALSE)))</f>
        <v>0</v>
      </c>
      <c r="P102" s="15">
        <f>IFERROR(VLOOKUP($C102,Sheet3!$H$2:$O$200,P$1,FALSE),IFERROR(VLOOKUP($D102,Sheet3!$H$2:$O$200,P$1,FALSE),VLOOKUP($E102,Sheet3!$H$2:$O$200,P$1,FALSE)))</f>
        <v>0</v>
      </c>
      <c r="Q102" s="15">
        <f>IFERROR(IF(ISBLANK(J102),IFERROR(VLOOKUP($D102,Sheet3!$H$2:$O$200,Q$1,FALSE),IFERROR(VLOOKUP($E102,Sheet3!$H$2:$O$200,Q$1,FALSE),VLOOKUP($F102,Sheet3!$H$2:$O$200,Q$1,FALSE))),$I$1),$I$1)</f>
        <v>0</v>
      </c>
      <c r="R102" s="15">
        <f>IFERROR(IF(ISBLANK(K102),IFERROR(VLOOKUP($D102,Sheet3!$H$2:$O$200,R$1,FALSE),IFERROR(VLOOKUP($E102,Sheet3!$H$2:$O$200,R$1,FALSE),VLOOKUP($F102,Sheet3!$H$2:$O$200,R$1,FALSE))),$I$1),$I$1)</f>
        <v>0</v>
      </c>
      <c r="S102" s="15">
        <f>IFERROR(IF(ISBLANK(L102),IFERROR(VLOOKUP($D102,Sheet3!$H$2:$O$200,S$1,FALSE),IFERROR(VLOOKUP($E102,Sheet3!$H$2:$O$200,S$1,FALSE),VLOOKUP($F102,Sheet3!$H$2:$O$200,S$1,FALSE))),$I$1),$I$1)</f>
        <v>0</v>
      </c>
      <c r="T102" s="15">
        <f>IFERROR(IF(ISBLANK(M102),IFERROR(VLOOKUP($D102,Sheet3!$H$2:$O$200,T$1,FALSE),IFERROR(VLOOKUP($E102,Sheet3!$H$2:$O$200,T$1,FALSE),VLOOKUP($F102,Sheet3!$H$2:$O$200,T$1,FALSE))),$I$1),$I$1)</f>
        <v>0</v>
      </c>
      <c r="U102" s="15">
        <f>IFERROR(IF(ISBLANK(N102),IFERROR(VLOOKUP($D102,Sheet3!$H$2:$O$200,U$1,FALSE),IFERROR(VLOOKUP($E102,Sheet3!$H$2:$O$200,U$1,FALSE),VLOOKUP($F102,Sheet3!$H$2:$O$200,U$1,FALSE))),$I$1),$I$1)</f>
        <v>0</v>
      </c>
      <c r="V102" s="15">
        <f>IFERROR(IF(ISBLANK(O102),IFERROR(VLOOKUP($D102,Sheet3!$H$2:$O$200,V$1,FALSE),IFERROR(VLOOKUP($E102,Sheet3!$H$2:$O$200,V$1,FALSE),VLOOKUP($F102,Sheet3!$H$2:$O$200,V$1,FALSE))),$I$1),$I$1)</f>
        <v>0</v>
      </c>
      <c r="W102" s="15">
        <f>IFERROR(IF(ISBLANK(P102),IFERROR(VLOOKUP($D102,Sheet3!$H$2:$O$200,W$1,FALSE),IFERROR(VLOOKUP($E102,Sheet3!$H$2:$O$200,W$1,FALSE),VLOOKUP($F102,Sheet3!$H$2:$O$200,W$1,FALSE))),$I$1),$I$1)</f>
        <v>0</v>
      </c>
      <c r="X102" s="15">
        <f>IFERROR(IF(ISBLANK(Q102),IFERROR(VLOOKUP($E102,Sheet3!$H$2:$O$200,X$1,FALSE),IFERROR(VLOOKUP($F102,Sheet3!$H$2:$O$200,X$1,FALSE),VLOOKUP($G102,Sheet3!$H$2:$O$200,X$1,FALSE))),$I$1),$I$1)</f>
        <v>0</v>
      </c>
      <c r="Y102" s="15">
        <f>IFERROR(IF(ISBLANK(R102),IFERROR(VLOOKUP($E102,Sheet3!$H$2:$O$200,Y$1,FALSE),IFERROR(VLOOKUP($F102,Sheet3!$H$2:$O$200,Y$1,FALSE),VLOOKUP($G102,Sheet3!$H$2:$O$200,Y$1,FALSE))),$I$1),$I$1)</f>
        <v>0</v>
      </c>
      <c r="Z102" s="15">
        <f>IFERROR(IF(ISBLANK(S102),IFERROR(VLOOKUP($E102,Sheet3!$H$2:$O$200,Z$1,FALSE),IFERROR(VLOOKUP($F102,Sheet3!$H$2:$O$200,Z$1,FALSE),VLOOKUP($G102,Sheet3!$H$2:$O$200,Z$1,FALSE))),$I$1),$I$1)</f>
        <v>0</v>
      </c>
      <c r="AA102" s="15">
        <f>IFERROR(IF(ISBLANK(T102),IFERROR(VLOOKUP($E102,Sheet3!$H$2:$O$200,AA$1,FALSE),IFERROR(VLOOKUP($F102,Sheet3!$H$2:$O$200,AA$1,FALSE),VLOOKUP($G102,Sheet3!$H$2:$O$200,AA$1,FALSE))),$I$1),$I$1)</f>
        <v>0</v>
      </c>
      <c r="AB102" s="15">
        <f>IFERROR(IF(ISBLANK(U102),IFERROR(VLOOKUP($E102,Sheet3!$H$2:$O$200,AB$1,FALSE),IFERROR(VLOOKUP($F102,Sheet3!$H$2:$O$200,AB$1,FALSE),VLOOKUP($G102,Sheet3!$H$2:$O$200,AB$1,FALSE))),$I$1),$I$1)</f>
        <v>0</v>
      </c>
      <c r="AC102" s="15">
        <f>IFERROR(IF(ISBLANK(V102),IFERROR(VLOOKUP($E102,Sheet3!$H$2:$O$200,AC$1,FALSE),IFERROR(VLOOKUP($F102,Sheet3!$H$2:$O$200,AC$1,FALSE),VLOOKUP($G102,Sheet3!$H$2:$O$200,AC$1,FALSE))),$I$1),$I$1)</f>
        <v>0</v>
      </c>
      <c r="AD102" s="15">
        <f>IFERROR(IF(ISBLANK(W102),IFERROR(VLOOKUP($E102,Sheet3!$H$2:$O$200,AD$1,FALSE),IFERROR(VLOOKUP($F102,Sheet3!$H$2:$O$200,AD$1,FALSE),VLOOKUP($G102,Sheet3!$H$2:$O$200,AD$1,FALSE))),$I$1),$I$1)</f>
        <v>0</v>
      </c>
      <c r="AE102" s="15">
        <f>IFERROR(IF(ISBLANK(X102),IFERROR(VLOOKUP($F102,Sheet3!$H$2:$O$200,AE$1,FALSE),VLOOKUP($G102,Sheet3!$H$2:$O$200,AE$1,FALSE)),$I$1),$I$1)</f>
        <v>0</v>
      </c>
      <c r="AF102" s="15">
        <f>IFERROR(IF(ISBLANK(Y102),IFERROR(VLOOKUP($F102,Sheet3!$H$2:$O$200,AF$1,FALSE),VLOOKUP($G102,Sheet3!$H$2:$O$200,AF$1,FALSE)),$I$1),$I$1)</f>
        <v>0</v>
      </c>
      <c r="AG102" s="15">
        <f>IFERROR(IF(ISBLANK(Z102),IFERROR(VLOOKUP($F102,Sheet3!$H$2:$O$200,AG$1,FALSE),VLOOKUP($G102,Sheet3!$H$2:$O$200,AG$1,FALSE)),$I$1),$I$1)</f>
        <v>0</v>
      </c>
      <c r="AH102" s="15">
        <f>IFERROR(IF(ISBLANK(AA102),IFERROR(VLOOKUP($F102,Sheet3!$H$2:$O$200,AH$1,FALSE),VLOOKUP($G102,Sheet3!$H$2:$O$200,AH$1,FALSE)),$I$1),$I$1)</f>
        <v>0</v>
      </c>
      <c r="AI102" s="15">
        <f>IFERROR(IF(ISBLANK(AB102),IFERROR(VLOOKUP($F102,Sheet3!$H$2:$O$200,AI$1,FALSE),VLOOKUP($G102,Sheet3!$H$2:$O$200,AI$1,FALSE)),$I$1),$I$1)</f>
        <v>0</v>
      </c>
      <c r="AJ102" s="15">
        <f>IFERROR(IF(ISBLANK(AC102),IFERROR(VLOOKUP($F102,Sheet3!$H$2:$O$200,AJ$1,FALSE),VLOOKUP($G102,Sheet3!$H$2:$O$200,AJ$1,FALSE)),$I$1),$I$1)</f>
        <v>0</v>
      </c>
      <c r="AK102" s="15">
        <f>IFERROR(IF(ISBLANK(AD102),IFERROR(VLOOKUP($F102,Sheet3!$H$2:$O$200,AK$1,FALSE),VLOOKUP($G102,Sheet3!$H$2:$O$200,AK$1,FALSE)),$I$1),$I$1)</f>
        <v>0</v>
      </c>
      <c r="AL102" s="15">
        <f>IFERROR(IF(ISBLANK(AE102),VLOOKUP($G102,Sheet3!$H$2:$O$200,AL$1,FALSE),$I$1),$I$1)</f>
        <v>0</v>
      </c>
      <c r="AM102" s="15">
        <f>IFERROR(IF(ISBLANK(AF102),VLOOKUP($G102,Sheet3!$H$2:$O$200,AM$1,FALSE),$I$1),$I$1)</f>
        <v>0</v>
      </c>
      <c r="AN102" s="15">
        <f>IFERROR(IF(ISBLANK(AG102),VLOOKUP($G102,Sheet3!$H$2:$O$200,AN$1,FALSE),$I$1),$I$1)</f>
        <v>0</v>
      </c>
      <c r="AO102" s="15">
        <f>IFERROR(IF(ISBLANK(AH102),VLOOKUP($G102,Sheet3!$H$2:$O$200,AO$1,FALSE),$I$1),$I$1)</f>
        <v>0</v>
      </c>
      <c r="AP102" s="15">
        <f>IFERROR(IF(ISBLANK(AI102),VLOOKUP($G102,Sheet3!$H$2:$O$200,AP$1,FALSE),$I$1),$I$1)</f>
        <v>0</v>
      </c>
      <c r="AQ102" s="15">
        <f>IFERROR(IF(ISBLANK(AJ102),VLOOKUP($G102,Sheet3!$H$2:$O$200,AQ$1,FALSE),$I$1),$I$1)</f>
        <v>0</v>
      </c>
      <c r="AR102" s="15">
        <f>IFERROR(IF(ISBLANK(AK102),VLOOKUP($G102,Sheet3!$H$2:$O$200,AR$1,FALSE),$I$1),$I$1)</f>
        <v>0</v>
      </c>
      <c r="AS102" s="15">
        <f t="shared" ref="AS102:AY102" si="109">IFERROR(IF(ISBLANK(J102),IF(ISBLANK(Q102),IF(ISBLANK(X102),IF(ISBLANK(AE102),IF(ISBLANK(AL102),$BB$1,AL102),AE102),X102),Q102),J102),$BB$1)</f>
        <v>0</v>
      </c>
      <c r="AT102" s="15">
        <f t="shared" si="109"/>
        <v>0</v>
      </c>
      <c r="AU102" s="15">
        <f t="shared" si="109"/>
        <v>0</v>
      </c>
      <c r="AV102" s="15" t="str">
        <f t="shared" si="109"/>
        <v>dry vermouth</v>
      </c>
      <c r="AW102" s="15">
        <f t="shared" si="109"/>
        <v>0</v>
      </c>
      <c r="AX102" s="15">
        <f t="shared" si="109"/>
        <v>0</v>
      </c>
      <c r="AY102" s="15">
        <f t="shared" si="109"/>
        <v>0</v>
      </c>
      <c r="BA102" s="13">
        <f t="shared" si="1"/>
        <v>35</v>
      </c>
      <c r="BB102" s="15" t="b">
        <f t="shared" si="2"/>
        <v>0</v>
      </c>
    </row>
    <row r="103" spans="1:54" x14ac:dyDescent="0.2">
      <c r="A103" s="19" t="s">
        <v>227</v>
      </c>
      <c r="B103" s="19" t="s">
        <v>219</v>
      </c>
      <c r="C103" s="19" t="s">
        <v>178</v>
      </c>
      <c r="D103" s="19"/>
      <c r="E103" s="19"/>
      <c r="F103" s="19"/>
      <c r="G103" s="19"/>
      <c r="H103" s="19" t="s">
        <v>227</v>
      </c>
      <c r="I103" s="15">
        <v>1</v>
      </c>
      <c r="J103" s="15">
        <f>IFERROR(VLOOKUP($C103,Sheet3!$H$2:$O$200,J$1,FALSE),IFERROR(VLOOKUP($D103,Sheet3!$H$2:$O$200,J$1,FALSE),VLOOKUP($E103,Sheet3!$H$2:$O$200,J$1,FALSE)))</f>
        <v>0</v>
      </c>
      <c r="K103" s="15">
        <f>IFERROR(VLOOKUP($C103,Sheet3!$H$2:$O$200,K$1,FALSE),IFERROR(VLOOKUP($D103,Sheet3!$H$2:$O$200,K$1,FALSE),VLOOKUP($E103,Sheet3!$H$2:$O$200,K$1,FALSE)))</f>
        <v>0</v>
      </c>
      <c r="L103" s="15">
        <f>IFERROR(VLOOKUP($C103,Sheet3!$H$2:$O$200,L$1,FALSE),IFERROR(VLOOKUP($D103,Sheet3!$H$2:$O$200,L$1,FALSE),VLOOKUP($E103,Sheet3!$H$2:$O$200,L$1,FALSE)))</f>
        <v>0</v>
      </c>
      <c r="M103" s="15" t="str">
        <f>IFERROR(VLOOKUP($C103,Sheet3!$H$2:$O$200,M$1,FALSE),IFERROR(VLOOKUP($D103,Sheet3!$H$2:$O$200,M$1,FALSE),VLOOKUP($E103,Sheet3!$H$2:$O$200,M$1,FALSE)))</f>
        <v>Lillet</v>
      </c>
      <c r="N103" s="15">
        <f>IFERROR(VLOOKUP($C103,Sheet3!$H$2:$O$200,N$1,FALSE),IFERROR(VLOOKUP($D103,Sheet3!$H$2:$O$200,N$1,FALSE),VLOOKUP($E103,Sheet3!$H$2:$O$200,N$1,FALSE)))</f>
        <v>0</v>
      </c>
      <c r="O103" s="15">
        <f>IFERROR(VLOOKUP($C103,Sheet3!$H$2:$O$200,O$1,FALSE),IFERROR(VLOOKUP($D103,Sheet3!$H$2:$O$200,O$1,FALSE),VLOOKUP($E103,Sheet3!$H$2:$O$200,O$1,FALSE)))</f>
        <v>0</v>
      </c>
      <c r="P103" s="15">
        <f>IFERROR(VLOOKUP($C103,Sheet3!$H$2:$O$200,P$1,FALSE),IFERROR(VLOOKUP($D103,Sheet3!$H$2:$O$200,P$1,FALSE),VLOOKUP($E103,Sheet3!$H$2:$O$200,P$1,FALSE)))</f>
        <v>0</v>
      </c>
      <c r="Q103" s="15">
        <f>IFERROR(IF(ISBLANK(J103),IFERROR(VLOOKUP($D103,Sheet3!$H$2:$O$200,Q$1,FALSE),IFERROR(VLOOKUP($E103,Sheet3!$H$2:$O$200,Q$1,FALSE),VLOOKUP($F103,Sheet3!$H$2:$O$200,Q$1,FALSE))),$I$1),$I$1)</f>
        <v>0</v>
      </c>
      <c r="R103" s="15">
        <f>IFERROR(IF(ISBLANK(K103),IFERROR(VLOOKUP($D103,Sheet3!$H$2:$O$200,R$1,FALSE),IFERROR(VLOOKUP($E103,Sheet3!$H$2:$O$200,R$1,FALSE),VLOOKUP($F103,Sheet3!$H$2:$O$200,R$1,FALSE))),$I$1),$I$1)</f>
        <v>0</v>
      </c>
      <c r="S103" s="15">
        <f>IFERROR(IF(ISBLANK(L103),IFERROR(VLOOKUP($D103,Sheet3!$H$2:$O$200,S$1,FALSE),IFERROR(VLOOKUP($E103,Sheet3!$H$2:$O$200,S$1,FALSE),VLOOKUP($F103,Sheet3!$H$2:$O$200,S$1,FALSE))),$I$1),$I$1)</f>
        <v>0</v>
      </c>
      <c r="T103" s="15">
        <f>IFERROR(IF(ISBLANK(M103),IFERROR(VLOOKUP($D103,Sheet3!$H$2:$O$200,T$1,FALSE),IFERROR(VLOOKUP($E103,Sheet3!$H$2:$O$200,T$1,FALSE),VLOOKUP($F103,Sheet3!$H$2:$O$200,T$1,FALSE))),$I$1),$I$1)</f>
        <v>0</v>
      </c>
      <c r="U103" s="15">
        <f>IFERROR(IF(ISBLANK(N103),IFERROR(VLOOKUP($D103,Sheet3!$H$2:$O$200,U$1,FALSE),IFERROR(VLOOKUP($E103,Sheet3!$H$2:$O$200,U$1,FALSE),VLOOKUP($F103,Sheet3!$H$2:$O$200,U$1,FALSE))),$I$1),$I$1)</f>
        <v>0</v>
      </c>
      <c r="V103" s="15">
        <f>IFERROR(IF(ISBLANK(O103),IFERROR(VLOOKUP($D103,Sheet3!$H$2:$O$200,V$1,FALSE),IFERROR(VLOOKUP($E103,Sheet3!$H$2:$O$200,V$1,FALSE),VLOOKUP($F103,Sheet3!$H$2:$O$200,V$1,FALSE))),$I$1),$I$1)</f>
        <v>0</v>
      </c>
      <c r="W103" s="15">
        <f>IFERROR(IF(ISBLANK(P103),IFERROR(VLOOKUP($D103,Sheet3!$H$2:$O$200,W$1,FALSE),IFERROR(VLOOKUP($E103,Sheet3!$H$2:$O$200,W$1,FALSE),VLOOKUP($F103,Sheet3!$H$2:$O$200,W$1,FALSE))),$I$1),$I$1)</f>
        <v>0</v>
      </c>
      <c r="X103" s="15">
        <f>IFERROR(IF(ISBLANK(Q103),IFERROR(VLOOKUP($E103,Sheet3!$H$2:$O$200,X$1,FALSE),IFERROR(VLOOKUP($F103,Sheet3!$H$2:$O$200,X$1,FALSE),VLOOKUP($G103,Sheet3!$H$2:$O$200,X$1,FALSE))),$I$1),$I$1)</f>
        <v>0</v>
      </c>
      <c r="Y103" s="15">
        <f>IFERROR(IF(ISBLANK(R103),IFERROR(VLOOKUP($E103,Sheet3!$H$2:$O$200,Y$1,FALSE),IFERROR(VLOOKUP($F103,Sheet3!$H$2:$O$200,Y$1,FALSE),VLOOKUP($G103,Sheet3!$H$2:$O$200,Y$1,FALSE))),$I$1),$I$1)</f>
        <v>0</v>
      </c>
      <c r="Z103" s="15">
        <f>IFERROR(IF(ISBLANK(S103),IFERROR(VLOOKUP($E103,Sheet3!$H$2:$O$200,Z$1,FALSE),IFERROR(VLOOKUP($F103,Sheet3!$H$2:$O$200,Z$1,FALSE),VLOOKUP($G103,Sheet3!$H$2:$O$200,Z$1,FALSE))),$I$1),$I$1)</f>
        <v>0</v>
      </c>
      <c r="AA103" s="15">
        <f>IFERROR(IF(ISBLANK(T103),IFERROR(VLOOKUP($E103,Sheet3!$H$2:$O$200,AA$1,FALSE),IFERROR(VLOOKUP($F103,Sheet3!$H$2:$O$200,AA$1,FALSE),VLOOKUP($G103,Sheet3!$H$2:$O$200,AA$1,FALSE))),$I$1),$I$1)</f>
        <v>0</v>
      </c>
      <c r="AB103" s="15">
        <f>IFERROR(IF(ISBLANK(U103),IFERROR(VLOOKUP($E103,Sheet3!$H$2:$O$200,AB$1,FALSE),IFERROR(VLOOKUP($F103,Sheet3!$H$2:$O$200,AB$1,FALSE),VLOOKUP($G103,Sheet3!$H$2:$O$200,AB$1,FALSE))),$I$1),$I$1)</f>
        <v>0</v>
      </c>
      <c r="AC103" s="15">
        <f>IFERROR(IF(ISBLANK(V103),IFERROR(VLOOKUP($E103,Sheet3!$H$2:$O$200,AC$1,FALSE),IFERROR(VLOOKUP($F103,Sheet3!$H$2:$O$200,AC$1,FALSE),VLOOKUP($G103,Sheet3!$H$2:$O$200,AC$1,FALSE))),$I$1),$I$1)</f>
        <v>0</v>
      </c>
      <c r="AD103" s="15">
        <f>IFERROR(IF(ISBLANK(W103),IFERROR(VLOOKUP($E103,Sheet3!$H$2:$O$200,AD$1,FALSE),IFERROR(VLOOKUP($F103,Sheet3!$H$2:$O$200,AD$1,FALSE),VLOOKUP($G103,Sheet3!$H$2:$O$200,AD$1,FALSE))),$I$1),$I$1)</f>
        <v>0</v>
      </c>
      <c r="AE103" s="15">
        <f>IFERROR(IF(ISBLANK(X103),IFERROR(VLOOKUP($F103,Sheet3!$H$2:$O$200,AE$1,FALSE),VLOOKUP($G103,Sheet3!$H$2:$O$200,AE$1,FALSE)),$I$1),$I$1)</f>
        <v>0</v>
      </c>
      <c r="AF103" s="15">
        <f>IFERROR(IF(ISBLANK(Y103),IFERROR(VLOOKUP($F103,Sheet3!$H$2:$O$200,AF$1,FALSE),VLOOKUP($G103,Sheet3!$H$2:$O$200,AF$1,FALSE)),$I$1),$I$1)</f>
        <v>0</v>
      </c>
      <c r="AG103" s="15">
        <f>IFERROR(IF(ISBLANK(Z103),IFERROR(VLOOKUP($F103,Sheet3!$H$2:$O$200,AG$1,FALSE),VLOOKUP($G103,Sheet3!$H$2:$O$200,AG$1,FALSE)),$I$1),$I$1)</f>
        <v>0</v>
      </c>
      <c r="AH103" s="15">
        <f>IFERROR(IF(ISBLANK(AA103),IFERROR(VLOOKUP($F103,Sheet3!$H$2:$O$200,AH$1,FALSE),VLOOKUP($G103,Sheet3!$H$2:$O$200,AH$1,FALSE)),$I$1),$I$1)</f>
        <v>0</v>
      </c>
      <c r="AI103" s="15">
        <f>IFERROR(IF(ISBLANK(AB103),IFERROR(VLOOKUP($F103,Sheet3!$H$2:$O$200,AI$1,FALSE),VLOOKUP($G103,Sheet3!$H$2:$O$200,AI$1,FALSE)),$I$1),$I$1)</f>
        <v>0</v>
      </c>
      <c r="AJ103" s="15">
        <f>IFERROR(IF(ISBLANK(AC103),IFERROR(VLOOKUP($F103,Sheet3!$H$2:$O$200,AJ$1,FALSE),VLOOKUP($G103,Sheet3!$H$2:$O$200,AJ$1,FALSE)),$I$1),$I$1)</f>
        <v>0</v>
      </c>
      <c r="AK103" s="15">
        <f>IFERROR(IF(ISBLANK(AD103),IFERROR(VLOOKUP($F103,Sheet3!$H$2:$O$200,AK$1,FALSE),VLOOKUP($G103,Sheet3!$H$2:$O$200,AK$1,FALSE)),$I$1),$I$1)</f>
        <v>0</v>
      </c>
      <c r="AL103" s="15">
        <f>IFERROR(IF(ISBLANK(AE103),VLOOKUP($G103,Sheet3!$H$2:$O$200,AL$1,FALSE),$I$1),$I$1)</f>
        <v>0</v>
      </c>
      <c r="AM103" s="15">
        <f>IFERROR(IF(ISBLANK(AF103),VLOOKUP($G103,Sheet3!$H$2:$O$200,AM$1,FALSE),$I$1),$I$1)</f>
        <v>0</v>
      </c>
      <c r="AN103" s="15">
        <f>IFERROR(IF(ISBLANK(AG103),VLOOKUP($G103,Sheet3!$H$2:$O$200,AN$1,FALSE),$I$1),$I$1)</f>
        <v>0</v>
      </c>
      <c r="AO103" s="15">
        <f>IFERROR(IF(ISBLANK(AH103),VLOOKUP($G103,Sheet3!$H$2:$O$200,AO$1,FALSE),$I$1),$I$1)</f>
        <v>0</v>
      </c>
      <c r="AP103" s="15">
        <f>IFERROR(IF(ISBLANK(AI103),VLOOKUP($G103,Sheet3!$H$2:$O$200,AP$1,FALSE),$I$1),$I$1)</f>
        <v>0</v>
      </c>
      <c r="AQ103" s="15">
        <f>IFERROR(IF(ISBLANK(AJ103),VLOOKUP($G103,Sheet3!$H$2:$O$200,AQ$1,FALSE),$I$1),$I$1)</f>
        <v>0</v>
      </c>
      <c r="AR103" s="15">
        <f>IFERROR(IF(ISBLANK(AK103),VLOOKUP($G103,Sheet3!$H$2:$O$200,AR$1,FALSE),$I$1),$I$1)</f>
        <v>0</v>
      </c>
      <c r="AS103" s="15">
        <f t="shared" ref="AS103:AY103" si="110">IFERROR(IF(ISBLANK(J103),IF(ISBLANK(Q103),IF(ISBLANK(X103),IF(ISBLANK(AE103),IF(ISBLANK(AL103),$BB$1,AL103),AE103),X103),Q103),J103),$BB$1)</f>
        <v>0</v>
      </c>
      <c r="AT103" s="15">
        <f t="shared" si="110"/>
        <v>0</v>
      </c>
      <c r="AU103" s="15">
        <f t="shared" si="110"/>
        <v>0</v>
      </c>
      <c r="AV103" s="15" t="str">
        <f t="shared" si="110"/>
        <v>Lillet</v>
      </c>
      <c r="AW103" s="15">
        <f t="shared" si="110"/>
        <v>0</v>
      </c>
      <c r="AX103" s="15">
        <f t="shared" si="110"/>
        <v>0</v>
      </c>
      <c r="AY103" s="15">
        <f t="shared" si="110"/>
        <v>0</v>
      </c>
      <c r="BA103" s="13">
        <f t="shared" si="1"/>
        <v>35</v>
      </c>
      <c r="BB103" s="15" t="b">
        <f t="shared" si="2"/>
        <v>0</v>
      </c>
    </row>
    <row r="104" spans="1:54" x14ac:dyDescent="0.2">
      <c r="A104" s="19" t="s">
        <v>228</v>
      </c>
      <c r="B104" s="19" t="s">
        <v>229</v>
      </c>
      <c r="C104" s="19" t="s">
        <v>48</v>
      </c>
      <c r="D104" s="19"/>
      <c r="E104" s="19" t="s">
        <v>66</v>
      </c>
      <c r="F104" s="19"/>
      <c r="G104" s="19"/>
      <c r="H104" s="19" t="s">
        <v>228</v>
      </c>
      <c r="I104" s="15">
        <v>2</v>
      </c>
      <c r="J104" s="15">
        <f>IFERROR(VLOOKUP($C104,Sheet3!$H$2:$O$200,J$1,FALSE),IFERROR(VLOOKUP($D104,Sheet3!$H$2:$O$200,J$1,FALSE),VLOOKUP($E104,Sheet3!$H$2:$O$200,J$1,FALSE)))</f>
        <v>0</v>
      </c>
      <c r="K104" s="15">
        <f>IFERROR(VLOOKUP($C104,Sheet3!$H$2:$O$200,K$1,FALSE),IFERROR(VLOOKUP($D104,Sheet3!$H$2:$O$200,K$1,FALSE),VLOOKUP($E104,Sheet3!$H$2:$O$200,K$1,FALSE)))</f>
        <v>0</v>
      </c>
      <c r="L104" s="15">
        <f>IFERROR(VLOOKUP($C104,Sheet3!$H$2:$O$200,L$1,FALSE),IFERROR(VLOOKUP($D104,Sheet3!$H$2:$O$200,L$1,FALSE),VLOOKUP($E104,Sheet3!$H$2:$O$200,L$1,FALSE)))</f>
        <v>0</v>
      </c>
      <c r="M104" s="15" t="str">
        <f>IFERROR(VLOOKUP($C104,Sheet3!$H$2:$O$200,M$1,FALSE),IFERROR(VLOOKUP($D104,Sheet3!$H$2:$O$200,M$1,FALSE),VLOOKUP($E104,Sheet3!$H$2:$O$200,M$1,FALSE)))</f>
        <v>sweet vermouth</v>
      </c>
      <c r="N104" s="15">
        <f>IFERROR(VLOOKUP($C104,Sheet3!$H$2:$O$200,N$1,FALSE),IFERROR(VLOOKUP($D104,Sheet3!$H$2:$O$200,N$1,FALSE),VLOOKUP($E104,Sheet3!$H$2:$O$200,N$1,FALSE)))</f>
        <v>0</v>
      </c>
      <c r="O104" s="15">
        <f>IFERROR(VLOOKUP($C104,Sheet3!$H$2:$O$200,O$1,FALSE),IFERROR(VLOOKUP($D104,Sheet3!$H$2:$O$200,O$1,FALSE),VLOOKUP($E104,Sheet3!$H$2:$O$200,O$1,FALSE)))</f>
        <v>0</v>
      </c>
      <c r="P104" s="15">
        <f>IFERROR(VLOOKUP($C104,Sheet3!$H$2:$O$200,P$1,FALSE),IFERROR(VLOOKUP($D104,Sheet3!$H$2:$O$200,P$1,FALSE),VLOOKUP($E104,Sheet3!$H$2:$O$200,P$1,FALSE)))</f>
        <v>0</v>
      </c>
      <c r="Q104" s="15">
        <f>IFERROR(IF(ISBLANK(J104),IFERROR(VLOOKUP($D104,Sheet3!$H$2:$O$200,Q$1,FALSE),IFERROR(VLOOKUP($E104,Sheet3!$H$2:$O$200,Q$1,FALSE),VLOOKUP($F104,Sheet3!$H$2:$O$200,Q$1,FALSE))),$I$1),$I$1)</f>
        <v>0</v>
      </c>
      <c r="R104" s="15">
        <f>IFERROR(IF(ISBLANK(K104),IFERROR(VLOOKUP($D104,Sheet3!$H$2:$O$200,R$1,FALSE),IFERROR(VLOOKUP($E104,Sheet3!$H$2:$O$200,R$1,FALSE),VLOOKUP($F104,Sheet3!$H$2:$O$200,R$1,FALSE))),$I$1),$I$1)</f>
        <v>0</v>
      </c>
      <c r="S104" s="15">
        <f>IFERROR(IF(ISBLANK(L104),IFERROR(VLOOKUP($D104,Sheet3!$H$2:$O$200,S$1,FALSE),IFERROR(VLOOKUP($E104,Sheet3!$H$2:$O$200,S$1,FALSE),VLOOKUP($F104,Sheet3!$H$2:$O$200,S$1,FALSE))),$I$1),$I$1)</f>
        <v>0</v>
      </c>
      <c r="T104" s="15">
        <f>IFERROR(IF(ISBLANK(M104),IFERROR(VLOOKUP($D104,Sheet3!$H$2:$O$200,T$1,FALSE),IFERROR(VLOOKUP($E104,Sheet3!$H$2:$O$200,T$1,FALSE),VLOOKUP($F104,Sheet3!$H$2:$O$200,T$1,FALSE))),$I$1),$I$1)</f>
        <v>0</v>
      </c>
      <c r="U104" s="15">
        <f>IFERROR(IF(ISBLANK(N104),IFERROR(VLOOKUP($D104,Sheet3!$H$2:$O$200,U$1,FALSE),IFERROR(VLOOKUP($E104,Sheet3!$H$2:$O$200,U$1,FALSE),VLOOKUP($F104,Sheet3!$H$2:$O$200,U$1,FALSE))),$I$1),$I$1)</f>
        <v>0</v>
      </c>
      <c r="V104" s="15">
        <f>IFERROR(IF(ISBLANK(O104),IFERROR(VLOOKUP($D104,Sheet3!$H$2:$O$200,V$1,FALSE),IFERROR(VLOOKUP($E104,Sheet3!$H$2:$O$200,V$1,FALSE),VLOOKUP($F104,Sheet3!$H$2:$O$200,V$1,FALSE))),$I$1),$I$1)</f>
        <v>0</v>
      </c>
      <c r="W104" s="15">
        <f>IFERROR(IF(ISBLANK(P104),IFERROR(VLOOKUP($D104,Sheet3!$H$2:$O$200,W$1,FALSE),IFERROR(VLOOKUP($E104,Sheet3!$H$2:$O$200,W$1,FALSE),VLOOKUP($F104,Sheet3!$H$2:$O$200,W$1,FALSE))),$I$1),$I$1)</f>
        <v>0</v>
      </c>
      <c r="X104" s="15">
        <f>IFERROR(IF(ISBLANK(Q104),IFERROR(VLOOKUP($E104,Sheet3!$H$2:$O$200,X$1,FALSE),IFERROR(VLOOKUP($F104,Sheet3!$H$2:$O$200,X$1,FALSE),VLOOKUP($G104,Sheet3!$H$2:$O$200,X$1,FALSE))),$I$1),$I$1)</f>
        <v>0</v>
      </c>
      <c r="Y104" s="15">
        <f>IFERROR(IF(ISBLANK(R104),IFERROR(VLOOKUP($E104,Sheet3!$H$2:$O$200,Y$1,FALSE),IFERROR(VLOOKUP($F104,Sheet3!$H$2:$O$200,Y$1,FALSE),VLOOKUP($G104,Sheet3!$H$2:$O$200,Y$1,FALSE))),$I$1),$I$1)</f>
        <v>0</v>
      </c>
      <c r="Z104" s="15">
        <f>IFERROR(IF(ISBLANK(S104),IFERROR(VLOOKUP($E104,Sheet3!$H$2:$O$200,Z$1,FALSE),IFERROR(VLOOKUP($F104,Sheet3!$H$2:$O$200,Z$1,FALSE),VLOOKUP($G104,Sheet3!$H$2:$O$200,Z$1,FALSE))),$I$1),$I$1)</f>
        <v>0</v>
      </c>
      <c r="AA104" s="15">
        <f>IFERROR(IF(ISBLANK(T104),IFERROR(VLOOKUP($E104,Sheet3!$H$2:$O$200,AA$1,FALSE),IFERROR(VLOOKUP($F104,Sheet3!$H$2:$O$200,AA$1,FALSE),VLOOKUP($G104,Sheet3!$H$2:$O$200,AA$1,FALSE))),$I$1),$I$1)</f>
        <v>0</v>
      </c>
      <c r="AB104" s="15">
        <f>IFERROR(IF(ISBLANK(U104),IFERROR(VLOOKUP($E104,Sheet3!$H$2:$O$200,AB$1,FALSE),IFERROR(VLOOKUP($F104,Sheet3!$H$2:$O$200,AB$1,FALSE),VLOOKUP($G104,Sheet3!$H$2:$O$200,AB$1,FALSE))),$I$1),$I$1)</f>
        <v>0</v>
      </c>
      <c r="AC104" s="15">
        <f>IFERROR(IF(ISBLANK(V104),IFERROR(VLOOKUP($E104,Sheet3!$H$2:$O$200,AC$1,FALSE),IFERROR(VLOOKUP($F104,Sheet3!$H$2:$O$200,AC$1,FALSE),VLOOKUP($G104,Sheet3!$H$2:$O$200,AC$1,FALSE))),$I$1),$I$1)</f>
        <v>0</v>
      </c>
      <c r="AD104" s="15">
        <f>IFERROR(IF(ISBLANK(W104),IFERROR(VLOOKUP($E104,Sheet3!$H$2:$O$200,AD$1,FALSE),IFERROR(VLOOKUP($F104,Sheet3!$H$2:$O$200,AD$1,FALSE),VLOOKUP($G104,Sheet3!$H$2:$O$200,AD$1,FALSE))),$I$1),$I$1)</f>
        <v>0</v>
      </c>
      <c r="AE104" s="15">
        <f>IFERROR(IF(ISBLANK(X104),IFERROR(VLOOKUP($F104,Sheet3!$H$2:$O$200,AE$1,FALSE),VLOOKUP($G104,Sheet3!$H$2:$O$200,AE$1,FALSE)),$I$1),$I$1)</f>
        <v>0</v>
      </c>
      <c r="AF104" s="15">
        <f>IFERROR(IF(ISBLANK(Y104),IFERROR(VLOOKUP($F104,Sheet3!$H$2:$O$200,AF$1,FALSE),VLOOKUP($G104,Sheet3!$H$2:$O$200,AF$1,FALSE)),$I$1),$I$1)</f>
        <v>0</v>
      </c>
      <c r="AG104" s="15">
        <f>IFERROR(IF(ISBLANK(Z104),IFERROR(VLOOKUP($F104,Sheet3!$H$2:$O$200,AG$1,FALSE),VLOOKUP($G104,Sheet3!$H$2:$O$200,AG$1,FALSE)),$I$1),$I$1)</f>
        <v>0</v>
      </c>
      <c r="AH104" s="15">
        <f>IFERROR(IF(ISBLANK(AA104),IFERROR(VLOOKUP($F104,Sheet3!$H$2:$O$200,AH$1,FALSE),VLOOKUP($G104,Sheet3!$H$2:$O$200,AH$1,FALSE)),$I$1),$I$1)</f>
        <v>0</v>
      </c>
      <c r="AI104" s="15">
        <f>IFERROR(IF(ISBLANK(AB104),IFERROR(VLOOKUP($F104,Sheet3!$H$2:$O$200,AI$1,FALSE),VLOOKUP($G104,Sheet3!$H$2:$O$200,AI$1,FALSE)),$I$1),$I$1)</f>
        <v>0</v>
      </c>
      <c r="AJ104" s="15">
        <f>IFERROR(IF(ISBLANK(AC104),IFERROR(VLOOKUP($F104,Sheet3!$H$2:$O$200,AJ$1,FALSE),VLOOKUP($G104,Sheet3!$H$2:$O$200,AJ$1,FALSE)),$I$1),$I$1)</f>
        <v>0</v>
      </c>
      <c r="AK104" s="15">
        <f>IFERROR(IF(ISBLANK(AD104),IFERROR(VLOOKUP($F104,Sheet3!$H$2:$O$200,AK$1,FALSE),VLOOKUP($G104,Sheet3!$H$2:$O$200,AK$1,FALSE)),$I$1),$I$1)</f>
        <v>0</v>
      </c>
      <c r="AL104" s="15">
        <f>IFERROR(IF(ISBLANK(AE104),VLOOKUP($G104,Sheet3!$H$2:$O$200,AL$1,FALSE),$I$1),$I$1)</f>
        <v>0</v>
      </c>
      <c r="AM104" s="15">
        <f>IFERROR(IF(ISBLANK(AF104),VLOOKUP($G104,Sheet3!$H$2:$O$200,AM$1,FALSE),$I$1),$I$1)</f>
        <v>0</v>
      </c>
      <c r="AN104" s="15">
        <f>IFERROR(IF(ISBLANK(AG104),VLOOKUP($G104,Sheet3!$H$2:$O$200,AN$1,FALSE),$I$1),$I$1)</f>
        <v>0</v>
      </c>
      <c r="AO104" s="15">
        <f>IFERROR(IF(ISBLANK(AH104),VLOOKUP($G104,Sheet3!$H$2:$O$200,AO$1,FALSE),$I$1),$I$1)</f>
        <v>0</v>
      </c>
      <c r="AP104" s="15">
        <f>IFERROR(IF(ISBLANK(AI104),VLOOKUP($G104,Sheet3!$H$2:$O$200,AP$1,FALSE),$I$1),$I$1)</f>
        <v>0</v>
      </c>
      <c r="AQ104" s="15">
        <f>IFERROR(IF(ISBLANK(AJ104),VLOOKUP($G104,Sheet3!$H$2:$O$200,AQ$1,FALSE),$I$1),$I$1)</f>
        <v>0</v>
      </c>
      <c r="AR104" s="15">
        <f>IFERROR(IF(ISBLANK(AK104),VLOOKUP($G104,Sheet3!$H$2:$O$200,AR$1,FALSE),$I$1),$I$1)</f>
        <v>0</v>
      </c>
      <c r="AS104" s="15">
        <f t="shared" ref="AS104:AY104" si="111">IFERROR(IF(ISBLANK(J104),IF(ISBLANK(Q104),IF(ISBLANK(X104),IF(ISBLANK(AE104),IF(ISBLANK(AL104),$BB$1,AL104),AE104),X104),Q104),J104),$BB$1)</f>
        <v>0</v>
      </c>
      <c r="AT104" s="15">
        <f t="shared" si="111"/>
        <v>0</v>
      </c>
      <c r="AU104" s="15">
        <f t="shared" si="111"/>
        <v>0</v>
      </c>
      <c r="AV104" s="15" t="str">
        <f t="shared" si="111"/>
        <v>sweet vermouth</v>
      </c>
      <c r="AW104" s="15">
        <f t="shared" si="111"/>
        <v>0</v>
      </c>
      <c r="AX104" s="15">
        <f t="shared" si="111"/>
        <v>0</v>
      </c>
      <c r="AY104" s="15">
        <f t="shared" si="111"/>
        <v>0</v>
      </c>
      <c r="BA104" s="13">
        <f t="shared" si="1"/>
        <v>35</v>
      </c>
      <c r="BB104" s="15" t="b">
        <f t="shared" si="2"/>
        <v>0</v>
      </c>
    </row>
    <row r="105" spans="1:54" x14ac:dyDescent="0.2">
      <c r="A105" s="19" t="s">
        <v>230</v>
      </c>
      <c r="B105" s="19" t="s">
        <v>229</v>
      </c>
      <c r="C105" s="19" t="s">
        <v>48</v>
      </c>
      <c r="D105" s="19"/>
      <c r="E105" s="18" t="s">
        <v>104</v>
      </c>
      <c r="F105" s="18" t="s">
        <v>66</v>
      </c>
      <c r="G105" s="19"/>
      <c r="H105" s="19" t="s">
        <v>230</v>
      </c>
      <c r="I105" s="15">
        <v>3</v>
      </c>
      <c r="J105" s="15">
        <f>IFERROR(VLOOKUP($C105,Sheet3!$H$2:$O$200,J$1,FALSE),IFERROR(VLOOKUP($D105,Sheet3!$H$2:$O$200,J$1,FALSE),VLOOKUP($E105,Sheet3!$H$2:$O$200,J$1,FALSE)))</f>
        <v>0</v>
      </c>
      <c r="K105" s="15">
        <f>IFERROR(VLOOKUP($C105,Sheet3!$H$2:$O$200,K$1,FALSE),IFERROR(VLOOKUP($D105,Sheet3!$H$2:$O$200,K$1,FALSE),VLOOKUP($E105,Sheet3!$H$2:$O$200,K$1,FALSE)))</f>
        <v>0</v>
      </c>
      <c r="L105" s="15">
        <f>IFERROR(VLOOKUP($C105,Sheet3!$H$2:$O$200,L$1,FALSE),IFERROR(VLOOKUP($D105,Sheet3!$H$2:$O$200,L$1,FALSE),VLOOKUP($E105,Sheet3!$H$2:$O$200,L$1,FALSE)))</f>
        <v>0</v>
      </c>
      <c r="M105" s="15" t="str">
        <f>IFERROR(VLOOKUP($C105,Sheet3!$H$2:$O$200,M$1,FALSE),IFERROR(VLOOKUP($D105,Sheet3!$H$2:$O$200,M$1,FALSE),VLOOKUP($E105,Sheet3!$H$2:$O$200,M$1,FALSE)))</f>
        <v>sweet vermouth</v>
      </c>
      <c r="N105" s="15">
        <f>IFERROR(VLOOKUP($C105,Sheet3!$H$2:$O$200,N$1,FALSE),IFERROR(VLOOKUP($D105,Sheet3!$H$2:$O$200,N$1,FALSE),VLOOKUP($E105,Sheet3!$H$2:$O$200,N$1,FALSE)))</f>
        <v>0</v>
      </c>
      <c r="O105" s="15">
        <f>IFERROR(VLOOKUP($C105,Sheet3!$H$2:$O$200,O$1,FALSE),IFERROR(VLOOKUP($D105,Sheet3!$H$2:$O$200,O$1,FALSE),VLOOKUP($E105,Sheet3!$H$2:$O$200,O$1,FALSE)))</f>
        <v>0</v>
      </c>
      <c r="P105" s="15">
        <f>IFERROR(VLOOKUP($C105,Sheet3!$H$2:$O$200,P$1,FALSE),IFERROR(VLOOKUP($D105,Sheet3!$H$2:$O$200,P$1,FALSE),VLOOKUP($E105,Sheet3!$H$2:$O$200,P$1,FALSE)))</f>
        <v>0</v>
      </c>
      <c r="Q105" s="15">
        <f>IFERROR(IF(ISBLANK(J105),IFERROR(VLOOKUP($D105,Sheet3!$H$2:$O$200,Q$1,FALSE),IFERROR(VLOOKUP($E105,Sheet3!$H$2:$O$200,Q$1,FALSE),VLOOKUP($F105,Sheet3!$H$2:$O$200,Q$1,FALSE))),$I$1),$I$1)</f>
        <v>0</v>
      </c>
      <c r="R105" s="15">
        <f>IFERROR(IF(ISBLANK(K105),IFERROR(VLOOKUP($D105,Sheet3!$H$2:$O$200,R$1,FALSE),IFERROR(VLOOKUP($E105,Sheet3!$H$2:$O$200,R$1,FALSE),VLOOKUP($F105,Sheet3!$H$2:$O$200,R$1,FALSE))),$I$1),$I$1)</f>
        <v>0</v>
      </c>
      <c r="S105" s="15">
        <f>IFERROR(IF(ISBLANK(L105),IFERROR(VLOOKUP($D105,Sheet3!$H$2:$O$200,S$1,FALSE),IFERROR(VLOOKUP($E105,Sheet3!$H$2:$O$200,S$1,FALSE),VLOOKUP($F105,Sheet3!$H$2:$O$200,S$1,FALSE))),$I$1),$I$1)</f>
        <v>0</v>
      </c>
      <c r="T105" s="15">
        <f>IFERROR(IF(ISBLANK(M105),IFERROR(VLOOKUP($D105,Sheet3!$H$2:$O$200,T$1,FALSE),IFERROR(VLOOKUP($E105,Sheet3!$H$2:$O$200,T$1,FALSE),VLOOKUP($F105,Sheet3!$H$2:$O$200,T$1,FALSE))),$I$1),$I$1)</f>
        <v>0</v>
      </c>
      <c r="U105" s="15">
        <f>IFERROR(IF(ISBLANK(N105),IFERROR(VLOOKUP($D105,Sheet3!$H$2:$O$200,U$1,FALSE),IFERROR(VLOOKUP($E105,Sheet3!$H$2:$O$200,U$1,FALSE),VLOOKUP($F105,Sheet3!$H$2:$O$200,U$1,FALSE))),$I$1),$I$1)</f>
        <v>0</v>
      </c>
      <c r="V105" s="15">
        <f>IFERROR(IF(ISBLANK(O105),IFERROR(VLOOKUP($D105,Sheet3!$H$2:$O$200,V$1,FALSE),IFERROR(VLOOKUP($E105,Sheet3!$H$2:$O$200,V$1,FALSE),VLOOKUP($F105,Sheet3!$H$2:$O$200,V$1,FALSE))),$I$1),$I$1)</f>
        <v>0</v>
      </c>
      <c r="W105" s="15">
        <f>IFERROR(IF(ISBLANK(P105),IFERROR(VLOOKUP($D105,Sheet3!$H$2:$O$200,W$1,FALSE),IFERROR(VLOOKUP($E105,Sheet3!$H$2:$O$200,W$1,FALSE),VLOOKUP($F105,Sheet3!$H$2:$O$200,W$1,FALSE))),$I$1),$I$1)</f>
        <v>0</v>
      </c>
      <c r="X105" s="15">
        <f>IFERROR(IF(ISBLANK(Q105),IFERROR(VLOOKUP($E105,Sheet3!$H$2:$O$200,X$1,FALSE),IFERROR(VLOOKUP($F105,Sheet3!$H$2:$O$200,X$1,FALSE),VLOOKUP($G105,Sheet3!$H$2:$O$200,X$1,FALSE))),$I$1),$I$1)</f>
        <v>0</v>
      </c>
      <c r="Y105" s="15">
        <f>IFERROR(IF(ISBLANK(R105),IFERROR(VLOOKUP($E105,Sheet3!$H$2:$O$200,Y$1,FALSE),IFERROR(VLOOKUP($F105,Sheet3!$H$2:$O$200,Y$1,FALSE),VLOOKUP($G105,Sheet3!$H$2:$O$200,Y$1,FALSE))),$I$1),$I$1)</f>
        <v>0</v>
      </c>
      <c r="Z105" s="15">
        <f>IFERROR(IF(ISBLANK(S105),IFERROR(VLOOKUP($E105,Sheet3!$H$2:$O$200,Z$1,FALSE),IFERROR(VLOOKUP($F105,Sheet3!$H$2:$O$200,Z$1,FALSE),VLOOKUP($G105,Sheet3!$H$2:$O$200,Z$1,FALSE))),$I$1),$I$1)</f>
        <v>0</v>
      </c>
      <c r="AA105" s="15">
        <f>IFERROR(IF(ISBLANK(T105),IFERROR(VLOOKUP($E105,Sheet3!$H$2:$O$200,AA$1,FALSE),IFERROR(VLOOKUP($F105,Sheet3!$H$2:$O$200,AA$1,FALSE),VLOOKUP($G105,Sheet3!$H$2:$O$200,AA$1,FALSE))),$I$1),$I$1)</f>
        <v>0</v>
      </c>
      <c r="AB105" s="15">
        <f>IFERROR(IF(ISBLANK(U105),IFERROR(VLOOKUP($E105,Sheet3!$H$2:$O$200,AB$1,FALSE),IFERROR(VLOOKUP($F105,Sheet3!$H$2:$O$200,AB$1,FALSE),VLOOKUP($G105,Sheet3!$H$2:$O$200,AB$1,FALSE))),$I$1),$I$1)</f>
        <v>0</v>
      </c>
      <c r="AC105" s="15">
        <f>IFERROR(IF(ISBLANK(V105),IFERROR(VLOOKUP($E105,Sheet3!$H$2:$O$200,AC$1,FALSE),IFERROR(VLOOKUP($F105,Sheet3!$H$2:$O$200,AC$1,FALSE),VLOOKUP($G105,Sheet3!$H$2:$O$200,AC$1,FALSE))),$I$1),$I$1)</f>
        <v>0</v>
      </c>
      <c r="AD105" s="15">
        <f>IFERROR(IF(ISBLANK(W105),IFERROR(VLOOKUP($E105,Sheet3!$H$2:$O$200,AD$1,FALSE),IFERROR(VLOOKUP($F105,Sheet3!$H$2:$O$200,AD$1,FALSE),VLOOKUP($G105,Sheet3!$H$2:$O$200,AD$1,FALSE))),$I$1),$I$1)</f>
        <v>0</v>
      </c>
      <c r="AE105" s="15">
        <f>IFERROR(IF(ISBLANK(X105),IFERROR(VLOOKUP($F105,Sheet3!$H$2:$O$200,AE$1,FALSE),VLOOKUP($G105,Sheet3!$H$2:$O$200,AE$1,FALSE)),$I$1),$I$1)</f>
        <v>0</v>
      </c>
      <c r="AF105" s="15">
        <f>IFERROR(IF(ISBLANK(Y105),IFERROR(VLOOKUP($F105,Sheet3!$H$2:$O$200,AF$1,FALSE),VLOOKUP($G105,Sheet3!$H$2:$O$200,AF$1,FALSE)),$I$1),$I$1)</f>
        <v>0</v>
      </c>
      <c r="AG105" s="15">
        <f>IFERROR(IF(ISBLANK(Z105),IFERROR(VLOOKUP($F105,Sheet3!$H$2:$O$200,AG$1,FALSE),VLOOKUP($G105,Sheet3!$H$2:$O$200,AG$1,FALSE)),$I$1),$I$1)</f>
        <v>0</v>
      </c>
      <c r="AH105" s="15">
        <f>IFERROR(IF(ISBLANK(AA105),IFERROR(VLOOKUP($F105,Sheet3!$H$2:$O$200,AH$1,FALSE),VLOOKUP($G105,Sheet3!$H$2:$O$200,AH$1,FALSE)),$I$1),$I$1)</f>
        <v>0</v>
      </c>
      <c r="AI105" s="15">
        <f>IFERROR(IF(ISBLANK(AB105),IFERROR(VLOOKUP($F105,Sheet3!$H$2:$O$200,AI$1,FALSE),VLOOKUP($G105,Sheet3!$H$2:$O$200,AI$1,FALSE)),$I$1),$I$1)</f>
        <v>0</v>
      </c>
      <c r="AJ105" s="15">
        <f>IFERROR(IF(ISBLANK(AC105),IFERROR(VLOOKUP($F105,Sheet3!$H$2:$O$200,AJ$1,FALSE),VLOOKUP($G105,Sheet3!$H$2:$O$200,AJ$1,FALSE)),$I$1),$I$1)</f>
        <v>0</v>
      </c>
      <c r="AK105" s="15">
        <f>IFERROR(IF(ISBLANK(AD105),IFERROR(VLOOKUP($F105,Sheet3!$H$2:$O$200,AK$1,FALSE),VLOOKUP($G105,Sheet3!$H$2:$O$200,AK$1,FALSE)),$I$1),$I$1)</f>
        <v>0</v>
      </c>
      <c r="AL105" s="15">
        <f>IFERROR(IF(ISBLANK(AE105),VLOOKUP($G105,Sheet3!$H$2:$O$200,AL$1,FALSE),$I$1),$I$1)</f>
        <v>0</v>
      </c>
      <c r="AM105" s="15">
        <f>IFERROR(IF(ISBLANK(AF105),VLOOKUP($G105,Sheet3!$H$2:$O$200,AM$1,FALSE),$I$1),$I$1)</f>
        <v>0</v>
      </c>
      <c r="AN105" s="15">
        <f>IFERROR(IF(ISBLANK(AG105),VLOOKUP($G105,Sheet3!$H$2:$O$200,AN$1,FALSE),$I$1),$I$1)</f>
        <v>0</v>
      </c>
      <c r="AO105" s="15">
        <f>IFERROR(IF(ISBLANK(AH105),VLOOKUP($G105,Sheet3!$H$2:$O$200,AO$1,FALSE),$I$1),$I$1)</f>
        <v>0</v>
      </c>
      <c r="AP105" s="15">
        <f>IFERROR(IF(ISBLANK(AI105),VLOOKUP($G105,Sheet3!$H$2:$O$200,AP$1,FALSE),$I$1),$I$1)</f>
        <v>0</v>
      </c>
      <c r="AQ105" s="15">
        <f>IFERROR(IF(ISBLANK(AJ105),VLOOKUP($G105,Sheet3!$H$2:$O$200,AQ$1,FALSE),$I$1),$I$1)</f>
        <v>0</v>
      </c>
      <c r="AR105" s="15">
        <f>IFERROR(IF(ISBLANK(AK105),VLOOKUP($G105,Sheet3!$H$2:$O$200,AR$1,FALSE),$I$1),$I$1)</f>
        <v>0</v>
      </c>
      <c r="AS105" s="15">
        <f t="shared" ref="AS105:AY105" si="112">IFERROR(IF(ISBLANK(J105),IF(ISBLANK(Q105),IF(ISBLANK(X105),IF(ISBLANK(AE105),IF(ISBLANK(AL105),$BB$1,AL105),AE105),X105),Q105),J105),$BB$1)</f>
        <v>0</v>
      </c>
      <c r="AT105" s="15">
        <f t="shared" si="112"/>
        <v>0</v>
      </c>
      <c r="AU105" s="15">
        <f t="shared" si="112"/>
        <v>0</v>
      </c>
      <c r="AV105" s="15" t="str">
        <f t="shared" si="112"/>
        <v>sweet vermouth</v>
      </c>
      <c r="AW105" s="15">
        <f t="shared" si="112"/>
        <v>0</v>
      </c>
      <c r="AX105" s="15">
        <f t="shared" si="112"/>
        <v>0</v>
      </c>
      <c r="AY105" s="15">
        <f t="shared" si="112"/>
        <v>0</v>
      </c>
      <c r="BA105" s="13">
        <f t="shared" si="1"/>
        <v>35</v>
      </c>
      <c r="BB105" s="15" t="b">
        <f t="shared" si="2"/>
        <v>0</v>
      </c>
    </row>
    <row r="106" spans="1:54" x14ac:dyDescent="0.2">
      <c r="A106" s="19" t="s">
        <v>231</v>
      </c>
      <c r="B106" s="19" t="s">
        <v>229</v>
      </c>
      <c r="C106" s="19" t="s">
        <v>48</v>
      </c>
      <c r="D106" s="19"/>
      <c r="E106" s="19" t="s">
        <v>139</v>
      </c>
      <c r="F106" s="19" t="s">
        <v>74</v>
      </c>
      <c r="G106" s="19"/>
      <c r="H106" s="19" t="s">
        <v>231</v>
      </c>
      <c r="I106" s="15">
        <v>3</v>
      </c>
      <c r="J106" s="15">
        <f>IFERROR(VLOOKUP($C106,Sheet3!$H$2:$O$200,J$1,FALSE),IFERROR(VLOOKUP($D106,Sheet3!$H$2:$O$200,J$1,FALSE),VLOOKUP($E106,Sheet3!$H$2:$O$200,J$1,FALSE)))</f>
        <v>0</v>
      </c>
      <c r="K106" s="15">
        <f>IFERROR(VLOOKUP($C106,Sheet3!$H$2:$O$200,K$1,FALSE),IFERROR(VLOOKUP($D106,Sheet3!$H$2:$O$200,K$1,FALSE),VLOOKUP($E106,Sheet3!$H$2:$O$200,K$1,FALSE)))</f>
        <v>0</v>
      </c>
      <c r="L106" s="15">
        <f>IFERROR(VLOOKUP($C106,Sheet3!$H$2:$O$200,L$1,FALSE),IFERROR(VLOOKUP($D106,Sheet3!$H$2:$O$200,L$1,FALSE),VLOOKUP($E106,Sheet3!$H$2:$O$200,L$1,FALSE)))</f>
        <v>0</v>
      </c>
      <c r="M106" s="15" t="str">
        <f>IFERROR(VLOOKUP($C106,Sheet3!$H$2:$O$200,M$1,FALSE),IFERROR(VLOOKUP($D106,Sheet3!$H$2:$O$200,M$1,FALSE),VLOOKUP($E106,Sheet3!$H$2:$O$200,M$1,FALSE)))</f>
        <v>sweet vermouth</v>
      </c>
      <c r="N106" s="15">
        <f>IFERROR(VLOOKUP($C106,Sheet3!$H$2:$O$200,N$1,FALSE),IFERROR(VLOOKUP($D106,Sheet3!$H$2:$O$200,N$1,FALSE),VLOOKUP($E106,Sheet3!$H$2:$O$200,N$1,FALSE)))</f>
        <v>0</v>
      </c>
      <c r="O106" s="15">
        <f>IFERROR(VLOOKUP($C106,Sheet3!$H$2:$O$200,O$1,FALSE),IFERROR(VLOOKUP($D106,Sheet3!$H$2:$O$200,O$1,FALSE),VLOOKUP($E106,Sheet3!$H$2:$O$200,O$1,FALSE)))</f>
        <v>0</v>
      </c>
      <c r="P106" s="15">
        <f>IFERROR(VLOOKUP($C106,Sheet3!$H$2:$O$200,P$1,FALSE),IFERROR(VLOOKUP($D106,Sheet3!$H$2:$O$200,P$1,FALSE),VLOOKUP($E106,Sheet3!$H$2:$O$200,P$1,FALSE)))</f>
        <v>0</v>
      </c>
      <c r="Q106" s="15">
        <f>IFERROR(IF(ISBLANK(J106),IFERROR(VLOOKUP($D106,Sheet3!$H$2:$O$200,Q$1,FALSE),IFERROR(VLOOKUP($E106,Sheet3!$H$2:$O$200,Q$1,FALSE),VLOOKUP($F106,Sheet3!$H$2:$O$200,Q$1,FALSE))),$I$1),$I$1)</f>
        <v>0</v>
      </c>
      <c r="R106" s="15">
        <f>IFERROR(IF(ISBLANK(K106),IFERROR(VLOOKUP($D106,Sheet3!$H$2:$O$200,R$1,FALSE),IFERROR(VLOOKUP($E106,Sheet3!$H$2:$O$200,R$1,FALSE),VLOOKUP($F106,Sheet3!$H$2:$O$200,R$1,FALSE))),$I$1),$I$1)</f>
        <v>0</v>
      </c>
      <c r="S106" s="15">
        <f>IFERROR(IF(ISBLANK(L106),IFERROR(VLOOKUP($D106,Sheet3!$H$2:$O$200,S$1,FALSE),IFERROR(VLOOKUP($E106,Sheet3!$H$2:$O$200,S$1,FALSE),VLOOKUP($F106,Sheet3!$H$2:$O$200,S$1,FALSE))),$I$1),$I$1)</f>
        <v>0</v>
      </c>
      <c r="T106" s="15">
        <f>IFERROR(IF(ISBLANK(M106),IFERROR(VLOOKUP($D106,Sheet3!$H$2:$O$200,T$1,FALSE),IFERROR(VLOOKUP($E106,Sheet3!$H$2:$O$200,T$1,FALSE),VLOOKUP($F106,Sheet3!$H$2:$O$200,T$1,FALSE))),$I$1),$I$1)</f>
        <v>0</v>
      </c>
      <c r="U106" s="15">
        <f>IFERROR(IF(ISBLANK(N106),IFERROR(VLOOKUP($D106,Sheet3!$H$2:$O$200,U$1,FALSE),IFERROR(VLOOKUP($E106,Sheet3!$H$2:$O$200,U$1,FALSE),VLOOKUP($F106,Sheet3!$H$2:$O$200,U$1,FALSE))),$I$1),$I$1)</f>
        <v>0</v>
      </c>
      <c r="V106" s="15">
        <f>IFERROR(IF(ISBLANK(O106),IFERROR(VLOOKUP($D106,Sheet3!$H$2:$O$200,V$1,FALSE),IFERROR(VLOOKUP($E106,Sheet3!$H$2:$O$200,V$1,FALSE),VLOOKUP($F106,Sheet3!$H$2:$O$200,V$1,FALSE))),$I$1),$I$1)</f>
        <v>0</v>
      </c>
      <c r="W106" s="15">
        <f>IFERROR(IF(ISBLANK(P106),IFERROR(VLOOKUP($D106,Sheet3!$H$2:$O$200,W$1,FALSE),IFERROR(VLOOKUP($E106,Sheet3!$H$2:$O$200,W$1,FALSE),VLOOKUP($F106,Sheet3!$H$2:$O$200,W$1,FALSE))),$I$1),$I$1)</f>
        <v>0</v>
      </c>
      <c r="X106" s="15">
        <f>IFERROR(IF(ISBLANK(Q106),IFERROR(VLOOKUP($E106,Sheet3!$H$2:$O$200,X$1,FALSE),IFERROR(VLOOKUP($F106,Sheet3!$H$2:$O$200,X$1,FALSE),VLOOKUP($G106,Sheet3!$H$2:$O$200,X$1,FALSE))),$I$1),$I$1)</f>
        <v>0</v>
      </c>
      <c r="Y106" s="15">
        <f>IFERROR(IF(ISBLANK(R106),IFERROR(VLOOKUP($E106,Sheet3!$H$2:$O$200,Y$1,FALSE),IFERROR(VLOOKUP($F106,Sheet3!$H$2:$O$200,Y$1,FALSE),VLOOKUP($G106,Sheet3!$H$2:$O$200,Y$1,FALSE))),$I$1),$I$1)</f>
        <v>0</v>
      </c>
      <c r="Z106" s="15">
        <f>IFERROR(IF(ISBLANK(S106),IFERROR(VLOOKUP($E106,Sheet3!$H$2:$O$200,Z$1,FALSE),IFERROR(VLOOKUP($F106,Sheet3!$H$2:$O$200,Z$1,FALSE),VLOOKUP($G106,Sheet3!$H$2:$O$200,Z$1,FALSE))),$I$1),$I$1)</f>
        <v>0</v>
      </c>
      <c r="AA106" s="15">
        <f>IFERROR(IF(ISBLANK(T106),IFERROR(VLOOKUP($E106,Sheet3!$H$2:$O$200,AA$1,FALSE),IFERROR(VLOOKUP($F106,Sheet3!$H$2:$O$200,AA$1,FALSE),VLOOKUP($G106,Sheet3!$H$2:$O$200,AA$1,FALSE))),$I$1),$I$1)</f>
        <v>0</v>
      </c>
      <c r="AB106" s="15">
        <f>IFERROR(IF(ISBLANK(U106),IFERROR(VLOOKUP($E106,Sheet3!$H$2:$O$200,AB$1,FALSE),IFERROR(VLOOKUP($F106,Sheet3!$H$2:$O$200,AB$1,FALSE),VLOOKUP($G106,Sheet3!$H$2:$O$200,AB$1,FALSE))),$I$1),$I$1)</f>
        <v>0</v>
      </c>
      <c r="AC106" s="15">
        <f>IFERROR(IF(ISBLANK(V106),IFERROR(VLOOKUP($E106,Sheet3!$H$2:$O$200,AC$1,FALSE),IFERROR(VLOOKUP($F106,Sheet3!$H$2:$O$200,AC$1,FALSE),VLOOKUP($G106,Sheet3!$H$2:$O$200,AC$1,FALSE))),$I$1),$I$1)</f>
        <v>0</v>
      </c>
      <c r="AD106" s="15">
        <f>IFERROR(IF(ISBLANK(W106),IFERROR(VLOOKUP($E106,Sheet3!$H$2:$O$200,AD$1,FALSE),IFERROR(VLOOKUP($F106,Sheet3!$H$2:$O$200,AD$1,FALSE),VLOOKUP($G106,Sheet3!$H$2:$O$200,AD$1,FALSE))),$I$1),$I$1)</f>
        <v>0</v>
      </c>
      <c r="AE106" s="15">
        <f>IFERROR(IF(ISBLANK(X106),IFERROR(VLOOKUP($F106,Sheet3!$H$2:$O$200,AE$1,FALSE),VLOOKUP($G106,Sheet3!$H$2:$O$200,AE$1,FALSE)),$I$1),$I$1)</f>
        <v>0</v>
      </c>
      <c r="AF106" s="15">
        <f>IFERROR(IF(ISBLANK(Y106),IFERROR(VLOOKUP($F106,Sheet3!$H$2:$O$200,AF$1,FALSE),VLOOKUP($G106,Sheet3!$H$2:$O$200,AF$1,FALSE)),$I$1),$I$1)</f>
        <v>0</v>
      </c>
      <c r="AG106" s="15">
        <f>IFERROR(IF(ISBLANK(Z106),IFERROR(VLOOKUP($F106,Sheet3!$H$2:$O$200,AG$1,FALSE),VLOOKUP($G106,Sheet3!$H$2:$O$200,AG$1,FALSE)),$I$1),$I$1)</f>
        <v>0</v>
      </c>
      <c r="AH106" s="15">
        <f>IFERROR(IF(ISBLANK(AA106),IFERROR(VLOOKUP($F106,Sheet3!$H$2:$O$200,AH$1,FALSE),VLOOKUP($G106,Sheet3!$H$2:$O$200,AH$1,FALSE)),$I$1),$I$1)</f>
        <v>0</v>
      </c>
      <c r="AI106" s="15">
        <f>IFERROR(IF(ISBLANK(AB106),IFERROR(VLOOKUP($F106,Sheet3!$H$2:$O$200,AI$1,FALSE),VLOOKUP($G106,Sheet3!$H$2:$O$200,AI$1,FALSE)),$I$1),$I$1)</f>
        <v>0</v>
      </c>
      <c r="AJ106" s="15">
        <f>IFERROR(IF(ISBLANK(AC106),IFERROR(VLOOKUP($F106,Sheet3!$H$2:$O$200,AJ$1,FALSE),VLOOKUP($G106,Sheet3!$H$2:$O$200,AJ$1,FALSE)),$I$1),$I$1)</f>
        <v>0</v>
      </c>
      <c r="AK106" s="15">
        <f>IFERROR(IF(ISBLANK(AD106),IFERROR(VLOOKUP($F106,Sheet3!$H$2:$O$200,AK$1,FALSE),VLOOKUP($G106,Sheet3!$H$2:$O$200,AK$1,FALSE)),$I$1),$I$1)</f>
        <v>0</v>
      </c>
      <c r="AL106" s="15">
        <f>IFERROR(IF(ISBLANK(AE106),VLOOKUP($G106,Sheet3!$H$2:$O$200,AL$1,FALSE),$I$1),$I$1)</f>
        <v>0</v>
      </c>
      <c r="AM106" s="15">
        <f>IFERROR(IF(ISBLANK(AF106),VLOOKUP($G106,Sheet3!$H$2:$O$200,AM$1,FALSE),$I$1),$I$1)</f>
        <v>0</v>
      </c>
      <c r="AN106" s="15">
        <f>IFERROR(IF(ISBLANK(AG106),VLOOKUP($G106,Sheet3!$H$2:$O$200,AN$1,FALSE),$I$1),$I$1)</f>
        <v>0</v>
      </c>
      <c r="AO106" s="15">
        <f>IFERROR(IF(ISBLANK(AH106),VLOOKUP($G106,Sheet3!$H$2:$O$200,AO$1,FALSE),$I$1),$I$1)</f>
        <v>0</v>
      </c>
      <c r="AP106" s="15">
        <f>IFERROR(IF(ISBLANK(AI106),VLOOKUP($G106,Sheet3!$H$2:$O$200,AP$1,FALSE),$I$1),$I$1)</f>
        <v>0</v>
      </c>
      <c r="AQ106" s="15">
        <f>IFERROR(IF(ISBLANK(AJ106),VLOOKUP($G106,Sheet3!$H$2:$O$200,AQ$1,FALSE),$I$1),$I$1)</f>
        <v>0</v>
      </c>
      <c r="AR106" s="15">
        <f>IFERROR(IF(ISBLANK(AK106),VLOOKUP($G106,Sheet3!$H$2:$O$200,AR$1,FALSE),$I$1),$I$1)</f>
        <v>0</v>
      </c>
      <c r="AS106" s="15">
        <f t="shared" ref="AS106:AY106" si="113">IFERROR(IF(ISBLANK(J106),IF(ISBLANK(Q106),IF(ISBLANK(X106),IF(ISBLANK(AE106),IF(ISBLANK(AL106),$BB$1,AL106),AE106),X106),Q106),J106),$BB$1)</f>
        <v>0</v>
      </c>
      <c r="AT106" s="15">
        <f t="shared" si="113"/>
        <v>0</v>
      </c>
      <c r="AU106" s="15">
        <f t="shared" si="113"/>
        <v>0</v>
      </c>
      <c r="AV106" s="15" t="str">
        <f t="shared" si="113"/>
        <v>sweet vermouth</v>
      </c>
      <c r="AW106" s="15">
        <f t="shared" si="113"/>
        <v>0</v>
      </c>
      <c r="AX106" s="15">
        <f t="shared" si="113"/>
        <v>0</v>
      </c>
      <c r="AY106" s="15">
        <f t="shared" si="113"/>
        <v>0</v>
      </c>
      <c r="BA106" s="13">
        <f t="shared" si="1"/>
        <v>35</v>
      </c>
      <c r="BB106" s="15" t="b">
        <f t="shared" si="2"/>
        <v>0</v>
      </c>
    </row>
    <row r="107" spans="1:54" x14ac:dyDescent="0.2">
      <c r="A107" s="19" t="s">
        <v>232</v>
      </c>
      <c r="B107" s="19" t="s">
        <v>233</v>
      </c>
      <c r="C107" s="19" t="s">
        <v>100</v>
      </c>
      <c r="D107" s="19" t="s">
        <v>90</v>
      </c>
      <c r="E107" s="19" t="s">
        <v>48</v>
      </c>
      <c r="F107" s="19"/>
      <c r="G107" s="19"/>
      <c r="H107" s="19" t="s">
        <v>232</v>
      </c>
      <c r="I107" s="15">
        <v>3</v>
      </c>
      <c r="J107" s="15">
        <f>IFERROR(VLOOKUP($C107,Sheet3!$H$2:$O$200,J$1,FALSE),IFERROR(VLOOKUP($D107,Sheet3!$H$2:$O$200,J$1,FALSE),VLOOKUP($E107,Sheet3!$H$2:$O$200,J$1,FALSE)))</f>
        <v>0</v>
      </c>
      <c r="K107" s="15">
        <f>IFERROR(VLOOKUP($C107,Sheet3!$H$2:$O$200,K$1,FALSE),IFERROR(VLOOKUP($D107,Sheet3!$H$2:$O$200,K$1,FALSE),VLOOKUP($E107,Sheet3!$H$2:$O$200,K$1,FALSE)))</f>
        <v>0</v>
      </c>
      <c r="L107" s="15">
        <f>IFERROR(VLOOKUP($C107,Sheet3!$H$2:$O$200,L$1,FALSE),IFERROR(VLOOKUP($D107,Sheet3!$H$2:$O$200,L$1,FALSE),VLOOKUP($E107,Sheet3!$H$2:$O$200,L$1,FALSE)))</f>
        <v>0</v>
      </c>
      <c r="M107" s="15" t="str">
        <f>IFERROR(VLOOKUP($C107,Sheet3!$H$2:$O$200,M$1,FALSE),IFERROR(VLOOKUP($D107,Sheet3!$H$2:$O$200,M$1,FALSE),VLOOKUP($E107,Sheet3!$H$2:$O$200,M$1,FALSE)))</f>
        <v>triple sec</v>
      </c>
      <c r="N107" s="15">
        <f>IFERROR(VLOOKUP($C107,Sheet3!$H$2:$O$200,N$1,FALSE),IFERROR(VLOOKUP($D107,Sheet3!$H$2:$O$200,N$1,FALSE),VLOOKUP($E107,Sheet3!$H$2:$O$200,N$1,FALSE)))</f>
        <v>0</v>
      </c>
      <c r="O107" s="15">
        <f>IFERROR(VLOOKUP($C107,Sheet3!$H$2:$O$200,O$1,FALSE),IFERROR(VLOOKUP($D107,Sheet3!$H$2:$O$200,O$1,FALSE),VLOOKUP($E107,Sheet3!$H$2:$O$200,O$1,FALSE)))</f>
        <v>0</v>
      </c>
      <c r="P107" s="15">
        <f>IFERROR(VLOOKUP($C107,Sheet3!$H$2:$O$200,P$1,FALSE),IFERROR(VLOOKUP($D107,Sheet3!$H$2:$O$200,P$1,FALSE),VLOOKUP($E107,Sheet3!$H$2:$O$200,P$1,FALSE)))</f>
        <v>0</v>
      </c>
      <c r="Q107" s="15">
        <f>IFERROR(IF(ISBLANK(J107),IFERROR(VLOOKUP($D107,Sheet3!$H$2:$O$200,Q$1,FALSE),IFERROR(VLOOKUP($E107,Sheet3!$H$2:$O$200,Q$1,FALSE),VLOOKUP($F107,Sheet3!$H$2:$O$200,Q$1,FALSE))),$I$1),$I$1)</f>
        <v>0</v>
      </c>
      <c r="R107" s="15">
        <f>IFERROR(IF(ISBLANK(K107),IFERROR(VLOOKUP($D107,Sheet3!$H$2:$O$200,R$1,FALSE),IFERROR(VLOOKUP($E107,Sheet3!$H$2:$O$200,R$1,FALSE),VLOOKUP($F107,Sheet3!$H$2:$O$200,R$1,FALSE))),$I$1),$I$1)</f>
        <v>0</v>
      </c>
      <c r="S107" s="15">
        <f>IFERROR(IF(ISBLANK(L107),IFERROR(VLOOKUP($D107,Sheet3!$H$2:$O$200,S$1,FALSE),IFERROR(VLOOKUP($E107,Sheet3!$H$2:$O$200,S$1,FALSE),VLOOKUP($F107,Sheet3!$H$2:$O$200,S$1,FALSE))),$I$1),$I$1)</f>
        <v>0</v>
      </c>
      <c r="T107" s="15">
        <f>IFERROR(IF(ISBLANK(M107),IFERROR(VLOOKUP($D107,Sheet3!$H$2:$O$200,T$1,FALSE),IFERROR(VLOOKUP($E107,Sheet3!$H$2:$O$200,T$1,FALSE),VLOOKUP($F107,Sheet3!$H$2:$O$200,T$1,FALSE))),$I$1),$I$1)</f>
        <v>0</v>
      </c>
      <c r="U107" s="15">
        <f>IFERROR(IF(ISBLANK(N107),IFERROR(VLOOKUP($D107,Sheet3!$H$2:$O$200,U$1,FALSE),IFERROR(VLOOKUP($E107,Sheet3!$H$2:$O$200,U$1,FALSE),VLOOKUP($F107,Sheet3!$H$2:$O$200,U$1,FALSE))),$I$1),$I$1)</f>
        <v>0</v>
      </c>
      <c r="V107" s="15">
        <f>IFERROR(IF(ISBLANK(O107),IFERROR(VLOOKUP($D107,Sheet3!$H$2:$O$200,V$1,FALSE),IFERROR(VLOOKUP($E107,Sheet3!$H$2:$O$200,V$1,FALSE),VLOOKUP($F107,Sheet3!$H$2:$O$200,V$1,FALSE))),$I$1),$I$1)</f>
        <v>0</v>
      </c>
      <c r="W107" s="15">
        <f>IFERROR(IF(ISBLANK(P107),IFERROR(VLOOKUP($D107,Sheet3!$H$2:$O$200,W$1,FALSE),IFERROR(VLOOKUP($E107,Sheet3!$H$2:$O$200,W$1,FALSE),VLOOKUP($F107,Sheet3!$H$2:$O$200,W$1,FALSE))),$I$1),$I$1)</f>
        <v>0</v>
      </c>
      <c r="X107" s="15">
        <f>IFERROR(IF(ISBLANK(Q107),IFERROR(VLOOKUP($E107,Sheet3!$H$2:$O$200,X$1,FALSE),IFERROR(VLOOKUP($F107,Sheet3!$H$2:$O$200,X$1,FALSE),VLOOKUP($G107,Sheet3!$H$2:$O$200,X$1,FALSE))),$I$1),$I$1)</f>
        <v>0</v>
      </c>
      <c r="Y107" s="15">
        <f>IFERROR(IF(ISBLANK(R107),IFERROR(VLOOKUP($E107,Sheet3!$H$2:$O$200,Y$1,FALSE),IFERROR(VLOOKUP($F107,Sheet3!$H$2:$O$200,Y$1,FALSE),VLOOKUP($G107,Sheet3!$H$2:$O$200,Y$1,FALSE))),$I$1),$I$1)</f>
        <v>0</v>
      </c>
      <c r="Z107" s="15">
        <f>IFERROR(IF(ISBLANK(S107),IFERROR(VLOOKUP($E107,Sheet3!$H$2:$O$200,Z$1,FALSE),IFERROR(VLOOKUP($F107,Sheet3!$H$2:$O$200,Z$1,FALSE),VLOOKUP($G107,Sheet3!$H$2:$O$200,Z$1,FALSE))),$I$1),$I$1)</f>
        <v>0</v>
      </c>
      <c r="AA107" s="15">
        <f>IFERROR(IF(ISBLANK(T107),IFERROR(VLOOKUP($E107,Sheet3!$H$2:$O$200,AA$1,FALSE),IFERROR(VLOOKUP($F107,Sheet3!$H$2:$O$200,AA$1,FALSE),VLOOKUP($G107,Sheet3!$H$2:$O$200,AA$1,FALSE))),$I$1),$I$1)</f>
        <v>0</v>
      </c>
      <c r="AB107" s="15">
        <f>IFERROR(IF(ISBLANK(U107),IFERROR(VLOOKUP($E107,Sheet3!$H$2:$O$200,AB$1,FALSE),IFERROR(VLOOKUP($F107,Sheet3!$H$2:$O$200,AB$1,FALSE),VLOOKUP($G107,Sheet3!$H$2:$O$200,AB$1,FALSE))),$I$1),$I$1)</f>
        <v>0</v>
      </c>
      <c r="AC107" s="15">
        <f>IFERROR(IF(ISBLANK(V107),IFERROR(VLOOKUP($E107,Sheet3!$H$2:$O$200,AC$1,FALSE),IFERROR(VLOOKUP($F107,Sheet3!$H$2:$O$200,AC$1,FALSE),VLOOKUP($G107,Sheet3!$H$2:$O$200,AC$1,FALSE))),$I$1),$I$1)</f>
        <v>0</v>
      </c>
      <c r="AD107" s="15">
        <f>IFERROR(IF(ISBLANK(W107),IFERROR(VLOOKUP($E107,Sheet3!$H$2:$O$200,AD$1,FALSE),IFERROR(VLOOKUP($F107,Sheet3!$H$2:$O$200,AD$1,FALSE),VLOOKUP($G107,Sheet3!$H$2:$O$200,AD$1,FALSE))),$I$1),$I$1)</f>
        <v>0</v>
      </c>
      <c r="AE107" s="15">
        <f>IFERROR(IF(ISBLANK(X107),IFERROR(VLOOKUP($F107,Sheet3!$H$2:$O$200,AE$1,FALSE),VLOOKUP($G107,Sheet3!$H$2:$O$200,AE$1,FALSE)),$I$1),$I$1)</f>
        <v>0</v>
      </c>
      <c r="AF107" s="15">
        <f>IFERROR(IF(ISBLANK(Y107),IFERROR(VLOOKUP($F107,Sheet3!$H$2:$O$200,AF$1,FALSE),VLOOKUP($G107,Sheet3!$H$2:$O$200,AF$1,FALSE)),$I$1),$I$1)</f>
        <v>0</v>
      </c>
      <c r="AG107" s="15">
        <f>IFERROR(IF(ISBLANK(Z107),IFERROR(VLOOKUP($F107,Sheet3!$H$2:$O$200,AG$1,FALSE),VLOOKUP($G107,Sheet3!$H$2:$O$200,AG$1,FALSE)),$I$1),$I$1)</f>
        <v>0</v>
      </c>
      <c r="AH107" s="15">
        <f>IFERROR(IF(ISBLANK(AA107),IFERROR(VLOOKUP($F107,Sheet3!$H$2:$O$200,AH$1,FALSE),VLOOKUP($G107,Sheet3!$H$2:$O$200,AH$1,FALSE)),$I$1),$I$1)</f>
        <v>0</v>
      </c>
      <c r="AI107" s="15">
        <f>IFERROR(IF(ISBLANK(AB107),IFERROR(VLOOKUP($F107,Sheet3!$H$2:$O$200,AI$1,FALSE),VLOOKUP($G107,Sheet3!$H$2:$O$200,AI$1,FALSE)),$I$1),$I$1)</f>
        <v>0</v>
      </c>
      <c r="AJ107" s="15">
        <f>IFERROR(IF(ISBLANK(AC107),IFERROR(VLOOKUP($F107,Sheet3!$H$2:$O$200,AJ$1,FALSE),VLOOKUP($G107,Sheet3!$H$2:$O$200,AJ$1,FALSE)),$I$1),$I$1)</f>
        <v>0</v>
      </c>
      <c r="AK107" s="15">
        <f>IFERROR(IF(ISBLANK(AD107),IFERROR(VLOOKUP($F107,Sheet3!$H$2:$O$200,AK$1,FALSE),VLOOKUP($G107,Sheet3!$H$2:$O$200,AK$1,FALSE)),$I$1),$I$1)</f>
        <v>0</v>
      </c>
      <c r="AL107" s="15">
        <f>IFERROR(IF(ISBLANK(AE107),VLOOKUP($G107,Sheet3!$H$2:$O$200,AL$1,FALSE),$I$1),$I$1)</f>
        <v>0</v>
      </c>
      <c r="AM107" s="15">
        <f>IFERROR(IF(ISBLANK(AF107),VLOOKUP($G107,Sheet3!$H$2:$O$200,AM$1,FALSE),$I$1),$I$1)</f>
        <v>0</v>
      </c>
      <c r="AN107" s="15">
        <f>IFERROR(IF(ISBLANK(AG107),VLOOKUP($G107,Sheet3!$H$2:$O$200,AN$1,FALSE),$I$1),$I$1)</f>
        <v>0</v>
      </c>
      <c r="AO107" s="15">
        <f>IFERROR(IF(ISBLANK(AH107),VLOOKUP($G107,Sheet3!$H$2:$O$200,AO$1,FALSE),$I$1),$I$1)</f>
        <v>0</v>
      </c>
      <c r="AP107" s="15">
        <f>IFERROR(IF(ISBLANK(AI107),VLOOKUP($G107,Sheet3!$H$2:$O$200,AP$1,FALSE),$I$1),$I$1)</f>
        <v>0</v>
      </c>
      <c r="AQ107" s="15">
        <f>IFERROR(IF(ISBLANK(AJ107),VLOOKUP($G107,Sheet3!$H$2:$O$200,AQ$1,FALSE),$I$1),$I$1)</f>
        <v>0</v>
      </c>
      <c r="AR107" s="15">
        <f>IFERROR(IF(ISBLANK(AK107),VLOOKUP($G107,Sheet3!$H$2:$O$200,AR$1,FALSE),$I$1),$I$1)</f>
        <v>0</v>
      </c>
      <c r="AS107" s="15">
        <f t="shared" ref="AS107:AY107" si="114">IFERROR(IF(ISBLANK(J107),IF(ISBLANK(Q107),IF(ISBLANK(X107),IF(ISBLANK(AE107),IF(ISBLANK(AL107),$BB$1,AL107),AE107),X107),Q107),J107),$BB$1)</f>
        <v>0</v>
      </c>
      <c r="AT107" s="15">
        <f t="shared" si="114"/>
        <v>0</v>
      </c>
      <c r="AU107" s="15">
        <f t="shared" si="114"/>
        <v>0</v>
      </c>
      <c r="AV107" s="15" t="str">
        <f t="shared" si="114"/>
        <v>triple sec</v>
      </c>
      <c r="AW107" s="15">
        <f t="shared" si="114"/>
        <v>0</v>
      </c>
      <c r="AX107" s="15">
        <f t="shared" si="114"/>
        <v>0</v>
      </c>
      <c r="AY107" s="15">
        <f t="shared" si="114"/>
        <v>0</v>
      </c>
      <c r="BA107" s="13">
        <f t="shared" si="1"/>
        <v>35</v>
      </c>
      <c r="BB107" s="15" t="b">
        <f t="shared" si="2"/>
        <v>0</v>
      </c>
    </row>
    <row r="108" spans="1:54" x14ac:dyDescent="0.2">
      <c r="A108" s="19" t="s">
        <v>234</v>
      </c>
      <c r="B108" s="19" t="s">
        <v>233</v>
      </c>
      <c r="C108" s="19" t="s">
        <v>57</v>
      </c>
      <c r="D108" s="19" t="s">
        <v>38</v>
      </c>
      <c r="E108" s="19"/>
      <c r="F108" s="19"/>
      <c r="G108" s="19"/>
      <c r="H108" s="19" t="s">
        <v>234</v>
      </c>
      <c r="I108" s="15">
        <v>2</v>
      </c>
      <c r="J108" s="15">
        <f>IFERROR(VLOOKUP($C108,Sheet3!$H$2:$O$200,J$1,FALSE),IFERROR(VLOOKUP($D108,Sheet3!$H$2:$O$200,J$1,FALSE),VLOOKUP($E108,Sheet3!$H$2:$O$200,J$1,FALSE)))</f>
        <v>0</v>
      </c>
      <c r="K108" s="15">
        <f>IFERROR(VLOOKUP($C108,Sheet3!$H$2:$O$200,K$1,FALSE),IFERROR(VLOOKUP($D108,Sheet3!$H$2:$O$200,K$1,FALSE),VLOOKUP($E108,Sheet3!$H$2:$O$200,K$1,FALSE)))</f>
        <v>0</v>
      </c>
      <c r="L108" s="15">
        <f>IFERROR(VLOOKUP($C108,Sheet3!$H$2:$O$200,L$1,FALSE),IFERROR(VLOOKUP($D108,Sheet3!$H$2:$O$200,L$1,FALSE),VLOOKUP($E108,Sheet3!$H$2:$O$200,L$1,FALSE)))</f>
        <v>0</v>
      </c>
      <c r="M108" s="15" t="str">
        <f>IFERROR(VLOOKUP($C108,Sheet3!$H$2:$O$200,M$1,FALSE),IFERROR(VLOOKUP($D108,Sheet3!$H$2:$O$200,M$1,FALSE),VLOOKUP($E108,Sheet3!$H$2:$O$200,M$1,FALSE)))</f>
        <v>crème de noyau</v>
      </c>
      <c r="N108" s="15">
        <f>IFERROR(VLOOKUP($C108,Sheet3!$H$2:$O$200,N$1,FALSE),IFERROR(VLOOKUP($D108,Sheet3!$H$2:$O$200,N$1,FALSE),VLOOKUP($E108,Sheet3!$H$2:$O$200,N$1,FALSE)))</f>
        <v>0</v>
      </c>
      <c r="O108" s="15">
        <f>IFERROR(VLOOKUP($C108,Sheet3!$H$2:$O$200,O$1,FALSE),IFERROR(VLOOKUP($D108,Sheet3!$H$2:$O$200,O$1,FALSE),VLOOKUP($E108,Sheet3!$H$2:$O$200,O$1,FALSE)))</f>
        <v>0</v>
      </c>
      <c r="P108" s="15">
        <f>IFERROR(VLOOKUP($C108,Sheet3!$H$2:$O$200,P$1,FALSE),IFERROR(VLOOKUP($D108,Sheet3!$H$2:$O$200,P$1,FALSE),VLOOKUP($E108,Sheet3!$H$2:$O$200,P$1,FALSE)))</f>
        <v>0</v>
      </c>
      <c r="Q108" s="15">
        <f>IFERROR(IF(ISBLANK(J108),IFERROR(VLOOKUP($D108,Sheet3!$H$2:$O$200,Q$1,FALSE),IFERROR(VLOOKUP($E108,Sheet3!$H$2:$O$200,Q$1,FALSE),VLOOKUP($F108,Sheet3!$H$2:$O$200,Q$1,FALSE))),$I$1),$I$1)</f>
        <v>0</v>
      </c>
      <c r="R108" s="15">
        <f>IFERROR(IF(ISBLANK(K108),IFERROR(VLOOKUP($D108,Sheet3!$H$2:$O$200,R$1,FALSE),IFERROR(VLOOKUP($E108,Sheet3!$H$2:$O$200,R$1,FALSE),VLOOKUP($F108,Sheet3!$H$2:$O$200,R$1,FALSE))),$I$1),$I$1)</f>
        <v>0</v>
      </c>
      <c r="S108" s="15">
        <f>IFERROR(IF(ISBLANK(L108),IFERROR(VLOOKUP($D108,Sheet3!$H$2:$O$200,S$1,FALSE),IFERROR(VLOOKUP($E108,Sheet3!$H$2:$O$200,S$1,FALSE),VLOOKUP($F108,Sheet3!$H$2:$O$200,S$1,FALSE))),$I$1),$I$1)</f>
        <v>0</v>
      </c>
      <c r="T108" s="15">
        <f>IFERROR(IF(ISBLANK(M108),IFERROR(VLOOKUP($D108,Sheet3!$H$2:$O$200,T$1,FALSE),IFERROR(VLOOKUP($E108,Sheet3!$H$2:$O$200,T$1,FALSE),VLOOKUP($F108,Sheet3!$H$2:$O$200,T$1,FALSE))),$I$1),$I$1)</f>
        <v>0</v>
      </c>
      <c r="U108" s="15">
        <f>IFERROR(IF(ISBLANK(N108),IFERROR(VLOOKUP($D108,Sheet3!$H$2:$O$200,U$1,FALSE),IFERROR(VLOOKUP($E108,Sheet3!$H$2:$O$200,U$1,FALSE),VLOOKUP($F108,Sheet3!$H$2:$O$200,U$1,FALSE))),$I$1),$I$1)</f>
        <v>0</v>
      </c>
      <c r="V108" s="15">
        <f>IFERROR(IF(ISBLANK(O108),IFERROR(VLOOKUP($D108,Sheet3!$H$2:$O$200,V$1,FALSE),IFERROR(VLOOKUP($E108,Sheet3!$H$2:$O$200,V$1,FALSE),VLOOKUP($F108,Sheet3!$H$2:$O$200,V$1,FALSE))),$I$1),$I$1)</f>
        <v>0</v>
      </c>
      <c r="W108" s="15">
        <f>IFERROR(IF(ISBLANK(P108),IFERROR(VLOOKUP($D108,Sheet3!$H$2:$O$200,W$1,FALSE),IFERROR(VLOOKUP($E108,Sheet3!$H$2:$O$200,W$1,FALSE),VLOOKUP($F108,Sheet3!$H$2:$O$200,W$1,FALSE))),$I$1),$I$1)</f>
        <v>0</v>
      </c>
      <c r="X108" s="15">
        <f>IFERROR(IF(ISBLANK(Q108),IFERROR(VLOOKUP($E108,Sheet3!$H$2:$O$200,X$1,FALSE),IFERROR(VLOOKUP($F108,Sheet3!$H$2:$O$200,X$1,FALSE),VLOOKUP($G108,Sheet3!$H$2:$O$200,X$1,FALSE))),$I$1),$I$1)</f>
        <v>0</v>
      </c>
      <c r="Y108" s="15">
        <f>IFERROR(IF(ISBLANK(R108),IFERROR(VLOOKUP($E108,Sheet3!$H$2:$O$200,Y$1,FALSE),IFERROR(VLOOKUP($F108,Sheet3!$H$2:$O$200,Y$1,FALSE),VLOOKUP($G108,Sheet3!$H$2:$O$200,Y$1,FALSE))),$I$1),$I$1)</f>
        <v>0</v>
      </c>
      <c r="Z108" s="15">
        <f>IFERROR(IF(ISBLANK(S108),IFERROR(VLOOKUP($E108,Sheet3!$H$2:$O$200,Z$1,FALSE),IFERROR(VLOOKUP($F108,Sheet3!$H$2:$O$200,Z$1,FALSE),VLOOKUP($G108,Sheet3!$H$2:$O$200,Z$1,FALSE))),$I$1),$I$1)</f>
        <v>0</v>
      </c>
      <c r="AA108" s="15">
        <f>IFERROR(IF(ISBLANK(T108),IFERROR(VLOOKUP($E108,Sheet3!$H$2:$O$200,AA$1,FALSE),IFERROR(VLOOKUP($F108,Sheet3!$H$2:$O$200,AA$1,FALSE),VLOOKUP($G108,Sheet3!$H$2:$O$200,AA$1,FALSE))),$I$1),$I$1)</f>
        <v>0</v>
      </c>
      <c r="AB108" s="15">
        <f>IFERROR(IF(ISBLANK(U108),IFERROR(VLOOKUP($E108,Sheet3!$H$2:$O$200,AB$1,FALSE),IFERROR(VLOOKUP($F108,Sheet3!$H$2:$O$200,AB$1,FALSE),VLOOKUP($G108,Sheet3!$H$2:$O$200,AB$1,FALSE))),$I$1),$I$1)</f>
        <v>0</v>
      </c>
      <c r="AC108" s="15">
        <f>IFERROR(IF(ISBLANK(V108),IFERROR(VLOOKUP($E108,Sheet3!$H$2:$O$200,AC$1,FALSE),IFERROR(VLOOKUP($F108,Sheet3!$H$2:$O$200,AC$1,FALSE),VLOOKUP($G108,Sheet3!$H$2:$O$200,AC$1,FALSE))),$I$1),$I$1)</f>
        <v>0</v>
      </c>
      <c r="AD108" s="15">
        <f>IFERROR(IF(ISBLANK(W108),IFERROR(VLOOKUP($E108,Sheet3!$H$2:$O$200,AD$1,FALSE),IFERROR(VLOOKUP($F108,Sheet3!$H$2:$O$200,AD$1,FALSE),VLOOKUP($G108,Sheet3!$H$2:$O$200,AD$1,FALSE))),$I$1),$I$1)</f>
        <v>0</v>
      </c>
      <c r="AE108" s="15">
        <f>IFERROR(IF(ISBLANK(X108),IFERROR(VLOOKUP($F108,Sheet3!$H$2:$O$200,AE$1,FALSE),VLOOKUP($G108,Sheet3!$H$2:$O$200,AE$1,FALSE)),$I$1),$I$1)</f>
        <v>0</v>
      </c>
      <c r="AF108" s="15">
        <f>IFERROR(IF(ISBLANK(Y108),IFERROR(VLOOKUP($F108,Sheet3!$H$2:$O$200,AF$1,FALSE),VLOOKUP($G108,Sheet3!$H$2:$O$200,AF$1,FALSE)),$I$1),$I$1)</f>
        <v>0</v>
      </c>
      <c r="AG108" s="15">
        <f>IFERROR(IF(ISBLANK(Z108),IFERROR(VLOOKUP($F108,Sheet3!$H$2:$O$200,AG$1,FALSE),VLOOKUP($G108,Sheet3!$H$2:$O$200,AG$1,FALSE)),$I$1),$I$1)</f>
        <v>0</v>
      </c>
      <c r="AH108" s="15">
        <f>IFERROR(IF(ISBLANK(AA108),IFERROR(VLOOKUP($F108,Sheet3!$H$2:$O$200,AH$1,FALSE),VLOOKUP($G108,Sheet3!$H$2:$O$200,AH$1,FALSE)),$I$1),$I$1)</f>
        <v>0</v>
      </c>
      <c r="AI108" s="15">
        <f>IFERROR(IF(ISBLANK(AB108),IFERROR(VLOOKUP($F108,Sheet3!$H$2:$O$200,AI$1,FALSE),VLOOKUP($G108,Sheet3!$H$2:$O$200,AI$1,FALSE)),$I$1),$I$1)</f>
        <v>0</v>
      </c>
      <c r="AJ108" s="15">
        <f>IFERROR(IF(ISBLANK(AC108),IFERROR(VLOOKUP($F108,Sheet3!$H$2:$O$200,AJ$1,FALSE),VLOOKUP($G108,Sheet3!$H$2:$O$200,AJ$1,FALSE)),$I$1),$I$1)</f>
        <v>0</v>
      </c>
      <c r="AK108" s="15">
        <f>IFERROR(IF(ISBLANK(AD108),IFERROR(VLOOKUP($F108,Sheet3!$H$2:$O$200,AK$1,FALSE),VLOOKUP($G108,Sheet3!$H$2:$O$200,AK$1,FALSE)),$I$1),$I$1)</f>
        <v>0</v>
      </c>
      <c r="AL108" s="15">
        <f>IFERROR(IF(ISBLANK(AE108),VLOOKUP($G108,Sheet3!$H$2:$O$200,AL$1,FALSE),$I$1),$I$1)</f>
        <v>0</v>
      </c>
      <c r="AM108" s="15">
        <f>IFERROR(IF(ISBLANK(AF108),VLOOKUP($G108,Sheet3!$H$2:$O$200,AM$1,FALSE),$I$1),$I$1)</f>
        <v>0</v>
      </c>
      <c r="AN108" s="15">
        <f>IFERROR(IF(ISBLANK(AG108),VLOOKUP($G108,Sheet3!$H$2:$O$200,AN$1,FALSE),$I$1),$I$1)</f>
        <v>0</v>
      </c>
      <c r="AO108" s="15">
        <f>IFERROR(IF(ISBLANK(AH108),VLOOKUP($G108,Sheet3!$H$2:$O$200,AO$1,FALSE),$I$1),$I$1)</f>
        <v>0</v>
      </c>
      <c r="AP108" s="15">
        <f>IFERROR(IF(ISBLANK(AI108),VLOOKUP($G108,Sheet3!$H$2:$O$200,AP$1,FALSE),$I$1),$I$1)</f>
        <v>0</v>
      </c>
      <c r="AQ108" s="15">
        <f>IFERROR(IF(ISBLANK(AJ108),VLOOKUP($G108,Sheet3!$H$2:$O$200,AQ$1,FALSE),$I$1),$I$1)</f>
        <v>0</v>
      </c>
      <c r="AR108" s="15">
        <f>IFERROR(IF(ISBLANK(AK108),VLOOKUP($G108,Sheet3!$H$2:$O$200,AR$1,FALSE),$I$1),$I$1)</f>
        <v>0</v>
      </c>
      <c r="AS108" s="15">
        <f t="shared" ref="AS108:AY108" si="115">IFERROR(IF(ISBLANK(J108),IF(ISBLANK(Q108),IF(ISBLANK(X108),IF(ISBLANK(AE108),IF(ISBLANK(AL108),$BB$1,AL108),AE108),X108),Q108),J108),$BB$1)</f>
        <v>0</v>
      </c>
      <c r="AT108" s="15">
        <f t="shared" si="115"/>
        <v>0</v>
      </c>
      <c r="AU108" s="15">
        <f t="shared" si="115"/>
        <v>0</v>
      </c>
      <c r="AV108" s="15" t="str">
        <f t="shared" si="115"/>
        <v>crème de noyau</v>
      </c>
      <c r="AW108" s="15">
        <f t="shared" si="115"/>
        <v>0</v>
      </c>
      <c r="AX108" s="15">
        <f t="shared" si="115"/>
        <v>0</v>
      </c>
      <c r="AY108" s="15">
        <f t="shared" si="115"/>
        <v>0</v>
      </c>
      <c r="BA108" s="13">
        <f t="shared" si="1"/>
        <v>35</v>
      </c>
      <c r="BB108" s="15" t="b">
        <f t="shared" si="2"/>
        <v>0</v>
      </c>
    </row>
    <row r="109" spans="1:54" x14ac:dyDescent="0.2">
      <c r="A109" s="19" t="s">
        <v>235</v>
      </c>
      <c r="B109" s="19" t="s">
        <v>236</v>
      </c>
      <c r="C109" s="19" t="s">
        <v>84</v>
      </c>
      <c r="D109" s="19"/>
      <c r="E109" s="19"/>
      <c r="F109" s="19"/>
      <c r="G109" s="19"/>
      <c r="H109" s="19" t="s">
        <v>235</v>
      </c>
      <c r="I109" s="15">
        <v>1</v>
      </c>
      <c r="J109" s="15">
        <f>IFERROR(VLOOKUP($C109,Sheet3!$H$2:$O$200,J$1,FALSE),IFERROR(VLOOKUP($D109,Sheet3!$H$2:$O$200,J$1,FALSE),VLOOKUP($E109,Sheet3!$H$2:$O$200,J$1,FALSE)))</f>
        <v>0</v>
      </c>
      <c r="K109" s="15" t="str">
        <f>IFERROR(VLOOKUP($C109,Sheet3!$H$2:$O$200,K$1,FALSE),IFERROR(VLOOKUP($D109,Sheet3!$H$2:$O$200,K$1,FALSE),VLOOKUP($E109,Sheet3!$H$2:$O$200,K$1,FALSE)))</f>
        <v>Coca-cola</v>
      </c>
      <c r="L109" s="15">
        <f>IFERROR(VLOOKUP($C109,Sheet3!$H$2:$O$200,L$1,FALSE),IFERROR(VLOOKUP($D109,Sheet3!$H$2:$O$200,L$1,FALSE),VLOOKUP($E109,Sheet3!$H$2:$O$200,L$1,FALSE)))</f>
        <v>0</v>
      </c>
      <c r="M109" s="15">
        <f>IFERROR(VLOOKUP($C109,Sheet3!$H$2:$O$200,M$1,FALSE),IFERROR(VLOOKUP($D109,Sheet3!$H$2:$O$200,M$1,FALSE),VLOOKUP($E109,Sheet3!$H$2:$O$200,M$1,FALSE)))</f>
        <v>0</v>
      </c>
      <c r="N109" s="15">
        <f>IFERROR(VLOOKUP($C109,Sheet3!$H$2:$O$200,N$1,FALSE),IFERROR(VLOOKUP($D109,Sheet3!$H$2:$O$200,N$1,FALSE),VLOOKUP($E109,Sheet3!$H$2:$O$200,N$1,FALSE)))</f>
        <v>0</v>
      </c>
      <c r="O109" s="15">
        <f>IFERROR(VLOOKUP($C109,Sheet3!$H$2:$O$200,O$1,FALSE),IFERROR(VLOOKUP($D109,Sheet3!$H$2:$O$200,O$1,FALSE),VLOOKUP($E109,Sheet3!$H$2:$O$200,O$1,FALSE)))</f>
        <v>0</v>
      </c>
      <c r="P109" s="15">
        <f>IFERROR(VLOOKUP($C109,Sheet3!$H$2:$O$200,P$1,FALSE),IFERROR(VLOOKUP($D109,Sheet3!$H$2:$O$200,P$1,FALSE),VLOOKUP($E109,Sheet3!$H$2:$O$200,P$1,FALSE)))</f>
        <v>0</v>
      </c>
      <c r="Q109" s="15">
        <f>IFERROR(IF(ISBLANK(J109),IFERROR(VLOOKUP($D109,Sheet3!$H$2:$O$200,Q$1,FALSE),IFERROR(VLOOKUP($E109,Sheet3!$H$2:$O$200,Q$1,FALSE),VLOOKUP($F109,Sheet3!$H$2:$O$200,Q$1,FALSE))),$I$1),$I$1)</f>
        <v>0</v>
      </c>
      <c r="R109" s="15">
        <f>IFERROR(IF(ISBLANK(K109),IFERROR(VLOOKUP($D109,Sheet3!$H$2:$O$200,R$1,FALSE),IFERROR(VLOOKUP($E109,Sheet3!$H$2:$O$200,R$1,FALSE),VLOOKUP($F109,Sheet3!$H$2:$O$200,R$1,FALSE))),$I$1),$I$1)</f>
        <v>0</v>
      </c>
      <c r="S109" s="15">
        <f>IFERROR(IF(ISBLANK(L109),IFERROR(VLOOKUP($D109,Sheet3!$H$2:$O$200,S$1,FALSE),IFERROR(VLOOKUP($E109,Sheet3!$H$2:$O$200,S$1,FALSE),VLOOKUP($F109,Sheet3!$H$2:$O$200,S$1,FALSE))),$I$1),$I$1)</f>
        <v>0</v>
      </c>
      <c r="T109" s="15">
        <f>IFERROR(IF(ISBLANK(M109),IFERROR(VLOOKUP($D109,Sheet3!$H$2:$O$200,T$1,FALSE),IFERROR(VLOOKUP($E109,Sheet3!$H$2:$O$200,T$1,FALSE),VLOOKUP($F109,Sheet3!$H$2:$O$200,T$1,FALSE))),$I$1),$I$1)</f>
        <v>0</v>
      </c>
      <c r="U109" s="15">
        <f>IFERROR(IF(ISBLANK(N109),IFERROR(VLOOKUP($D109,Sheet3!$H$2:$O$200,U$1,FALSE),IFERROR(VLOOKUP($E109,Sheet3!$H$2:$O$200,U$1,FALSE),VLOOKUP($F109,Sheet3!$H$2:$O$200,U$1,FALSE))),$I$1),$I$1)</f>
        <v>0</v>
      </c>
      <c r="V109" s="15">
        <f>IFERROR(IF(ISBLANK(O109),IFERROR(VLOOKUP($D109,Sheet3!$H$2:$O$200,V$1,FALSE),IFERROR(VLOOKUP($E109,Sheet3!$H$2:$O$200,V$1,FALSE),VLOOKUP($F109,Sheet3!$H$2:$O$200,V$1,FALSE))),$I$1),$I$1)</f>
        <v>0</v>
      </c>
      <c r="W109" s="15">
        <f>IFERROR(IF(ISBLANK(P109),IFERROR(VLOOKUP($D109,Sheet3!$H$2:$O$200,W$1,FALSE),IFERROR(VLOOKUP($E109,Sheet3!$H$2:$O$200,W$1,FALSE),VLOOKUP($F109,Sheet3!$H$2:$O$200,W$1,FALSE))),$I$1),$I$1)</f>
        <v>0</v>
      </c>
      <c r="X109" s="15">
        <f>IFERROR(IF(ISBLANK(Q109),IFERROR(VLOOKUP($E109,Sheet3!$H$2:$O$200,X$1,FALSE),IFERROR(VLOOKUP($F109,Sheet3!$H$2:$O$200,X$1,FALSE),VLOOKUP($G109,Sheet3!$H$2:$O$200,X$1,FALSE))),$I$1),$I$1)</f>
        <v>0</v>
      </c>
      <c r="Y109" s="15">
        <f>IFERROR(IF(ISBLANK(R109),IFERROR(VLOOKUP($E109,Sheet3!$H$2:$O$200,Y$1,FALSE),IFERROR(VLOOKUP($F109,Sheet3!$H$2:$O$200,Y$1,FALSE),VLOOKUP($G109,Sheet3!$H$2:$O$200,Y$1,FALSE))),$I$1),$I$1)</f>
        <v>0</v>
      </c>
      <c r="Z109" s="15">
        <f>IFERROR(IF(ISBLANK(S109),IFERROR(VLOOKUP($E109,Sheet3!$H$2:$O$200,Z$1,FALSE),IFERROR(VLOOKUP($F109,Sheet3!$H$2:$O$200,Z$1,FALSE),VLOOKUP($G109,Sheet3!$H$2:$O$200,Z$1,FALSE))),$I$1),$I$1)</f>
        <v>0</v>
      </c>
      <c r="AA109" s="15">
        <f>IFERROR(IF(ISBLANK(T109),IFERROR(VLOOKUP($E109,Sheet3!$H$2:$O$200,AA$1,FALSE),IFERROR(VLOOKUP($F109,Sheet3!$H$2:$O$200,AA$1,FALSE),VLOOKUP($G109,Sheet3!$H$2:$O$200,AA$1,FALSE))),$I$1),$I$1)</f>
        <v>0</v>
      </c>
      <c r="AB109" s="15">
        <f>IFERROR(IF(ISBLANK(U109),IFERROR(VLOOKUP($E109,Sheet3!$H$2:$O$200,AB$1,FALSE),IFERROR(VLOOKUP($F109,Sheet3!$H$2:$O$200,AB$1,FALSE),VLOOKUP($G109,Sheet3!$H$2:$O$200,AB$1,FALSE))),$I$1),$I$1)</f>
        <v>0</v>
      </c>
      <c r="AC109" s="15">
        <f>IFERROR(IF(ISBLANK(V109),IFERROR(VLOOKUP($E109,Sheet3!$H$2:$O$200,AC$1,FALSE),IFERROR(VLOOKUP($F109,Sheet3!$H$2:$O$200,AC$1,FALSE),VLOOKUP($G109,Sheet3!$H$2:$O$200,AC$1,FALSE))),$I$1),$I$1)</f>
        <v>0</v>
      </c>
      <c r="AD109" s="15">
        <f>IFERROR(IF(ISBLANK(W109),IFERROR(VLOOKUP($E109,Sheet3!$H$2:$O$200,AD$1,FALSE),IFERROR(VLOOKUP($F109,Sheet3!$H$2:$O$200,AD$1,FALSE),VLOOKUP($G109,Sheet3!$H$2:$O$200,AD$1,FALSE))),$I$1),$I$1)</f>
        <v>0</v>
      </c>
      <c r="AE109" s="15">
        <f>IFERROR(IF(ISBLANK(X109),IFERROR(VLOOKUP($F109,Sheet3!$H$2:$O$200,AE$1,FALSE),VLOOKUP($G109,Sheet3!$H$2:$O$200,AE$1,FALSE)),$I$1),$I$1)</f>
        <v>0</v>
      </c>
      <c r="AF109" s="15">
        <f>IFERROR(IF(ISBLANK(Y109),IFERROR(VLOOKUP($F109,Sheet3!$H$2:$O$200,AF$1,FALSE),VLOOKUP($G109,Sheet3!$H$2:$O$200,AF$1,FALSE)),$I$1),$I$1)</f>
        <v>0</v>
      </c>
      <c r="AG109" s="15">
        <f>IFERROR(IF(ISBLANK(Z109),IFERROR(VLOOKUP($F109,Sheet3!$H$2:$O$200,AG$1,FALSE),VLOOKUP($G109,Sheet3!$H$2:$O$200,AG$1,FALSE)),$I$1),$I$1)</f>
        <v>0</v>
      </c>
      <c r="AH109" s="15">
        <f>IFERROR(IF(ISBLANK(AA109),IFERROR(VLOOKUP($F109,Sheet3!$H$2:$O$200,AH$1,FALSE),VLOOKUP($G109,Sheet3!$H$2:$O$200,AH$1,FALSE)),$I$1),$I$1)</f>
        <v>0</v>
      </c>
      <c r="AI109" s="15">
        <f>IFERROR(IF(ISBLANK(AB109),IFERROR(VLOOKUP($F109,Sheet3!$H$2:$O$200,AI$1,FALSE),VLOOKUP($G109,Sheet3!$H$2:$O$200,AI$1,FALSE)),$I$1),$I$1)</f>
        <v>0</v>
      </c>
      <c r="AJ109" s="15">
        <f>IFERROR(IF(ISBLANK(AC109),IFERROR(VLOOKUP($F109,Sheet3!$H$2:$O$200,AJ$1,FALSE),VLOOKUP($G109,Sheet3!$H$2:$O$200,AJ$1,FALSE)),$I$1),$I$1)</f>
        <v>0</v>
      </c>
      <c r="AK109" s="15">
        <f>IFERROR(IF(ISBLANK(AD109),IFERROR(VLOOKUP($F109,Sheet3!$H$2:$O$200,AK$1,FALSE),VLOOKUP($G109,Sheet3!$H$2:$O$200,AK$1,FALSE)),$I$1),$I$1)</f>
        <v>0</v>
      </c>
      <c r="AL109" s="15">
        <f>IFERROR(IF(ISBLANK(AE109),VLOOKUP($G109,Sheet3!$H$2:$O$200,AL$1,FALSE),$I$1),$I$1)</f>
        <v>0</v>
      </c>
      <c r="AM109" s="15">
        <f>IFERROR(IF(ISBLANK(AF109),VLOOKUP($G109,Sheet3!$H$2:$O$200,AM$1,FALSE),$I$1),$I$1)</f>
        <v>0</v>
      </c>
      <c r="AN109" s="15">
        <f>IFERROR(IF(ISBLANK(AG109),VLOOKUP($G109,Sheet3!$H$2:$O$200,AN$1,FALSE),$I$1),$I$1)</f>
        <v>0</v>
      </c>
      <c r="AO109" s="15">
        <f>IFERROR(IF(ISBLANK(AH109),VLOOKUP($G109,Sheet3!$H$2:$O$200,AO$1,FALSE),$I$1),$I$1)</f>
        <v>0</v>
      </c>
      <c r="AP109" s="15">
        <f>IFERROR(IF(ISBLANK(AI109),VLOOKUP($G109,Sheet3!$H$2:$O$200,AP$1,FALSE),$I$1),$I$1)</f>
        <v>0</v>
      </c>
      <c r="AQ109" s="15">
        <f>IFERROR(IF(ISBLANK(AJ109),VLOOKUP($G109,Sheet3!$H$2:$O$200,AQ$1,FALSE),$I$1),$I$1)</f>
        <v>0</v>
      </c>
      <c r="AR109" s="15">
        <f>IFERROR(IF(ISBLANK(AK109),VLOOKUP($G109,Sheet3!$H$2:$O$200,AR$1,FALSE),$I$1),$I$1)</f>
        <v>0</v>
      </c>
      <c r="AS109" s="15">
        <f t="shared" ref="AS109:AY109" si="116">IFERROR(IF(ISBLANK(J109),IF(ISBLANK(Q109),IF(ISBLANK(X109),IF(ISBLANK(AE109),IF(ISBLANK(AL109),$BB$1,AL109),AE109),X109),Q109),J109),$BB$1)</f>
        <v>0</v>
      </c>
      <c r="AT109" s="15" t="str">
        <f t="shared" si="116"/>
        <v>Coca-cola</v>
      </c>
      <c r="AU109" s="15">
        <f t="shared" si="116"/>
        <v>0</v>
      </c>
      <c r="AV109" s="15">
        <f t="shared" si="116"/>
        <v>0</v>
      </c>
      <c r="AW109" s="15">
        <f t="shared" si="116"/>
        <v>0</v>
      </c>
      <c r="AX109" s="15">
        <f t="shared" si="116"/>
        <v>0</v>
      </c>
      <c r="AY109" s="15">
        <f t="shared" si="116"/>
        <v>0</v>
      </c>
      <c r="BA109" s="13">
        <f t="shared" si="1"/>
        <v>35</v>
      </c>
      <c r="BB109" s="15" t="b">
        <f t="shared" si="2"/>
        <v>0</v>
      </c>
    </row>
    <row r="110" spans="1:54" x14ac:dyDescent="0.2">
      <c r="A110" s="20" t="s">
        <v>237</v>
      </c>
      <c r="B110" s="20" t="s">
        <v>238</v>
      </c>
      <c r="C110" s="20" t="s">
        <v>62</v>
      </c>
      <c r="D110" s="20"/>
      <c r="E110" s="20" t="s">
        <v>239</v>
      </c>
      <c r="F110" s="20" t="s">
        <v>240</v>
      </c>
      <c r="G110" s="20" t="s">
        <v>241</v>
      </c>
      <c r="H110" s="20" t="s">
        <v>237</v>
      </c>
      <c r="I110" s="15">
        <v>4</v>
      </c>
      <c r="J110" s="15">
        <f>IFERROR(VLOOKUP($C110,Sheet3!$H$2:$O$200,J$1,FALSE),IFERROR(VLOOKUP($D110,Sheet3!$H$2:$O$200,J$1,FALSE),VLOOKUP($E110,Sheet3!$H$2:$O$200,J$1,FALSE)))</f>
        <v>0</v>
      </c>
      <c r="K110" s="15" t="str">
        <f>IFERROR(VLOOKUP($C110,Sheet3!$H$2:$O$200,K$1,FALSE),IFERROR(VLOOKUP($D110,Sheet3!$H$2:$O$200,K$1,FALSE),VLOOKUP($E110,Sheet3!$H$2:$O$200,K$1,FALSE)))</f>
        <v>club soda</v>
      </c>
      <c r="L110" s="15">
        <f>IFERROR(VLOOKUP($C110,Sheet3!$H$2:$O$200,L$1,FALSE),IFERROR(VLOOKUP($D110,Sheet3!$H$2:$O$200,L$1,FALSE),VLOOKUP($E110,Sheet3!$H$2:$O$200,L$1,FALSE)))</f>
        <v>0</v>
      </c>
      <c r="M110" s="15">
        <f>IFERROR(VLOOKUP($C110,Sheet3!$H$2:$O$200,M$1,FALSE),IFERROR(VLOOKUP($D110,Sheet3!$H$2:$O$200,M$1,FALSE),VLOOKUP($E110,Sheet3!$H$2:$O$200,M$1,FALSE)))</f>
        <v>0</v>
      </c>
      <c r="N110" s="15">
        <f>IFERROR(VLOOKUP($C110,Sheet3!$H$2:$O$200,N$1,FALSE),IFERROR(VLOOKUP($D110,Sheet3!$H$2:$O$200,N$1,FALSE),VLOOKUP($E110,Sheet3!$H$2:$O$200,N$1,FALSE)))</f>
        <v>0</v>
      </c>
      <c r="O110" s="15">
        <f>IFERROR(VLOOKUP($C110,Sheet3!$H$2:$O$200,O$1,FALSE),IFERROR(VLOOKUP($D110,Sheet3!$H$2:$O$200,O$1,FALSE),VLOOKUP($E110,Sheet3!$H$2:$O$200,O$1,FALSE)))</f>
        <v>0</v>
      </c>
      <c r="P110" s="15">
        <f>IFERROR(VLOOKUP($C110,Sheet3!$H$2:$O$200,P$1,FALSE),IFERROR(VLOOKUP($D110,Sheet3!$H$2:$O$200,P$1,FALSE),VLOOKUP($E110,Sheet3!$H$2:$O$200,P$1,FALSE)))</f>
        <v>0</v>
      </c>
      <c r="Q110" s="15">
        <f>IFERROR(IF(ISBLANK(J110),IFERROR(VLOOKUP($D110,Sheet3!$H$2:$O$200,Q$1,FALSE),IFERROR(VLOOKUP($E110,Sheet3!$H$2:$O$200,Q$1,FALSE),VLOOKUP($F110,Sheet3!$H$2:$O$200,Q$1,FALSE))),$I$1),$I$1)</f>
        <v>0</v>
      </c>
      <c r="R110" s="15">
        <f>IFERROR(IF(ISBLANK(K110),IFERROR(VLOOKUP($D110,Sheet3!$H$2:$O$200,R$1,FALSE),IFERROR(VLOOKUP($E110,Sheet3!$H$2:$O$200,R$1,FALSE),VLOOKUP($F110,Sheet3!$H$2:$O$200,R$1,FALSE))),$I$1),$I$1)</f>
        <v>0</v>
      </c>
      <c r="S110" s="15">
        <f>IFERROR(IF(ISBLANK(L110),IFERROR(VLOOKUP($D110,Sheet3!$H$2:$O$200,S$1,FALSE),IFERROR(VLOOKUP($E110,Sheet3!$H$2:$O$200,S$1,FALSE),VLOOKUP($F110,Sheet3!$H$2:$O$200,S$1,FALSE))),$I$1),$I$1)</f>
        <v>0</v>
      </c>
      <c r="T110" s="15">
        <f>IFERROR(IF(ISBLANK(M110),IFERROR(VLOOKUP($D110,Sheet3!$H$2:$O$200,T$1,FALSE),IFERROR(VLOOKUP($E110,Sheet3!$H$2:$O$200,T$1,FALSE),VLOOKUP($F110,Sheet3!$H$2:$O$200,T$1,FALSE))),$I$1),$I$1)</f>
        <v>0</v>
      </c>
      <c r="U110" s="15">
        <f>IFERROR(IF(ISBLANK(N110),IFERROR(VLOOKUP($D110,Sheet3!$H$2:$O$200,U$1,FALSE),IFERROR(VLOOKUP($E110,Sheet3!$H$2:$O$200,U$1,FALSE),VLOOKUP($F110,Sheet3!$H$2:$O$200,U$1,FALSE))),$I$1),$I$1)</f>
        <v>0</v>
      </c>
      <c r="V110" s="15">
        <f>IFERROR(IF(ISBLANK(O110),IFERROR(VLOOKUP($D110,Sheet3!$H$2:$O$200,V$1,FALSE),IFERROR(VLOOKUP($E110,Sheet3!$H$2:$O$200,V$1,FALSE),VLOOKUP($F110,Sheet3!$H$2:$O$200,V$1,FALSE))),$I$1),$I$1)</f>
        <v>0</v>
      </c>
      <c r="W110" s="15">
        <f>IFERROR(IF(ISBLANK(P110),IFERROR(VLOOKUP($D110,Sheet3!$H$2:$O$200,W$1,FALSE),IFERROR(VLOOKUP($E110,Sheet3!$H$2:$O$200,W$1,FALSE),VLOOKUP($F110,Sheet3!$H$2:$O$200,W$1,FALSE))),$I$1),$I$1)</f>
        <v>0</v>
      </c>
      <c r="X110" s="15">
        <f>IFERROR(IF(ISBLANK(Q110),IFERROR(VLOOKUP($E110,Sheet3!$H$2:$O$200,X$1,FALSE),IFERROR(VLOOKUP($F110,Sheet3!$H$2:$O$200,X$1,FALSE),VLOOKUP($G110,Sheet3!$H$2:$O$200,X$1,FALSE))),$I$1),$I$1)</f>
        <v>0</v>
      </c>
      <c r="Y110" s="15">
        <f>IFERROR(IF(ISBLANK(R110),IFERROR(VLOOKUP($E110,Sheet3!$H$2:$O$200,Y$1,FALSE),IFERROR(VLOOKUP($F110,Sheet3!$H$2:$O$200,Y$1,FALSE),VLOOKUP($G110,Sheet3!$H$2:$O$200,Y$1,FALSE))),$I$1),$I$1)</f>
        <v>0</v>
      </c>
      <c r="Z110" s="15">
        <f>IFERROR(IF(ISBLANK(S110),IFERROR(VLOOKUP($E110,Sheet3!$H$2:$O$200,Z$1,FALSE),IFERROR(VLOOKUP($F110,Sheet3!$H$2:$O$200,Z$1,FALSE),VLOOKUP($G110,Sheet3!$H$2:$O$200,Z$1,FALSE))),$I$1),$I$1)</f>
        <v>0</v>
      </c>
      <c r="AA110" s="15">
        <f>IFERROR(IF(ISBLANK(T110),IFERROR(VLOOKUP($E110,Sheet3!$H$2:$O$200,AA$1,FALSE),IFERROR(VLOOKUP($F110,Sheet3!$H$2:$O$200,AA$1,FALSE),VLOOKUP($G110,Sheet3!$H$2:$O$200,AA$1,FALSE))),$I$1),$I$1)</f>
        <v>0</v>
      </c>
      <c r="AB110" s="15">
        <f>IFERROR(IF(ISBLANK(U110),IFERROR(VLOOKUP($E110,Sheet3!$H$2:$O$200,AB$1,FALSE),IFERROR(VLOOKUP($F110,Sheet3!$H$2:$O$200,AB$1,FALSE),VLOOKUP($G110,Sheet3!$H$2:$O$200,AB$1,FALSE))),$I$1),$I$1)</f>
        <v>0</v>
      </c>
      <c r="AC110" s="15">
        <f>IFERROR(IF(ISBLANK(V110),IFERROR(VLOOKUP($E110,Sheet3!$H$2:$O$200,AC$1,FALSE),IFERROR(VLOOKUP($F110,Sheet3!$H$2:$O$200,AC$1,FALSE),VLOOKUP($G110,Sheet3!$H$2:$O$200,AC$1,FALSE))),$I$1),$I$1)</f>
        <v>0</v>
      </c>
      <c r="AD110" s="15">
        <f>IFERROR(IF(ISBLANK(W110),IFERROR(VLOOKUP($E110,Sheet3!$H$2:$O$200,AD$1,FALSE),IFERROR(VLOOKUP($F110,Sheet3!$H$2:$O$200,AD$1,FALSE),VLOOKUP($G110,Sheet3!$H$2:$O$200,AD$1,FALSE))),$I$1),$I$1)</f>
        <v>0</v>
      </c>
      <c r="AE110" s="15">
        <f>IFERROR(IF(ISBLANK(X110),IFERROR(VLOOKUP($F110,Sheet3!$H$2:$O$200,AE$1,FALSE),VLOOKUP($G110,Sheet3!$H$2:$O$200,AE$1,FALSE)),$I$1),$I$1)</f>
        <v>0</v>
      </c>
      <c r="AF110" s="15">
        <f>IFERROR(IF(ISBLANK(Y110),IFERROR(VLOOKUP($F110,Sheet3!$H$2:$O$200,AF$1,FALSE),VLOOKUP($G110,Sheet3!$H$2:$O$200,AF$1,FALSE)),$I$1),$I$1)</f>
        <v>0</v>
      </c>
      <c r="AG110" s="15">
        <f>IFERROR(IF(ISBLANK(Z110),IFERROR(VLOOKUP($F110,Sheet3!$H$2:$O$200,AG$1,FALSE),VLOOKUP($G110,Sheet3!$H$2:$O$200,AG$1,FALSE)),$I$1),$I$1)</f>
        <v>0</v>
      </c>
      <c r="AH110" s="15">
        <f>IFERROR(IF(ISBLANK(AA110),IFERROR(VLOOKUP($F110,Sheet3!$H$2:$O$200,AH$1,FALSE),VLOOKUP($G110,Sheet3!$H$2:$O$200,AH$1,FALSE)),$I$1),$I$1)</f>
        <v>0</v>
      </c>
      <c r="AI110" s="15">
        <f>IFERROR(IF(ISBLANK(AB110),IFERROR(VLOOKUP($F110,Sheet3!$H$2:$O$200,AI$1,FALSE),VLOOKUP($G110,Sheet3!$H$2:$O$200,AI$1,FALSE)),$I$1),$I$1)</f>
        <v>0</v>
      </c>
      <c r="AJ110" s="15">
        <f>IFERROR(IF(ISBLANK(AC110),IFERROR(VLOOKUP($F110,Sheet3!$H$2:$O$200,AJ$1,FALSE),VLOOKUP($G110,Sheet3!$H$2:$O$200,AJ$1,FALSE)),$I$1),$I$1)</f>
        <v>0</v>
      </c>
      <c r="AK110" s="15">
        <f>IFERROR(IF(ISBLANK(AD110),IFERROR(VLOOKUP($F110,Sheet3!$H$2:$O$200,AK$1,FALSE),VLOOKUP($G110,Sheet3!$H$2:$O$200,AK$1,FALSE)),$I$1),$I$1)</f>
        <v>0</v>
      </c>
      <c r="AL110" s="15">
        <f>IFERROR(IF(ISBLANK(AE110),VLOOKUP($G110,Sheet3!$H$2:$O$200,AL$1,FALSE),$I$1),$I$1)</f>
        <v>0</v>
      </c>
      <c r="AM110" s="15">
        <f>IFERROR(IF(ISBLANK(AF110),VLOOKUP($G110,Sheet3!$H$2:$O$200,AM$1,FALSE),$I$1),$I$1)</f>
        <v>0</v>
      </c>
      <c r="AN110" s="15">
        <f>IFERROR(IF(ISBLANK(AG110),VLOOKUP($G110,Sheet3!$H$2:$O$200,AN$1,FALSE),$I$1),$I$1)</f>
        <v>0</v>
      </c>
      <c r="AO110" s="15">
        <f>IFERROR(IF(ISBLANK(AH110),VLOOKUP($G110,Sheet3!$H$2:$O$200,AO$1,FALSE),$I$1),$I$1)</f>
        <v>0</v>
      </c>
      <c r="AP110" s="15">
        <f>IFERROR(IF(ISBLANK(AI110),VLOOKUP($G110,Sheet3!$H$2:$O$200,AP$1,FALSE),$I$1),$I$1)</f>
        <v>0</v>
      </c>
      <c r="AQ110" s="15">
        <f>IFERROR(IF(ISBLANK(AJ110),VLOOKUP($G110,Sheet3!$H$2:$O$200,AQ$1,FALSE),$I$1),$I$1)</f>
        <v>0</v>
      </c>
      <c r="AR110" s="15">
        <f>IFERROR(IF(ISBLANK(AK110),VLOOKUP($G110,Sheet3!$H$2:$O$200,AR$1,FALSE),$I$1),$I$1)</f>
        <v>0</v>
      </c>
      <c r="AS110" s="15">
        <f t="shared" ref="AS110:AX110" si="117">IFERROR(IF(ISBLANK(J110),IF(ISBLANK(Q110),IF(ISBLANK(X110),IF(ISBLANK(AE110),IF(ISBLANK(AL110),$BB$1,AL110),AE110),X110),Q110),J110),$BB$1)</f>
        <v>0</v>
      </c>
      <c r="AT110" s="15" t="str">
        <f t="shared" si="117"/>
        <v>club soda</v>
      </c>
      <c r="AU110" s="15">
        <f t="shared" si="117"/>
        <v>0</v>
      </c>
      <c r="AV110" s="15">
        <f t="shared" si="117"/>
        <v>0</v>
      </c>
      <c r="AW110" s="15">
        <f t="shared" si="117"/>
        <v>0</v>
      </c>
      <c r="AX110" s="15">
        <f t="shared" si="117"/>
        <v>0</v>
      </c>
      <c r="AY110" s="11" t="s">
        <v>240</v>
      </c>
      <c r="AZ110" s="11" t="s">
        <v>241</v>
      </c>
      <c r="BA110" s="13">
        <f t="shared" si="1"/>
        <v>35</v>
      </c>
      <c r="BB110" s="15" t="b">
        <f t="shared" si="2"/>
        <v>0</v>
      </c>
    </row>
    <row r="111" spans="1:54" x14ac:dyDescent="0.2">
      <c r="A111" s="19" t="s">
        <v>243</v>
      </c>
      <c r="B111" s="19" t="s">
        <v>244</v>
      </c>
      <c r="C111" s="19"/>
      <c r="D111" s="19" t="s">
        <v>38</v>
      </c>
      <c r="E111" s="19" t="s">
        <v>86</v>
      </c>
      <c r="F111" s="19" t="s">
        <v>245</v>
      </c>
      <c r="G111" s="19"/>
      <c r="H111" s="19" t="s">
        <v>243</v>
      </c>
      <c r="I111" s="15">
        <v>3</v>
      </c>
      <c r="J111" s="15">
        <f>IFERROR(VLOOKUP($C111,Sheet3!$H$2:$O$200,J$1,FALSE),IFERROR(VLOOKUP($D111,Sheet3!$H$2:$O$200,J$1,FALSE),VLOOKUP($E111,Sheet3!$H$2:$O$200,J$1,FALSE)))</f>
        <v>0</v>
      </c>
      <c r="K111" s="15">
        <f>IFERROR(VLOOKUP($C111,Sheet3!$H$2:$O$200,K$1,FALSE),IFERROR(VLOOKUP($D111,Sheet3!$H$2:$O$200,K$1,FALSE),VLOOKUP($E111,Sheet3!$H$2:$O$200,K$1,FALSE)))</f>
        <v>0</v>
      </c>
      <c r="L111" s="15" t="str">
        <f>IFERROR(VLOOKUP($C111,Sheet3!$H$2:$O$200,L$1,FALSE),IFERROR(VLOOKUP($D111,Sheet3!$H$2:$O$200,L$1,FALSE),VLOOKUP($E111,Sheet3!$H$2:$O$200,L$1,FALSE)))</f>
        <v>lemon juice</v>
      </c>
      <c r="M111" s="15">
        <f>IFERROR(VLOOKUP($C111,Sheet3!$H$2:$O$200,M$1,FALSE),IFERROR(VLOOKUP($D111,Sheet3!$H$2:$O$200,M$1,FALSE),VLOOKUP($E111,Sheet3!$H$2:$O$200,M$1,FALSE)))</f>
        <v>0</v>
      </c>
      <c r="N111" s="15">
        <f>IFERROR(VLOOKUP($C111,Sheet3!$H$2:$O$200,N$1,FALSE),IFERROR(VLOOKUP($D111,Sheet3!$H$2:$O$200,N$1,FALSE),VLOOKUP($E111,Sheet3!$H$2:$O$200,N$1,FALSE)))</f>
        <v>0</v>
      </c>
      <c r="O111" s="15">
        <f>IFERROR(VLOOKUP($C111,Sheet3!$H$2:$O$200,O$1,FALSE),IFERROR(VLOOKUP($D111,Sheet3!$H$2:$O$200,O$1,FALSE),VLOOKUP($E111,Sheet3!$H$2:$O$200,O$1,FALSE)))</f>
        <v>0</v>
      </c>
      <c r="P111" s="15">
        <f>IFERROR(VLOOKUP($C111,Sheet3!$H$2:$O$200,P$1,FALSE),IFERROR(VLOOKUP($D111,Sheet3!$H$2:$O$200,P$1,FALSE),VLOOKUP($E111,Sheet3!$H$2:$O$200,P$1,FALSE)))</f>
        <v>0</v>
      </c>
      <c r="Q111" s="15">
        <f>IFERROR(IF(ISBLANK(J111),IFERROR(VLOOKUP($D111,Sheet3!$H$2:$O$200,Q$1,FALSE),IFERROR(VLOOKUP($E111,Sheet3!$H$2:$O$200,Q$1,FALSE),VLOOKUP($F111,Sheet3!$H$2:$O$200,Q$1,FALSE))),$I$1),$I$1)</f>
        <v>0</v>
      </c>
      <c r="R111" s="15">
        <f>IFERROR(IF(ISBLANK(K111),IFERROR(VLOOKUP($D111,Sheet3!$H$2:$O$200,R$1,FALSE),IFERROR(VLOOKUP($E111,Sheet3!$H$2:$O$200,R$1,FALSE),VLOOKUP($F111,Sheet3!$H$2:$O$200,R$1,FALSE))),$I$1),$I$1)</f>
        <v>0</v>
      </c>
      <c r="S111" s="15">
        <f>IFERROR(IF(ISBLANK(L111),IFERROR(VLOOKUP($D111,Sheet3!$H$2:$O$200,S$1,FALSE),IFERROR(VLOOKUP($E111,Sheet3!$H$2:$O$200,S$1,FALSE),VLOOKUP($F111,Sheet3!$H$2:$O$200,S$1,FALSE))),$I$1),$I$1)</f>
        <v>0</v>
      </c>
      <c r="T111" s="15">
        <f>IFERROR(IF(ISBLANK(M111),IFERROR(VLOOKUP($D111,Sheet3!$H$2:$O$200,T$1,FALSE),IFERROR(VLOOKUP($E111,Sheet3!$H$2:$O$200,T$1,FALSE),VLOOKUP($F111,Sheet3!$H$2:$O$200,T$1,FALSE))),$I$1),$I$1)</f>
        <v>0</v>
      </c>
      <c r="U111" s="15">
        <f>IFERROR(IF(ISBLANK(N111),IFERROR(VLOOKUP($D111,Sheet3!$H$2:$O$200,U$1,FALSE),IFERROR(VLOOKUP($E111,Sheet3!$H$2:$O$200,U$1,FALSE),VLOOKUP($F111,Sheet3!$H$2:$O$200,U$1,FALSE))),$I$1),$I$1)</f>
        <v>0</v>
      </c>
      <c r="V111" s="15">
        <f>IFERROR(IF(ISBLANK(O111),IFERROR(VLOOKUP($D111,Sheet3!$H$2:$O$200,V$1,FALSE),IFERROR(VLOOKUP($E111,Sheet3!$H$2:$O$200,V$1,FALSE),VLOOKUP($F111,Sheet3!$H$2:$O$200,V$1,FALSE))),$I$1),$I$1)</f>
        <v>0</v>
      </c>
      <c r="W111" s="15">
        <f>IFERROR(IF(ISBLANK(P111),IFERROR(VLOOKUP($D111,Sheet3!$H$2:$O$200,W$1,FALSE),IFERROR(VLOOKUP($E111,Sheet3!$H$2:$O$200,W$1,FALSE),VLOOKUP($F111,Sheet3!$H$2:$O$200,W$1,FALSE))),$I$1),$I$1)</f>
        <v>0</v>
      </c>
      <c r="X111" s="15">
        <f>IFERROR(IF(ISBLANK(Q111),IFERROR(VLOOKUP($E111,Sheet3!$H$2:$O$200,X$1,FALSE),IFERROR(VLOOKUP($F111,Sheet3!$H$2:$O$200,X$1,FALSE),VLOOKUP($G111,Sheet3!$H$2:$O$200,X$1,FALSE))),$I$1),$I$1)</f>
        <v>0</v>
      </c>
      <c r="Y111" s="15">
        <f>IFERROR(IF(ISBLANK(R111),IFERROR(VLOOKUP($E111,Sheet3!$H$2:$O$200,Y$1,FALSE),IFERROR(VLOOKUP($F111,Sheet3!$H$2:$O$200,Y$1,FALSE),VLOOKUP($G111,Sheet3!$H$2:$O$200,Y$1,FALSE))),$I$1),$I$1)</f>
        <v>0</v>
      </c>
      <c r="Z111" s="15">
        <f>IFERROR(IF(ISBLANK(S111),IFERROR(VLOOKUP($E111,Sheet3!$H$2:$O$200,Z$1,FALSE),IFERROR(VLOOKUP($F111,Sheet3!$H$2:$O$200,Z$1,FALSE),VLOOKUP($G111,Sheet3!$H$2:$O$200,Z$1,FALSE))),$I$1),$I$1)</f>
        <v>0</v>
      </c>
      <c r="AA111" s="15">
        <f>IFERROR(IF(ISBLANK(T111),IFERROR(VLOOKUP($E111,Sheet3!$H$2:$O$200,AA$1,FALSE),IFERROR(VLOOKUP($F111,Sheet3!$H$2:$O$200,AA$1,FALSE),VLOOKUP($G111,Sheet3!$H$2:$O$200,AA$1,FALSE))),$I$1),$I$1)</f>
        <v>0</v>
      </c>
      <c r="AB111" s="15">
        <f>IFERROR(IF(ISBLANK(U111),IFERROR(VLOOKUP($E111,Sheet3!$H$2:$O$200,AB$1,FALSE),IFERROR(VLOOKUP($F111,Sheet3!$H$2:$O$200,AB$1,FALSE),VLOOKUP($G111,Sheet3!$H$2:$O$200,AB$1,FALSE))),$I$1),$I$1)</f>
        <v>0</v>
      </c>
      <c r="AC111" s="15">
        <f>IFERROR(IF(ISBLANK(V111),IFERROR(VLOOKUP($E111,Sheet3!$H$2:$O$200,AC$1,FALSE),IFERROR(VLOOKUP($F111,Sheet3!$H$2:$O$200,AC$1,FALSE),VLOOKUP($G111,Sheet3!$H$2:$O$200,AC$1,FALSE))),$I$1),$I$1)</f>
        <v>0</v>
      </c>
      <c r="AD111" s="15">
        <f>IFERROR(IF(ISBLANK(W111),IFERROR(VLOOKUP($E111,Sheet3!$H$2:$O$200,AD$1,FALSE),IFERROR(VLOOKUP($F111,Sheet3!$H$2:$O$200,AD$1,FALSE),VLOOKUP($G111,Sheet3!$H$2:$O$200,AD$1,FALSE))),$I$1),$I$1)</f>
        <v>0</v>
      </c>
      <c r="AE111" s="15">
        <f>IFERROR(IF(ISBLANK(X111),IFERROR(VLOOKUP($F111,Sheet3!$H$2:$O$200,AE$1,FALSE),VLOOKUP($G111,Sheet3!$H$2:$O$200,AE$1,FALSE)),$I$1),$I$1)</f>
        <v>0</v>
      </c>
      <c r="AF111" s="15">
        <f>IFERROR(IF(ISBLANK(Y111),IFERROR(VLOOKUP($F111,Sheet3!$H$2:$O$200,AF$1,FALSE),VLOOKUP($G111,Sheet3!$H$2:$O$200,AF$1,FALSE)),$I$1),$I$1)</f>
        <v>0</v>
      </c>
      <c r="AG111" s="15">
        <f>IFERROR(IF(ISBLANK(Z111),IFERROR(VLOOKUP($F111,Sheet3!$H$2:$O$200,AG$1,FALSE),VLOOKUP($G111,Sheet3!$H$2:$O$200,AG$1,FALSE)),$I$1),$I$1)</f>
        <v>0</v>
      </c>
      <c r="AH111" s="15">
        <f>IFERROR(IF(ISBLANK(AA111),IFERROR(VLOOKUP($F111,Sheet3!$H$2:$O$200,AH$1,FALSE),VLOOKUP($G111,Sheet3!$H$2:$O$200,AH$1,FALSE)),$I$1),$I$1)</f>
        <v>0</v>
      </c>
      <c r="AI111" s="15">
        <f>IFERROR(IF(ISBLANK(AB111),IFERROR(VLOOKUP($F111,Sheet3!$H$2:$O$200,AI$1,FALSE),VLOOKUP($G111,Sheet3!$H$2:$O$200,AI$1,FALSE)),$I$1),$I$1)</f>
        <v>0</v>
      </c>
      <c r="AJ111" s="15">
        <f>IFERROR(IF(ISBLANK(AC111),IFERROR(VLOOKUP($F111,Sheet3!$H$2:$O$200,AJ$1,FALSE),VLOOKUP($G111,Sheet3!$H$2:$O$200,AJ$1,FALSE)),$I$1),$I$1)</f>
        <v>0</v>
      </c>
      <c r="AK111" s="15">
        <f>IFERROR(IF(ISBLANK(AD111),IFERROR(VLOOKUP($F111,Sheet3!$H$2:$O$200,AK$1,FALSE),VLOOKUP($G111,Sheet3!$H$2:$O$200,AK$1,FALSE)),$I$1),$I$1)</f>
        <v>0</v>
      </c>
      <c r="AL111" s="15">
        <f>IFERROR(IF(ISBLANK(AE111),VLOOKUP($G111,Sheet3!$H$2:$O$200,AL$1,FALSE),$I$1),$I$1)</f>
        <v>0</v>
      </c>
      <c r="AM111" s="15">
        <f>IFERROR(IF(ISBLANK(AF111),VLOOKUP($G111,Sheet3!$H$2:$O$200,AM$1,FALSE),$I$1),$I$1)</f>
        <v>0</v>
      </c>
      <c r="AN111" s="15">
        <f>IFERROR(IF(ISBLANK(AG111),VLOOKUP($G111,Sheet3!$H$2:$O$200,AN$1,FALSE),$I$1),$I$1)</f>
        <v>0</v>
      </c>
      <c r="AO111" s="15">
        <f>IFERROR(IF(ISBLANK(AH111),VLOOKUP($G111,Sheet3!$H$2:$O$200,AO$1,FALSE),$I$1),$I$1)</f>
        <v>0</v>
      </c>
      <c r="AP111" s="15">
        <f>IFERROR(IF(ISBLANK(AI111),VLOOKUP($G111,Sheet3!$H$2:$O$200,AP$1,FALSE),$I$1),$I$1)</f>
        <v>0</v>
      </c>
      <c r="AQ111" s="15">
        <f>IFERROR(IF(ISBLANK(AJ111),VLOOKUP($G111,Sheet3!$H$2:$O$200,AQ$1,FALSE),$I$1),$I$1)</f>
        <v>0</v>
      </c>
      <c r="AR111" s="15">
        <f>IFERROR(IF(ISBLANK(AK111),VLOOKUP($G111,Sheet3!$H$2:$O$200,AR$1,FALSE),$I$1),$I$1)</f>
        <v>0</v>
      </c>
      <c r="AS111" s="15">
        <f t="shared" ref="AS111:AY111" si="118">IFERROR(IF(ISBLANK(J111),IF(ISBLANK(Q111),IF(ISBLANK(X111),IF(ISBLANK(AE111),IF(ISBLANK(AL111),$BB$1,AL111),AE111),X111),Q111),J111),$BB$1)</f>
        <v>0</v>
      </c>
      <c r="AT111" s="15">
        <f t="shared" si="118"/>
        <v>0</v>
      </c>
      <c r="AU111" s="15" t="str">
        <f t="shared" si="118"/>
        <v>lemon juice</v>
      </c>
      <c r="AV111" s="15">
        <f t="shared" si="118"/>
        <v>0</v>
      </c>
      <c r="AW111" s="15">
        <f t="shared" si="118"/>
        <v>0</v>
      </c>
      <c r="AX111" s="15">
        <f t="shared" si="118"/>
        <v>0</v>
      </c>
      <c r="AY111" s="15">
        <f t="shared" si="118"/>
        <v>0</v>
      </c>
      <c r="BA111" s="13">
        <f t="shared" si="1"/>
        <v>35</v>
      </c>
      <c r="BB111" s="15" t="b">
        <f t="shared" si="2"/>
        <v>0</v>
      </c>
    </row>
    <row r="112" spans="1:54" x14ac:dyDescent="0.2">
      <c r="A112" s="19" t="s">
        <v>246</v>
      </c>
      <c r="B112" s="19" t="s">
        <v>244</v>
      </c>
      <c r="C112" s="19" t="s">
        <v>100</v>
      </c>
      <c r="D112" s="19" t="s">
        <v>90</v>
      </c>
      <c r="E112" s="19" t="s">
        <v>247</v>
      </c>
      <c r="F112" s="19" t="s">
        <v>45</v>
      </c>
      <c r="G112" s="19"/>
      <c r="H112" s="19" t="s">
        <v>246</v>
      </c>
      <c r="I112" s="15">
        <v>4</v>
      </c>
      <c r="J112" s="15">
        <f>IFERROR(VLOOKUP($C112,Sheet3!$H$2:$O$200,J$1,FALSE),IFERROR(VLOOKUP($D112,Sheet3!$H$2:$O$200,J$1,FALSE),VLOOKUP($E112,Sheet3!$H$2:$O$200,J$1,FALSE)))</f>
        <v>0</v>
      </c>
      <c r="K112" s="15">
        <f>IFERROR(VLOOKUP($C112,Sheet3!$H$2:$O$200,K$1,FALSE),IFERROR(VLOOKUP($D112,Sheet3!$H$2:$O$200,K$1,FALSE),VLOOKUP($E112,Sheet3!$H$2:$O$200,K$1,FALSE)))</f>
        <v>0</v>
      </c>
      <c r="L112" s="15">
        <f>IFERROR(VLOOKUP($C112,Sheet3!$H$2:$O$200,L$1,FALSE),IFERROR(VLOOKUP($D112,Sheet3!$H$2:$O$200,L$1,FALSE),VLOOKUP($E112,Sheet3!$H$2:$O$200,L$1,FALSE)))</f>
        <v>0</v>
      </c>
      <c r="M112" s="15" t="str">
        <f>IFERROR(VLOOKUP($C112,Sheet3!$H$2:$O$200,M$1,FALSE),IFERROR(VLOOKUP($D112,Sheet3!$H$2:$O$200,M$1,FALSE),VLOOKUP($E112,Sheet3!$H$2:$O$200,M$1,FALSE)))</f>
        <v>triple sec</v>
      </c>
      <c r="N112" s="15">
        <f>IFERROR(VLOOKUP($C112,Sheet3!$H$2:$O$200,N$1,FALSE),IFERROR(VLOOKUP($D112,Sheet3!$H$2:$O$200,N$1,FALSE),VLOOKUP($E112,Sheet3!$H$2:$O$200,N$1,FALSE)))</f>
        <v>0</v>
      </c>
      <c r="O112" s="15">
        <f>IFERROR(VLOOKUP($C112,Sheet3!$H$2:$O$200,O$1,FALSE),IFERROR(VLOOKUP($D112,Sheet3!$H$2:$O$200,O$1,FALSE),VLOOKUP($E112,Sheet3!$H$2:$O$200,O$1,FALSE)))</f>
        <v>0</v>
      </c>
      <c r="P112" s="15">
        <f>IFERROR(VLOOKUP($C112,Sheet3!$H$2:$O$200,P$1,FALSE),IFERROR(VLOOKUP($D112,Sheet3!$H$2:$O$200,P$1,FALSE),VLOOKUP($E112,Sheet3!$H$2:$O$200,P$1,FALSE)))</f>
        <v>0</v>
      </c>
      <c r="Q112" s="15">
        <f>IFERROR(IF(ISBLANK(J112),IFERROR(VLOOKUP($D112,Sheet3!$H$2:$O$200,Q$1,FALSE),IFERROR(VLOOKUP($E112,Sheet3!$H$2:$O$200,Q$1,FALSE),VLOOKUP($F112,Sheet3!$H$2:$O$200,Q$1,FALSE))),$I$1),$I$1)</f>
        <v>0</v>
      </c>
      <c r="R112" s="15">
        <f>IFERROR(IF(ISBLANK(K112),IFERROR(VLOOKUP($D112,Sheet3!$H$2:$O$200,R$1,FALSE),IFERROR(VLOOKUP($E112,Sheet3!$H$2:$O$200,R$1,FALSE),VLOOKUP($F112,Sheet3!$H$2:$O$200,R$1,FALSE))),$I$1),$I$1)</f>
        <v>0</v>
      </c>
      <c r="S112" s="15">
        <f>IFERROR(IF(ISBLANK(L112),IFERROR(VLOOKUP($D112,Sheet3!$H$2:$O$200,S$1,FALSE),IFERROR(VLOOKUP($E112,Sheet3!$H$2:$O$200,S$1,FALSE),VLOOKUP($F112,Sheet3!$H$2:$O$200,S$1,FALSE))),$I$1),$I$1)</f>
        <v>0</v>
      </c>
      <c r="T112" s="15">
        <f>IFERROR(IF(ISBLANK(M112),IFERROR(VLOOKUP($D112,Sheet3!$H$2:$O$200,T$1,FALSE),IFERROR(VLOOKUP($E112,Sheet3!$H$2:$O$200,T$1,FALSE),VLOOKUP($F112,Sheet3!$H$2:$O$200,T$1,FALSE))),$I$1),$I$1)</f>
        <v>0</v>
      </c>
      <c r="U112" s="15">
        <f>IFERROR(IF(ISBLANK(N112),IFERROR(VLOOKUP($D112,Sheet3!$H$2:$O$200,U$1,FALSE),IFERROR(VLOOKUP($E112,Sheet3!$H$2:$O$200,U$1,FALSE),VLOOKUP($F112,Sheet3!$H$2:$O$200,U$1,FALSE))),$I$1),$I$1)</f>
        <v>0</v>
      </c>
      <c r="V112" s="15">
        <f>IFERROR(IF(ISBLANK(O112),IFERROR(VLOOKUP($D112,Sheet3!$H$2:$O$200,V$1,FALSE),IFERROR(VLOOKUP($E112,Sheet3!$H$2:$O$200,V$1,FALSE),VLOOKUP($F112,Sheet3!$H$2:$O$200,V$1,FALSE))),$I$1),$I$1)</f>
        <v>0</v>
      </c>
      <c r="W112" s="15">
        <f>IFERROR(IF(ISBLANK(P112),IFERROR(VLOOKUP($D112,Sheet3!$H$2:$O$200,W$1,FALSE),IFERROR(VLOOKUP($E112,Sheet3!$H$2:$O$200,W$1,FALSE),VLOOKUP($F112,Sheet3!$H$2:$O$200,W$1,FALSE))),$I$1),$I$1)</f>
        <v>0</v>
      </c>
      <c r="X112" s="15">
        <f>IFERROR(IF(ISBLANK(Q112),IFERROR(VLOOKUP($E112,Sheet3!$H$2:$O$200,X$1,FALSE),IFERROR(VLOOKUP($F112,Sheet3!$H$2:$O$200,X$1,FALSE),VLOOKUP($G112,Sheet3!$H$2:$O$200,X$1,FALSE))),$I$1),$I$1)</f>
        <v>0</v>
      </c>
      <c r="Y112" s="15">
        <f>IFERROR(IF(ISBLANK(R112),IFERROR(VLOOKUP($E112,Sheet3!$H$2:$O$200,Y$1,FALSE),IFERROR(VLOOKUP($F112,Sheet3!$H$2:$O$200,Y$1,FALSE),VLOOKUP($G112,Sheet3!$H$2:$O$200,Y$1,FALSE))),$I$1),$I$1)</f>
        <v>0</v>
      </c>
      <c r="Z112" s="15">
        <f>IFERROR(IF(ISBLANK(S112),IFERROR(VLOOKUP($E112,Sheet3!$H$2:$O$200,Z$1,FALSE),IFERROR(VLOOKUP($F112,Sheet3!$H$2:$O$200,Z$1,FALSE),VLOOKUP($G112,Sheet3!$H$2:$O$200,Z$1,FALSE))),$I$1),$I$1)</f>
        <v>0</v>
      </c>
      <c r="AA112" s="15">
        <f>IFERROR(IF(ISBLANK(T112),IFERROR(VLOOKUP($E112,Sheet3!$H$2:$O$200,AA$1,FALSE),IFERROR(VLOOKUP($F112,Sheet3!$H$2:$O$200,AA$1,FALSE),VLOOKUP($G112,Sheet3!$H$2:$O$200,AA$1,FALSE))),$I$1),$I$1)</f>
        <v>0</v>
      </c>
      <c r="AB112" s="15">
        <f>IFERROR(IF(ISBLANK(U112),IFERROR(VLOOKUP($E112,Sheet3!$H$2:$O$200,AB$1,FALSE),IFERROR(VLOOKUP($F112,Sheet3!$H$2:$O$200,AB$1,FALSE),VLOOKUP($G112,Sheet3!$H$2:$O$200,AB$1,FALSE))),$I$1),$I$1)</f>
        <v>0</v>
      </c>
      <c r="AC112" s="15">
        <f>IFERROR(IF(ISBLANK(V112),IFERROR(VLOOKUP($E112,Sheet3!$H$2:$O$200,AC$1,FALSE),IFERROR(VLOOKUP($F112,Sheet3!$H$2:$O$200,AC$1,FALSE),VLOOKUP($G112,Sheet3!$H$2:$O$200,AC$1,FALSE))),$I$1),$I$1)</f>
        <v>0</v>
      </c>
      <c r="AD112" s="15">
        <f>IFERROR(IF(ISBLANK(W112),IFERROR(VLOOKUP($E112,Sheet3!$H$2:$O$200,AD$1,FALSE),IFERROR(VLOOKUP($F112,Sheet3!$H$2:$O$200,AD$1,FALSE),VLOOKUP($G112,Sheet3!$H$2:$O$200,AD$1,FALSE))),$I$1),$I$1)</f>
        <v>0</v>
      </c>
      <c r="AE112" s="15">
        <f>IFERROR(IF(ISBLANK(X112),IFERROR(VLOOKUP($F112,Sheet3!$H$2:$O$200,AE$1,FALSE),VLOOKUP($G112,Sheet3!$H$2:$O$200,AE$1,FALSE)),$I$1),$I$1)</f>
        <v>0</v>
      </c>
      <c r="AF112" s="15">
        <f>IFERROR(IF(ISBLANK(Y112),IFERROR(VLOOKUP($F112,Sheet3!$H$2:$O$200,AF$1,FALSE),VLOOKUP($G112,Sheet3!$H$2:$O$200,AF$1,FALSE)),$I$1),$I$1)</f>
        <v>0</v>
      </c>
      <c r="AG112" s="15">
        <f>IFERROR(IF(ISBLANK(Z112),IFERROR(VLOOKUP($F112,Sheet3!$H$2:$O$200,AG$1,FALSE),VLOOKUP($G112,Sheet3!$H$2:$O$200,AG$1,FALSE)),$I$1),$I$1)</f>
        <v>0</v>
      </c>
      <c r="AH112" s="15">
        <f>IFERROR(IF(ISBLANK(AA112),IFERROR(VLOOKUP($F112,Sheet3!$H$2:$O$200,AH$1,FALSE),VLOOKUP($G112,Sheet3!$H$2:$O$200,AH$1,FALSE)),$I$1),$I$1)</f>
        <v>0</v>
      </c>
      <c r="AI112" s="15">
        <f>IFERROR(IF(ISBLANK(AB112),IFERROR(VLOOKUP($F112,Sheet3!$H$2:$O$200,AI$1,FALSE),VLOOKUP($G112,Sheet3!$H$2:$O$200,AI$1,FALSE)),$I$1),$I$1)</f>
        <v>0</v>
      </c>
      <c r="AJ112" s="15">
        <f>IFERROR(IF(ISBLANK(AC112),IFERROR(VLOOKUP($F112,Sheet3!$H$2:$O$200,AJ$1,FALSE),VLOOKUP($G112,Sheet3!$H$2:$O$200,AJ$1,FALSE)),$I$1),$I$1)</f>
        <v>0</v>
      </c>
      <c r="AK112" s="15">
        <f>IFERROR(IF(ISBLANK(AD112),IFERROR(VLOOKUP($F112,Sheet3!$H$2:$O$200,AK$1,FALSE),VLOOKUP($G112,Sheet3!$H$2:$O$200,AK$1,FALSE)),$I$1),$I$1)</f>
        <v>0</v>
      </c>
      <c r="AL112" s="15">
        <f>IFERROR(IF(ISBLANK(AE112),VLOOKUP($G112,Sheet3!$H$2:$O$200,AL$1,FALSE),$I$1),$I$1)</f>
        <v>0</v>
      </c>
      <c r="AM112" s="15">
        <f>IFERROR(IF(ISBLANK(AF112),VLOOKUP($G112,Sheet3!$H$2:$O$200,AM$1,FALSE),$I$1),$I$1)</f>
        <v>0</v>
      </c>
      <c r="AN112" s="15">
        <f>IFERROR(IF(ISBLANK(AG112),VLOOKUP($G112,Sheet3!$H$2:$O$200,AN$1,FALSE),$I$1),$I$1)</f>
        <v>0</v>
      </c>
      <c r="AO112" s="15">
        <f>IFERROR(IF(ISBLANK(AH112),VLOOKUP($G112,Sheet3!$H$2:$O$200,AO$1,FALSE),$I$1),$I$1)</f>
        <v>0</v>
      </c>
      <c r="AP112" s="15">
        <f>IFERROR(IF(ISBLANK(AI112),VLOOKUP($G112,Sheet3!$H$2:$O$200,AP$1,FALSE),$I$1),$I$1)</f>
        <v>0</v>
      </c>
      <c r="AQ112" s="15">
        <f>IFERROR(IF(ISBLANK(AJ112),VLOOKUP($G112,Sheet3!$H$2:$O$200,AQ$1,FALSE),$I$1),$I$1)</f>
        <v>0</v>
      </c>
      <c r="AR112" s="15">
        <f>IFERROR(IF(ISBLANK(AK112),VLOOKUP($G112,Sheet3!$H$2:$O$200,AR$1,FALSE),$I$1),$I$1)</f>
        <v>0</v>
      </c>
      <c r="AS112" s="15">
        <f t="shared" ref="AS112:AV112" si="119">IFERROR(IF(ISBLANK(J112),IF(ISBLANK(Q112),IF(ISBLANK(X112),IF(ISBLANK(AE112),IF(ISBLANK(AL112),$BB$1,AL112),AE112),X112),Q112),J112),$BB$1)</f>
        <v>0</v>
      </c>
      <c r="AT112" s="15">
        <f t="shared" si="119"/>
        <v>0</v>
      </c>
      <c r="AU112" s="15">
        <f t="shared" si="119"/>
        <v>0</v>
      </c>
      <c r="AV112" s="15" t="str">
        <f t="shared" si="119"/>
        <v>triple sec</v>
      </c>
      <c r="AW112" s="11" t="s">
        <v>247</v>
      </c>
      <c r="AX112" s="15">
        <f>IFERROR(IF(ISBLANK(O112),IF(ISBLANK(V112),IF(ISBLANK(AC112),IF(ISBLANK(AJ112),IF(ISBLANK(AQ112),$BB$1,AQ112),AJ112),AC112),V112),O112),$BB$1)</f>
        <v>0</v>
      </c>
      <c r="AY112" s="11" t="s">
        <v>45</v>
      </c>
      <c r="BA112" s="13">
        <f t="shared" si="1"/>
        <v>35</v>
      </c>
      <c r="BB112" s="15" t="b">
        <f t="shared" si="2"/>
        <v>0</v>
      </c>
    </row>
    <row r="113" spans="1:54" x14ac:dyDescent="0.2">
      <c r="A113" s="19" t="s">
        <v>248</v>
      </c>
      <c r="B113" s="19" t="s">
        <v>249</v>
      </c>
      <c r="C113" s="19"/>
      <c r="D113" s="19" t="s">
        <v>38</v>
      </c>
      <c r="E113" s="19" t="s">
        <v>250</v>
      </c>
      <c r="F113" s="19"/>
      <c r="G113" s="19"/>
      <c r="H113" s="19" t="s">
        <v>248</v>
      </c>
      <c r="I113" s="15">
        <v>2</v>
      </c>
      <c r="J113" s="15">
        <f>IFERROR(VLOOKUP($C113,Sheet3!$H$2:$O$200,J$1,FALSE),IFERROR(VLOOKUP($D113,Sheet3!$H$2:$O$200,J$1,FALSE),VLOOKUP($E113,Sheet3!$H$2:$O$200,J$1,FALSE)))</f>
        <v>0</v>
      </c>
      <c r="K113" s="15">
        <f>IFERROR(VLOOKUP($C113,Sheet3!$H$2:$O$200,K$1,FALSE),IFERROR(VLOOKUP($D113,Sheet3!$H$2:$O$200,K$1,FALSE),VLOOKUP($E113,Sheet3!$H$2:$O$200,K$1,FALSE)))</f>
        <v>0</v>
      </c>
      <c r="L113" s="15" t="str">
        <f>IFERROR(VLOOKUP($C113,Sheet3!$H$2:$O$200,L$1,FALSE),IFERROR(VLOOKUP($D113,Sheet3!$H$2:$O$200,L$1,FALSE),VLOOKUP($E113,Sheet3!$H$2:$O$200,L$1,FALSE)))</f>
        <v>lemon juice</v>
      </c>
      <c r="M113" s="15">
        <f>IFERROR(VLOOKUP($C113,Sheet3!$H$2:$O$200,M$1,FALSE),IFERROR(VLOOKUP($D113,Sheet3!$H$2:$O$200,M$1,FALSE),VLOOKUP($E113,Sheet3!$H$2:$O$200,M$1,FALSE)))</f>
        <v>0</v>
      </c>
      <c r="N113" s="15">
        <f>IFERROR(VLOOKUP($C113,Sheet3!$H$2:$O$200,N$1,FALSE),IFERROR(VLOOKUP($D113,Sheet3!$H$2:$O$200,N$1,FALSE),VLOOKUP($E113,Sheet3!$H$2:$O$200,N$1,FALSE)))</f>
        <v>0</v>
      </c>
      <c r="O113" s="15">
        <f>IFERROR(VLOOKUP($C113,Sheet3!$H$2:$O$200,O$1,FALSE),IFERROR(VLOOKUP($D113,Sheet3!$H$2:$O$200,O$1,FALSE),VLOOKUP($E113,Sheet3!$H$2:$O$200,O$1,FALSE)))</f>
        <v>0</v>
      </c>
      <c r="P113" s="15">
        <f>IFERROR(VLOOKUP($C113,Sheet3!$H$2:$O$200,P$1,FALSE),IFERROR(VLOOKUP($D113,Sheet3!$H$2:$O$200,P$1,FALSE),VLOOKUP($E113,Sheet3!$H$2:$O$200,P$1,FALSE)))</f>
        <v>0</v>
      </c>
      <c r="Q113" s="15">
        <f>IFERROR(IF(ISBLANK(J113),IFERROR(VLOOKUP($D113,Sheet3!$H$2:$O$200,Q$1,FALSE),IFERROR(VLOOKUP($E113,Sheet3!$H$2:$O$200,Q$1,FALSE),VLOOKUP($F113,Sheet3!$H$2:$O$200,Q$1,FALSE))),$I$1),$I$1)</f>
        <v>0</v>
      </c>
      <c r="R113" s="15">
        <f>IFERROR(IF(ISBLANK(K113),IFERROR(VLOOKUP($D113,Sheet3!$H$2:$O$200,R$1,FALSE),IFERROR(VLOOKUP($E113,Sheet3!$H$2:$O$200,R$1,FALSE),VLOOKUP($F113,Sheet3!$H$2:$O$200,R$1,FALSE))),$I$1),$I$1)</f>
        <v>0</v>
      </c>
      <c r="S113" s="15">
        <f>IFERROR(IF(ISBLANK(L113),IFERROR(VLOOKUP($D113,Sheet3!$H$2:$O$200,S$1,FALSE),IFERROR(VLOOKUP($E113,Sheet3!$H$2:$O$200,S$1,FALSE),VLOOKUP($F113,Sheet3!$H$2:$O$200,S$1,FALSE))),$I$1),$I$1)</f>
        <v>0</v>
      </c>
      <c r="T113" s="15">
        <f>IFERROR(IF(ISBLANK(M113),IFERROR(VLOOKUP($D113,Sheet3!$H$2:$O$200,T$1,FALSE),IFERROR(VLOOKUP($E113,Sheet3!$H$2:$O$200,T$1,FALSE),VLOOKUP($F113,Sheet3!$H$2:$O$200,T$1,FALSE))),$I$1),$I$1)</f>
        <v>0</v>
      </c>
      <c r="U113" s="15">
        <f>IFERROR(IF(ISBLANK(N113),IFERROR(VLOOKUP($D113,Sheet3!$H$2:$O$200,U$1,FALSE),IFERROR(VLOOKUP($E113,Sheet3!$H$2:$O$200,U$1,FALSE),VLOOKUP($F113,Sheet3!$H$2:$O$200,U$1,FALSE))),$I$1),$I$1)</f>
        <v>0</v>
      </c>
      <c r="V113" s="15">
        <f>IFERROR(IF(ISBLANK(O113),IFERROR(VLOOKUP($D113,Sheet3!$H$2:$O$200,V$1,FALSE),IFERROR(VLOOKUP($E113,Sheet3!$H$2:$O$200,V$1,FALSE),VLOOKUP($F113,Sheet3!$H$2:$O$200,V$1,FALSE))),$I$1),$I$1)</f>
        <v>0</v>
      </c>
      <c r="W113" s="15">
        <f>IFERROR(IF(ISBLANK(P113),IFERROR(VLOOKUP($D113,Sheet3!$H$2:$O$200,W$1,FALSE),IFERROR(VLOOKUP($E113,Sheet3!$H$2:$O$200,W$1,FALSE),VLOOKUP($F113,Sheet3!$H$2:$O$200,W$1,FALSE))),$I$1),$I$1)</f>
        <v>0</v>
      </c>
      <c r="X113" s="15">
        <f>IFERROR(IF(ISBLANK(Q113),IFERROR(VLOOKUP($E113,Sheet3!$H$2:$O$200,X$1,FALSE),IFERROR(VLOOKUP($F113,Sheet3!$H$2:$O$200,X$1,FALSE),VLOOKUP($G113,Sheet3!$H$2:$O$200,X$1,FALSE))),$I$1),$I$1)</f>
        <v>0</v>
      </c>
      <c r="Y113" s="15">
        <f>IFERROR(IF(ISBLANK(R113),IFERROR(VLOOKUP($E113,Sheet3!$H$2:$O$200,Y$1,FALSE),IFERROR(VLOOKUP($F113,Sheet3!$H$2:$O$200,Y$1,FALSE),VLOOKUP($G113,Sheet3!$H$2:$O$200,Y$1,FALSE))),$I$1),$I$1)</f>
        <v>0</v>
      </c>
      <c r="Z113" s="15">
        <f>IFERROR(IF(ISBLANK(S113),IFERROR(VLOOKUP($E113,Sheet3!$H$2:$O$200,Z$1,FALSE),IFERROR(VLOOKUP($F113,Sheet3!$H$2:$O$200,Z$1,FALSE),VLOOKUP($G113,Sheet3!$H$2:$O$200,Z$1,FALSE))),$I$1),$I$1)</f>
        <v>0</v>
      </c>
      <c r="AA113" s="15">
        <f>IFERROR(IF(ISBLANK(T113),IFERROR(VLOOKUP($E113,Sheet3!$H$2:$O$200,AA$1,FALSE),IFERROR(VLOOKUP($F113,Sheet3!$H$2:$O$200,AA$1,FALSE),VLOOKUP($G113,Sheet3!$H$2:$O$200,AA$1,FALSE))),$I$1),$I$1)</f>
        <v>0</v>
      </c>
      <c r="AB113" s="15">
        <f>IFERROR(IF(ISBLANK(U113),IFERROR(VLOOKUP($E113,Sheet3!$H$2:$O$200,AB$1,FALSE),IFERROR(VLOOKUP($F113,Sheet3!$H$2:$O$200,AB$1,FALSE),VLOOKUP($G113,Sheet3!$H$2:$O$200,AB$1,FALSE))),$I$1),$I$1)</f>
        <v>0</v>
      </c>
      <c r="AC113" s="15">
        <f>IFERROR(IF(ISBLANK(V113),IFERROR(VLOOKUP($E113,Sheet3!$H$2:$O$200,AC$1,FALSE),IFERROR(VLOOKUP($F113,Sheet3!$H$2:$O$200,AC$1,FALSE),VLOOKUP($G113,Sheet3!$H$2:$O$200,AC$1,FALSE))),$I$1),$I$1)</f>
        <v>0</v>
      </c>
      <c r="AD113" s="15">
        <f>IFERROR(IF(ISBLANK(W113),IFERROR(VLOOKUP($E113,Sheet3!$H$2:$O$200,AD$1,FALSE),IFERROR(VLOOKUP($F113,Sheet3!$H$2:$O$200,AD$1,FALSE),VLOOKUP($G113,Sheet3!$H$2:$O$200,AD$1,FALSE))),$I$1),$I$1)</f>
        <v>0</v>
      </c>
      <c r="AE113" s="15">
        <f>IFERROR(IF(ISBLANK(X113),IFERROR(VLOOKUP($F113,Sheet3!$H$2:$O$200,AE$1,FALSE),VLOOKUP($G113,Sheet3!$H$2:$O$200,AE$1,FALSE)),$I$1),$I$1)</f>
        <v>0</v>
      </c>
      <c r="AF113" s="15">
        <f>IFERROR(IF(ISBLANK(Y113),IFERROR(VLOOKUP($F113,Sheet3!$H$2:$O$200,AF$1,FALSE),VLOOKUP($G113,Sheet3!$H$2:$O$200,AF$1,FALSE)),$I$1),$I$1)</f>
        <v>0</v>
      </c>
      <c r="AG113" s="15">
        <f>IFERROR(IF(ISBLANK(Z113),IFERROR(VLOOKUP($F113,Sheet3!$H$2:$O$200,AG$1,FALSE),VLOOKUP($G113,Sheet3!$H$2:$O$200,AG$1,FALSE)),$I$1),$I$1)</f>
        <v>0</v>
      </c>
      <c r="AH113" s="15">
        <f>IFERROR(IF(ISBLANK(AA113),IFERROR(VLOOKUP($F113,Sheet3!$H$2:$O$200,AH$1,FALSE),VLOOKUP($G113,Sheet3!$H$2:$O$200,AH$1,FALSE)),$I$1),$I$1)</f>
        <v>0</v>
      </c>
      <c r="AI113" s="15">
        <f>IFERROR(IF(ISBLANK(AB113),IFERROR(VLOOKUP($F113,Sheet3!$H$2:$O$200,AI$1,FALSE),VLOOKUP($G113,Sheet3!$H$2:$O$200,AI$1,FALSE)),$I$1),$I$1)</f>
        <v>0</v>
      </c>
      <c r="AJ113" s="15">
        <f>IFERROR(IF(ISBLANK(AC113),IFERROR(VLOOKUP($F113,Sheet3!$H$2:$O$200,AJ$1,FALSE),VLOOKUP($G113,Sheet3!$H$2:$O$200,AJ$1,FALSE)),$I$1),$I$1)</f>
        <v>0</v>
      </c>
      <c r="AK113" s="15">
        <f>IFERROR(IF(ISBLANK(AD113),IFERROR(VLOOKUP($F113,Sheet3!$H$2:$O$200,AK$1,FALSE),VLOOKUP($G113,Sheet3!$H$2:$O$200,AK$1,FALSE)),$I$1),$I$1)</f>
        <v>0</v>
      </c>
      <c r="AL113" s="15">
        <f>IFERROR(IF(ISBLANK(AE113),VLOOKUP($G113,Sheet3!$H$2:$O$200,AL$1,FALSE),$I$1),$I$1)</f>
        <v>0</v>
      </c>
      <c r="AM113" s="15">
        <f>IFERROR(IF(ISBLANK(AF113),VLOOKUP($G113,Sheet3!$H$2:$O$200,AM$1,FALSE),$I$1),$I$1)</f>
        <v>0</v>
      </c>
      <c r="AN113" s="15">
        <f>IFERROR(IF(ISBLANK(AG113),VLOOKUP($G113,Sheet3!$H$2:$O$200,AN$1,FALSE),$I$1),$I$1)</f>
        <v>0</v>
      </c>
      <c r="AO113" s="15">
        <f>IFERROR(IF(ISBLANK(AH113),VLOOKUP($G113,Sheet3!$H$2:$O$200,AO$1,FALSE),$I$1),$I$1)</f>
        <v>0</v>
      </c>
      <c r="AP113" s="15">
        <f>IFERROR(IF(ISBLANK(AI113),VLOOKUP($G113,Sheet3!$H$2:$O$200,AP$1,FALSE),$I$1),$I$1)</f>
        <v>0</v>
      </c>
      <c r="AQ113" s="15">
        <f>IFERROR(IF(ISBLANK(AJ113),VLOOKUP($G113,Sheet3!$H$2:$O$200,AQ$1,FALSE),$I$1),$I$1)</f>
        <v>0</v>
      </c>
      <c r="AR113" s="15">
        <f>IFERROR(IF(ISBLANK(AK113),VLOOKUP($G113,Sheet3!$H$2:$O$200,AR$1,FALSE),$I$1),$I$1)</f>
        <v>0</v>
      </c>
      <c r="AS113" s="15">
        <f t="shared" ref="AS113:AY113" si="120">IFERROR(IF(ISBLANK(J113),IF(ISBLANK(Q113),IF(ISBLANK(X113),IF(ISBLANK(AE113),IF(ISBLANK(AL113),$BB$1,AL113),AE113),X113),Q113),J113),$BB$1)</f>
        <v>0</v>
      </c>
      <c r="AT113" s="15">
        <f t="shared" si="120"/>
        <v>0</v>
      </c>
      <c r="AU113" s="15" t="str">
        <f t="shared" si="120"/>
        <v>lemon juice</v>
      </c>
      <c r="AV113" s="15">
        <f t="shared" si="120"/>
        <v>0</v>
      </c>
      <c r="AW113" s="15">
        <f t="shared" si="120"/>
        <v>0</v>
      </c>
      <c r="AX113" s="15">
        <f t="shared" si="120"/>
        <v>0</v>
      </c>
      <c r="AY113" s="15">
        <f t="shared" si="120"/>
        <v>0</v>
      </c>
      <c r="BA113" s="13">
        <f t="shared" si="1"/>
        <v>35</v>
      </c>
      <c r="BB113" s="15" t="b">
        <f t="shared" si="2"/>
        <v>0</v>
      </c>
    </row>
    <row r="114" spans="1:54" x14ac:dyDescent="0.2">
      <c r="A114" s="19" t="s">
        <v>251</v>
      </c>
      <c r="B114" s="19" t="s">
        <v>252</v>
      </c>
      <c r="C114" s="19" t="s">
        <v>253</v>
      </c>
      <c r="D114" s="19"/>
      <c r="E114" s="19"/>
      <c r="F114" s="19"/>
      <c r="G114" s="19"/>
      <c r="H114" s="19" t="s">
        <v>251</v>
      </c>
      <c r="I114" s="15">
        <v>1</v>
      </c>
      <c r="J114" s="15">
        <f>IFERROR(VLOOKUP($C114,Sheet3!$H$2:$O$200,J$1,FALSE),IFERROR(VLOOKUP($D114,Sheet3!$H$2:$O$200,J$1,FALSE),VLOOKUP($E114,Sheet3!$H$2:$O$200,J$1,FALSE)))</f>
        <v>0</v>
      </c>
      <c r="K114" s="15">
        <f>IFERROR(VLOOKUP($C114,Sheet3!$H$2:$O$200,K$1,FALSE),IFERROR(VLOOKUP($D114,Sheet3!$H$2:$O$200,K$1,FALSE),VLOOKUP($E114,Sheet3!$H$2:$O$200,K$1,FALSE)))</f>
        <v>0</v>
      </c>
      <c r="L114" s="15">
        <f>IFERROR(VLOOKUP($C114,Sheet3!$H$2:$O$200,L$1,FALSE),IFERROR(VLOOKUP($D114,Sheet3!$H$2:$O$200,L$1,FALSE),VLOOKUP($E114,Sheet3!$H$2:$O$200,L$1,FALSE)))</f>
        <v>0</v>
      </c>
      <c r="M114" s="15" t="str">
        <f>IFERROR(VLOOKUP($C114,Sheet3!$H$2:$O$200,M$1,FALSE),IFERROR(VLOOKUP($D114,Sheet3!$H$2:$O$200,M$1,FALSE),VLOOKUP($E114,Sheet3!$H$2:$O$200,M$1,FALSE)))</f>
        <v>Baileys</v>
      </c>
      <c r="N114" s="15">
        <f>IFERROR(VLOOKUP($C114,Sheet3!$H$2:$O$200,N$1,FALSE),IFERROR(VLOOKUP($D114,Sheet3!$H$2:$O$200,N$1,FALSE),VLOOKUP($E114,Sheet3!$H$2:$O$200,N$1,FALSE)))</f>
        <v>0</v>
      </c>
      <c r="O114" s="15">
        <f>IFERROR(VLOOKUP($C114,Sheet3!$H$2:$O$200,O$1,FALSE),IFERROR(VLOOKUP($D114,Sheet3!$H$2:$O$200,O$1,FALSE),VLOOKUP($E114,Sheet3!$H$2:$O$200,O$1,FALSE)))</f>
        <v>0</v>
      </c>
      <c r="P114" s="15">
        <f>IFERROR(VLOOKUP($C114,Sheet3!$H$2:$O$200,P$1,FALSE),IFERROR(VLOOKUP($D114,Sheet3!$H$2:$O$200,P$1,FALSE),VLOOKUP($E114,Sheet3!$H$2:$O$200,P$1,FALSE)))</f>
        <v>0</v>
      </c>
      <c r="Q114" s="15">
        <f>IFERROR(IF(ISBLANK(J114),IFERROR(VLOOKUP($D114,Sheet3!$H$2:$O$200,Q$1,FALSE),IFERROR(VLOOKUP($E114,Sheet3!$H$2:$O$200,Q$1,FALSE),VLOOKUP($F114,Sheet3!$H$2:$O$200,Q$1,FALSE))),$I$1),$I$1)</f>
        <v>0</v>
      </c>
      <c r="R114" s="15">
        <f>IFERROR(IF(ISBLANK(K114),IFERROR(VLOOKUP($D114,Sheet3!$H$2:$O$200,R$1,FALSE),IFERROR(VLOOKUP($E114,Sheet3!$H$2:$O$200,R$1,FALSE),VLOOKUP($F114,Sheet3!$H$2:$O$200,R$1,FALSE))),$I$1),$I$1)</f>
        <v>0</v>
      </c>
      <c r="S114" s="15">
        <f>IFERROR(IF(ISBLANK(L114),IFERROR(VLOOKUP($D114,Sheet3!$H$2:$O$200,S$1,FALSE),IFERROR(VLOOKUP($E114,Sheet3!$H$2:$O$200,S$1,FALSE),VLOOKUP($F114,Sheet3!$H$2:$O$200,S$1,FALSE))),$I$1),$I$1)</f>
        <v>0</v>
      </c>
      <c r="T114" s="15">
        <f>IFERROR(IF(ISBLANK(M114),IFERROR(VLOOKUP($D114,Sheet3!$H$2:$O$200,T$1,FALSE),IFERROR(VLOOKUP($E114,Sheet3!$H$2:$O$200,T$1,FALSE),VLOOKUP($F114,Sheet3!$H$2:$O$200,T$1,FALSE))),$I$1),$I$1)</f>
        <v>0</v>
      </c>
      <c r="U114" s="15">
        <f>IFERROR(IF(ISBLANK(N114),IFERROR(VLOOKUP($D114,Sheet3!$H$2:$O$200,U$1,FALSE),IFERROR(VLOOKUP($E114,Sheet3!$H$2:$O$200,U$1,FALSE),VLOOKUP($F114,Sheet3!$H$2:$O$200,U$1,FALSE))),$I$1),$I$1)</f>
        <v>0</v>
      </c>
      <c r="V114" s="15">
        <f>IFERROR(IF(ISBLANK(O114),IFERROR(VLOOKUP($D114,Sheet3!$H$2:$O$200,V$1,FALSE),IFERROR(VLOOKUP($E114,Sheet3!$H$2:$O$200,V$1,FALSE),VLOOKUP($F114,Sheet3!$H$2:$O$200,V$1,FALSE))),$I$1),$I$1)</f>
        <v>0</v>
      </c>
      <c r="W114" s="15">
        <f>IFERROR(IF(ISBLANK(P114),IFERROR(VLOOKUP($D114,Sheet3!$H$2:$O$200,W$1,FALSE),IFERROR(VLOOKUP($E114,Sheet3!$H$2:$O$200,W$1,FALSE),VLOOKUP($F114,Sheet3!$H$2:$O$200,W$1,FALSE))),$I$1),$I$1)</f>
        <v>0</v>
      </c>
      <c r="X114" s="15">
        <f>IFERROR(IF(ISBLANK(Q114),IFERROR(VLOOKUP($E114,Sheet3!$H$2:$O$200,X$1,FALSE),IFERROR(VLOOKUP($F114,Sheet3!$H$2:$O$200,X$1,FALSE),VLOOKUP($G114,Sheet3!$H$2:$O$200,X$1,FALSE))),$I$1),$I$1)</f>
        <v>0</v>
      </c>
      <c r="Y114" s="15">
        <f>IFERROR(IF(ISBLANK(R114),IFERROR(VLOOKUP($E114,Sheet3!$H$2:$O$200,Y$1,FALSE),IFERROR(VLOOKUP($F114,Sheet3!$H$2:$O$200,Y$1,FALSE),VLOOKUP($G114,Sheet3!$H$2:$O$200,Y$1,FALSE))),$I$1),$I$1)</f>
        <v>0</v>
      </c>
      <c r="Z114" s="15">
        <f>IFERROR(IF(ISBLANK(S114),IFERROR(VLOOKUP($E114,Sheet3!$H$2:$O$200,Z$1,FALSE),IFERROR(VLOOKUP($F114,Sheet3!$H$2:$O$200,Z$1,FALSE),VLOOKUP($G114,Sheet3!$H$2:$O$200,Z$1,FALSE))),$I$1),$I$1)</f>
        <v>0</v>
      </c>
      <c r="AA114" s="15">
        <f>IFERROR(IF(ISBLANK(T114),IFERROR(VLOOKUP($E114,Sheet3!$H$2:$O$200,AA$1,FALSE),IFERROR(VLOOKUP($F114,Sheet3!$H$2:$O$200,AA$1,FALSE),VLOOKUP($G114,Sheet3!$H$2:$O$200,AA$1,FALSE))),$I$1),$I$1)</f>
        <v>0</v>
      </c>
      <c r="AB114" s="15">
        <f>IFERROR(IF(ISBLANK(U114),IFERROR(VLOOKUP($E114,Sheet3!$H$2:$O$200,AB$1,FALSE),IFERROR(VLOOKUP($F114,Sheet3!$H$2:$O$200,AB$1,FALSE),VLOOKUP($G114,Sheet3!$H$2:$O$200,AB$1,FALSE))),$I$1),$I$1)</f>
        <v>0</v>
      </c>
      <c r="AC114" s="15">
        <f>IFERROR(IF(ISBLANK(V114),IFERROR(VLOOKUP($E114,Sheet3!$H$2:$O$200,AC$1,FALSE),IFERROR(VLOOKUP($F114,Sheet3!$H$2:$O$200,AC$1,FALSE),VLOOKUP($G114,Sheet3!$H$2:$O$200,AC$1,FALSE))),$I$1),$I$1)</f>
        <v>0</v>
      </c>
      <c r="AD114" s="15">
        <f>IFERROR(IF(ISBLANK(W114),IFERROR(VLOOKUP($E114,Sheet3!$H$2:$O$200,AD$1,FALSE),IFERROR(VLOOKUP($F114,Sheet3!$H$2:$O$200,AD$1,FALSE),VLOOKUP($G114,Sheet3!$H$2:$O$200,AD$1,FALSE))),$I$1),$I$1)</f>
        <v>0</v>
      </c>
      <c r="AE114" s="15">
        <f>IFERROR(IF(ISBLANK(X114),IFERROR(VLOOKUP($F114,Sheet3!$H$2:$O$200,AE$1,FALSE),VLOOKUP($G114,Sheet3!$H$2:$O$200,AE$1,FALSE)),$I$1),$I$1)</f>
        <v>0</v>
      </c>
      <c r="AF114" s="15">
        <f>IFERROR(IF(ISBLANK(Y114),IFERROR(VLOOKUP($F114,Sheet3!$H$2:$O$200,AF$1,FALSE),VLOOKUP($G114,Sheet3!$H$2:$O$200,AF$1,FALSE)),$I$1),$I$1)</f>
        <v>0</v>
      </c>
      <c r="AG114" s="15">
        <f>IFERROR(IF(ISBLANK(Z114),IFERROR(VLOOKUP($F114,Sheet3!$H$2:$O$200,AG$1,FALSE),VLOOKUP($G114,Sheet3!$H$2:$O$200,AG$1,FALSE)),$I$1),$I$1)</f>
        <v>0</v>
      </c>
      <c r="AH114" s="15">
        <f>IFERROR(IF(ISBLANK(AA114),IFERROR(VLOOKUP($F114,Sheet3!$H$2:$O$200,AH$1,FALSE),VLOOKUP($G114,Sheet3!$H$2:$O$200,AH$1,FALSE)),$I$1),$I$1)</f>
        <v>0</v>
      </c>
      <c r="AI114" s="15">
        <f>IFERROR(IF(ISBLANK(AB114),IFERROR(VLOOKUP($F114,Sheet3!$H$2:$O$200,AI$1,FALSE),VLOOKUP($G114,Sheet3!$H$2:$O$200,AI$1,FALSE)),$I$1),$I$1)</f>
        <v>0</v>
      </c>
      <c r="AJ114" s="15">
        <f>IFERROR(IF(ISBLANK(AC114),IFERROR(VLOOKUP($F114,Sheet3!$H$2:$O$200,AJ$1,FALSE),VLOOKUP($G114,Sheet3!$H$2:$O$200,AJ$1,FALSE)),$I$1),$I$1)</f>
        <v>0</v>
      </c>
      <c r="AK114" s="15">
        <f>IFERROR(IF(ISBLANK(AD114),IFERROR(VLOOKUP($F114,Sheet3!$H$2:$O$200,AK$1,FALSE),VLOOKUP($G114,Sheet3!$H$2:$O$200,AK$1,FALSE)),$I$1),$I$1)</f>
        <v>0</v>
      </c>
      <c r="AL114" s="15">
        <f>IFERROR(IF(ISBLANK(AE114),VLOOKUP($G114,Sheet3!$H$2:$O$200,AL$1,FALSE),$I$1),$I$1)</f>
        <v>0</v>
      </c>
      <c r="AM114" s="15">
        <f>IFERROR(IF(ISBLANK(AF114),VLOOKUP($G114,Sheet3!$H$2:$O$200,AM$1,FALSE),$I$1),$I$1)</f>
        <v>0</v>
      </c>
      <c r="AN114" s="15">
        <f>IFERROR(IF(ISBLANK(AG114),VLOOKUP($G114,Sheet3!$H$2:$O$200,AN$1,FALSE),$I$1),$I$1)</f>
        <v>0</v>
      </c>
      <c r="AO114" s="15">
        <f>IFERROR(IF(ISBLANK(AH114),VLOOKUP($G114,Sheet3!$H$2:$O$200,AO$1,FALSE),$I$1),$I$1)</f>
        <v>0</v>
      </c>
      <c r="AP114" s="15">
        <f>IFERROR(IF(ISBLANK(AI114),VLOOKUP($G114,Sheet3!$H$2:$O$200,AP$1,FALSE),$I$1),$I$1)</f>
        <v>0</v>
      </c>
      <c r="AQ114" s="15">
        <f>IFERROR(IF(ISBLANK(AJ114),VLOOKUP($G114,Sheet3!$H$2:$O$200,AQ$1,FALSE),$I$1),$I$1)</f>
        <v>0</v>
      </c>
      <c r="AR114" s="15">
        <f>IFERROR(IF(ISBLANK(AK114),VLOOKUP($G114,Sheet3!$H$2:$O$200,AR$1,FALSE),$I$1),$I$1)</f>
        <v>0</v>
      </c>
      <c r="AS114" s="15">
        <f t="shared" ref="AS114:AY114" si="121">IFERROR(IF(ISBLANK(J114),IF(ISBLANK(Q114),IF(ISBLANK(X114),IF(ISBLANK(AE114),IF(ISBLANK(AL114),$BB$1,AL114),AE114),X114),Q114),J114),$BB$1)</f>
        <v>0</v>
      </c>
      <c r="AT114" s="15">
        <f t="shared" si="121"/>
        <v>0</v>
      </c>
      <c r="AU114" s="15">
        <f t="shared" si="121"/>
        <v>0</v>
      </c>
      <c r="AV114" s="15" t="str">
        <f t="shared" si="121"/>
        <v>Baileys</v>
      </c>
      <c r="AW114" s="15">
        <f t="shared" si="121"/>
        <v>0</v>
      </c>
      <c r="AX114" s="15">
        <f t="shared" si="121"/>
        <v>0</v>
      </c>
      <c r="AY114" s="15">
        <f t="shared" si="121"/>
        <v>0</v>
      </c>
      <c r="BA114" s="13">
        <f t="shared" si="1"/>
        <v>35</v>
      </c>
      <c r="BB114" s="15" t="b">
        <f t="shared" si="2"/>
        <v>0</v>
      </c>
    </row>
    <row r="115" spans="1:54" x14ac:dyDescent="0.2">
      <c r="A115" s="19" t="s">
        <v>254</v>
      </c>
      <c r="B115" s="19" t="s">
        <v>255</v>
      </c>
      <c r="C115" s="19" t="s">
        <v>256</v>
      </c>
      <c r="D115" s="19"/>
      <c r="E115" s="19"/>
      <c r="F115" s="19"/>
      <c r="G115" s="19"/>
      <c r="H115" s="19" t="s">
        <v>254</v>
      </c>
      <c r="I115" s="15">
        <v>1</v>
      </c>
      <c r="J115" s="15">
        <f>IFERROR(VLOOKUP($C115,Sheet3!$H$2:$O$200,J$1,FALSE),IFERROR(VLOOKUP($D115,Sheet3!$H$2:$O$200,J$1,FALSE),VLOOKUP($E115,Sheet3!$H$2:$O$200,J$1,FALSE)))</f>
        <v>0</v>
      </c>
      <c r="K115" s="15" t="str">
        <f>IFERROR(VLOOKUP($C115,Sheet3!$H$2:$O$200,K$1,FALSE),IFERROR(VLOOKUP($D115,Sheet3!$H$2:$O$200,K$1,FALSE),VLOOKUP($E115,Sheet3!$H$2:$O$200,K$1,FALSE)))</f>
        <v>ginger ale, lemon-lime soda, or club soda</v>
      </c>
      <c r="L115" s="15">
        <f>IFERROR(VLOOKUP($C115,Sheet3!$H$2:$O$200,L$1,FALSE),IFERROR(VLOOKUP($D115,Sheet3!$H$2:$O$200,L$1,FALSE),VLOOKUP($E115,Sheet3!$H$2:$O$200,L$1,FALSE)))</f>
        <v>0</v>
      </c>
      <c r="M115" s="15">
        <f>IFERROR(VLOOKUP($C115,Sheet3!$H$2:$O$200,M$1,FALSE),IFERROR(VLOOKUP($D115,Sheet3!$H$2:$O$200,M$1,FALSE),VLOOKUP($E115,Sheet3!$H$2:$O$200,M$1,FALSE)))</f>
        <v>0</v>
      </c>
      <c r="N115" s="15">
        <f>IFERROR(VLOOKUP($C115,Sheet3!$H$2:$O$200,N$1,FALSE),IFERROR(VLOOKUP($D115,Sheet3!$H$2:$O$200,N$1,FALSE),VLOOKUP($E115,Sheet3!$H$2:$O$200,N$1,FALSE)))</f>
        <v>0</v>
      </c>
      <c r="O115" s="15">
        <f>IFERROR(VLOOKUP($C115,Sheet3!$H$2:$O$200,O$1,FALSE),IFERROR(VLOOKUP($D115,Sheet3!$H$2:$O$200,O$1,FALSE),VLOOKUP($E115,Sheet3!$H$2:$O$200,O$1,FALSE)))</f>
        <v>0</v>
      </c>
      <c r="P115" s="15">
        <f>IFERROR(VLOOKUP($C115,Sheet3!$H$2:$O$200,P$1,FALSE),IFERROR(VLOOKUP($D115,Sheet3!$H$2:$O$200,P$1,FALSE),VLOOKUP($E115,Sheet3!$H$2:$O$200,P$1,FALSE)))</f>
        <v>0</v>
      </c>
      <c r="Q115" s="15">
        <f>IFERROR(IF(ISBLANK(J115),IFERROR(VLOOKUP($D115,Sheet3!$H$2:$O$200,Q$1,FALSE),IFERROR(VLOOKUP($E115,Sheet3!$H$2:$O$200,Q$1,FALSE),VLOOKUP($F115,Sheet3!$H$2:$O$200,Q$1,FALSE))),$I$1),$I$1)</f>
        <v>0</v>
      </c>
      <c r="R115" s="15">
        <f>IFERROR(IF(ISBLANK(K115),IFERROR(VLOOKUP($D115,Sheet3!$H$2:$O$200,R$1,FALSE),IFERROR(VLOOKUP($E115,Sheet3!$H$2:$O$200,R$1,FALSE),VLOOKUP($F115,Sheet3!$H$2:$O$200,R$1,FALSE))),$I$1),$I$1)</f>
        <v>0</v>
      </c>
      <c r="S115" s="15">
        <f>IFERROR(IF(ISBLANK(L115),IFERROR(VLOOKUP($D115,Sheet3!$H$2:$O$200,S$1,FALSE),IFERROR(VLOOKUP($E115,Sheet3!$H$2:$O$200,S$1,FALSE),VLOOKUP($F115,Sheet3!$H$2:$O$200,S$1,FALSE))),$I$1),$I$1)</f>
        <v>0</v>
      </c>
      <c r="T115" s="15">
        <f>IFERROR(IF(ISBLANK(M115),IFERROR(VLOOKUP($D115,Sheet3!$H$2:$O$200,T$1,FALSE),IFERROR(VLOOKUP($E115,Sheet3!$H$2:$O$200,T$1,FALSE),VLOOKUP($F115,Sheet3!$H$2:$O$200,T$1,FALSE))),$I$1),$I$1)</f>
        <v>0</v>
      </c>
      <c r="U115" s="15">
        <f>IFERROR(IF(ISBLANK(N115),IFERROR(VLOOKUP($D115,Sheet3!$H$2:$O$200,U$1,FALSE),IFERROR(VLOOKUP($E115,Sheet3!$H$2:$O$200,U$1,FALSE),VLOOKUP($F115,Sheet3!$H$2:$O$200,U$1,FALSE))),$I$1),$I$1)</f>
        <v>0</v>
      </c>
      <c r="V115" s="15">
        <f>IFERROR(IF(ISBLANK(O115),IFERROR(VLOOKUP($D115,Sheet3!$H$2:$O$200,V$1,FALSE),IFERROR(VLOOKUP($E115,Sheet3!$H$2:$O$200,V$1,FALSE),VLOOKUP($F115,Sheet3!$H$2:$O$200,V$1,FALSE))),$I$1),$I$1)</f>
        <v>0</v>
      </c>
      <c r="W115" s="15">
        <f>IFERROR(IF(ISBLANK(P115),IFERROR(VLOOKUP($D115,Sheet3!$H$2:$O$200,W$1,FALSE),IFERROR(VLOOKUP($E115,Sheet3!$H$2:$O$200,W$1,FALSE),VLOOKUP($F115,Sheet3!$H$2:$O$200,W$1,FALSE))),$I$1),$I$1)</f>
        <v>0</v>
      </c>
      <c r="X115" s="15">
        <f>IFERROR(IF(ISBLANK(Q115),IFERROR(VLOOKUP($E115,Sheet3!$H$2:$O$200,X$1,FALSE),IFERROR(VLOOKUP($F115,Sheet3!$H$2:$O$200,X$1,FALSE),VLOOKUP($G115,Sheet3!$H$2:$O$200,X$1,FALSE))),$I$1),$I$1)</f>
        <v>0</v>
      </c>
      <c r="Y115" s="15">
        <f>IFERROR(IF(ISBLANK(R115),IFERROR(VLOOKUP($E115,Sheet3!$H$2:$O$200,Y$1,FALSE),IFERROR(VLOOKUP($F115,Sheet3!$H$2:$O$200,Y$1,FALSE),VLOOKUP($G115,Sheet3!$H$2:$O$200,Y$1,FALSE))),$I$1),$I$1)</f>
        <v>0</v>
      </c>
      <c r="Z115" s="15">
        <f>IFERROR(IF(ISBLANK(S115),IFERROR(VLOOKUP($E115,Sheet3!$H$2:$O$200,Z$1,FALSE),IFERROR(VLOOKUP($F115,Sheet3!$H$2:$O$200,Z$1,FALSE),VLOOKUP($G115,Sheet3!$H$2:$O$200,Z$1,FALSE))),$I$1),$I$1)</f>
        <v>0</v>
      </c>
      <c r="AA115" s="15">
        <f>IFERROR(IF(ISBLANK(T115),IFERROR(VLOOKUP($E115,Sheet3!$H$2:$O$200,AA$1,FALSE),IFERROR(VLOOKUP($F115,Sheet3!$H$2:$O$200,AA$1,FALSE),VLOOKUP($G115,Sheet3!$H$2:$O$200,AA$1,FALSE))),$I$1),$I$1)</f>
        <v>0</v>
      </c>
      <c r="AB115" s="15">
        <f>IFERROR(IF(ISBLANK(U115),IFERROR(VLOOKUP($E115,Sheet3!$H$2:$O$200,AB$1,FALSE),IFERROR(VLOOKUP($F115,Sheet3!$H$2:$O$200,AB$1,FALSE),VLOOKUP($G115,Sheet3!$H$2:$O$200,AB$1,FALSE))),$I$1),$I$1)</f>
        <v>0</v>
      </c>
      <c r="AC115" s="15">
        <f>IFERROR(IF(ISBLANK(V115),IFERROR(VLOOKUP($E115,Sheet3!$H$2:$O$200,AC$1,FALSE),IFERROR(VLOOKUP($F115,Sheet3!$H$2:$O$200,AC$1,FALSE),VLOOKUP($G115,Sheet3!$H$2:$O$200,AC$1,FALSE))),$I$1),$I$1)</f>
        <v>0</v>
      </c>
      <c r="AD115" s="15">
        <f>IFERROR(IF(ISBLANK(W115),IFERROR(VLOOKUP($E115,Sheet3!$H$2:$O$200,AD$1,FALSE),IFERROR(VLOOKUP($F115,Sheet3!$H$2:$O$200,AD$1,FALSE),VLOOKUP($G115,Sheet3!$H$2:$O$200,AD$1,FALSE))),$I$1),$I$1)</f>
        <v>0</v>
      </c>
      <c r="AE115" s="15">
        <f>IFERROR(IF(ISBLANK(X115),IFERROR(VLOOKUP($F115,Sheet3!$H$2:$O$200,AE$1,FALSE),VLOOKUP($G115,Sheet3!$H$2:$O$200,AE$1,FALSE)),$I$1),$I$1)</f>
        <v>0</v>
      </c>
      <c r="AF115" s="15">
        <f>IFERROR(IF(ISBLANK(Y115),IFERROR(VLOOKUP($F115,Sheet3!$H$2:$O$200,AF$1,FALSE),VLOOKUP($G115,Sheet3!$H$2:$O$200,AF$1,FALSE)),$I$1),$I$1)</f>
        <v>0</v>
      </c>
      <c r="AG115" s="15">
        <f>IFERROR(IF(ISBLANK(Z115),IFERROR(VLOOKUP($F115,Sheet3!$H$2:$O$200,AG$1,FALSE),VLOOKUP($G115,Sheet3!$H$2:$O$200,AG$1,FALSE)),$I$1),$I$1)</f>
        <v>0</v>
      </c>
      <c r="AH115" s="15">
        <f>IFERROR(IF(ISBLANK(AA115),IFERROR(VLOOKUP($F115,Sheet3!$H$2:$O$200,AH$1,FALSE),VLOOKUP($G115,Sheet3!$H$2:$O$200,AH$1,FALSE)),$I$1),$I$1)</f>
        <v>0</v>
      </c>
      <c r="AI115" s="15">
        <f>IFERROR(IF(ISBLANK(AB115),IFERROR(VLOOKUP($F115,Sheet3!$H$2:$O$200,AI$1,FALSE),VLOOKUP($G115,Sheet3!$H$2:$O$200,AI$1,FALSE)),$I$1),$I$1)</f>
        <v>0</v>
      </c>
      <c r="AJ115" s="15">
        <f>IFERROR(IF(ISBLANK(AC115),IFERROR(VLOOKUP($F115,Sheet3!$H$2:$O$200,AJ$1,FALSE),VLOOKUP($G115,Sheet3!$H$2:$O$200,AJ$1,FALSE)),$I$1),$I$1)</f>
        <v>0</v>
      </c>
      <c r="AK115" s="15">
        <f>IFERROR(IF(ISBLANK(AD115),IFERROR(VLOOKUP($F115,Sheet3!$H$2:$O$200,AK$1,FALSE),VLOOKUP($G115,Sheet3!$H$2:$O$200,AK$1,FALSE)),$I$1),$I$1)</f>
        <v>0</v>
      </c>
      <c r="AL115" s="15">
        <f>IFERROR(IF(ISBLANK(AE115),VLOOKUP($G115,Sheet3!$H$2:$O$200,AL$1,FALSE),$I$1),$I$1)</f>
        <v>0</v>
      </c>
      <c r="AM115" s="15">
        <f>IFERROR(IF(ISBLANK(AF115),VLOOKUP($G115,Sheet3!$H$2:$O$200,AM$1,FALSE),$I$1),$I$1)</f>
        <v>0</v>
      </c>
      <c r="AN115" s="15">
        <f>IFERROR(IF(ISBLANK(AG115),VLOOKUP($G115,Sheet3!$H$2:$O$200,AN$1,FALSE),$I$1),$I$1)</f>
        <v>0</v>
      </c>
      <c r="AO115" s="15">
        <f>IFERROR(IF(ISBLANK(AH115),VLOOKUP($G115,Sheet3!$H$2:$O$200,AO$1,FALSE),$I$1),$I$1)</f>
        <v>0</v>
      </c>
      <c r="AP115" s="15">
        <f>IFERROR(IF(ISBLANK(AI115),VLOOKUP($G115,Sheet3!$H$2:$O$200,AP$1,FALSE),$I$1),$I$1)</f>
        <v>0</v>
      </c>
      <c r="AQ115" s="15">
        <f>IFERROR(IF(ISBLANK(AJ115),VLOOKUP($G115,Sheet3!$H$2:$O$200,AQ$1,FALSE),$I$1),$I$1)</f>
        <v>0</v>
      </c>
      <c r="AR115" s="15">
        <f>IFERROR(IF(ISBLANK(AK115),VLOOKUP($G115,Sheet3!$H$2:$O$200,AR$1,FALSE),$I$1),$I$1)</f>
        <v>0</v>
      </c>
      <c r="AS115" s="15">
        <f t="shared" ref="AS115:AY115" si="122">IFERROR(IF(ISBLANK(J115),IF(ISBLANK(Q115),IF(ISBLANK(X115),IF(ISBLANK(AE115),IF(ISBLANK(AL115),$BB$1,AL115),AE115),X115),Q115),J115),$BB$1)</f>
        <v>0</v>
      </c>
      <c r="AT115" s="15" t="str">
        <f t="shared" si="122"/>
        <v>ginger ale, lemon-lime soda, or club soda</v>
      </c>
      <c r="AU115" s="15">
        <f t="shared" si="122"/>
        <v>0</v>
      </c>
      <c r="AV115" s="15">
        <f t="shared" si="122"/>
        <v>0</v>
      </c>
      <c r="AW115" s="15">
        <f t="shared" si="122"/>
        <v>0</v>
      </c>
      <c r="AX115" s="15">
        <f t="shared" si="122"/>
        <v>0</v>
      </c>
      <c r="AY115" s="15">
        <f t="shared" si="122"/>
        <v>0</v>
      </c>
      <c r="BA115" s="13">
        <f t="shared" si="1"/>
        <v>35</v>
      </c>
      <c r="BB115" s="15" t="b">
        <f t="shared" si="2"/>
        <v>0</v>
      </c>
    </row>
    <row r="116" spans="1:54" x14ac:dyDescent="0.2">
      <c r="A116" s="19" t="s">
        <v>257</v>
      </c>
      <c r="B116" s="19" t="s">
        <v>258</v>
      </c>
      <c r="C116" s="19"/>
      <c r="D116" s="19" t="s">
        <v>38</v>
      </c>
      <c r="E116" s="19" t="s">
        <v>86</v>
      </c>
      <c r="F116" s="19" t="s">
        <v>163</v>
      </c>
      <c r="G116" s="18" t="s">
        <v>66</v>
      </c>
      <c r="H116" s="19" t="s">
        <v>257</v>
      </c>
      <c r="I116" s="15">
        <v>4</v>
      </c>
      <c r="J116" s="15">
        <f>IFERROR(VLOOKUP($C116,Sheet3!$H$2:$O$200,J$1,FALSE),IFERROR(VLOOKUP($D116,Sheet3!$H$2:$O$200,J$1,FALSE),VLOOKUP($E116,Sheet3!$H$2:$O$200,J$1,FALSE)))</f>
        <v>0</v>
      </c>
      <c r="K116" s="15">
        <f>IFERROR(VLOOKUP($C116,Sheet3!$H$2:$O$200,K$1,FALSE),IFERROR(VLOOKUP($D116,Sheet3!$H$2:$O$200,K$1,FALSE),VLOOKUP($E116,Sheet3!$H$2:$O$200,K$1,FALSE)))</f>
        <v>0</v>
      </c>
      <c r="L116" s="15" t="str">
        <f>IFERROR(VLOOKUP($C116,Sheet3!$H$2:$O$200,L$1,FALSE),IFERROR(VLOOKUP($D116,Sheet3!$H$2:$O$200,L$1,FALSE),VLOOKUP($E116,Sheet3!$H$2:$O$200,L$1,FALSE)))</f>
        <v>lemon juice</v>
      </c>
      <c r="M116" s="15">
        <f>IFERROR(VLOOKUP($C116,Sheet3!$H$2:$O$200,M$1,FALSE),IFERROR(VLOOKUP($D116,Sheet3!$H$2:$O$200,M$1,FALSE),VLOOKUP($E116,Sheet3!$H$2:$O$200,M$1,FALSE)))</f>
        <v>0</v>
      </c>
      <c r="N116" s="15">
        <f>IFERROR(VLOOKUP($C116,Sheet3!$H$2:$O$200,N$1,FALSE),IFERROR(VLOOKUP($D116,Sheet3!$H$2:$O$200,N$1,FALSE),VLOOKUP($E116,Sheet3!$H$2:$O$200,N$1,FALSE)))</f>
        <v>0</v>
      </c>
      <c r="O116" s="15">
        <f>IFERROR(VLOOKUP($C116,Sheet3!$H$2:$O$200,O$1,FALSE),IFERROR(VLOOKUP($D116,Sheet3!$H$2:$O$200,O$1,FALSE),VLOOKUP($E116,Sheet3!$H$2:$O$200,O$1,FALSE)))</f>
        <v>0</v>
      </c>
      <c r="P116" s="15">
        <f>IFERROR(VLOOKUP($C116,Sheet3!$H$2:$O$200,P$1,FALSE),IFERROR(VLOOKUP($D116,Sheet3!$H$2:$O$200,P$1,FALSE),VLOOKUP($E116,Sheet3!$H$2:$O$200,P$1,FALSE)))</f>
        <v>0</v>
      </c>
      <c r="Q116" s="15">
        <f>IFERROR(IF(ISBLANK(J116),IFERROR(VLOOKUP($D116,Sheet3!$H$2:$O$200,Q$1,FALSE),IFERROR(VLOOKUP($E116,Sheet3!$H$2:$O$200,Q$1,FALSE),VLOOKUP($F116,Sheet3!$H$2:$O$200,Q$1,FALSE))),$I$1),$I$1)</f>
        <v>0</v>
      </c>
      <c r="R116" s="15">
        <f>IFERROR(IF(ISBLANK(K116),IFERROR(VLOOKUP($D116,Sheet3!$H$2:$O$200,R$1,FALSE),IFERROR(VLOOKUP($E116,Sheet3!$H$2:$O$200,R$1,FALSE),VLOOKUP($F116,Sheet3!$H$2:$O$200,R$1,FALSE))),$I$1),$I$1)</f>
        <v>0</v>
      </c>
      <c r="S116" s="15">
        <f>IFERROR(IF(ISBLANK(L116),IFERROR(VLOOKUP($D116,Sheet3!$H$2:$O$200,S$1,FALSE),IFERROR(VLOOKUP($E116,Sheet3!$H$2:$O$200,S$1,FALSE),VLOOKUP($F116,Sheet3!$H$2:$O$200,S$1,FALSE))),$I$1),$I$1)</f>
        <v>0</v>
      </c>
      <c r="T116" s="15">
        <f>IFERROR(IF(ISBLANK(M116),IFERROR(VLOOKUP($D116,Sheet3!$H$2:$O$200,T$1,FALSE),IFERROR(VLOOKUP($E116,Sheet3!$H$2:$O$200,T$1,FALSE),VLOOKUP($F116,Sheet3!$H$2:$O$200,T$1,FALSE))),$I$1),$I$1)</f>
        <v>0</v>
      </c>
      <c r="U116" s="15">
        <f>IFERROR(IF(ISBLANK(N116),IFERROR(VLOOKUP($D116,Sheet3!$H$2:$O$200,U$1,FALSE),IFERROR(VLOOKUP($E116,Sheet3!$H$2:$O$200,U$1,FALSE),VLOOKUP($F116,Sheet3!$H$2:$O$200,U$1,FALSE))),$I$1),$I$1)</f>
        <v>0</v>
      </c>
      <c r="V116" s="15">
        <f>IFERROR(IF(ISBLANK(O116),IFERROR(VLOOKUP($D116,Sheet3!$H$2:$O$200,V$1,FALSE),IFERROR(VLOOKUP($E116,Sheet3!$H$2:$O$200,V$1,FALSE),VLOOKUP($F116,Sheet3!$H$2:$O$200,V$1,FALSE))),$I$1),$I$1)</f>
        <v>0</v>
      </c>
      <c r="W116" s="15">
        <f>IFERROR(IF(ISBLANK(P116),IFERROR(VLOOKUP($D116,Sheet3!$H$2:$O$200,W$1,FALSE),IFERROR(VLOOKUP($E116,Sheet3!$H$2:$O$200,W$1,FALSE),VLOOKUP($F116,Sheet3!$H$2:$O$200,W$1,FALSE))),$I$1),$I$1)</f>
        <v>0</v>
      </c>
      <c r="X116" s="15">
        <f>IFERROR(IF(ISBLANK(Q116),IFERROR(VLOOKUP($E116,Sheet3!$H$2:$O$200,X$1,FALSE),IFERROR(VLOOKUP($F116,Sheet3!$H$2:$O$200,X$1,FALSE),VLOOKUP($G116,Sheet3!$H$2:$O$200,X$1,FALSE))),$I$1),$I$1)</f>
        <v>0</v>
      </c>
      <c r="Y116" s="15">
        <f>IFERROR(IF(ISBLANK(R116),IFERROR(VLOOKUP($E116,Sheet3!$H$2:$O$200,Y$1,FALSE),IFERROR(VLOOKUP($F116,Sheet3!$H$2:$O$200,Y$1,FALSE),VLOOKUP($G116,Sheet3!$H$2:$O$200,Y$1,FALSE))),$I$1),$I$1)</f>
        <v>0</v>
      </c>
      <c r="Z116" s="15">
        <f>IFERROR(IF(ISBLANK(S116),IFERROR(VLOOKUP($E116,Sheet3!$H$2:$O$200,Z$1,FALSE),IFERROR(VLOOKUP($F116,Sheet3!$H$2:$O$200,Z$1,FALSE),VLOOKUP($G116,Sheet3!$H$2:$O$200,Z$1,FALSE))),$I$1),$I$1)</f>
        <v>0</v>
      </c>
      <c r="AA116" s="15">
        <f>IFERROR(IF(ISBLANK(T116),IFERROR(VLOOKUP($E116,Sheet3!$H$2:$O$200,AA$1,FALSE),IFERROR(VLOOKUP($F116,Sheet3!$H$2:$O$200,AA$1,FALSE),VLOOKUP($G116,Sheet3!$H$2:$O$200,AA$1,FALSE))),$I$1),$I$1)</f>
        <v>0</v>
      </c>
      <c r="AB116" s="15">
        <f>IFERROR(IF(ISBLANK(U116),IFERROR(VLOOKUP($E116,Sheet3!$H$2:$O$200,AB$1,FALSE),IFERROR(VLOOKUP($F116,Sheet3!$H$2:$O$200,AB$1,FALSE),VLOOKUP($G116,Sheet3!$H$2:$O$200,AB$1,FALSE))),$I$1),$I$1)</f>
        <v>0</v>
      </c>
      <c r="AC116" s="15">
        <f>IFERROR(IF(ISBLANK(V116),IFERROR(VLOOKUP($E116,Sheet3!$H$2:$O$200,AC$1,FALSE),IFERROR(VLOOKUP($F116,Sheet3!$H$2:$O$200,AC$1,FALSE),VLOOKUP($G116,Sheet3!$H$2:$O$200,AC$1,FALSE))),$I$1),$I$1)</f>
        <v>0</v>
      </c>
      <c r="AD116" s="15">
        <f>IFERROR(IF(ISBLANK(W116),IFERROR(VLOOKUP($E116,Sheet3!$H$2:$O$200,AD$1,FALSE),IFERROR(VLOOKUP($F116,Sheet3!$H$2:$O$200,AD$1,FALSE),VLOOKUP($G116,Sheet3!$H$2:$O$200,AD$1,FALSE))),$I$1),$I$1)</f>
        <v>0</v>
      </c>
      <c r="AE116" s="15">
        <f>IFERROR(IF(ISBLANK(X116),IFERROR(VLOOKUP($F116,Sheet3!$H$2:$O$200,AE$1,FALSE),VLOOKUP($G116,Sheet3!$H$2:$O$200,AE$1,FALSE)),$I$1),$I$1)</f>
        <v>0</v>
      </c>
      <c r="AF116" s="15">
        <f>IFERROR(IF(ISBLANK(Y116),IFERROR(VLOOKUP($F116,Sheet3!$H$2:$O$200,AF$1,FALSE),VLOOKUP($G116,Sheet3!$H$2:$O$200,AF$1,FALSE)),$I$1),$I$1)</f>
        <v>0</v>
      </c>
      <c r="AG116" s="15">
        <f>IFERROR(IF(ISBLANK(Z116),IFERROR(VLOOKUP($F116,Sheet3!$H$2:$O$200,AG$1,FALSE),VLOOKUP($G116,Sheet3!$H$2:$O$200,AG$1,FALSE)),$I$1),$I$1)</f>
        <v>0</v>
      </c>
      <c r="AH116" s="15">
        <f>IFERROR(IF(ISBLANK(AA116),IFERROR(VLOOKUP($F116,Sheet3!$H$2:$O$200,AH$1,FALSE),VLOOKUP($G116,Sheet3!$H$2:$O$200,AH$1,FALSE)),$I$1),$I$1)</f>
        <v>0</v>
      </c>
      <c r="AI116" s="15">
        <f>IFERROR(IF(ISBLANK(AB116),IFERROR(VLOOKUP($F116,Sheet3!$H$2:$O$200,AI$1,FALSE),VLOOKUP($G116,Sheet3!$H$2:$O$200,AI$1,FALSE)),$I$1),$I$1)</f>
        <v>0</v>
      </c>
      <c r="AJ116" s="15">
        <f>IFERROR(IF(ISBLANK(AC116),IFERROR(VLOOKUP($F116,Sheet3!$H$2:$O$200,AJ$1,FALSE),VLOOKUP($G116,Sheet3!$H$2:$O$200,AJ$1,FALSE)),$I$1),$I$1)</f>
        <v>0</v>
      </c>
      <c r="AK116" s="15">
        <f>IFERROR(IF(ISBLANK(AD116),IFERROR(VLOOKUP($F116,Sheet3!$H$2:$O$200,AK$1,FALSE),VLOOKUP($G116,Sheet3!$H$2:$O$200,AK$1,FALSE)),$I$1),$I$1)</f>
        <v>0</v>
      </c>
      <c r="AL116" s="15">
        <f>IFERROR(IF(ISBLANK(AE116),VLOOKUP($G116,Sheet3!$H$2:$O$200,AL$1,FALSE),$I$1),$I$1)</f>
        <v>0</v>
      </c>
      <c r="AM116" s="15">
        <f>IFERROR(IF(ISBLANK(AF116),VLOOKUP($G116,Sheet3!$H$2:$O$200,AM$1,FALSE),$I$1),$I$1)</f>
        <v>0</v>
      </c>
      <c r="AN116" s="15">
        <f>IFERROR(IF(ISBLANK(AG116),VLOOKUP($G116,Sheet3!$H$2:$O$200,AN$1,FALSE),$I$1),$I$1)</f>
        <v>0</v>
      </c>
      <c r="AO116" s="15">
        <f>IFERROR(IF(ISBLANK(AH116),VLOOKUP($G116,Sheet3!$H$2:$O$200,AO$1,FALSE),$I$1),$I$1)</f>
        <v>0</v>
      </c>
      <c r="AP116" s="15">
        <f>IFERROR(IF(ISBLANK(AI116),VLOOKUP($G116,Sheet3!$H$2:$O$200,AP$1,FALSE),$I$1),$I$1)</f>
        <v>0</v>
      </c>
      <c r="AQ116" s="15">
        <f>IFERROR(IF(ISBLANK(AJ116),VLOOKUP($G116,Sheet3!$H$2:$O$200,AQ$1,FALSE),$I$1),$I$1)</f>
        <v>0</v>
      </c>
      <c r="AR116" s="15">
        <f>IFERROR(IF(ISBLANK(AK116),VLOOKUP($G116,Sheet3!$H$2:$O$200,AR$1,FALSE),$I$1),$I$1)</f>
        <v>0</v>
      </c>
      <c r="AS116" s="15">
        <f t="shared" ref="AS116:AX116" si="123">IFERROR(IF(ISBLANK(J116),IF(ISBLANK(Q116),IF(ISBLANK(X116),IF(ISBLANK(AE116),IF(ISBLANK(AL116),$BB$1,AL116),AE116),X116),Q116),J116),$BB$1)</f>
        <v>0</v>
      </c>
      <c r="AT116" s="15">
        <f t="shared" si="123"/>
        <v>0</v>
      </c>
      <c r="AU116" s="15" t="str">
        <f t="shared" si="123"/>
        <v>lemon juice</v>
      </c>
      <c r="AV116" s="15">
        <f t="shared" si="123"/>
        <v>0</v>
      </c>
      <c r="AW116" s="15">
        <f t="shared" si="123"/>
        <v>0</v>
      </c>
      <c r="AX116" s="15">
        <f t="shared" si="123"/>
        <v>0</v>
      </c>
      <c r="AY116" s="11" t="s">
        <v>163</v>
      </c>
      <c r="AZ116" s="11" t="s">
        <v>66</v>
      </c>
      <c r="BA116" s="13">
        <f t="shared" si="1"/>
        <v>35</v>
      </c>
      <c r="BB116" s="15" t="b">
        <f t="shared" si="2"/>
        <v>0</v>
      </c>
    </row>
    <row r="117" spans="1:54" x14ac:dyDescent="0.2">
      <c r="A117" s="19" t="s">
        <v>259</v>
      </c>
      <c r="B117" s="19" t="s">
        <v>258</v>
      </c>
      <c r="C117" s="19" t="s">
        <v>100</v>
      </c>
      <c r="D117" s="19" t="s">
        <v>90</v>
      </c>
      <c r="E117" s="19"/>
      <c r="F117" s="19"/>
      <c r="G117" s="19"/>
      <c r="H117" s="19" t="s">
        <v>259</v>
      </c>
      <c r="I117" s="15">
        <v>2</v>
      </c>
      <c r="J117" s="15">
        <f>IFERROR(VLOOKUP($C117,Sheet3!$H$2:$O$200,J$1,FALSE),IFERROR(VLOOKUP($D117,Sheet3!$H$2:$O$200,J$1,FALSE),VLOOKUP($E117,Sheet3!$H$2:$O$200,J$1,FALSE)))</f>
        <v>0</v>
      </c>
      <c r="K117" s="15">
        <f>IFERROR(VLOOKUP($C117,Sheet3!$H$2:$O$200,K$1,FALSE),IFERROR(VLOOKUP($D117,Sheet3!$H$2:$O$200,K$1,FALSE),VLOOKUP($E117,Sheet3!$H$2:$O$200,K$1,FALSE)))</f>
        <v>0</v>
      </c>
      <c r="L117" s="15">
        <f>IFERROR(VLOOKUP($C117,Sheet3!$H$2:$O$200,L$1,FALSE),IFERROR(VLOOKUP($D117,Sheet3!$H$2:$O$200,L$1,FALSE),VLOOKUP($E117,Sheet3!$H$2:$O$200,L$1,FALSE)))</f>
        <v>0</v>
      </c>
      <c r="M117" s="15" t="str">
        <f>IFERROR(VLOOKUP($C117,Sheet3!$H$2:$O$200,M$1,FALSE),IFERROR(VLOOKUP($D117,Sheet3!$H$2:$O$200,M$1,FALSE),VLOOKUP($E117,Sheet3!$H$2:$O$200,M$1,FALSE)))</f>
        <v>triple sec</v>
      </c>
      <c r="N117" s="15">
        <f>IFERROR(VLOOKUP($C117,Sheet3!$H$2:$O$200,N$1,FALSE),IFERROR(VLOOKUP($D117,Sheet3!$H$2:$O$200,N$1,FALSE),VLOOKUP($E117,Sheet3!$H$2:$O$200,N$1,FALSE)))</f>
        <v>0</v>
      </c>
      <c r="O117" s="15">
        <f>IFERROR(VLOOKUP($C117,Sheet3!$H$2:$O$200,O$1,FALSE),IFERROR(VLOOKUP($D117,Sheet3!$H$2:$O$200,O$1,FALSE),VLOOKUP($E117,Sheet3!$H$2:$O$200,O$1,FALSE)))</f>
        <v>0</v>
      </c>
      <c r="P117" s="15">
        <f>IFERROR(VLOOKUP($C117,Sheet3!$H$2:$O$200,P$1,FALSE),IFERROR(VLOOKUP($D117,Sheet3!$H$2:$O$200,P$1,FALSE),VLOOKUP($E117,Sheet3!$H$2:$O$200,P$1,FALSE)))</f>
        <v>0</v>
      </c>
      <c r="Q117" s="15">
        <f>IFERROR(IF(ISBLANK(J117),IFERROR(VLOOKUP($D117,Sheet3!$H$2:$O$200,Q$1,FALSE),IFERROR(VLOOKUP($E117,Sheet3!$H$2:$O$200,Q$1,FALSE),VLOOKUP($F117,Sheet3!$H$2:$O$200,Q$1,FALSE))),$I$1),$I$1)</f>
        <v>0</v>
      </c>
      <c r="R117" s="15">
        <f>IFERROR(IF(ISBLANK(K117),IFERROR(VLOOKUP($D117,Sheet3!$H$2:$O$200,R$1,FALSE),IFERROR(VLOOKUP($E117,Sheet3!$H$2:$O$200,R$1,FALSE),VLOOKUP($F117,Sheet3!$H$2:$O$200,R$1,FALSE))),$I$1),$I$1)</f>
        <v>0</v>
      </c>
      <c r="S117" s="15">
        <f>IFERROR(IF(ISBLANK(L117),IFERROR(VLOOKUP($D117,Sheet3!$H$2:$O$200,S$1,FALSE),IFERROR(VLOOKUP($E117,Sheet3!$H$2:$O$200,S$1,FALSE),VLOOKUP($F117,Sheet3!$H$2:$O$200,S$1,FALSE))),$I$1),$I$1)</f>
        <v>0</v>
      </c>
      <c r="T117" s="15">
        <f>IFERROR(IF(ISBLANK(M117),IFERROR(VLOOKUP($D117,Sheet3!$H$2:$O$200,T$1,FALSE),IFERROR(VLOOKUP($E117,Sheet3!$H$2:$O$200,T$1,FALSE),VLOOKUP($F117,Sheet3!$H$2:$O$200,T$1,FALSE))),$I$1),$I$1)</f>
        <v>0</v>
      </c>
      <c r="U117" s="15">
        <f>IFERROR(IF(ISBLANK(N117),IFERROR(VLOOKUP($D117,Sheet3!$H$2:$O$200,U$1,FALSE),IFERROR(VLOOKUP($E117,Sheet3!$H$2:$O$200,U$1,FALSE),VLOOKUP($F117,Sheet3!$H$2:$O$200,U$1,FALSE))),$I$1),$I$1)</f>
        <v>0</v>
      </c>
      <c r="V117" s="15">
        <f>IFERROR(IF(ISBLANK(O117),IFERROR(VLOOKUP($D117,Sheet3!$H$2:$O$200,V$1,FALSE),IFERROR(VLOOKUP($E117,Sheet3!$H$2:$O$200,V$1,FALSE),VLOOKUP($F117,Sheet3!$H$2:$O$200,V$1,FALSE))),$I$1),$I$1)</f>
        <v>0</v>
      </c>
      <c r="W117" s="15">
        <f>IFERROR(IF(ISBLANK(P117),IFERROR(VLOOKUP($D117,Sheet3!$H$2:$O$200,W$1,FALSE),IFERROR(VLOOKUP($E117,Sheet3!$H$2:$O$200,W$1,FALSE),VLOOKUP($F117,Sheet3!$H$2:$O$200,W$1,FALSE))),$I$1),$I$1)</f>
        <v>0</v>
      </c>
      <c r="X117" s="15">
        <f>IFERROR(IF(ISBLANK(Q117),IFERROR(VLOOKUP($E117,Sheet3!$H$2:$O$200,X$1,FALSE),IFERROR(VLOOKUP($F117,Sheet3!$H$2:$O$200,X$1,FALSE),VLOOKUP($G117,Sheet3!$H$2:$O$200,X$1,FALSE))),$I$1),$I$1)</f>
        <v>0</v>
      </c>
      <c r="Y117" s="15">
        <f>IFERROR(IF(ISBLANK(R117),IFERROR(VLOOKUP($E117,Sheet3!$H$2:$O$200,Y$1,FALSE),IFERROR(VLOOKUP($F117,Sheet3!$H$2:$O$200,Y$1,FALSE),VLOOKUP($G117,Sheet3!$H$2:$O$200,Y$1,FALSE))),$I$1),$I$1)</f>
        <v>0</v>
      </c>
      <c r="Z117" s="15">
        <f>IFERROR(IF(ISBLANK(S117),IFERROR(VLOOKUP($E117,Sheet3!$H$2:$O$200,Z$1,FALSE),IFERROR(VLOOKUP($F117,Sheet3!$H$2:$O$200,Z$1,FALSE),VLOOKUP($G117,Sheet3!$H$2:$O$200,Z$1,FALSE))),$I$1),$I$1)</f>
        <v>0</v>
      </c>
      <c r="AA117" s="15">
        <f>IFERROR(IF(ISBLANK(T117),IFERROR(VLOOKUP($E117,Sheet3!$H$2:$O$200,AA$1,FALSE),IFERROR(VLOOKUP($F117,Sheet3!$H$2:$O$200,AA$1,FALSE),VLOOKUP($G117,Sheet3!$H$2:$O$200,AA$1,FALSE))),$I$1),$I$1)</f>
        <v>0</v>
      </c>
      <c r="AB117" s="15">
        <f>IFERROR(IF(ISBLANK(U117),IFERROR(VLOOKUP($E117,Sheet3!$H$2:$O$200,AB$1,FALSE),IFERROR(VLOOKUP($F117,Sheet3!$H$2:$O$200,AB$1,FALSE),VLOOKUP($G117,Sheet3!$H$2:$O$200,AB$1,FALSE))),$I$1),$I$1)</f>
        <v>0</v>
      </c>
      <c r="AC117" s="15">
        <f>IFERROR(IF(ISBLANK(V117),IFERROR(VLOOKUP($E117,Sheet3!$H$2:$O$200,AC$1,FALSE),IFERROR(VLOOKUP($F117,Sheet3!$H$2:$O$200,AC$1,FALSE),VLOOKUP($G117,Sheet3!$H$2:$O$200,AC$1,FALSE))),$I$1),$I$1)</f>
        <v>0</v>
      </c>
      <c r="AD117" s="15">
        <f>IFERROR(IF(ISBLANK(W117),IFERROR(VLOOKUP($E117,Sheet3!$H$2:$O$200,AD$1,FALSE),IFERROR(VLOOKUP($F117,Sheet3!$H$2:$O$200,AD$1,FALSE),VLOOKUP($G117,Sheet3!$H$2:$O$200,AD$1,FALSE))),$I$1),$I$1)</f>
        <v>0</v>
      </c>
      <c r="AE117" s="15">
        <f>IFERROR(IF(ISBLANK(X117),IFERROR(VLOOKUP($F117,Sheet3!$H$2:$O$200,AE$1,FALSE),VLOOKUP($G117,Sheet3!$H$2:$O$200,AE$1,FALSE)),$I$1),$I$1)</f>
        <v>0</v>
      </c>
      <c r="AF117" s="15">
        <f>IFERROR(IF(ISBLANK(Y117),IFERROR(VLOOKUP($F117,Sheet3!$H$2:$O$200,AF$1,FALSE),VLOOKUP($G117,Sheet3!$H$2:$O$200,AF$1,FALSE)),$I$1),$I$1)</f>
        <v>0</v>
      </c>
      <c r="AG117" s="15">
        <f>IFERROR(IF(ISBLANK(Z117),IFERROR(VLOOKUP($F117,Sheet3!$H$2:$O$200,AG$1,FALSE),VLOOKUP($G117,Sheet3!$H$2:$O$200,AG$1,FALSE)),$I$1),$I$1)</f>
        <v>0</v>
      </c>
      <c r="AH117" s="15">
        <f>IFERROR(IF(ISBLANK(AA117),IFERROR(VLOOKUP($F117,Sheet3!$H$2:$O$200,AH$1,FALSE),VLOOKUP($G117,Sheet3!$H$2:$O$200,AH$1,FALSE)),$I$1),$I$1)</f>
        <v>0</v>
      </c>
      <c r="AI117" s="15">
        <f>IFERROR(IF(ISBLANK(AB117),IFERROR(VLOOKUP($F117,Sheet3!$H$2:$O$200,AI$1,FALSE),VLOOKUP($G117,Sheet3!$H$2:$O$200,AI$1,FALSE)),$I$1),$I$1)</f>
        <v>0</v>
      </c>
      <c r="AJ117" s="15">
        <f>IFERROR(IF(ISBLANK(AC117),IFERROR(VLOOKUP($F117,Sheet3!$H$2:$O$200,AJ$1,FALSE),VLOOKUP($G117,Sheet3!$H$2:$O$200,AJ$1,FALSE)),$I$1),$I$1)</f>
        <v>0</v>
      </c>
      <c r="AK117" s="15">
        <f>IFERROR(IF(ISBLANK(AD117),IFERROR(VLOOKUP($F117,Sheet3!$H$2:$O$200,AK$1,FALSE),VLOOKUP($G117,Sheet3!$H$2:$O$200,AK$1,FALSE)),$I$1),$I$1)</f>
        <v>0</v>
      </c>
      <c r="AL117" s="15">
        <f>IFERROR(IF(ISBLANK(AE117),VLOOKUP($G117,Sheet3!$H$2:$O$200,AL$1,FALSE),$I$1),$I$1)</f>
        <v>0</v>
      </c>
      <c r="AM117" s="15">
        <f>IFERROR(IF(ISBLANK(AF117),VLOOKUP($G117,Sheet3!$H$2:$O$200,AM$1,FALSE),$I$1),$I$1)</f>
        <v>0</v>
      </c>
      <c r="AN117" s="15">
        <f>IFERROR(IF(ISBLANK(AG117),VLOOKUP($G117,Sheet3!$H$2:$O$200,AN$1,FALSE),$I$1),$I$1)</f>
        <v>0</v>
      </c>
      <c r="AO117" s="15">
        <f>IFERROR(IF(ISBLANK(AH117),VLOOKUP($G117,Sheet3!$H$2:$O$200,AO$1,FALSE),$I$1),$I$1)</f>
        <v>0</v>
      </c>
      <c r="AP117" s="15">
        <f>IFERROR(IF(ISBLANK(AI117),VLOOKUP($G117,Sheet3!$H$2:$O$200,AP$1,FALSE),$I$1),$I$1)</f>
        <v>0</v>
      </c>
      <c r="AQ117" s="15">
        <f>IFERROR(IF(ISBLANK(AJ117),VLOOKUP($G117,Sheet3!$H$2:$O$200,AQ$1,FALSE),$I$1),$I$1)</f>
        <v>0</v>
      </c>
      <c r="AR117" s="15">
        <f>IFERROR(IF(ISBLANK(AK117),VLOOKUP($G117,Sheet3!$H$2:$O$200,AR$1,FALSE),$I$1),$I$1)</f>
        <v>0</v>
      </c>
      <c r="AS117" s="15">
        <f t="shared" ref="AS117:AY117" si="124">IFERROR(IF(ISBLANK(J117),IF(ISBLANK(Q117),IF(ISBLANK(X117),IF(ISBLANK(AE117),IF(ISBLANK(AL117),$BB$1,AL117),AE117),X117),Q117),J117),$BB$1)</f>
        <v>0</v>
      </c>
      <c r="AT117" s="15">
        <f t="shared" si="124"/>
        <v>0</v>
      </c>
      <c r="AU117" s="15">
        <f t="shared" si="124"/>
        <v>0</v>
      </c>
      <c r="AV117" s="15" t="str">
        <f t="shared" si="124"/>
        <v>triple sec</v>
      </c>
      <c r="AW117" s="15">
        <f t="shared" si="124"/>
        <v>0</v>
      </c>
      <c r="AX117" s="15">
        <f t="shared" si="124"/>
        <v>0</v>
      </c>
      <c r="AY117" s="15">
        <f t="shared" si="124"/>
        <v>0</v>
      </c>
      <c r="BA117" s="13">
        <f t="shared" si="1"/>
        <v>35</v>
      </c>
      <c r="BB117" s="15" t="b">
        <f t="shared" si="2"/>
        <v>0</v>
      </c>
    </row>
    <row r="118" spans="1:54" x14ac:dyDescent="0.2">
      <c r="A118" s="19" t="s">
        <v>260</v>
      </c>
      <c r="B118" s="19" t="s">
        <v>261</v>
      </c>
      <c r="C118" s="19" t="s">
        <v>139</v>
      </c>
      <c r="D118" s="19"/>
      <c r="E118" s="19"/>
      <c r="F118" s="19"/>
      <c r="G118" s="19"/>
      <c r="H118" s="19" t="s">
        <v>260</v>
      </c>
      <c r="I118" s="15">
        <v>1</v>
      </c>
      <c r="J118" s="15">
        <f>IFERROR(VLOOKUP($C118,Sheet3!$H$2:$O$200,J$1,FALSE),IFERROR(VLOOKUP($D118,Sheet3!$H$2:$O$200,J$1,FALSE),VLOOKUP($E118,Sheet3!$H$2:$O$200,J$1,FALSE)))</f>
        <v>0</v>
      </c>
      <c r="K118" s="15">
        <f>IFERROR(VLOOKUP($C118,Sheet3!$H$2:$O$200,K$1,FALSE),IFERROR(VLOOKUP($D118,Sheet3!$H$2:$O$200,K$1,FALSE),VLOOKUP($E118,Sheet3!$H$2:$O$200,K$1,FALSE)))</f>
        <v>0</v>
      </c>
      <c r="L118" s="15">
        <f>IFERROR(VLOOKUP($C118,Sheet3!$H$2:$O$200,L$1,FALSE),IFERROR(VLOOKUP($D118,Sheet3!$H$2:$O$200,L$1,FALSE),VLOOKUP($E118,Sheet3!$H$2:$O$200,L$1,FALSE)))</f>
        <v>0</v>
      </c>
      <c r="M118" s="15" t="str">
        <f>IFERROR(VLOOKUP($C118,Sheet3!$H$2:$O$200,M$1,FALSE),IFERROR(VLOOKUP($D118,Sheet3!$H$2:$O$200,M$1,FALSE),VLOOKUP($E118,Sheet3!$H$2:$O$200,M$1,FALSE)))</f>
        <v>Grand Marnier</v>
      </c>
      <c r="N118" s="15">
        <f>IFERROR(VLOOKUP($C118,Sheet3!$H$2:$O$200,N$1,FALSE),IFERROR(VLOOKUP($D118,Sheet3!$H$2:$O$200,N$1,FALSE),VLOOKUP($E118,Sheet3!$H$2:$O$200,N$1,FALSE)))</f>
        <v>0</v>
      </c>
      <c r="O118" s="15">
        <f>IFERROR(VLOOKUP($C118,Sheet3!$H$2:$O$200,O$1,FALSE),IFERROR(VLOOKUP($D118,Sheet3!$H$2:$O$200,O$1,FALSE),VLOOKUP($E118,Sheet3!$H$2:$O$200,O$1,FALSE)))</f>
        <v>0</v>
      </c>
      <c r="P118" s="15">
        <f>IFERROR(VLOOKUP($C118,Sheet3!$H$2:$O$200,P$1,FALSE),IFERROR(VLOOKUP($D118,Sheet3!$H$2:$O$200,P$1,FALSE),VLOOKUP($E118,Sheet3!$H$2:$O$200,P$1,FALSE)))</f>
        <v>0</v>
      </c>
      <c r="Q118" s="15">
        <f>IFERROR(IF(ISBLANK(J118),IFERROR(VLOOKUP($D118,Sheet3!$H$2:$O$200,Q$1,FALSE),IFERROR(VLOOKUP($E118,Sheet3!$H$2:$O$200,Q$1,FALSE),VLOOKUP($F118,Sheet3!$H$2:$O$200,Q$1,FALSE))),$I$1),$I$1)</f>
        <v>0</v>
      </c>
      <c r="R118" s="15">
        <f>IFERROR(IF(ISBLANK(K118),IFERROR(VLOOKUP($D118,Sheet3!$H$2:$O$200,R$1,FALSE),IFERROR(VLOOKUP($E118,Sheet3!$H$2:$O$200,R$1,FALSE),VLOOKUP($F118,Sheet3!$H$2:$O$200,R$1,FALSE))),$I$1),$I$1)</f>
        <v>0</v>
      </c>
      <c r="S118" s="15">
        <f>IFERROR(IF(ISBLANK(L118),IFERROR(VLOOKUP($D118,Sheet3!$H$2:$O$200,S$1,FALSE),IFERROR(VLOOKUP($E118,Sheet3!$H$2:$O$200,S$1,FALSE),VLOOKUP($F118,Sheet3!$H$2:$O$200,S$1,FALSE))),$I$1),$I$1)</f>
        <v>0</v>
      </c>
      <c r="T118" s="15">
        <f>IFERROR(IF(ISBLANK(M118),IFERROR(VLOOKUP($D118,Sheet3!$H$2:$O$200,T$1,FALSE),IFERROR(VLOOKUP($E118,Sheet3!$H$2:$O$200,T$1,FALSE),VLOOKUP($F118,Sheet3!$H$2:$O$200,T$1,FALSE))),$I$1),$I$1)</f>
        <v>0</v>
      </c>
      <c r="U118" s="15">
        <f>IFERROR(IF(ISBLANK(N118),IFERROR(VLOOKUP($D118,Sheet3!$H$2:$O$200,U$1,FALSE),IFERROR(VLOOKUP($E118,Sheet3!$H$2:$O$200,U$1,FALSE),VLOOKUP($F118,Sheet3!$H$2:$O$200,U$1,FALSE))),$I$1),$I$1)</f>
        <v>0</v>
      </c>
      <c r="V118" s="15">
        <f>IFERROR(IF(ISBLANK(O118),IFERROR(VLOOKUP($D118,Sheet3!$H$2:$O$200,V$1,FALSE),IFERROR(VLOOKUP($E118,Sheet3!$H$2:$O$200,V$1,FALSE),VLOOKUP($F118,Sheet3!$H$2:$O$200,V$1,FALSE))),$I$1),$I$1)</f>
        <v>0</v>
      </c>
      <c r="W118" s="15">
        <f>IFERROR(IF(ISBLANK(P118),IFERROR(VLOOKUP($D118,Sheet3!$H$2:$O$200,W$1,FALSE),IFERROR(VLOOKUP($E118,Sheet3!$H$2:$O$200,W$1,FALSE),VLOOKUP($F118,Sheet3!$H$2:$O$200,W$1,FALSE))),$I$1),$I$1)</f>
        <v>0</v>
      </c>
      <c r="X118" s="15">
        <f>IFERROR(IF(ISBLANK(Q118),IFERROR(VLOOKUP($E118,Sheet3!$H$2:$O$200,X$1,FALSE),IFERROR(VLOOKUP($F118,Sheet3!$H$2:$O$200,X$1,FALSE),VLOOKUP($G118,Sheet3!$H$2:$O$200,X$1,FALSE))),$I$1),$I$1)</f>
        <v>0</v>
      </c>
      <c r="Y118" s="15">
        <f>IFERROR(IF(ISBLANK(R118),IFERROR(VLOOKUP($E118,Sheet3!$H$2:$O$200,Y$1,FALSE),IFERROR(VLOOKUP($F118,Sheet3!$H$2:$O$200,Y$1,FALSE),VLOOKUP($G118,Sheet3!$H$2:$O$200,Y$1,FALSE))),$I$1),$I$1)</f>
        <v>0</v>
      </c>
      <c r="Z118" s="15">
        <f>IFERROR(IF(ISBLANK(S118),IFERROR(VLOOKUP($E118,Sheet3!$H$2:$O$200,Z$1,FALSE),IFERROR(VLOOKUP($F118,Sheet3!$H$2:$O$200,Z$1,FALSE),VLOOKUP($G118,Sheet3!$H$2:$O$200,Z$1,FALSE))),$I$1),$I$1)</f>
        <v>0</v>
      </c>
      <c r="AA118" s="15">
        <f>IFERROR(IF(ISBLANK(T118),IFERROR(VLOOKUP($E118,Sheet3!$H$2:$O$200,AA$1,FALSE),IFERROR(VLOOKUP($F118,Sheet3!$H$2:$O$200,AA$1,FALSE),VLOOKUP($G118,Sheet3!$H$2:$O$200,AA$1,FALSE))),$I$1),$I$1)</f>
        <v>0</v>
      </c>
      <c r="AB118" s="15">
        <f>IFERROR(IF(ISBLANK(U118),IFERROR(VLOOKUP($E118,Sheet3!$H$2:$O$200,AB$1,FALSE),IFERROR(VLOOKUP($F118,Sheet3!$H$2:$O$200,AB$1,FALSE),VLOOKUP($G118,Sheet3!$H$2:$O$200,AB$1,FALSE))),$I$1),$I$1)</f>
        <v>0</v>
      </c>
      <c r="AC118" s="15">
        <f>IFERROR(IF(ISBLANK(V118),IFERROR(VLOOKUP($E118,Sheet3!$H$2:$O$200,AC$1,FALSE),IFERROR(VLOOKUP($F118,Sheet3!$H$2:$O$200,AC$1,FALSE),VLOOKUP($G118,Sheet3!$H$2:$O$200,AC$1,FALSE))),$I$1),$I$1)</f>
        <v>0</v>
      </c>
      <c r="AD118" s="15">
        <f>IFERROR(IF(ISBLANK(W118),IFERROR(VLOOKUP($E118,Sheet3!$H$2:$O$200,AD$1,FALSE),IFERROR(VLOOKUP($F118,Sheet3!$H$2:$O$200,AD$1,FALSE),VLOOKUP($G118,Sheet3!$H$2:$O$200,AD$1,FALSE))),$I$1),$I$1)</f>
        <v>0</v>
      </c>
      <c r="AE118" s="15">
        <f>IFERROR(IF(ISBLANK(X118),IFERROR(VLOOKUP($F118,Sheet3!$H$2:$O$200,AE$1,FALSE),VLOOKUP($G118,Sheet3!$H$2:$O$200,AE$1,FALSE)),$I$1),$I$1)</f>
        <v>0</v>
      </c>
      <c r="AF118" s="15">
        <f>IFERROR(IF(ISBLANK(Y118),IFERROR(VLOOKUP($F118,Sheet3!$H$2:$O$200,AF$1,FALSE),VLOOKUP($G118,Sheet3!$H$2:$O$200,AF$1,FALSE)),$I$1),$I$1)</f>
        <v>0</v>
      </c>
      <c r="AG118" s="15">
        <f>IFERROR(IF(ISBLANK(Z118),IFERROR(VLOOKUP($F118,Sheet3!$H$2:$O$200,AG$1,FALSE),VLOOKUP($G118,Sheet3!$H$2:$O$200,AG$1,FALSE)),$I$1),$I$1)</f>
        <v>0</v>
      </c>
      <c r="AH118" s="15">
        <f>IFERROR(IF(ISBLANK(AA118),IFERROR(VLOOKUP($F118,Sheet3!$H$2:$O$200,AH$1,FALSE),VLOOKUP($G118,Sheet3!$H$2:$O$200,AH$1,FALSE)),$I$1),$I$1)</f>
        <v>0</v>
      </c>
      <c r="AI118" s="15">
        <f>IFERROR(IF(ISBLANK(AB118),IFERROR(VLOOKUP($F118,Sheet3!$H$2:$O$200,AI$1,FALSE),VLOOKUP($G118,Sheet3!$H$2:$O$200,AI$1,FALSE)),$I$1),$I$1)</f>
        <v>0</v>
      </c>
      <c r="AJ118" s="15">
        <f>IFERROR(IF(ISBLANK(AC118),IFERROR(VLOOKUP($F118,Sheet3!$H$2:$O$200,AJ$1,FALSE),VLOOKUP($G118,Sheet3!$H$2:$O$200,AJ$1,FALSE)),$I$1),$I$1)</f>
        <v>0</v>
      </c>
      <c r="AK118" s="15">
        <f>IFERROR(IF(ISBLANK(AD118),IFERROR(VLOOKUP($F118,Sheet3!$H$2:$O$200,AK$1,FALSE),VLOOKUP($G118,Sheet3!$H$2:$O$200,AK$1,FALSE)),$I$1),$I$1)</f>
        <v>0</v>
      </c>
      <c r="AL118" s="15">
        <f>IFERROR(IF(ISBLANK(AE118),VLOOKUP($G118,Sheet3!$H$2:$O$200,AL$1,FALSE),$I$1),$I$1)</f>
        <v>0</v>
      </c>
      <c r="AM118" s="15">
        <f>IFERROR(IF(ISBLANK(AF118),VLOOKUP($G118,Sheet3!$H$2:$O$200,AM$1,FALSE),$I$1),$I$1)</f>
        <v>0</v>
      </c>
      <c r="AN118" s="15">
        <f>IFERROR(IF(ISBLANK(AG118),VLOOKUP($G118,Sheet3!$H$2:$O$200,AN$1,FALSE),$I$1),$I$1)</f>
        <v>0</v>
      </c>
      <c r="AO118" s="15">
        <f>IFERROR(IF(ISBLANK(AH118),VLOOKUP($G118,Sheet3!$H$2:$O$200,AO$1,FALSE),$I$1),$I$1)</f>
        <v>0</v>
      </c>
      <c r="AP118" s="15">
        <f>IFERROR(IF(ISBLANK(AI118),VLOOKUP($G118,Sheet3!$H$2:$O$200,AP$1,FALSE),$I$1),$I$1)</f>
        <v>0</v>
      </c>
      <c r="AQ118" s="15">
        <f>IFERROR(IF(ISBLANK(AJ118),VLOOKUP($G118,Sheet3!$H$2:$O$200,AQ$1,FALSE),$I$1),$I$1)</f>
        <v>0</v>
      </c>
      <c r="AR118" s="15">
        <f>IFERROR(IF(ISBLANK(AK118),VLOOKUP($G118,Sheet3!$H$2:$O$200,AR$1,FALSE),$I$1),$I$1)</f>
        <v>0</v>
      </c>
      <c r="AS118" s="15">
        <f t="shared" ref="AS118:AY118" si="125">IFERROR(IF(ISBLANK(J118),IF(ISBLANK(Q118),IF(ISBLANK(X118),IF(ISBLANK(AE118),IF(ISBLANK(AL118),$BB$1,AL118),AE118),X118),Q118),J118),$BB$1)</f>
        <v>0</v>
      </c>
      <c r="AT118" s="15">
        <f t="shared" si="125"/>
        <v>0</v>
      </c>
      <c r="AU118" s="15">
        <f t="shared" si="125"/>
        <v>0</v>
      </c>
      <c r="AV118" s="15" t="str">
        <f t="shared" si="125"/>
        <v>Grand Marnier</v>
      </c>
      <c r="AW118" s="15">
        <f t="shared" si="125"/>
        <v>0</v>
      </c>
      <c r="AX118" s="15">
        <f t="shared" si="125"/>
        <v>0</v>
      </c>
      <c r="AY118" s="15">
        <f t="shared" si="125"/>
        <v>0</v>
      </c>
      <c r="BA118" s="13">
        <f t="shared" si="1"/>
        <v>35</v>
      </c>
      <c r="BB118" s="15" t="b">
        <f t="shared" si="2"/>
        <v>0</v>
      </c>
    </row>
    <row r="119" spans="1:54" x14ac:dyDescent="0.2">
      <c r="A119" s="19" t="s">
        <v>262</v>
      </c>
      <c r="B119" s="19" t="s">
        <v>261</v>
      </c>
      <c r="C119" s="19" t="s">
        <v>100</v>
      </c>
      <c r="D119" s="19" t="s">
        <v>90</v>
      </c>
      <c r="E119" s="19" t="s">
        <v>263</v>
      </c>
      <c r="F119" s="19"/>
      <c r="G119" s="19"/>
      <c r="H119" s="19" t="s">
        <v>262</v>
      </c>
      <c r="I119" s="15">
        <v>3</v>
      </c>
      <c r="J119" s="15">
        <f>IFERROR(VLOOKUP($C119,Sheet3!$H$2:$O$200,J$1,FALSE),IFERROR(VLOOKUP($D119,Sheet3!$H$2:$O$200,J$1,FALSE),VLOOKUP($E119,Sheet3!$H$2:$O$200,J$1,FALSE)))</f>
        <v>0</v>
      </c>
      <c r="K119" s="15">
        <f>IFERROR(VLOOKUP($C119,Sheet3!$H$2:$O$200,K$1,FALSE),IFERROR(VLOOKUP($D119,Sheet3!$H$2:$O$200,K$1,FALSE),VLOOKUP($E119,Sheet3!$H$2:$O$200,K$1,FALSE)))</f>
        <v>0</v>
      </c>
      <c r="L119" s="15">
        <f>IFERROR(VLOOKUP($C119,Sheet3!$H$2:$O$200,L$1,FALSE),IFERROR(VLOOKUP($D119,Sheet3!$H$2:$O$200,L$1,FALSE),VLOOKUP($E119,Sheet3!$H$2:$O$200,L$1,FALSE)))</f>
        <v>0</v>
      </c>
      <c r="M119" s="15" t="str">
        <f>IFERROR(VLOOKUP($C119,Sheet3!$H$2:$O$200,M$1,FALSE),IFERROR(VLOOKUP($D119,Sheet3!$H$2:$O$200,M$1,FALSE),VLOOKUP($E119,Sheet3!$H$2:$O$200,M$1,FALSE)))</f>
        <v>triple sec</v>
      </c>
      <c r="N119" s="15">
        <f>IFERROR(VLOOKUP($C119,Sheet3!$H$2:$O$200,N$1,FALSE),IFERROR(VLOOKUP($D119,Sheet3!$H$2:$O$200,N$1,FALSE),VLOOKUP($E119,Sheet3!$H$2:$O$200,N$1,FALSE)))</f>
        <v>0</v>
      </c>
      <c r="O119" s="15">
        <f>IFERROR(VLOOKUP($C119,Sheet3!$H$2:$O$200,O$1,FALSE),IFERROR(VLOOKUP($D119,Sheet3!$H$2:$O$200,O$1,FALSE),VLOOKUP($E119,Sheet3!$H$2:$O$200,O$1,FALSE)))</f>
        <v>0</v>
      </c>
      <c r="P119" s="15">
        <f>IFERROR(VLOOKUP($C119,Sheet3!$H$2:$O$200,P$1,FALSE),IFERROR(VLOOKUP($D119,Sheet3!$H$2:$O$200,P$1,FALSE),VLOOKUP($E119,Sheet3!$H$2:$O$200,P$1,FALSE)))</f>
        <v>0</v>
      </c>
      <c r="Q119" s="15">
        <f>IFERROR(IF(ISBLANK(J119),IFERROR(VLOOKUP($D119,Sheet3!$H$2:$O$200,Q$1,FALSE),IFERROR(VLOOKUP($E119,Sheet3!$H$2:$O$200,Q$1,FALSE),VLOOKUP($F119,Sheet3!$H$2:$O$200,Q$1,FALSE))),$I$1),$I$1)</f>
        <v>0</v>
      </c>
      <c r="R119" s="15">
        <f>IFERROR(IF(ISBLANK(K119),IFERROR(VLOOKUP($D119,Sheet3!$H$2:$O$200,R$1,FALSE),IFERROR(VLOOKUP($E119,Sheet3!$H$2:$O$200,R$1,FALSE),VLOOKUP($F119,Sheet3!$H$2:$O$200,R$1,FALSE))),$I$1),$I$1)</f>
        <v>0</v>
      </c>
      <c r="S119" s="15">
        <f>IFERROR(IF(ISBLANK(L119),IFERROR(VLOOKUP($D119,Sheet3!$H$2:$O$200,S$1,FALSE),IFERROR(VLOOKUP($E119,Sheet3!$H$2:$O$200,S$1,FALSE),VLOOKUP($F119,Sheet3!$H$2:$O$200,S$1,FALSE))),$I$1),$I$1)</f>
        <v>0</v>
      </c>
      <c r="T119" s="15">
        <f>IFERROR(IF(ISBLANK(M119),IFERROR(VLOOKUP($D119,Sheet3!$H$2:$O$200,T$1,FALSE),IFERROR(VLOOKUP($E119,Sheet3!$H$2:$O$200,T$1,FALSE),VLOOKUP($F119,Sheet3!$H$2:$O$200,T$1,FALSE))),$I$1),$I$1)</f>
        <v>0</v>
      </c>
      <c r="U119" s="15">
        <f>IFERROR(IF(ISBLANK(N119),IFERROR(VLOOKUP($D119,Sheet3!$H$2:$O$200,U$1,FALSE),IFERROR(VLOOKUP($E119,Sheet3!$H$2:$O$200,U$1,FALSE),VLOOKUP($F119,Sheet3!$H$2:$O$200,U$1,FALSE))),$I$1),$I$1)</f>
        <v>0</v>
      </c>
      <c r="V119" s="15">
        <f>IFERROR(IF(ISBLANK(O119),IFERROR(VLOOKUP($D119,Sheet3!$H$2:$O$200,V$1,FALSE),IFERROR(VLOOKUP($E119,Sheet3!$H$2:$O$200,V$1,FALSE),VLOOKUP($F119,Sheet3!$H$2:$O$200,V$1,FALSE))),$I$1),$I$1)</f>
        <v>0</v>
      </c>
      <c r="W119" s="15">
        <f>IFERROR(IF(ISBLANK(P119),IFERROR(VLOOKUP($D119,Sheet3!$H$2:$O$200,W$1,FALSE),IFERROR(VLOOKUP($E119,Sheet3!$H$2:$O$200,W$1,FALSE),VLOOKUP($F119,Sheet3!$H$2:$O$200,W$1,FALSE))),$I$1),$I$1)</f>
        <v>0</v>
      </c>
      <c r="X119" s="15">
        <f>IFERROR(IF(ISBLANK(Q119),IFERROR(VLOOKUP($E119,Sheet3!$H$2:$O$200,X$1,FALSE),IFERROR(VLOOKUP($F119,Sheet3!$H$2:$O$200,X$1,FALSE),VLOOKUP($G119,Sheet3!$H$2:$O$200,X$1,FALSE))),$I$1),$I$1)</f>
        <v>0</v>
      </c>
      <c r="Y119" s="15">
        <f>IFERROR(IF(ISBLANK(R119),IFERROR(VLOOKUP($E119,Sheet3!$H$2:$O$200,Y$1,FALSE),IFERROR(VLOOKUP($F119,Sheet3!$H$2:$O$200,Y$1,FALSE),VLOOKUP($G119,Sheet3!$H$2:$O$200,Y$1,FALSE))),$I$1),$I$1)</f>
        <v>0</v>
      </c>
      <c r="Z119" s="15">
        <f>IFERROR(IF(ISBLANK(S119),IFERROR(VLOOKUP($E119,Sheet3!$H$2:$O$200,Z$1,FALSE),IFERROR(VLOOKUP($F119,Sheet3!$H$2:$O$200,Z$1,FALSE),VLOOKUP($G119,Sheet3!$H$2:$O$200,Z$1,FALSE))),$I$1),$I$1)</f>
        <v>0</v>
      </c>
      <c r="AA119" s="15">
        <f>IFERROR(IF(ISBLANK(T119),IFERROR(VLOOKUP($E119,Sheet3!$H$2:$O$200,AA$1,FALSE),IFERROR(VLOOKUP($F119,Sheet3!$H$2:$O$200,AA$1,FALSE),VLOOKUP($G119,Sheet3!$H$2:$O$200,AA$1,FALSE))),$I$1),$I$1)</f>
        <v>0</v>
      </c>
      <c r="AB119" s="15">
        <f>IFERROR(IF(ISBLANK(U119),IFERROR(VLOOKUP($E119,Sheet3!$H$2:$O$200,AB$1,FALSE),IFERROR(VLOOKUP($F119,Sheet3!$H$2:$O$200,AB$1,FALSE),VLOOKUP($G119,Sheet3!$H$2:$O$200,AB$1,FALSE))),$I$1),$I$1)</f>
        <v>0</v>
      </c>
      <c r="AC119" s="15">
        <f>IFERROR(IF(ISBLANK(V119),IFERROR(VLOOKUP($E119,Sheet3!$H$2:$O$200,AC$1,FALSE),IFERROR(VLOOKUP($F119,Sheet3!$H$2:$O$200,AC$1,FALSE),VLOOKUP($G119,Sheet3!$H$2:$O$200,AC$1,FALSE))),$I$1),$I$1)</f>
        <v>0</v>
      </c>
      <c r="AD119" s="15">
        <f>IFERROR(IF(ISBLANK(W119),IFERROR(VLOOKUP($E119,Sheet3!$H$2:$O$200,AD$1,FALSE),IFERROR(VLOOKUP($F119,Sheet3!$H$2:$O$200,AD$1,FALSE),VLOOKUP($G119,Sheet3!$H$2:$O$200,AD$1,FALSE))),$I$1),$I$1)</f>
        <v>0</v>
      </c>
      <c r="AE119" s="15">
        <f>IFERROR(IF(ISBLANK(X119),IFERROR(VLOOKUP($F119,Sheet3!$H$2:$O$200,AE$1,FALSE),VLOOKUP($G119,Sheet3!$H$2:$O$200,AE$1,FALSE)),$I$1),$I$1)</f>
        <v>0</v>
      </c>
      <c r="AF119" s="15">
        <f>IFERROR(IF(ISBLANK(Y119),IFERROR(VLOOKUP($F119,Sheet3!$H$2:$O$200,AF$1,FALSE),VLOOKUP($G119,Sheet3!$H$2:$O$200,AF$1,FALSE)),$I$1),$I$1)</f>
        <v>0</v>
      </c>
      <c r="AG119" s="15">
        <f>IFERROR(IF(ISBLANK(Z119),IFERROR(VLOOKUP($F119,Sheet3!$H$2:$O$200,AG$1,FALSE),VLOOKUP($G119,Sheet3!$H$2:$O$200,AG$1,FALSE)),$I$1),$I$1)</f>
        <v>0</v>
      </c>
      <c r="AH119" s="15">
        <f>IFERROR(IF(ISBLANK(AA119),IFERROR(VLOOKUP($F119,Sheet3!$H$2:$O$200,AH$1,FALSE),VLOOKUP($G119,Sheet3!$H$2:$O$200,AH$1,FALSE)),$I$1),$I$1)</f>
        <v>0</v>
      </c>
      <c r="AI119" s="15">
        <f>IFERROR(IF(ISBLANK(AB119),IFERROR(VLOOKUP($F119,Sheet3!$H$2:$O$200,AI$1,FALSE),VLOOKUP($G119,Sheet3!$H$2:$O$200,AI$1,FALSE)),$I$1),$I$1)</f>
        <v>0</v>
      </c>
      <c r="AJ119" s="15">
        <f>IFERROR(IF(ISBLANK(AC119),IFERROR(VLOOKUP($F119,Sheet3!$H$2:$O$200,AJ$1,FALSE),VLOOKUP($G119,Sheet3!$H$2:$O$200,AJ$1,FALSE)),$I$1),$I$1)</f>
        <v>0</v>
      </c>
      <c r="AK119" s="15">
        <f>IFERROR(IF(ISBLANK(AD119),IFERROR(VLOOKUP($F119,Sheet3!$H$2:$O$200,AK$1,FALSE),VLOOKUP($G119,Sheet3!$H$2:$O$200,AK$1,FALSE)),$I$1),$I$1)</f>
        <v>0</v>
      </c>
      <c r="AL119" s="15">
        <f>IFERROR(IF(ISBLANK(AE119),VLOOKUP($G119,Sheet3!$H$2:$O$200,AL$1,FALSE),$I$1),$I$1)</f>
        <v>0</v>
      </c>
      <c r="AM119" s="15">
        <f>IFERROR(IF(ISBLANK(AF119),VLOOKUP($G119,Sheet3!$H$2:$O$200,AM$1,FALSE),$I$1),$I$1)</f>
        <v>0</v>
      </c>
      <c r="AN119" s="15">
        <f>IFERROR(IF(ISBLANK(AG119),VLOOKUP($G119,Sheet3!$H$2:$O$200,AN$1,FALSE),$I$1),$I$1)</f>
        <v>0</v>
      </c>
      <c r="AO119" s="15">
        <f>IFERROR(IF(ISBLANK(AH119),VLOOKUP($G119,Sheet3!$H$2:$O$200,AO$1,FALSE),$I$1),$I$1)</f>
        <v>0</v>
      </c>
      <c r="AP119" s="15">
        <f>IFERROR(IF(ISBLANK(AI119),VLOOKUP($G119,Sheet3!$H$2:$O$200,AP$1,FALSE),$I$1),$I$1)</f>
        <v>0</v>
      </c>
      <c r="AQ119" s="15">
        <f>IFERROR(IF(ISBLANK(AJ119),VLOOKUP($G119,Sheet3!$H$2:$O$200,AQ$1,FALSE),$I$1),$I$1)</f>
        <v>0</v>
      </c>
      <c r="AR119" s="15">
        <f>IFERROR(IF(ISBLANK(AK119),VLOOKUP($G119,Sheet3!$H$2:$O$200,AR$1,FALSE),$I$1),$I$1)</f>
        <v>0</v>
      </c>
      <c r="AS119" s="15">
        <f t="shared" ref="AS119:AY119" si="126">IFERROR(IF(ISBLANK(J119),IF(ISBLANK(Q119),IF(ISBLANK(X119),IF(ISBLANK(AE119),IF(ISBLANK(AL119),$BB$1,AL119),AE119),X119),Q119),J119),$BB$1)</f>
        <v>0</v>
      </c>
      <c r="AT119" s="15">
        <f t="shared" si="126"/>
        <v>0</v>
      </c>
      <c r="AU119" s="15">
        <f t="shared" si="126"/>
        <v>0</v>
      </c>
      <c r="AV119" s="15" t="str">
        <f t="shared" si="126"/>
        <v>triple sec</v>
      </c>
      <c r="AW119" s="15">
        <f t="shared" si="126"/>
        <v>0</v>
      </c>
      <c r="AX119" s="15">
        <f t="shared" si="126"/>
        <v>0</v>
      </c>
      <c r="AY119" s="15">
        <f t="shared" si="126"/>
        <v>0</v>
      </c>
      <c r="BA119" s="13">
        <f t="shared" si="1"/>
        <v>35</v>
      </c>
      <c r="BB119" s="15" t="b">
        <f t="shared" si="2"/>
        <v>0</v>
      </c>
    </row>
    <row r="120" spans="1:54" x14ac:dyDescent="0.2">
      <c r="A120" s="19" t="s">
        <v>264</v>
      </c>
      <c r="B120" s="19" t="s">
        <v>265</v>
      </c>
      <c r="C120" s="19" t="s">
        <v>266</v>
      </c>
      <c r="D120" s="19"/>
      <c r="E120" s="19"/>
      <c r="F120" s="19"/>
      <c r="G120" s="19"/>
      <c r="H120" s="19" t="s">
        <v>264</v>
      </c>
      <c r="I120" s="15">
        <v>1</v>
      </c>
      <c r="J120" s="15">
        <f>IFERROR(VLOOKUP($C120,Sheet3!$H$2:$O$200,J$1,FALSE),IFERROR(VLOOKUP($D120,Sheet3!$H$2:$O$200,J$1,FALSE),VLOOKUP($E120,Sheet3!$H$2:$O$200,J$1,FALSE)))</f>
        <v>0</v>
      </c>
      <c r="K120" s="15">
        <f>IFERROR(VLOOKUP($C120,Sheet3!$H$2:$O$200,K$1,FALSE),IFERROR(VLOOKUP($D120,Sheet3!$H$2:$O$200,K$1,FALSE),VLOOKUP($E120,Sheet3!$H$2:$O$200,K$1,FALSE)))</f>
        <v>0</v>
      </c>
      <c r="L120" s="15">
        <f>IFERROR(VLOOKUP($C120,Sheet3!$H$2:$O$200,L$1,FALSE),IFERROR(VLOOKUP($D120,Sheet3!$H$2:$O$200,L$1,FALSE),VLOOKUP($E120,Sheet3!$H$2:$O$200,L$1,FALSE)))</f>
        <v>0</v>
      </c>
      <c r="M120" s="15" t="str">
        <f>IFERROR(VLOOKUP($C120,Sheet3!$H$2:$O$200,M$1,FALSE),IFERROR(VLOOKUP($D120,Sheet3!$H$2:$O$200,M$1,FALSE),VLOOKUP($E120,Sheet3!$H$2:$O$200,M$1,FALSE)))</f>
        <v>Godiva Chocolate Liqueur</v>
      </c>
      <c r="N120" s="15">
        <f>IFERROR(VLOOKUP($C120,Sheet3!$H$2:$O$200,N$1,FALSE),IFERROR(VLOOKUP($D120,Sheet3!$H$2:$O$200,N$1,FALSE),VLOOKUP($E120,Sheet3!$H$2:$O$200,N$1,FALSE)))</f>
        <v>0</v>
      </c>
      <c r="O120" s="15">
        <f>IFERROR(VLOOKUP($C120,Sheet3!$H$2:$O$200,O$1,FALSE),IFERROR(VLOOKUP($D120,Sheet3!$H$2:$O$200,O$1,FALSE),VLOOKUP($E120,Sheet3!$H$2:$O$200,O$1,FALSE)))</f>
        <v>0</v>
      </c>
      <c r="P120" s="15">
        <f>IFERROR(VLOOKUP($C120,Sheet3!$H$2:$O$200,P$1,FALSE),IFERROR(VLOOKUP($D120,Sheet3!$H$2:$O$200,P$1,FALSE),VLOOKUP($E120,Sheet3!$H$2:$O$200,P$1,FALSE)))</f>
        <v>0</v>
      </c>
      <c r="Q120" s="15">
        <f>IFERROR(IF(ISBLANK(J120),IFERROR(VLOOKUP($D120,Sheet3!$H$2:$O$200,Q$1,FALSE),IFERROR(VLOOKUP($E120,Sheet3!$H$2:$O$200,Q$1,FALSE),VLOOKUP($F120,Sheet3!$H$2:$O$200,Q$1,FALSE))),$I$1),$I$1)</f>
        <v>0</v>
      </c>
      <c r="R120" s="15">
        <f>IFERROR(IF(ISBLANK(K120),IFERROR(VLOOKUP($D120,Sheet3!$H$2:$O$200,R$1,FALSE),IFERROR(VLOOKUP($E120,Sheet3!$H$2:$O$200,R$1,FALSE),VLOOKUP($F120,Sheet3!$H$2:$O$200,R$1,FALSE))),$I$1),$I$1)</f>
        <v>0</v>
      </c>
      <c r="S120" s="15">
        <f>IFERROR(IF(ISBLANK(L120),IFERROR(VLOOKUP($D120,Sheet3!$H$2:$O$200,S$1,FALSE),IFERROR(VLOOKUP($E120,Sheet3!$H$2:$O$200,S$1,FALSE),VLOOKUP($F120,Sheet3!$H$2:$O$200,S$1,FALSE))),$I$1),$I$1)</f>
        <v>0</v>
      </c>
      <c r="T120" s="15">
        <f>IFERROR(IF(ISBLANK(M120),IFERROR(VLOOKUP($D120,Sheet3!$H$2:$O$200,T$1,FALSE),IFERROR(VLOOKUP($E120,Sheet3!$H$2:$O$200,T$1,FALSE),VLOOKUP($F120,Sheet3!$H$2:$O$200,T$1,FALSE))),$I$1),$I$1)</f>
        <v>0</v>
      </c>
      <c r="U120" s="15">
        <f>IFERROR(IF(ISBLANK(N120),IFERROR(VLOOKUP($D120,Sheet3!$H$2:$O$200,U$1,FALSE),IFERROR(VLOOKUP($E120,Sheet3!$H$2:$O$200,U$1,FALSE),VLOOKUP($F120,Sheet3!$H$2:$O$200,U$1,FALSE))),$I$1),$I$1)</f>
        <v>0</v>
      </c>
      <c r="V120" s="15">
        <f>IFERROR(IF(ISBLANK(O120),IFERROR(VLOOKUP($D120,Sheet3!$H$2:$O$200,V$1,FALSE),IFERROR(VLOOKUP($E120,Sheet3!$H$2:$O$200,V$1,FALSE),VLOOKUP($F120,Sheet3!$H$2:$O$200,V$1,FALSE))),$I$1),$I$1)</f>
        <v>0</v>
      </c>
      <c r="W120" s="15">
        <f>IFERROR(IF(ISBLANK(P120),IFERROR(VLOOKUP($D120,Sheet3!$H$2:$O$200,W$1,FALSE),IFERROR(VLOOKUP($E120,Sheet3!$H$2:$O$200,W$1,FALSE),VLOOKUP($F120,Sheet3!$H$2:$O$200,W$1,FALSE))),$I$1),$I$1)</f>
        <v>0</v>
      </c>
      <c r="X120" s="15">
        <f>IFERROR(IF(ISBLANK(Q120),IFERROR(VLOOKUP($E120,Sheet3!$H$2:$O$200,X$1,FALSE),IFERROR(VLOOKUP($F120,Sheet3!$H$2:$O$200,X$1,FALSE),VLOOKUP($G120,Sheet3!$H$2:$O$200,X$1,FALSE))),$I$1),$I$1)</f>
        <v>0</v>
      </c>
      <c r="Y120" s="15">
        <f>IFERROR(IF(ISBLANK(R120),IFERROR(VLOOKUP($E120,Sheet3!$H$2:$O$200,Y$1,FALSE),IFERROR(VLOOKUP($F120,Sheet3!$H$2:$O$200,Y$1,FALSE),VLOOKUP($G120,Sheet3!$H$2:$O$200,Y$1,FALSE))),$I$1),$I$1)</f>
        <v>0</v>
      </c>
      <c r="Z120" s="15">
        <f>IFERROR(IF(ISBLANK(S120),IFERROR(VLOOKUP($E120,Sheet3!$H$2:$O$200,Z$1,FALSE),IFERROR(VLOOKUP($F120,Sheet3!$H$2:$O$200,Z$1,FALSE),VLOOKUP($G120,Sheet3!$H$2:$O$200,Z$1,FALSE))),$I$1),$I$1)</f>
        <v>0</v>
      </c>
      <c r="AA120" s="15">
        <f>IFERROR(IF(ISBLANK(T120),IFERROR(VLOOKUP($E120,Sheet3!$H$2:$O$200,AA$1,FALSE),IFERROR(VLOOKUP($F120,Sheet3!$H$2:$O$200,AA$1,FALSE),VLOOKUP($G120,Sheet3!$H$2:$O$200,AA$1,FALSE))),$I$1),$I$1)</f>
        <v>0</v>
      </c>
      <c r="AB120" s="15">
        <f>IFERROR(IF(ISBLANK(U120),IFERROR(VLOOKUP($E120,Sheet3!$H$2:$O$200,AB$1,FALSE),IFERROR(VLOOKUP($F120,Sheet3!$H$2:$O$200,AB$1,FALSE),VLOOKUP($G120,Sheet3!$H$2:$O$200,AB$1,FALSE))),$I$1),$I$1)</f>
        <v>0</v>
      </c>
      <c r="AC120" s="15">
        <f>IFERROR(IF(ISBLANK(V120),IFERROR(VLOOKUP($E120,Sheet3!$H$2:$O$200,AC$1,FALSE),IFERROR(VLOOKUP($F120,Sheet3!$H$2:$O$200,AC$1,FALSE),VLOOKUP($G120,Sheet3!$H$2:$O$200,AC$1,FALSE))),$I$1),$I$1)</f>
        <v>0</v>
      </c>
      <c r="AD120" s="15">
        <f>IFERROR(IF(ISBLANK(W120),IFERROR(VLOOKUP($E120,Sheet3!$H$2:$O$200,AD$1,FALSE),IFERROR(VLOOKUP($F120,Sheet3!$H$2:$O$200,AD$1,FALSE),VLOOKUP($G120,Sheet3!$H$2:$O$200,AD$1,FALSE))),$I$1),$I$1)</f>
        <v>0</v>
      </c>
      <c r="AE120" s="15">
        <f>IFERROR(IF(ISBLANK(X120),IFERROR(VLOOKUP($F120,Sheet3!$H$2:$O$200,AE$1,FALSE),VLOOKUP($G120,Sheet3!$H$2:$O$200,AE$1,FALSE)),$I$1),$I$1)</f>
        <v>0</v>
      </c>
      <c r="AF120" s="15">
        <f>IFERROR(IF(ISBLANK(Y120),IFERROR(VLOOKUP($F120,Sheet3!$H$2:$O$200,AF$1,FALSE),VLOOKUP($G120,Sheet3!$H$2:$O$200,AF$1,FALSE)),$I$1),$I$1)</f>
        <v>0</v>
      </c>
      <c r="AG120" s="15">
        <f>IFERROR(IF(ISBLANK(Z120),IFERROR(VLOOKUP($F120,Sheet3!$H$2:$O$200,AG$1,FALSE),VLOOKUP($G120,Sheet3!$H$2:$O$200,AG$1,FALSE)),$I$1),$I$1)</f>
        <v>0</v>
      </c>
      <c r="AH120" s="15">
        <f>IFERROR(IF(ISBLANK(AA120),IFERROR(VLOOKUP($F120,Sheet3!$H$2:$O$200,AH$1,FALSE),VLOOKUP($G120,Sheet3!$H$2:$O$200,AH$1,FALSE)),$I$1),$I$1)</f>
        <v>0</v>
      </c>
      <c r="AI120" s="15">
        <f>IFERROR(IF(ISBLANK(AB120),IFERROR(VLOOKUP($F120,Sheet3!$H$2:$O$200,AI$1,FALSE),VLOOKUP($G120,Sheet3!$H$2:$O$200,AI$1,FALSE)),$I$1),$I$1)</f>
        <v>0</v>
      </c>
      <c r="AJ120" s="15">
        <f>IFERROR(IF(ISBLANK(AC120),IFERROR(VLOOKUP($F120,Sheet3!$H$2:$O$200,AJ$1,FALSE),VLOOKUP($G120,Sheet3!$H$2:$O$200,AJ$1,FALSE)),$I$1),$I$1)</f>
        <v>0</v>
      </c>
      <c r="AK120" s="15">
        <f>IFERROR(IF(ISBLANK(AD120),IFERROR(VLOOKUP($F120,Sheet3!$H$2:$O$200,AK$1,FALSE),VLOOKUP($G120,Sheet3!$H$2:$O$200,AK$1,FALSE)),$I$1),$I$1)</f>
        <v>0</v>
      </c>
      <c r="AL120" s="15">
        <f>IFERROR(IF(ISBLANK(AE120),VLOOKUP($G120,Sheet3!$H$2:$O$200,AL$1,FALSE),$I$1),$I$1)</f>
        <v>0</v>
      </c>
      <c r="AM120" s="15">
        <f>IFERROR(IF(ISBLANK(AF120),VLOOKUP($G120,Sheet3!$H$2:$O$200,AM$1,FALSE),$I$1),$I$1)</f>
        <v>0</v>
      </c>
      <c r="AN120" s="15">
        <f>IFERROR(IF(ISBLANK(AG120),VLOOKUP($G120,Sheet3!$H$2:$O$200,AN$1,FALSE),$I$1),$I$1)</f>
        <v>0</v>
      </c>
      <c r="AO120" s="15">
        <f>IFERROR(IF(ISBLANK(AH120),VLOOKUP($G120,Sheet3!$H$2:$O$200,AO$1,FALSE),$I$1),$I$1)</f>
        <v>0</v>
      </c>
      <c r="AP120" s="15">
        <f>IFERROR(IF(ISBLANK(AI120),VLOOKUP($G120,Sheet3!$H$2:$O$200,AP$1,FALSE),$I$1),$I$1)</f>
        <v>0</v>
      </c>
      <c r="AQ120" s="15">
        <f>IFERROR(IF(ISBLANK(AJ120),VLOOKUP($G120,Sheet3!$H$2:$O$200,AQ$1,FALSE),$I$1),$I$1)</f>
        <v>0</v>
      </c>
      <c r="AR120" s="15">
        <f>IFERROR(IF(ISBLANK(AK120),VLOOKUP($G120,Sheet3!$H$2:$O$200,AR$1,FALSE),$I$1),$I$1)</f>
        <v>0</v>
      </c>
      <c r="AS120" s="15">
        <f t="shared" ref="AS120:AY120" si="127">IFERROR(IF(ISBLANK(J120),IF(ISBLANK(Q120),IF(ISBLANK(X120),IF(ISBLANK(AE120),IF(ISBLANK(AL120),$BB$1,AL120),AE120),X120),Q120),J120),$BB$1)</f>
        <v>0</v>
      </c>
      <c r="AT120" s="15">
        <f t="shared" si="127"/>
        <v>0</v>
      </c>
      <c r="AU120" s="15">
        <f t="shared" si="127"/>
        <v>0</v>
      </c>
      <c r="AV120" s="15" t="str">
        <f t="shared" si="127"/>
        <v>Godiva Chocolate Liqueur</v>
      </c>
      <c r="AW120" s="15">
        <f t="shared" si="127"/>
        <v>0</v>
      </c>
      <c r="AX120" s="15">
        <f t="shared" si="127"/>
        <v>0</v>
      </c>
      <c r="AY120" s="15">
        <f t="shared" si="127"/>
        <v>0</v>
      </c>
      <c r="BA120" s="13">
        <f t="shared" si="1"/>
        <v>35</v>
      </c>
      <c r="BB120" s="15" t="b">
        <f t="shared" si="2"/>
        <v>0</v>
      </c>
    </row>
    <row r="121" spans="1:54" x14ac:dyDescent="0.2">
      <c r="A121" s="20" t="s">
        <v>267</v>
      </c>
      <c r="B121" s="20" t="s">
        <v>265</v>
      </c>
      <c r="C121" s="20" t="s">
        <v>268</v>
      </c>
      <c r="D121" s="20" t="s">
        <v>90</v>
      </c>
      <c r="E121" s="20"/>
      <c r="F121" s="20"/>
      <c r="G121" s="20"/>
      <c r="H121" s="20" t="s">
        <v>267</v>
      </c>
      <c r="I121" s="15">
        <v>2</v>
      </c>
      <c r="J121" s="15">
        <f>IFERROR(VLOOKUP($C121,Sheet3!$H$2:$O$200,J$1,FALSE),IFERROR(VLOOKUP($D121,Sheet3!$H$2:$O$200,J$1,FALSE),VLOOKUP($E121,Sheet3!$H$2:$O$200,J$1,FALSE)))</f>
        <v>0</v>
      </c>
      <c r="K121" s="15" t="str">
        <f>IFERROR(VLOOKUP($C121,Sheet3!$H$2:$O$200,K$1,FALSE),IFERROR(VLOOKUP($D121,Sheet3!$H$2:$O$200,K$1,FALSE),VLOOKUP($E121,Sheet3!$H$2:$O$200,K$1,FALSE)))</f>
        <v>cola</v>
      </c>
      <c r="L121" s="15">
        <f>IFERROR(VLOOKUP($C121,Sheet3!$H$2:$O$200,L$1,FALSE),IFERROR(VLOOKUP($D121,Sheet3!$H$2:$O$200,L$1,FALSE),VLOOKUP($E121,Sheet3!$H$2:$O$200,L$1,FALSE)))</f>
        <v>0</v>
      </c>
      <c r="M121" s="15">
        <f>IFERROR(VLOOKUP($C121,Sheet3!$H$2:$O$200,M$1,FALSE),IFERROR(VLOOKUP($D121,Sheet3!$H$2:$O$200,M$1,FALSE),VLOOKUP($E121,Sheet3!$H$2:$O$200,M$1,FALSE)))</f>
        <v>0</v>
      </c>
      <c r="N121" s="15">
        <f>IFERROR(VLOOKUP($C121,Sheet3!$H$2:$O$200,N$1,FALSE),IFERROR(VLOOKUP($D121,Sheet3!$H$2:$O$200,N$1,FALSE),VLOOKUP($E121,Sheet3!$H$2:$O$200,N$1,FALSE)))</f>
        <v>0</v>
      </c>
      <c r="O121" s="15">
        <f>IFERROR(VLOOKUP($C121,Sheet3!$H$2:$O$200,O$1,FALSE),IFERROR(VLOOKUP($D121,Sheet3!$H$2:$O$200,O$1,FALSE),VLOOKUP($E121,Sheet3!$H$2:$O$200,O$1,FALSE)))</f>
        <v>0</v>
      </c>
      <c r="P121" s="15">
        <f>IFERROR(VLOOKUP($C121,Sheet3!$H$2:$O$200,P$1,FALSE),IFERROR(VLOOKUP($D121,Sheet3!$H$2:$O$200,P$1,FALSE),VLOOKUP($E121,Sheet3!$H$2:$O$200,P$1,FALSE)))</f>
        <v>0</v>
      </c>
      <c r="Q121" s="15">
        <f>IFERROR(IF(ISBLANK(J121),IFERROR(VLOOKUP($D121,Sheet3!$H$2:$O$200,Q$1,FALSE),IFERROR(VLOOKUP($E121,Sheet3!$H$2:$O$200,Q$1,FALSE),VLOOKUP($F121,Sheet3!$H$2:$O$200,Q$1,FALSE))),$I$1),$I$1)</f>
        <v>0</v>
      </c>
      <c r="R121" s="15">
        <f>IFERROR(IF(ISBLANK(K121),IFERROR(VLOOKUP($D121,Sheet3!$H$2:$O$200,R$1,FALSE),IFERROR(VLOOKUP($E121,Sheet3!$H$2:$O$200,R$1,FALSE),VLOOKUP($F121,Sheet3!$H$2:$O$200,R$1,FALSE))),$I$1),$I$1)</f>
        <v>0</v>
      </c>
      <c r="S121" s="15">
        <f>IFERROR(IF(ISBLANK(L121),IFERROR(VLOOKUP($D121,Sheet3!$H$2:$O$200,S$1,FALSE),IFERROR(VLOOKUP($E121,Sheet3!$H$2:$O$200,S$1,FALSE),VLOOKUP($F121,Sheet3!$H$2:$O$200,S$1,FALSE))),$I$1),$I$1)</f>
        <v>0</v>
      </c>
      <c r="T121" s="15">
        <f>IFERROR(IF(ISBLANK(M121),IFERROR(VLOOKUP($D121,Sheet3!$H$2:$O$200,T$1,FALSE),IFERROR(VLOOKUP($E121,Sheet3!$H$2:$O$200,T$1,FALSE),VLOOKUP($F121,Sheet3!$H$2:$O$200,T$1,FALSE))),$I$1),$I$1)</f>
        <v>0</v>
      </c>
      <c r="U121" s="15">
        <f>IFERROR(IF(ISBLANK(N121),IFERROR(VLOOKUP($D121,Sheet3!$H$2:$O$200,U$1,FALSE),IFERROR(VLOOKUP($E121,Sheet3!$H$2:$O$200,U$1,FALSE),VLOOKUP($F121,Sheet3!$H$2:$O$200,U$1,FALSE))),$I$1),$I$1)</f>
        <v>0</v>
      </c>
      <c r="V121" s="15">
        <f>IFERROR(IF(ISBLANK(O121),IFERROR(VLOOKUP($D121,Sheet3!$H$2:$O$200,V$1,FALSE),IFERROR(VLOOKUP($E121,Sheet3!$H$2:$O$200,V$1,FALSE),VLOOKUP($F121,Sheet3!$H$2:$O$200,V$1,FALSE))),$I$1),$I$1)</f>
        <v>0</v>
      </c>
      <c r="W121" s="15">
        <f>IFERROR(IF(ISBLANK(P121),IFERROR(VLOOKUP($D121,Sheet3!$H$2:$O$200,W$1,FALSE),IFERROR(VLOOKUP($E121,Sheet3!$H$2:$O$200,W$1,FALSE),VLOOKUP($F121,Sheet3!$H$2:$O$200,W$1,FALSE))),$I$1),$I$1)</f>
        <v>0</v>
      </c>
      <c r="X121" s="15">
        <f>IFERROR(IF(ISBLANK(Q121),IFERROR(VLOOKUP($E121,Sheet3!$H$2:$O$200,X$1,FALSE),IFERROR(VLOOKUP($F121,Sheet3!$H$2:$O$200,X$1,FALSE),VLOOKUP($G121,Sheet3!$H$2:$O$200,X$1,FALSE))),$I$1),$I$1)</f>
        <v>0</v>
      </c>
      <c r="Y121" s="15">
        <f>IFERROR(IF(ISBLANK(R121),IFERROR(VLOOKUP($E121,Sheet3!$H$2:$O$200,Y$1,FALSE),IFERROR(VLOOKUP($F121,Sheet3!$H$2:$O$200,Y$1,FALSE),VLOOKUP($G121,Sheet3!$H$2:$O$200,Y$1,FALSE))),$I$1),$I$1)</f>
        <v>0</v>
      </c>
      <c r="Z121" s="15">
        <f>IFERROR(IF(ISBLANK(S121),IFERROR(VLOOKUP($E121,Sheet3!$H$2:$O$200,Z$1,FALSE),IFERROR(VLOOKUP($F121,Sheet3!$H$2:$O$200,Z$1,FALSE),VLOOKUP($G121,Sheet3!$H$2:$O$200,Z$1,FALSE))),$I$1),$I$1)</f>
        <v>0</v>
      </c>
      <c r="AA121" s="15">
        <f>IFERROR(IF(ISBLANK(T121),IFERROR(VLOOKUP($E121,Sheet3!$H$2:$O$200,AA$1,FALSE),IFERROR(VLOOKUP($F121,Sheet3!$H$2:$O$200,AA$1,FALSE),VLOOKUP($G121,Sheet3!$H$2:$O$200,AA$1,FALSE))),$I$1),$I$1)</f>
        <v>0</v>
      </c>
      <c r="AB121" s="15">
        <f>IFERROR(IF(ISBLANK(U121),IFERROR(VLOOKUP($E121,Sheet3!$H$2:$O$200,AB$1,FALSE),IFERROR(VLOOKUP($F121,Sheet3!$H$2:$O$200,AB$1,FALSE),VLOOKUP($G121,Sheet3!$H$2:$O$200,AB$1,FALSE))),$I$1),$I$1)</f>
        <v>0</v>
      </c>
      <c r="AC121" s="15">
        <f>IFERROR(IF(ISBLANK(V121),IFERROR(VLOOKUP($E121,Sheet3!$H$2:$O$200,AC$1,FALSE),IFERROR(VLOOKUP($F121,Sheet3!$H$2:$O$200,AC$1,FALSE),VLOOKUP($G121,Sheet3!$H$2:$O$200,AC$1,FALSE))),$I$1),$I$1)</f>
        <v>0</v>
      </c>
      <c r="AD121" s="15">
        <f>IFERROR(IF(ISBLANK(W121),IFERROR(VLOOKUP($E121,Sheet3!$H$2:$O$200,AD$1,FALSE),IFERROR(VLOOKUP($F121,Sheet3!$H$2:$O$200,AD$1,FALSE),VLOOKUP($G121,Sheet3!$H$2:$O$200,AD$1,FALSE))),$I$1),$I$1)</f>
        <v>0</v>
      </c>
      <c r="AE121" s="15">
        <f>IFERROR(IF(ISBLANK(X121),IFERROR(VLOOKUP($F121,Sheet3!$H$2:$O$200,AE$1,FALSE),VLOOKUP($G121,Sheet3!$H$2:$O$200,AE$1,FALSE)),$I$1),$I$1)</f>
        <v>0</v>
      </c>
      <c r="AF121" s="15">
        <f>IFERROR(IF(ISBLANK(Y121),IFERROR(VLOOKUP($F121,Sheet3!$H$2:$O$200,AF$1,FALSE),VLOOKUP($G121,Sheet3!$H$2:$O$200,AF$1,FALSE)),$I$1),$I$1)</f>
        <v>0</v>
      </c>
      <c r="AG121" s="15">
        <f>IFERROR(IF(ISBLANK(Z121),IFERROR(VLOOKUP($F121,Sheet3!$H$2:$O$200,AG$1,FALSE),VLOOKUP($G121,Sheet3!$H$2:$O$200,AG$1,FALSE)),$I$1),$I$1)</f>
        <v>0</v>
      </c>
      <c r="AH121" s="15">
        <f>IFERROR(IF(ISBLANK(AA121),IFERROR(VLOOKUP($F121,Sheet3!$H$2:$O$200,AH$1,FALSE),VLOOKUP($G121,Sheet3!$H$2:$O$200,AH$1,FALSE)),$I$1),$I$1)</f>
        <v>0</v>
      </c>
      <c r="AI121" s="15">
        <f>IFERROR(IF(ISBLANK(AB121),IFERROR(VLOOKUP($F121,Sheet3!$H$2:$O$200,AI$1,FALSE),VLOOKUP($G121,Sheet3!$H$2:$O$200,AI$1,FALSE)),$I$1),$I$1)</f>
        <v>0</v>
      </c>
      <c r="AJ121" s="15">
        <f>IFERROR(IF(ISBLANK(AC121),IFERROR(VLOOKUP($F121,Sheet3!$H$2:$O$200,AJ$1,FALSE),VLOOKUP($G121,Sheet3!$H$2:$O$200,AJ$1,FALSE)),$I$1),$I$1)</f>
        <v>0</v>
      </c>
      <c r="AK121" s="15">
        <f>IFERROR(IF(ISBLANK(AD121),IFERROR(VLOOKUP($F121,Sheet3!$H$2:$O$200,AK$1,FALSE),VLOOKUP($G121,Sheet3!$H$2:$O$200,AK$1,FALSE)),$I$1),$I$1)</f>
        <v>0</v>
      </c>
      <c r="AL121" s="15">
        <f>IFERROR(IF(ISBLANK(AE121),VLOOKUP($G121,Sheet3!$H$2:$O$200,AL$1,FALSE),$I$1),$I$1)</f>
        <v>0</v>
      </c>
      <c r="AM121" s="15">
        <f>IFERROR(IF(ISBLANK(AF121),VLOOKUP($G121,Sheet3!$H$2:$O$200,AM$1,FALSE),$I$1),$I$1)</f>
        <v>0</v>
      </c>
      <c r="AN121" s="15">
        <f>IFERROR(IF(ISBLANK(AG121),VLOOKUP($G121,Sheet3!$H$2:$O$200,AN$1,FALSE),$I$1),$I$1)</f>
        <v>0</v>
      </c>
      <c r="AO121" s="15">
        <f>IFERROR(IF(ISBLANK(AH121),VLOOKUP($G121,Sheet3!$H$2:$O$200,AO$1,FALSE),$I$1),$I$1)</f>
        <v>0</v>
      </c>
      <c r="AP121" s="15">
        <f>IFERROR(IF(ISBLANK(AI121),VLOOKUP($G121,Sheet3!$H$2:$O$200,AP$1,FALSE),$I$1),$I$1)</f>
        <v>0</v>
      </c>
      <c r="AQ121" s="15">
        <f>IFERROR(IF(ISBLANK(AJ121),VLOOKUP($G121,Sheet3!$H$2:$O$200,AQ$1,FALSE),$I$1),$I$1)</f>
        <v>0</v>
      </c>
      <c r="AR121" s="15">
        <f>IFERROR(IF(ISBLANK(AK121),VLOOKUP($G121,Sheet3!$H$2:$O$200,AR$1,FALSE),$I$1),$I$1)</f>
        <v>0</v>
      </c>
      <c r="AS121" s="15">
        <f t="shared" ref="AS121:AY121" si="128">IFERROR(IF(ISBLANK(J121),IF(ISBLANK(Q121),IF(ISBLANK(X121),IF(ISBLANK(AE121),IF(ISBLANK(AL121),$BB$1,AL121),AE121),X121),Q121),J121),$BB$1)</f>
        <v>0</v>
      </c>
      <c r="AT121" s="15" t="str">
        <f t="shared" si="128"/>
        <v>cola</v>
      </c>
      <c r="AU121" s="15">
        <f t="shared" si="128"/>
        <v>0</v>
      </c>
      <c r="AV121" s="15">
        <f t="shared" si="128"/>
        <v>0</v>
      </c>
      <c r="AW121" s="15">
        <f t="shared" si="128"/>
        <v>0</v>
      </c>
      <c r="AX121" s="15">
        <f t="shared" si="128"/>
        <v>0</v>
      </c>
      <c r="AY121" s="15">
        <f t="shared" si="128"/>
        <v>0</v>
      </c>
      <c r="BA121" s="13">
        <f t="shared" si="1"/>
        <v>35</v>
      </c>
      <c r="BB121" s="15" t="b">
        <f t="shared" si="2"/>
        <v>0</v>
      </c>
    </row>
    <row r="122" spans="1:54" x14ac:dyDescent="0.2">
      <c r="A122" s="19" t="s">
        <v>269</v>
      </c>
      <c r="B122" s="19" t="s">
        <v>265</v>
      </c>
      <c r="C122" s="19" t="s">
        <v>270</v>
      </c>
      <c r="D122" s="19"/>
      <c r="E122" s="19"/>
      <c r="F122" s="19"/>
      <c r="G122" s="19"/>
      <c r="H122" s="19" t="s">
        <v>269</v>
      </c>
      <c r="I122" s="15">
        <v>1</v>
      </c>
      <c r="J122" s="15">
        <f>IFERROR(VLOOKUP($C122,Sheet3!$H$2:$O$200,J$1,FALSE),IFERROR(VLOOKUP($D122,Sheet3!$H$2:$O$200,J$1,FALSE),VLOOKUP($E122,Sheet3!$H$2:$O$200,J$1,FALSE)))</f>
        <v>0</v>
      </c>
      <c r="K122" s="15" t="str">
        <f>IFERROR(VLOOKUP($C122,Sheet3!$H$2:$O$200,K$1,FALSE),IFERROR(VLOOKUP($D122,Sheet3!$H$2:$O$200,K$1,FALSE),VLOOKUP($E122,Sheet3!$H$2:$O$200,K$1,FALSE)))</f>
        <v>ginger beer</v>
      </c>
      <c r="L122" s="15">
        <f>IFERROR(VLOOKUP($C122,Sheet3!$H$2:$O$200,L$1,FALSE),IFERROR(VLOOKUP($D122,Sheet3!$H$2:$O$200,L$1,FALSE),VLOOKUP($E122,Sheet3!$H$2:$O$200,L$1,FALSE)))</f>
        <v>0</v>
      </c>
      <c r="M122" s="15">
        <f>IFERROR(VLOOKUP($C122,Sheet3!$H$2:$O$200,M$1,FALSE),IFERROR(VLOOKUP($D122,Sheet3!$H$2:$O$200,M$1,FALSE),VLOOKUP($E122,Sheet3!$H$2:$O$200,M$1,FALSE)))</f>
        <v>0</v>
      </c>
      <c r="N122" s="15">
        <f>IFERROR(VLOOKUP($C122,Sheet3!$H$2:$O$200,N$1,FALSE),IFERROR(VLOOKUP($D122,Sheet3!$H$2:$O$200,N$1,FALSE),VLOOKUP($E122,Sheet3!$H$2:$O$200,N$1,FALSE)))</f>
        <v>0</v>
      </c>
      <c r="O122" s="15">
        <f>IFERROR(VLOOKUP($C122,Sheet3!$H$2:$O$200,O$1,FALSE),IFERROR(VLOOKUP($D122,Sheet3!$H$2:$O$200,O$1,FALSE),VLOOKUP($E122,Sheet3!$H$2:$O$200,O$1,FALSE)))</f>
        <v>0</v>
      </c>
      <c r="P122" s="15">
        <f>IFERROR(VLOOKUP($C122,Sheet3!$H$2:$O$200,P$1,FALSE),IFERROR(VLOOKUP($D122,Sheet3!$H$2:$O$200,P$1,FALSE),VLOOKUP($E122,Sheet3!$H$2:$O$200,P$1,FALSE)))</f>
        <v>0</v>
      </c>
      <c r="Q122" s="15">
        <f>IFERROR(IF(ISBLANK(J122),IFERROR(VLOOKUP($D122,Sheet3!$H$2:$O$200,Q$1,FALSE),IFERROR(VLOOKUP($E122,Sheet3!$H$2:$O$200,Q$1,FALSE),VLOOKUP($F122,Sheet3!$H$2:$O$200,Q$1,FALSE))),$I$1),$I$1)</f>
        <v>0</v>
      </c>
      <c r="R122" s="15">
        <f>IFERROR(IF(ISBLANK(K122),IFERROR(VLOOKUP($D122,Sheet3!$H$2:$O$200,R$1,FALSE),IFERROR(VLOOKUP($E122,Sheet3!$H$2:$O$200,R$1,FALSE),VLOOKUP($F122,Sheet3!$H$2:$O$200,R$1,FALSE))),$I$1),$I$1)</f>
        <v>0</v>
      </c>
      <c r="S122" s="15">
        <f>IFERROR(IF(ISBLANK(L122),IFERROR(VLOOKUP($D122,Sheet3!$H$2:$O$200,S$1,FALSE),IFERROR(VLOOKUP($E122,Sheet3!$H$2:$O$200,S$1,FALSE),VLOOKUP($F122,Sheet3!$H$2:$O$200,S$1,FALSE))),$I$1),$I$1)</f>
        <v>0</v>
      </c>
      <c r="T122" s="15">
        <f>IFERROR(IF(ISBLANK(M122),IFERROR(VLOOKUP($D122,Sheet3!$H$2:$O$200,T$1,FALSE),IFERROR(VLOOKUP($E122,Sheet3!$H$2:$O$200,T$1,FALSE),VLOOKUP($F122,Sheet3!$H$2:$O$200,T$1,FALSE))),$I$1),$I$1)</f>
        <v>0</v>
      </c>
      <c r="U122" s="15">
        <f>IFERROR(IF(ISBLANK(N122),IFERROR(VLOOKUP($D122,Sheet3!$H$2:$O$200,U$1,FALSE),IFERROR(VLOOKUP($E122,Sheet3!$H$2:$O$200,U$1,FALSE),VLOOKUP($F122,Sheet3!$H$2:$O$200,U$1,FALSE))),$I$1),$I$1)</f>
        <v>0</v>
      </c>
      <c r="V122" s="15">
        <f>IFERROR(IF(ISBLANK(O122),IFERROR(VLOOKUP($D122,Sheet3!$H$2:$O$200,V$1,FALSE),IFERROR(VLOOKUP($E122,Sheet3!$H$2:$O$200,V$1,FALSE),VLOOKUP($F122,Sheet3!$H$2:$O$200,V$1,FALSE))),$I$1),$I$1)</f>
        <v>0</v>
      </c>
      <c r="W122" s="15">
        <f>IFERROR(IF(ISBLANK(P122),IFERROR(VLOOKUP($D122,Sheet3!$H$2:$O$200,W$1,FALSE),IFERROR(VLOOKUP($E122,Sheet3!$H$2:$O$200,W$1,FALSE),VLOOKUP($F122,Sheet3!$H$2:$O$200,W$1,FALSE))),$I$1),$I$1)</f>
        <v>0</v>
      </c>
      <c r="X122" s="15">
        <f>IFERROR(IF(ISBLANK(Q122),IFERROR(VLOOKUP($E122,Sheet3!$H$2:$O$200,X$1,FALSE),IFERROR(VLOOKUP($F122,Sheet3!$H$2:$O$200,X$1,FALSE),VLOOKUP($G122,Sheet3!$H$2:$O$200,X$1,FALSE))),$I$1),$I$1)</f>
        <v>0</v>
      </c>
      <c r="Y122" s="15">
        <f>IFERROR(IF(ISBLANK(R122),IFERROR(VLOOKUP($E122,Sheet3!$H$2:$O$200,Y$1,FALSE),IFERROR(VLOOKUP($F122,Sheet3!$H$2:$O$200,Y$1,FALSE),VLOOKUP($G122,Sheet3!$H$2:$O$200,Y$1,FALSE))),$I$1),$I$1)</f>
        <v>0</v>
      </c>
      <c r="Z122" s="15">
        <f>IFERROR(IF(ISBLANK(S122),IFERROR(VLOOKUP($E122,Sheet3!$H$2:$O$200,Z$1,FALSE),IFERROR(VLOOKUP($F122,Sheet3!$H$2:$O$200,Z$1,FALSE),VLOOKUP($G122,Sheet3!$H$2:$O$200,Z$1,FALSE))),$I$1),$I$1)</f>
        <v>0</v>
      </c>
      <c r="AA122" s="15">
        <f>IFERROR(IF(ISBLANK(T122),IFERROR(VLOOKUP($E122,Sheet3!$H$2:$O$200,AA$1,FALSE),IFERROR(VLOOKUP($F122,Sheet3!$H$2:$O$200,AA$1,FALSE),VLOOKUP($G122,Sheet3!$H$2:$O$200,AA$1,FALSE))),$I$1),$I$1)</f>
        <v>0</v>
      </c>
      <c r="AB122" s="15">
        <f>IFERROR(IF(ISBLANK(U122),IFERROR(VLOOKUP($E122,Sheet3!$H$2:$O$200,AB$1,FALSE),IFERROR(VLOOKUP($F122,Sheet3!$H$2:$O$200,AB$1,FALSE),VLOOKUP($G122,Sheet3!$H$2:$O$200,AB$1,FALSE))),$I$1),$I$1)</f>
        <v>0</v>
      </c>
      <c r="AC122" s="15">
        <f>IFERROR(IF(ISBLANK(V122),IFERROR(VLOOKUP($E122,Sheet3!$H$2:$O$200,AC$1,FALSE),IFERROR(VLOOKUP($F122,Sheet3!$H$2:$O$200,AC$1,FALSE),VLOOKUP($G122,Sheet3!$H$2:$O$200,AC$1,FALSE))),$I$1),$I$1)</f>
        <v>0</v>
      </c>
      <c r="AD122" s="15">
        <f>IFERROR(IF(ISBLANK(W122),IFERROR(VLOOKUP($E122,Sheet3!$H$2:$O$200,AD$1,FALSE),IFERROR(VLOOKUP($F122,Sheet3!$H$2:$O$200,AD$1,FALSE),VLOOKUP($G122,Sheet3!$H$2:$O$200,AD$1,FALSE))),$I$1),$I$1)</f>
        <v>0</v>
      </c>
      <c r="AE122" s="15">
        <f>IFERROR(IF(ISBLANK(X122),IFERROR(VLOOKUP($F122,Sheet3!$H$2:$O$200,AE$1,FALSE),VLOOKUP($G122,Sheet3!$H$2:$O$200,AE$1,FALSE)),$I$1),$I$1)</f>
        <v>0</v>
      </c>
      <c r="AF122" s="15">
        <f>IFERROR(IF(ISBLANK(Y122),IFERROR(VLOOKUP($F122,Sheet3!$H$2:$O$200,AF$1,FALSE),VLOOKUP($G122,Sheet3!$H$2:$O$200,AF$1,FALSE)),$I$1),$I$1)</f>
        <v>0</v>
      </c>
      <c r="AG122" s="15">
        <f>IFERROR(IF(ISBLANK(Z122),IFERROR(VLOOKUP($F122,Sheet3!$H$2:$O$200,AG$1,FALSE),VLOOKUP($G122,Sheet3!$H$2:$O$200,AG$1,FALSE)),$I$1),$I$1)</f>
        <v>0</v>
      </c>
      <c r="AH122" s="15">
        <f>IFERROR(IF(ISBLANK(AA122),IFERROR(VLOOKUP($F122,Sheet3!$H$2:$O$200,AH$1,FALSE),VLOOKUP($G122,Sheet3!$H$2:$O$200,AH$1,FALSE)),$I$1),$I$1)</f>
        <v>0</v>
      </c>
      <c r="AI122" s="15">
        <f>IFERROR(IF(ISBLANK(AB122),IFERROR(VLOOKUP($F122,Sheet3!$H$2:$O$200,AI$1,FALSE),VLOOKUP($G122,Sheet3!$H$2:$O$200,AI$1,FALSE)),$I$1),$I$1)</f>
        <v>0</v>
      </c>
      <c r="AJ122" s="15">
        <f>IFERROR(IF(ISBLANK(AC122),IFERROR(VLOOKUP($F122,Sheet3!$H$2:$O$200,AJ$1,FALSE),VLOOKUP($G122,Sheet3!$H$2:$O$200,AJ$1,FALSE)),$I$1),$I$1)</f>
        <v>0</v>
      </c>
      <c r="AK122" s="15">
        <f>IFERROR(IF(ISBLANK(AD122),IFERROR(VLOOKUP($F122,Sheet3!$H$2:$O$200,AK$1,FALSE),VLOOKUP($G122,Sheet3!$H$2:$O$200,AK$1,FALSE)),$I$1),$I$1)</f>
        <v>0</v>
      </c>
      <c r="AL122" s="15">
        <f>IFERROR(IF(ISBLANK(AE122),VLOOKUP($G122,Sheet3!$H$2:$O$200,AL$1,FALSE),$I$1),$I$1)</f>
        <v>0</v>
      </c>
      <c r="AM122" s="15">
        <f>IFERROR(IF(ISBLANK(AF122),VLOOKUP($G122,Sheet3!$H$2:$O$200,AM$1,FALSE),$I$1),$I$1)</f>
        <v>0</v>
      </c>
      <c r="AN122" s="15">
        <f>IFERROR(IF(ISBLANK(AG122),VLOOKUP($G122,Sheet3!$H$2:$O$200,AN$1,FALSE),$I$1),$I$1)</f>
        <v>0</v>
      </c>
      <c r="AO122" s="15">
        <f>IFERROR(IF(ISBLANK(AH122),VLOOKUP($G122,Sheet3!$H$2:$O$200,AO$1,FALSE),$I$1),$I$1)</f>
        <v>0</v>
      </c>
      <c r="AP122" s="15">
        <f>IFERROR(IF(ISBLANK(AI122),VLOOKUP($G122,Sheet3!$H$2:$O$200,AP$1,FALSE),$I$1),$I$1)</f>
        <v>0</v>
      </c>
      <c r="AQ122" s="15">
        <f>IFERROR(IF(ISBLANK(AJ122),VLOOKUP($G122,Sheet3!$H$2:$O$200,AQ$1,FALSE),$I$1),$I$1)</f>
        <v>0</v>
      </c>
      <c r="AR122" s="15">
        <f>IFERROR(IF(ISBLANK(AK122),VLOOKUP($G122,Sheet3!$H$2:$O$200,AR$1,FALSE),$I$1),$I$1)</f>
        <v>0</v>
      </c>
      <c r="AS122" s="15">
        <f t="shared" ref="AS122:AY122" si="129">IFERROR(IF(ISBLANK(J122),IF(ISBLANK(Q122),IF(ISBLANK(X122),IF(ISBLANK(AE122),IF(ISBLANK(AL122),$BB$1,AL122),AE122),X122),Q122),J122),$BB$1)</f>
        <v>0</v>
      </c>
      <c r="AT122" s="15" t="str">
        <f t="shared" si="129"/>
        <v>ginger beer</v>
      </c>
      <c r="AU122" s="15">
        <f t="shared" si="129"/>
        <v>0</v>
      </c>
      <c r="AV122" s="15">
        <f t="shared" si="129"/>
        <v>0</v>
      </c>
      <c r="AW122" s="15">
        <f t="shared" si="129"/>
        <v>0</v>
      </c>
      <c r="AX122" s="15">
        <f t="shared" si="129"/>
        <v>0</v>
      </c>
      <c r="AY122" s="15">
        <f t="shared" si="129"/>
        <v>0</v>
      </c>
      <c r="BA122" s="13">
        <f t="shared" si="1"/>
        <v>35</v>
      </c>
      <c r="BB122" s="15" t="b">
        <f t="shared" si="2"/>
        <v>0</v>
      </c>
    </row>
    <row r="123" spans="1:54" x14ac:dyDescent="0.2">
      <c r="A123" s="19" t="s">
        <v>271</v>
      </c>
      <c r="B123" s="19" t="s">
        <v>265</v>
      </c>
      <c r="C123" s="19"/>
      <c r="D123" s="19" t="s">
        <v>134</v>
      </c>
      <c r="E123" s="19" t="s">
        <v>239</v>
      </c>
      <c r="F123" s="19"/>
      <c r="G123" s="19"/>
      <c r="H123" s="19" t="s">
        <v>271</v>
      </c>
      <c r="I123" s="15">
        <v>2</v>
      </c>
      <c r="J123" s="15">
        <f>IFERROR(VLOOKUP($C123,Sheet3!$H$2:$O$200,J$1,FALSE),IFERROR(VLOOKUP($D123,Sheet3!$H$2:$O$200,J$1,FALSE),VLOOKUP($E123,Sheet3!$H$2:$O$200,J$1,FALSE)))</f>
        <v>0</v>
      </c>
      <c r="K123" s="15">
        <f>IFERROR(VLOOKUP($C123,Sheet3!$H$2:$O$200,K$1,FALSE),IFERROR(VLOOKUP($D123,Sheet3!$H$2:$O$200,K$1,FALSE),VLOOKUP($E123,Sheet3!$H$2:$O$200,K$1,FALSE)))</f>
        <v>0</v>
      </c>
      <c r="L123" s="15" t="str">
        <f>IFERROR(VLOOKUP($C123,Sheet3!$H$2:$O$200,L$1,FALSE),IFERROR(VLOOKUP($D123,Sheet3!$H$2:$O$200,L$1,FALSE),VLOOKUP($E123,Sheet3!$H$2:$O$200,L$1,FALSE)))</f>
        <v>grapefruit juice</v>
      </c>
      <c r="M123" s="15">
        <f>IFERROR(VLOOKUP($C123,Sheet3!$H$2:$O$200,M$1,FALSE),IFERROR(VLOOKUP($D123,Sheet3!$H$2:$O$200,M$1,FALSE),VLOOKUP($E123,Sheet3!$H$2:$O$200,M$1,FALSE)))</f>
        <v>0</v>
      </c>
      <c r="N123" s="15">
        <f>IFERROR(VLOOKUP($C123,Sheet3!$H$2:$O$200,N$1,FALSE),IFERROR(VLOOKUP($D123,Sheet3!$H$2:$O$200,N$1,FALSE),VLOOKUP($E123,Sheet3!$H$2:$O$200,N$1,FALSE)))</f>
        <v>0</v>
      </c>
      <c r="O123" s="15">
        <f>IFERROR(VLOOKUP($C123,Sheet3!$H$2:$O$200,O$1,FALSE),IFERROR(VLOOKUP($D123,Sheet3!$H$2:$O$200,O$1,FALSE),VLOOKUP($E123,Sheet3!$H$2:$O$200,O$1,FALSE)))</f>
        <v>0</v>
      </c>
      <c r="P123" s="15">
        <f>IFERROR(VLOOKUP($C123,Sheet3!$H$2:$O$200,P$1,FALSE),IFERROR(VLOOKUP($D123,Sheet3!$H$2:$O$200,P$1,FALSE),VLOOKUP($E123,Sheet3!$H$2:$O$200,P$1,FALSE)))</f>
        <v>0</v>
      </c>
      <c r="Q123" s="15">
        <f>IFERROR(IF(ISBLANK(J123),IFERROR(VLOOKUP($D123,Sheet3!$H$2:$O$200,Q$1,FALSE),IFERROR(VLOOKUP($E123,Sheet3!$H$2:$O$200,Q$1,FALSE),VLOOKUP($F123,Sheet3!$H$2:$O$200,Q$1,FALSE))),$I$1),$I$1)</f>
        <v>0</v>
      </c>
      <c r="R123" s="15">
        <f>IFERROR(IF(ISBLANK(K123),IFERROR(VLOOKUP($D123,Sheet3!$H$2:$O$200,R$1,FALSE),IFERROR(VLOOKUP($E123,Sheet3!$H$2:$O$200,R$1,FALSE),VLOOKUP($F123,Sheet3!$H$2:$O$200,R$1,FALSE))),$I$1),$I$1)</f>
        <v>0</v>
      </c>
      <c r="S123" s="15">
        <f>IFERROR(IF(ISBLANK(L123),IFERROR(VLOOKUP($D123,Sheet3!$H$2:$O$200,S$1,FALSE),IFERROR(VLOOKUP($E123,Sheet3!$H$2:$O$200,S$1,FALSE),VLOOKUP($F123,Sheet3!$H$2:$O$200,S$1,FALSE))),$I$1),$I$1)</f>
        <v>0</v>
      </c>
      <c r="T123" s="15">
        <f>IFERROR(IF(ISBLANK(M123),IFERROR(VLOOKUP($D123,Sheet3!$H$2:$O$200,T$1,FALSE),IFERROR(VLOOKUP($E123,Sheet3!$H$2:$O$200,T$1,FALSE),VLOOKUP($F123,Sheet3!$H$2:$O$200,T$1,FALSE))),$I$1),$I$1)</f>
        <v>0</v>
      </c>
      <c r="U123" s="15">
        <f>IFERROR(IF(ISBLANK(N123),IFERROR(VLOOKUP($D123,Sheet3!$H$2:$O$200,U$1,FALSE),IFERROR(VLOOKUP($E123,Sheet3!$H$2:$O$200,U$1,FALSE),VLOOKUP($F123,Sheet3!$H$2:$O$200,U$1,FALSE))),$I$1),$I$1)</f>
        <v>0</v>
      </c>
      <c r="V123" s="15">
        <f>IFERROR(IF(ISBLANK(O123),IFERROR(VLOOKUP($D123,Sheet3!$H$2:$O$200,V$1,FALSE),IFERROR(VLOOKUP($E123,Sheet3!$H$2:$O$200,V$1,FALSE),VLOOKUP($F123,Sheet3!$H$2:$O$200,V$1,FALSE))),$I$1),$I$1)</f>
        <v>0</v>
      </c>
      <c r="W123" s="15">
        <f>IFERROR(IF(ISBLANK(P123),IFERROR(VLOOKUP($D123,Sheet3!$H$2:$O$200,W$1,FALSE),IFERROR(VLOOKUP($E123,Sheet3!$H$2:$O$200,W$1,FALSE),VLOOKUP($F123,Sheet3!$H$2:$O$200,W$1,FALSE))),$I$1),$I$1)</f>
        <v>0</v>
      </c>
      <c r="X123" s="15">
        <f>IFERROR(IF(ISBLANK(Q123),IFERROR(VLOOKUP($E123,Sheet3!$H$2:$O$200,X$1,FALSE),IFERROR(VLOOKUP($F123,Sheet3!$H$2:$O$200,X$1,FALSE),VLOOKUP($G123,Sheet3!$H$2:$O$200,X$1,FALSE))),$I$1),$I$1)</f>
        <v>0</v>
      </c>
      <c r="Y123" s="15">
        <f>IFERROR(IF(ISBLANK(R123),IFERROR(VLOOKUP($E123,Sheet3!$H$2:$O$200,Y$1,FALSE),IFERROR(VLOOKUP($F123,Sheet3!$H$2:$O$200,Y$1,FALSE),VLOOKUP($G123,Sheet3!$H$2:$O$200,Y$1,FALSE))),$I$1),$I$1)</f>
        <v>0</v>
      </c>
      <c r="Z123" s="15">
        <f>IFERROR(IF(ISBLANK(S123),IFERROR(VLOOKUP($E123,Sheet3!$H$2:$O$200,Z$1,FALSE),IFERROR(VLOOKUP($F123,Sheet3!$H$2:$O$200,Z$1,FALSE),VLOOKUP($G123,Sheet3!$H$2:$O$200,Z$1,FALSE))),$I$1),$I$1)</f>
        <v>0</v>
      </c>
      <c r="AA123" s="15">
        <f>IFERROR(IF(ISBLANK(T123),IFERROR(VLOOKUP($E123,Sheet3!$H$2:$O$200,AA$1,FALSE),IFERROR(VLOOKUP($F123,Sheet3!$H$2:$O$200,AA$1,FALSE),VLOOKUP($G123,Sheet3!$H$2:$O$200,AA$1,FALSE))),$I$1),$I$1)</f>
        <v>0</v>
      </c>
      <c r="AB123" s="15">
        <f>IFERROR(IF(ISBLANK(U123),IFERROR(VLOOKUP($E123,Sheet3!$H$2:$O$200,AB$1,FALSE),IFERROR(VLOOKUP($F123,Sheet3!$H$2:$O$200,AB$1,FALSE),VLOOKUP($G123,Sheet3!$H$2:$O$200,AB$1,FALSE))),$I$1),$I$1)</f>
        <v>0</v>
      </c>
      <c r="AC123" s="15">
        <f>IFERROR(IF(ISBLANK(V123),IFERROR(VLOOKUP($E123,Sheet3!$H$2:$O$200,AC$1,FALSE),IFERROR(VLOOKUP($F123,Sheet3!$H$2:$O$200,AC$1,FALSE),VLOOKUP($G123,Sheet3!$H$2:$O$200,AC$1,FALSE))),$I$1),$I$1)</f>
        <v>0</v>
      </c>
      <c r="AD123" s="15">
        <f>IFERROR(IF(ISBLANK(W123),IFERROR(VLOOKUP($E123,Sheet3!$H$2:$O$200,AD$1,FALSE),IFERROR(VLOOKUP($F123,Sheet3!$H$2:$O$200,AD$1,FALSE),VLOOKUP($G123,Sheet3!$H$2:$O$200,AD$1,FALSE))),$I$1),$I$1)</f>
        <v>0</v>
      </c>
      <c r="AE123" s="15">
        <f>IFERROR(IF(ISBLANK(X123),IFERROR(VLOOKUP($F123,Sheet3!$H$2:$O$200,AE$1,FALSE),VLOOKUP($G123,Sheet3!$H$2:$O$200,AE$1,FALSE)),$I$1),$I$1)</f>
        <v>0</v>
      </c>
      <c r="AF123" s="15">
        <f>IFERROR(IF(ISBLANK(Y123),IFERROR(VLOOKUP($F123,Sheet3!$H$2:$O$200,AF$1,FALSE),VLOOKUP($G123,Sheet3!$H$2:$O$200,AF$1,FALSE)),$I$1),$I$1)</f>
        <v>0</v>
      </c>
      <c r="AG123" s="15">
        <f>IFERROR(IF(ISBLANK(Z123),IFERROR(VLOOKUP($F123,Sheet3!$H$2:$O$200,AG$1,FALSE),VLOOKUP($G123,Sheet3!$H$2:$O$200,AG$1,FALSE)),$I$1),$I$1)</f>
        <v>0</v>
      </c>
      <c r="AH123" s="15">
        <f>IFERROR(IF(ISBLANK(AA123),IFERROR(VLOOKUP($F123,Sheet3!$H$2:$O$200,AH$1,FALSE),VLOOKUP($G123,Sheet3!$H$2:$O$200,AH$1,FALSE)),$I$1),$I$1)</f>
        <v>0</v>
      </c>
      <c r="AI123" s="15">
        <f>IFERROR(IF(ISBLANK(AB123),IFERROR(VLOOKUP($F123,Sheet3!$H$2:$O$200,AI$1,FALSE),VLOOKUP($G123,Sheet3!$H$2:$O$200,AI$1,FALSE)),$I$1),$I$1)</f>
        <v>0</v>
      </c>
      <c r="AJ123" s="15">
        <f>IFERROR(IF(ISBLANK(AC123),IFERROR(VLOOKUP($F123,Sheet3!$H$2:$O$200,AJ$1,FALSE),VLOOKUP($G123,Sheet3!$H$2:$O$200,AJ$1,FALSE)),$I$1),$I$1)</f>
        <v>0</v>
      </c>
      <c r="AK123" s="15">
        <f>IFERROR(IF(ISBLANK(AD123),IFERROR(VLOOKUP($F123,Sheet3!$H$2:$O$200,AK$1,FALSE),VLOOKUP($G123,Sheet3!$H$2:$O$200,AK$1,FALSE)),$I$1),$I$1)</f>
        <v>0</v>
      </c>
      <c r="AL123" s="15">
        <f>IFERROR(IF(ISBLANK(AE123),VLOOKUP($G123,Sheet3!$H$2:$O$200,AL$1,FALSE),$I$1),$I$1)</f>
        <v>0</v>
      </c>
      <c r="AM123" s="15">
        <f>IFERROR(IF(ISBLANK(AF123),VLOOKUP($G123,Sheet3!$H$2:$O$200,AM$1,FALSE),$I$1),$I$1)</f>
        <v>0</v>
      </c>
      <c r="AN123" s="15">
        <f>IFERROR(IF(ISBLANK(AG123),VLOOKUP($G123,Sheet3!$H$2:$O$200,AN$1,FALSE),$I$1),$I$1)</f>
        <v>0</v>
      </c>
      <c r="AO123" s="15">
        <f>IFERROR(IF(ISBLANK(AH123),VLOOKUP($G123,Sheet3!$H$2:$O$200,AO$1,FALSE),$I$1),$I$1)</f>
        <v>0</v>
      </c>
      <c r="AP123" s="15">
        <f>IFERROR(IF(ISBLANK(AI123),VLOOKUP($G123,Sheet3!$H$2:$O$200,AP$1,FALSE),$I$1),$I$1)</f>
        <v>0</v>
      </c>
      <c r="AQ123" s="15">
        <f>IFERROR(IF(ISBLANK(AJ123),VLOOKUP($G123,Sheet3!$H$2:$O$200,AQ$1,FALSE),$I$1),$I$1)</f>
        <v>0</v>
      </c>
      <c r="AR123" s="15">
        <f>IFERROR(IF(ISBLANK(AK123),VLOOKUP($G123,Sheet3!$H$2:$O$200,AR$1,FALSE),$I$1),$I$1)</f>
        <v>0</v>
      </c>
      <c r="AS123" s="15">
        <f t="shared" ref="AS123:AY123" si="130">IFERROR(IF(ISBLANK(J123),IF(ISBLANK(Q123),IF(ISBLANK(X123),IF(ISBLANK(AE123),IF(ISBLANK(AL123),$BB$1,AL123),AE123),X123),Q123),J123),$BB$1)</f>
        <v>0</v>
      </c>
      <c r="AT123" s="15">
        <f t="shared" si="130"/>
        <v>0</v>
      </c>
      <c r="AU123" s="15" t="str">
        <f t="shared" si="130"/>
        <v>grapefruit juice</v>
      </c>
      <c r="AV123" s="15">
        <f t="shared" si="130"/>
        <v>0</v>
      </c>
      <c r="AW123" s="15">
        <f t="shared" si="130"/>
        <v>0</v>
      </c>
      <c r="AX123" s="15">
        <f t="shared" si="130"/>
        <v>0</v>
      </c>
      <c r="AY123" s="15">
        <f t="shared" si="130"/>
        <v>0</v>
      </c>
      <c r="BA123" s="13">
        <f t="shared" si="1"/>
        <v>35</v>
      </c>
      <c r="BB123" s="15" t="b">
        <f t="shared" si="2"/>
        <v>0</v>
      </c>
    </row>
    <row r="124" spans="1:54" x14ac:dyDescent="0.2">
      <c r="A124" s="19" t="s">
        <v>273</v>
      </c>
      <c r="B124" s="19" t="s">
        <v>265</v>
      </c>
      <c r="C124" s="19"/>
      <c r="D124" s="19" t="s">
        <v>45</v>
      </c>
      <c r="E124" s="19" t="s">
        <v>78</v>
      </c>
      <c r="F124" s="19"/>
      <c r="G124" s="19"/>
      <c r="H124" s="19" t="s">
        <v>273</v>
      </c>
      <c r="I124" s="15">
        <v>2</v>
      </c>
      <c r="J124" s="15">
        <f>IFERROR(VLOOKUP($C124,Sheet3!$H$2:$O$200,J$1,FALSE),IFERROR(VLOOKUP($D124,Sheet3!$H$2:$O$200,J$1,FALSE),VLOOKUP($E124,Sheet3!$H$2:$O$200,J$1,FALSE)))</f>
        <v>0</v>
      </c>
      <c r="K124" s="15">
        <f>IFERROR(VLOOKUP($C124,Sheet3!$H$2:$O$200,K$1,FALSE),IFERROR(VLOOKUP($D124,Sheet3!$H$2:$O$200,K$1,FALSE),VLOOKUP($E124,Sheet3!$H$2:$O$200,K$1,FALSE)))</f>
        <v>0</v>
      </c>
      <c r="L124" s="15" t="str">
        <f>IFERROR(VLOOKUP($C124,Sheet3!$H$2:$O$200,L$1,FALSE),IFERROR(VLOOKUP($D124,Sheet3!$H$2:$O$200,L$1,FALSE),VLOOKUP($E124,Sheet3!$H$2:$O$200,L$1,FALSE)))</f>
        <v>cranberry juice</v>
      </c>
      <c r="M124" s="15">
        <f>IFERROR(VLOOKUP($C124,Sheet3!$H$2:$O$200,M$1,FALSE),IFERROR(VLOOKUP($D124,Sheet3!$H$2:$O$200,M$1,FALSE),VLOOKUP($E124,Sheet3!$H$2:$O$200,M$1,FALSE)))</f>
        <v>0</v>
      </c>
      <c r="N124" s="15">
        <f>IFERROR(VLOOKUP($C124,Sheet3!$H$2:$O$200,N$1,FALSE),IFERROR(VLOOKUP($D124,Sheet3!$H$2:$O$200,N$1,FALSE),VLOOKUP($E124,Sheet3!$H$2:$O$200,N$1,FALSE)))</f>
        <v>0</v>
      </c>
      <c r="O124" s="15">
        <f>IFERROR(VLOOKUP($C124,Sheet3!$H$2:$O$200,O$1,FALSE),IFERROR(VLOOKUP($D124,Sheet3!$H$2:$O$200,O$1,FALSE),VLOOKUP($E124,Sheet3!$H$2:$O$200,O$1,FALSE)))</f>
        <v>0</v>
      </c>
      <c r="P124" s="15">
        <f>IFERROR(VLOOKUP($C124,Sheet3!$H$2:$O$200,P$1,FALSE),IFERROR(VLOOKUP($D124,Sheet3!$H$2:$O$200,P$1,FALSE),VLOOKUP($E124,Sheet3!$H$2:$O$200,P$1,FALSE)))</f>
        <v>0</v>
      </c>
      <c r="Q124" s="15">
        <f>IFERROR(IF(ISBLANK(J124),IFERROR(VLOOKUP($D124,Sheet3!$H$2:$O$200,Q$1,FALSE),IFERROR(VLOOKUP($E124,Sheet3!$H$2:$O$200,Q$1,FALSE),VLOOKUP($F124,Sheet3!$H$2:$O$200,Q$1,FALSE))),$I$1),$I$1)</f>
        <v>0</v>
      </c>
      <c r="R124" s="15">
        <f>IFERROR(IF(ISBLANK(K124),IFERROR(VLOOKUP($D124,Sheet3!$H$2:$O$200,R$1,FALSE),IFERROR(VLOOKUP($E124,Sheet3!$H$2:$O$200,R$1,FALSE),VLOOKUP($F124,Sheet3!$H$2:$O$200,R$1,FALSE))),$I$1),$I$1)</f>
        <v>0</v>
      </c>
      <c r="S124" s="15">
        <f>IFERROR(IF(ISBLANK(L124),IFERROR(VLOOKUP($D124,Sheet3!$H$2:$O$200,S$1,FALSE),IFERROR(VLOOKUP($E124,Sheet3!$H$2:$O$200,S$1,FALSE),VLOOKUP($F124,Sheet3!$H$2:$O$200,S$1,FALSE))),$I$1),$I$1)</f>
        <v>0</v>
      </c>
      <c r="T124" s="15">
        <f>IFERROR(IF(ISBLANK(M124),IFERROR(VLOOKUP($D124,Sheet3!$H$2:$O$200,T$1,FALSE),IFERROR(VLOOKUP($E124,Sheet3!$H$2:$O$200,T$1,FALSE),VLOOKUP($F124,Sheet3!$H$2:$O$200,T$1,FALSE))),$I$1),$I$1)</f>
        <v>0</v>
      </c>
      <c r="U124" s="15">
        <f>IFERROR(IF(ISBLANK(N124),IFERROR(VLOOKUP($D124,Sheet3!$H$2:$O$200,U$1,FALSE),IFERROR(VLOOKUP($E124,Sheet3!$H$2:$O$200,U$1,FALSE),VLOOKUP($F124,Sheet3!$H$2:$O$200,U$1,FALSE))),$I$1),$I$1)</f>
        <v>0</v>
      </c>
      <c r="V124" s="15">
        <f>IFERROR(IF(ISBLANK(O124),IFERROR(VLOOKUP($D124,Sheet3!$H$2:$O$200,V$1,FALSE),IFERROR(VLOOKUP($E124,Sheet3!$H$2:$O$200,V$1,FALSE),VLOOKUP($F124,Sheet3!$H$2:$O$200,V$1,FALSE))),$I$1),$I$1)</f>
        <v>0</v>
      </c>
      <c r="W124" s="15">
        <f>IFERROR(IF(ISBLANK(P124),IFERROR(VLOOKUP($D124,Sheet3!$H$2:$O$200,W$1,FALSE),IFERROR(VLOOKUP($E124,Sheet3!$H$2:$O$200,W$1,FALSE),VLOOKUP($F124,Sheet3!$H$2:$O$200,W$1,FALSE))),$I$1),$I$1)</f>
        <v>0</v>
      </c>
      <c r="X124" s="15">
        <f>IFERROR(IF(ISBLANK(Q124),IFERROR(VLOOKUP($E124,Sheet3!$H$2:$O$200,X$1,FALSE),IFERROR(VLOOKUP($F124,Sheet3!$H$2:$O$200,X$1,FALSE),VLOOKUP($G124,Sheet3!$H$2:$O$200,X$1,FALSE))),$I$1),$I$1)</f>
        <v>0</v>
      </c>
      <c r="Y124" s="15">
        <f>IFERROR(IF(ISBLANK(R124),IFERROR(VLOOKUP($E124,Sheet3!$H$2:$O$200,Y$1,FALSE),IFERROR(VLOOKUP($F124,Sheet3!$H$2:$O$200,Y$1,FALSE),VLOOKUP($G124,Sheet3!$H$2:$O$200,Y$1,FALSE))),$I$1),$I$1)</f>
        <v>0</v>
      </c>
      <c r="Z124" s="15">
        <f>IFERROR(IF(ISBLANK(S124),IFERROR(VLOOKUP($E124,Sheet3!$H$2:$O$200,Z$1,FALSE),IFERROR(VLOOKUP($F124,Sheet3!$H$2:$O$200,Z$1,FALSE),VLOOKUP($G124,Sheet3!$H$2:$O$200,Z$1,FALSE))),$I$1),$I$1)</f>
        <v>0</v>
      </c>
      <c r="AA124" s="15">
        <f>IFERROR(IF(ISBLANK(T124),IFERROR(VLOOKUP($E124,Sheet3!$H$2:$O$200,AA$1,FALSE),IFERROR(VLOOKUP($F124,Sheet3!$H$2:$O$200,AA$1,FALSE),VLOOKUP($G124,Sheet3!$H$2:$O$200,AA$1,FALSE))),$I$1),$I$1)</f>
        <v>0</v>
      </c>
      <c r="AB124" s="15">
        <f>IFERROR(IF(ISBLANK(U124),IFERROR(VLOOKUP($E124,Sheet3!$H$2:$O$200,AB$1,FALSE),IFERROR(VLOOKUP($F124,Sheet3!$H$2:$O$200,AB$1,FALSE),VLOOKUP($G124,Sheet3!$H$2:$O$200,AB$1,FALSE))),$I$1),$I$1)</f>
        <v>0</v>
      </c>
      <c r="AC124" s="15">
        <f>IFERROR(IF(ISBLANK(V124),IFERROR(VLOOKUP($E124,Sheet3!$H$2:$O$200,AC$1,FALSE),IFERROR(VLOOKUP($F124,Sheet3!$H$2:$O$200,AC$1,FALSE),VLOOKUP($G124,Sheet3!$H$2:$O$200,AC$1,FALSE))),$I$1),$I$1)</f>
        <v>0</v>
      </c>
      <c r="AD124" s="15">
        <f>IFERROR(IF(ISBLANK(W124),IFERROR(VLOOKUP($E124,Sheet3!$H$2:$O$200,AD$1,FALSE),IFERROR(VLOOKUP($F124,Sheet3!$H$2:$O$200,AD$1,FALSE),VLOOKUP($G124,Sheet3!$H$2:$O$200,AD$1,FALSE))),$I$1),$I$1)</f>
        <v>0</v>
      </c>
      <c r="AE124" s="15">
        <f>IFERROR(IF(ISBLANK(X124),IFERROR(VLOOKUP($F124,Sheet3!$H$2:$O$200,AE$1,FALSE),VLOOKUP($G124,Sheet3!$H$2:$O$200,AE$1,FALSE)),$I$1),$I$1)</f>
        <v>0</v>
      </c>
      <c r="AF124" s="15">
        <f>IFERROR(IF(ISBLANK(Y124),IFERROR(VLOOKUP($F124,Sheet3!$H$2:$O$200,AF$1,FALSE),VLOOKUP($G124,Sheet3!$H$2:$O$200,AF$1,FALSE)),$I$1),$I$1)</f>
        <v>0</v>
      </c>
      <c r="AG124" s="15">
        <f>IFERROR(IF(ISBLANK(Z124),IFERROR(VLOOKUP($F124,Sheet3!$H$2:$O$200,AG$1,FALSE),VLOOKUP($G124,Sheet3!$H$2:$O$200,AG$1,FALSE)),$I$1),$I$1)</f>
        <v>0</v>
      </c>
      <c r="AH124" s="15">
        <f>IFERROR(IF(ISBLANK(AA124),IFERROR(VLOOKUP($F124,Sheet3!$H$2:$O$200,AH$1,FALSE),VLOOKUP($G124,Sheet3!$H$2:$O$200,AH$1,FALSE)),$I$1),$I$1)</f>
        <v>0</v>
      </c>
      <c r="AI124" s="15">
        <f>IFERROR(IF(ISBLANK(AB124),IFERROR(VLOOKUP($F124,Sheet3!$H$2:$O$200,AI$1,FALSE),VLOOKUP($G124,Sheet3!$H$2:$O$200,AI$1,FALSE)),$I$1),$I$1)</f>
        <v>0</v>
      </c>
      <c r="AJ124" s="15">
        <f>IFERROR(IF(ISBLANK(AC124),IFERROR(VLOOKUP($F124,Sheet3!$H$2:$O$200,AJ$1,FALSE),VLOOKUP($G124,Sheet3!$H$2:$O$200,AJ$1,FALSE)),$I$1),$I$1)</f>
        <v>0</v>
      </c>
      <c r="AK124" s="15">
        <f>IFERROR(IF(ISBLANK(AD124),IFERROR(VLOOKUP($F124,Sheet3!$H$2:$O$200,AK$1,FALSE),VLOOKUP($G124,Sheet3!$H$2:$O$200,AK$1,FALSE)),$I$1),$I$1)</f>
        <v>0</v>
      </c>
      <c r="AL124" s="15">
        <f>IFERROR(IF(ISBLANK(AE124),VLOOKUP($G124,Sheet3!$H$2:$O$200,AL$1,FALSE),$I$1),$I$1)</f>
        <v>0</v>
      </c>
      <c r="AM124" s="15">
        <f>IFERROR(IF(ISBLANK(AF124),VLOOKUP($G124,Sheet3!$H$2:$O$200,AM$1,FALSE),$I$1),$I$1)</f>
        <v>0</v>
      </c>
      <c r="AN124" s="15">
        <f>IFERROR(IF(ISBLANK(AG124),VLOOKUP($G124,Sheet3!$H$2:$O$200,AN$1,FALSE),$I$1),$I$1)</f>
        <v>0</v>
      </c>
      <c r="AO124" s="15">
        <f>IFERROR(IF(ISBLANK(AH124),VLOOKUP($G124,Sheet3!$H$2:$O$200,AO$1,FALSE),$I$1),$I$1)</f>
        <v>0</v>
      </c>
      <c r="AP124" s="15">
        <f>IFERROR(IF(ISBLANK(AI124),VLOOKUP($G124,Sheet3!$H$2:$O$200,AP$1,FALSE),$I$1),$I$1)</f>
        <v>0</v>
      </c>
      <c r="AQ124" s="15">
        <f>IFERROR(IF(ISBLANK(AJ124),VLOOKUP($G124,Sheet3!$H$2:$O$200,AQ$1,FALSE),$I$1),$I$1)</f>
        <v>0</v>
      </c>
      <c r="AR124" s="15">
        <f>IFERROR(IF(ISBLANK(AK124),VLOOKUP($G124,Sheet3!$H$2:$O$200,AR$1,FALSE),$I$1),$I$1)</f>
        <v>0</v>
      </c>
      <c r="AS124" s="15">
        <f t="shared" ref="AS124:AY124" si="131">IFERROR(IF(ISBLANK(J124),IF(ISBLANK(Q124),IF(ISBLANK(X124),IF(ISBLANK(AE124),IF(ISBLANK(AL124),$BB$1,AL124),AE124),X124),Q124),J124),$BB$1)</f>
        <v>0</v>
      </c>
      <c r="AT124" s="15">
        <f t="shared" si="131"/>
        <v>0</v>
      </c>
      <c r="AU124" s="15" t="str">
        <f t="shared" si="131"/>
        <v>cranberry juice</v>
      </c>
      <c r="AV124" s="15">
        <f t="shared" si="131"/>
        <v>0</v>
      </c>
      <c r="AW124" s="15">
        <f t="shared" si="131"/>
        <v>0</v>
      </c>
      <c r="AX124" s="15">
        <f t="shared" si="131"/>
        <v>0</v>
      </c>
      <c r="AY124" s="15">
        <f t="shared" si="131"/>
        <v>0</v>
      </c>
      <c r="BA124" s="13">
        <f t="shared" si="1"/>
        <v>35</v>
      </c>
      <c r="BB124" s="15" t="b">
        <f t="shared" si="2"/>
        <v>0</v>
      </c>
    </row>
    <row r="125" spans="1:54" x14ac:dyDescent="0.2">
      <c r="A125" s="19" t="s">
        <v>275</v>
      </c>
      <c r="B125" s="19" t="s">
        <v>265</v>
      </c>
      <c r="C125" s="19"/>
      <c r="D125" s="19" t="s">
        <v>90</v>
      </c>
      <c r="E125" s="19" t="s">
        <v>86</v>
      </c>
      <c r="F125" s="19"/>
      <c r="G125" s="19"/>
      <c r="H125" s="19" t="s">
        <v>275</v>
      </c>
      <c r="I125" s="15">
        <v>2</v>
      </c>
      <c r="J125" s="15">
        <f>IFERROR(VLOOKUP($C125,Sheet3!$H$2:$O$200,J$1,FALSE),IFERROR(VLOOKUP($D125,Sheet3!$H$2:$O$200,J$1,FALSE),VLOOKUP($E125,Sheet3!$H$2:$O$200,J$1,FALSE)))</f>
        <v>0</v>
      </c>
      <c r="K125" s="15">
        <f>IFERROR(VLOOKUP($C125,Sheet3!$H$2:$O$200,K$1,FALSE),IFERROR(VLOOKUP($D125,Sheet3!$H$2:$O$200,K$1,FALSE),VLOOKUP($E125,Sheet3!$H$2:$O$200,K$1,FALSE)))</f>
        <v>0</v>
      </c>
      <c r="L125" s="15" t="str">
        <f>IFERROR(VLOOKUP($C125,Sheet3!$H$2:$O$200,L$1,FALSE),IFERROR(VLOOKUP($D125,Sheet3!$H$2:$O$200,L$1,FALSE),VLOOKUP($E125,Sheet3!$H$2:$O$200,L$1,FALSE)))</f>
        <v>lime juice</v>
      </c>
      <c r="M125" s="15">
        <f>IFERROR(VLOOKUP($C125,Sheet3!$H$2:$O$200,M$1,FALSE),IFERROR(VLOOKUP($D125,Sheet3!$H$2:$O$200,M$1,FALSE),VLOOKUP($E125,Sheet3!$H$2:$O$200,M$1,FALSE)))</f>
        <v>0</v>
      </c>
      <c r="N125" s="15">
        <f>IFERROR(VLOOKUP($C125,Sheet3!$H$2:$O$200,N$1,FALSE),IFERROR(VLOOKUP($D125,Sheet3!$H$2:$O$200,N$1,FALSE),VLOOKUP($E125,Sheet3!$H$2:$O$200,N$1,FALSE)))</f>
        <v>0</v>
      </c>
      <c r="O125" s="15">
        <f>IFERROR(VLOOKUP($C125,Sheet3!$H$2:$O$200,O$1,FALSE),IFERROR(VLOOKUP($D125,Sheet3!$H$2:$O$200,O$1,FALSE),VLOOKUP($E125,Sheet3!$H$2:$O$200,O$1,FALSE)))</f>
        <v>0</v>
      </c>
      <c r="P125" s="15">
        <f>IFERROR(VLOOKUP($C125,Sheet3!$H$2:$O$200,P$1,FALSE),IFERROR(VLOOKUP($D125,Sheet3!$H$2:$O$200,P$1,FALSE),VLOOKUP($E125,Sheet3!$H$2:$O$200,P$1,FALSE)))</f>
        <v>0</v>
      </c>
      <c r="Q125" s="15">
        <f>IFERROR(IF(ISBLANK(J125),IFERROR(VLOOKUP($D125,Sheet3!$H$2:$O$200,Q$1,FALSE),IFERROR(VLOOKUP($E125,Sheet3!$H$2:$O$200,Q$1,FALSE),VLOOKUP($F125,Sheet3!$H$2:$O$200,Q$1,FALSE))),$I$1),$I$1)</f>
        <v>0</v>
      </c>
      <c r="R125" s="15">
        <f>IFERROR(IF(ISBLANK(K125),IFERROR(VLOOKUP($D125,Sheet3!$H$2:$O$200,R$1,FALSE),IFERROR(VLOOKUP($E125,Sheet3!$H$2:$O$200,R$1,FALSE),VLOOKUP($F125,Sheet3!$H$2:$O$200,R$1,FALSE))),$I$1),$I$1)</f>
        <v>0</v>
      </c>
      <c r="S125" s="15">
        <f>IFERROR(IF(ISBLANK(L125),IFERROR(VLOOKUP($D125,Sheet3!$H$2:$O$200,S$1,FALSE),IFERROR(VLOOKUP($E125,Sheet3!$H$2:$O$200,S$1,FALSE),VLOOKUP($F125,Sheet3!$H$2:$O$200,S$1,FALSE))),$I$1),$I$1)</f>
        <v>0</v>
      </c>
      <c r="T125" s="15">
        <f>IFERROR(IF(ISBLANK(M125),IFERROR(VLOOKUP($D125,Sheet3!$H$2:$O$200,T$1,FALSE),IFERROR(VLOOKUP($E125,Sheet3!$H$2:$O$200,T$1,FALSE),VLOOKUP($F125,Sheet3!$H$2:$O$200,T$1,FALSE))),$I$1),$I$1)</f>
        <v>0</v>
      </c>
      <c r="U125" s="15">
        <f>IFERROR(IF(ISBLANK(N125),IFERROR(VLOOKUP($D125,Sheet3!$H$2:$O$200,U$1,FALSE),IFERROR(VLOOKUP($E125,Sheet3!$H$2:$O$200,U$1,FALSE),VLOOKUP($F125,Sheet3!$H$2:$O$200,U$1,FALSE))),$I$1),$I$1)</f>
        <v>0</v>
      </c>
      <c r="V125" s="15">
        <f>IFERROR(IF(ISBLANK(O125),IFERROR(VLOOKUP($D125,Sheet3!$H$2:$O$200,V$1,FALSE),IFERROR(VLOOKUP($E125,Sheet3!$H$2:$O$200,V$1,FALSE),VLOOKUP($F125,Sheet3!$H$2:$O$200,V$1,FALSE))),$I$1),$I$1)</f>
        <v>0</v>
      </c>
      <c r="W125" s="15">
        <f>IFERROR(IF(ISBLANK(P125),IFERROR(VLOOKUP($D125,Sheet3!$H$2:$O$200,W$1,FALSE),IFERROR(VLOOKUP($E125,Sheet3!$H$2:$O$200,W$1,FALSE),VLOOKUP($F125,Sheet3!$H$2:$O$200,W$1,FALSE))),$I$1),$I$1)</f>
        <v>0</v>
      </c>
      <c r="X125" s="15">
        <f>IFERROR(IF(ISBLANK(Q125),IFERROR(VLOOKUP($E125,Sheet3!$H$2:$O$200,X$1,FALSE),IFERROR(VLOOKUP($F125,Sheet3!$H$2:$O$200,X$1,FALSE),VLOOKUP($G125,Sheet3!$H$2:$O$200,X$1,FALSE))),$I$1),$I$1)</f>
        <v>0</v>
      </c>
      <c r="Y125" s="15">
        <f>IFERROR(IF(ISBLANK(R125),IFERROR(VLOOKUP($E125,Sheet3!$H$2:$O$200,Y$1,FALSE),IFERROR(VLOOKUP($F125,Sheet3!$H$2:$O$200,Y$1,FALSE),VLOOKUP($G125,Sheet3!$H$2:$O$200,Y$1,FALSE))),$I$1),$I$1)</f>
        <v>0</v>
      </c>
      <c r="Z125" s="15">
        <f>IFERROR(IF(ISBLANK(S125),IFERROR(VLOOKUP($E125,Sheet3!$H$2:$O$200,Z$1,FALSE),IFERROR(VLOOKUP($F125,Sheet3!$H$2:$O$200,Z$1,FALSE),VLOOKUP($G125,Sheet3!$H$2:$O$200,Z$1,FALSE))),$I$1),$I$1)</f>
        <v>0</v>
      </c>
      <c r="AA125" s="15">
        <f>IFERROR(IF(ISBLANK(T125),IFERROR(VLOOKUP($E125,Sheet3!$H$2:$O$200,AA$1,FALSE),IFERROR(VLOOKUP($F125,Sheet3!$H$2:$O$200,AA$1,FALSE),VLOOKUP($G125,Sheet3!$H$2:$O$200,AA$1,FALSE))),$I$1),$I$1)</f>
        <v>0</v>
      </c>
      <c r="AB125" s="15">
        <f>IFERROR(IF(ISBLANK(U125),IFERROR(VLOOKUP($E125,Sheet3!$H$2:$O$200,AB$1,FALSE),IFERROR(VLOOKUP($F125,Sheet3!$H$2:$O$200,AB$1,FALSE),VLOOKUP($G125,Sheet3!$H$2:$O$200,AB$1,FALSE))),$I$1),$I$1)</f>
        <v>0</v>
      </c>
      <c r="AC125" s="15">
        <f>IFERROR(IF(ISBLANK(V125),IFERROR(VLOOKUP($E125,Sheet3!$H$2:$O$200,AC$1,FALSE),IFERROR(VLOOKUP($F125,Sheet3!$H$2:$O$200,AC$1,FALSE),VLOOKUP($G125,Sheet3!$H$2:$O$200,AC$1,FALSE))),$I$1),$I$1)</f>
        <v>0</v>
      </c>
      <c r="AD125" s="15">
        <f>IFERROR(IF(ISBLANK(W125),IFERROR(VLOOKUP($E125,Sheet3!$H$2:$O$200,AD$1,FALSE),IFERROR(VLOOKUP($F125,Sheet3!$H$2:$O$200,AD$1,FALSE),VLOOKUP($G125,Sheet3!$H$2:$O$200,AD$1,FALSE))),$I$1),$I$1)</f>
        <v>0</v>
      </c>
      <c r="AE125" s="15">
        <f>IFERROR(IF(ISBLANK(X125),IFERROR(VLOOKUP($F125,Sheet3!$H$2:$O$200,AE$1,FALSE),VLOOKUP($G125,Sheet3!$H$2:$O$200,AE$1,FALSE)),$I$1),$I$1)</f>
        <v>0</v>
      </c>
      <c r="AF125" s="15">
        <f>IFERROR(IF(ISBLANK(Y125),IFERROR(VLOOKUP($F125,Sheet3!$H$2:$O$200,AF$1,FALSE),VLOOKUP($G125,Sheet3!$H$2:$O$200,AF$1,FALSE)),$I$1),$I$1)</f>
        <v>0</v>
      </c>
      <c r="AG125" s="15">
        <f>IFERROR(IF(ISBLANK(Z125),IFERROR(VLOOKUP($F125,Sheet3!$H$2:$O$200,AG$1,FALSE),VLOOKUP($G125,Sheet3!$H$2:$O$200,AG$1,FALSE)),$I$1),$I$1)</f>
        <v>0</v>
      </c>
      <c r="AH125" s="15">
        <f>IFERROR(IF(ISBLANK(AA125),IFERROR(VLOOKUP($F125,Sheet3!$H$2:$O$200,AH$1,FALSE),VLOOKUP($G125,Sheet3!$H$2:$O$200,AH$1,FALSE)),$I$1),$I$1)</f>
        <v>0</v>
      </c>
      <c r="AI125" s="15">
        <f>IFERROR(IF(ISBLANK(AB125),IFERROR(VLOOKUP($F125,Sheet3!$H$2:$O$200,AI$1,FALSE),VLOOKUP($G125,Sheet3!$H$2:$O$200,AI$1,FALSE)),$I$1),$I$1)</f>
        <v>0</v>
      </c>
      <c r="AJ125" s="15">
        <f>IFERROR(IF(ISBLANK(AC125),IFERROR(VLOOKUP($F125,Sheet3!$H$2:$O$200,AJ$1,FALSE),VLOOKUP($G125,Sheet3!$H$2:$O$200,AJ$1,FALSE)),$I$1),$I$1)</f>
        <v>0</v>
      </c>
      <c r="AK125" s="15">
        <f>IFERROR(IF(ISBLANK(AD125),IFERROR(VLOOKUP($F125,Sheet3!$H$2:$O$200,AK$1,FALSE),VLOOKUP($G125,Sheet3!$H$2:$O$200,AK$1,FALSE)),$I$1),$I$1)</f>
        <v>0</v>
      </c>
      <c r="AL125" s="15">
        <f>IFERROR(IF(ISBLANK(AE125),VLOOKUP($G125,Sheet3!$H$2:$O$200,AL$1,FALSE),$I$1),$I$1)</f>
        <v>0</v>
      </c>
      <c r="AM125" s="15">
        <f>IFERROR(IF(ISBLANK(AF125),VLOOKUP($G125,Sheet3!$H$2:$O$200,AM$1,FALSE),$I$1),$I$1)</f>
        <v>0</v>
      </c>
      <c r="AN125" s="15">
        <f>IFERROR(IF(ISBLANK(AG125),VLOOKUP($G125,Sheet3!$H$2:$O$200,AN$1,FALSE),$I$1),$I$1)</f>
        <v>0</v>
      </c>
      <c r="AO125" s="15">
        <f>IFERROR(IF(ISBLANK(AH125),VLOOKUP($G125,Sheet3!$H$2:$O$200,AO$1,FALSE),$I$1),$I$1)</f>
        <v>0</v>
      </c>
      <c r="AP125" s="15">
        <f>IFERROR(IF(ISBLANK(AI125),VLOOKUP($G125,Sheet3!$H$2:$O$200,AP$1,FALSE),$I$1),$I$1)</f>
        <v>0</v>
      </c>
      <c r="AQ125" s="15">
        <f>IFERROR(IF(ISBLANK(AJ125),VLOOKUP($G125,Sheet3!$H$2:$O$200,AQ$1,FALSE),$I$1),$I$1)</f>
        <v>0</v>
      </c>
      <c r="AR125" s="15">
        <f>IFERROR(IF(ISBLANK(AK125),VLOOKUP($G125,Sheet3!$H$2:$O$200,AR$1,FALSE),$I$1),$I$1)</f>
        <v>0</v>
      </c>
      <c r="AS125" s="15">
        <f t="shared" ref="AS125:AY125" si="132">IFERROR(IF(ISBLANK(J125),IF(ISBLANK(Q125),IF(ISBLANK(X125),IF(ISBLANK(AE125),IF(ISBLANK(AL125),$BB$1,AL125),AE125),X125),Q125),J125),$BB$1)</f>
        <v>0</v>
      </c>
      <c r="AT125" s="15">
        <f t="shared" si="132"/>
        <v>0</v>
      </c>
      <c r="AU125" s="15" t="str">
        <f t="shared" si="132"/>
        <v>lime juice</v>
      </c>
      <c r="AV125" s="15">
        <f t="shared" si="132"/>
        <v>0</v>
      </c>
      <c r="AW125" s="15">
        <f t="shared" si="132"/>
        <v>0</v>
      </c>
      <c r="AX125" s="15">
        <f t="shared" si="132"/>
        <v>0</v>
      </c>
      <c r="AY125" s="15">
        <f t="shared" si="132"/>
        <v>0</v>
      </c>
      <c r="BA125" s="13">
        <f t="shared" si="1"/>
        <v>35</v>
      </c>
      <c r="BB125" s="15" t="b">
        <f t="shared" si="2"/>
        <v>0</v>
      </c>
    </row>
    <row r="126" spans="1:54" x14ac:dyDescent="0.2">
      <c r="A126" s="19" t="s">
        <v>276</v>
      </c>
      <c r="B126" s="19" t="s">
        <v>265</v>
      </c>
      <c r="C126" s="19"/>
      <c r="D126" s="18" t="s">
        <v>90</v>
      </c>
      <c r="E126" s="19" t="s">
        <v>55</v>
      </c>
      <c r="F126" s="18" t="s">
        <v>78</v>
      </c>
      <c r="G126" s="19"/>
      <c r="H126" s="19" t="s">
        <v>276</v>
      </c>
      <c r="I126" s="15">
        <v>3</v>
      </c>
      <c r="J126" s="15">
        <f>IFERROR(VLOOKUP($C126,Sheet3!$H$2:$O$200,J$1,FALSE),IFERROR(VLOOKUP($D126,Sheet3!$H$2:$O$200,J$1,FALSE),VLOOKUP($E126,Sheet3!$H$2:$O$200,J$1,FALSE)))</f>
        <v>0</v>
      </c>
      <c r="K126" s="15">
        <f>IFERROR(VLOOKUP($C126,Sheet3!$H$2:$O$200,K$1,FALSE),IFERROR(VLOOKUP($D126,Sheet3!$H$2:$O$200,K$1,FALSE),VLOOKUP($E126,Sheet3!$H$2:$O$200,K$1,FALSE)))</f>
        <v>0</v>
      </c>
      <c r="L126" s="15" t="str">
        <f>IFERROR(VLOOKUP($C126,Sheet3!$H$2:$O$200,L$1,FALSE),IFERROR(VLOOKUP($D126,Sheet3!$H$2:$O$200,L$1,FALSE),VLOOKUP($E126,Sheet3!$H$2:$O$200,L$1,FALSE)))</f>
        <v>lime juice</v>
      </c>
      <c r="M126" s="15">
        <f>IFERROR(VLOOKUP($C126,Sheet3!$H$2:$O$200,M$1,FALSE),IFERROR(VLOOKUP($D126,Sheet3!$H$2:$O$200,M$1,FALSE),VLOOKUP($E126,Sheet3!$H$2:$O$200,M$1,FALSE)))</f>
        <v>0</v>
      </c>
      <c r="N126" s="15">
        <f>IFERROR(VLOOKUP($C126,Sheet3!$H$2:$O$200,N$1,FALSE),IFERROR(VLOOKUP($D126,Sheet3!$H$2:$O$200,N$1,FALSE),VLOOKUP($E126,Sheet3!$H$2:$O$200,N$1,FALSE)))</f>
        <v>0</v>
      </c>
      <c r="O126" s="15">
        <f>IFERROR(VLOOKUP($C126,Sheet3!$H$2:$O$200,O$1,FALSE),IFERROR(VLOOKUP($D126,Sheet3!$H$2:$O$200,O$1,FALSE),VLOOKUP($E126,Sheet3!$H$2:$O$200,O$1,FALSE)))</f>
        <v>0</v>
      </c>
      <c r="P126" s="15">
        <f>IFERROR(VLOOKUP($C126,Sheet3!$H$2:$O$200,P$1,FALSE),IFERROR(VLOOKUP($D126,Sheet3!$H$2:$O$200,P$1,FALSE),VLOOKUP($E126,Sheet3!$H$2:$O$200,P$1,FALSE)))</f>
        <v>0</v>
      </c>
      <c r="Q126" s="15">
        <f>IFERROR(IF(ISBLANK(J126),IFERROR(VLOOKUP($D126,Sheet3!$H$2:$O$200,Q$1,FALSE),IFERROR(VLOOKUP($E126,Sheet3!$H$2:$O$200,Q$1,FALSE),VLOOKUP($F126,Sheet3!$H$2:$O$200,Q$1,FALSE))),$I$1),$I$1)</f>
        <v>0</v>
      </c>
      <c r="R126" s="15">
        <f>IFERROR(IF(ISBLANK(K126),IFERROR(VLOOKUP($D126,Sheet3!$H$2:$O$200,R$1,FALSE),IFERROR(VLOOKUP($E126,Sheet3!$H$2:$O$200,R$1,FALSE),VLOOKUP($F126,Sheet3!$H$2:$O$200,R$1,FALSE))),$I$1),$I$1)</f>
        <v>0</v>
      </c>
      <c r="S126" s="15">
        <f>IFERROR(IF(ISBLANK(L126),IFERROR(VLOOKUP($D126,Sheet3!$H$2:$O$200,S$1,FALSE),IFERROR(VLOOKUP($E126,Sheet3!$H$2:$O$200,S$1,FALSE),VLOOKUP($F126,Sheet3!$H$2:$O$200,S$1,FALSE))),$I$1),$I$1)</f>
        <v>0</v>
      </c>
      <c r="T126" s="15">
        <f>IFERROR(IF(ISBLANK(M126),IFERROR(VLOOKUP($D126,Sheet3!$H$2:$O$200,T$1,FALSE),IFERROR(VLOOKUP($E126,Sheet3!$H$2:$O$200,T$1,FALSE),VLOOKUP($F126,Sheet3!$H$2:$O$200,T$1,FALSE))),$I$1),$I$1)</f>
        <v>0</v>
      </c>
      <c r="U126" s="15">
        <f>IFERROR(IF(ISBLANK(N126),IFERROR(VLOOKUP($D126,Sheet3!$H$2:$O$200,U$1,FALSE),IFERROR(VLOOKUP($E126,Sheet3!$H$2:$O$200,U$1,FALSE),VLOOKUP($F126,Sheet3!$H$2:$O$200,U$1,FALSE))),$I$1),$I$1)</f>
        <v>0</v>
      </c>
      <c r="V126" s="15">
        <f>IFERROR(IF(ISBLANK(O126),IFERROR(VLOOKUP($D126,Sheet3!$H$2:$O$200,V$1,FALSE),IFERROR(VLOOKUP($E126,Sheet3!$H$2:$O$200,V$1,FALSE),VLOOKUP($F126,Sheet3!$H$2:$O$200,V$1,FALSE))),$I$1),$I$1)</f>
        <v>0</v>
      </c>
      <c r="W126" s="15">
        <f>IFERROR(IF(ISBLANK(P126),IFERROR(VLOOKUP($D126,Sheet3!$H$2:$O$200,W$1,FALSE),IFERROR(VLOOKUP($E126,Sheet3!$H$2:$O$200,W$1,FALSE),VLOOKUP($F126,Sheet3!$H$2:$O$200,W$1,FALSE))),$I$1),$I$1)</f>
        <v>0</v>
      </c>
      <c r="X126" s="15">
        <f>IFERROR(IF(ISBLANK(Q126),IFERROR(VLOOKUP($E126,Sheet3!$H$2:$O$200,X$1,FALSE),IFERROR(VLOOKUP($F126,Sheet3!$H$2:$O$200,X$1,FALSE),VLOOKUP($G126,Sheet3!$H$2:$O$200,X$1,FALSE))),$I$1),$I$1)</f>
        <v>0</v>
      </c>
      <c r="Y126" s="15">
        <f>IFERROR(IF(ISBLANK(R126),IFERROR(VLOOKUP($E126,Sheet3!$H$2:$O$200,Y$1,FALSE),IFERROR(VLOOKUP($F126,Sheet3!$H$2:$O$200,Y$1,FALSE),VLOOKUP($G126,Sheet3!$H$2:$O$200,Y$1,FALSE))),$I$1),$I$1)</f>
        <v>0</v>
      </c>
      <c r="Z126" s="15">
        <f>IFERROR(IF(ISBLANK(S126),IFERROR(VLOOKUP($E126,Sheet3!$H$2:$O$200,Z$1,FALSE),IFERROR(VLOOKUP($F126,Sheet3!$H$2:$O$200,Z$1,FALSE),VLOOKUP($G126,Sheet3!$H$2:$O$200,Z$1,FALSE))),$I$1),$I$1)</f>
        <v>0</v>
      </c>
      <c r="AA126" s="15">
        <f>IFERROR(IF(ISBLANK(T126),IFERROR(VLOOKUP($E126,Sheet3!$H$2:$O$200,AA$1,FALSE),IFERROR(VLOOKUP($F126,Sheet3!$H$2:$O$200,AA$1,FALSE),VLOOKUP($G126,Sheet3!$H$2:$O$200,AA$1,FALSE))),$I$1),$I$1)</f>
        <v>0</v>
      </c>
      <c r="AB126" s="15">
        <f>IFERROR(IF(ISBLANK(U126),IFERROR(VLOOKUP($E126,Sheet3!$H$2:$O$200,AB$1,FALSE),IFERROR(VLOOKUP($F126,Sheet3!$H$2:$O$200,AB$1,FALSE),VLOOKUP($G126,Sheet3!$H$2:$O$200,AB$1,FALSE))),$I$1),$I$1)</f>
        <v>0</v>
      </c>
      <c r="AC126" s="15">
        <f>IFERROR(IF(ISBLANK(V126),IFERROR(VLOOKUP($E126,Sheet3!$H$2:$O$200,AC$1,FALSE),IFERROR(VLOOKUP($F126,Sheet3!$H$2:$O$200,AC$1,FALSE),VLOOKUP($G126,Sheet3!$H$2:$O$200,AC$1,FALSE))),$I$1),$I$1)</f>
        <v>0</v>
      </c>
      <c r="AD126" s="15">
        <f>IFERROR(IF(ISBLANK(W126),IFERROR(VLOOKUP($E126,Sheet3!$H$2:$O$200,AD$1,FALSE),IFERROR(VLOOKUP($F126,Sheet3!$H$2:$O$200,AD$1,FALSE),VLOOKUP($G126,Sheet3!$H$2:$O$200,AD$1,FALSE))),$I$1),$I$1)</f>
        <v>0</v>
      </c>
      <c r="AE126" s="15">
        <f>IFERROR(IF(ISBLANK(X126),IFERROR(VLOOKUP($F126,Sheet3!$H$2:$O$200,AE$1,FALSE),VLOOKUP($G126,Sheet3!$H$2:$O$200,AE$1,FALSE)),$I$1),$I$1)</f>
        <v>0</v>
      </c>
      <c r="AF126" s="15">
        <f>IFERROR(IF(ISBLANK(Y126),IFERROR(VLOOKUP($F126,Sheet3!$H$2:$O$200,AF$1,FALSE),VLOOKUP($G126,Sheet3!$H$2:$O$200,AF$1,FALSE)),$I$1),$I$1)</f>
        <v>0</v>
      </c>
      <c r="AG126" s="15">
        <f>IFERROR(IF(ISBLANK(Z126),IFERROR(VLOOKUP($F126,Sheet3!$H$2:$O$200,AG$1,FALSE),VLOOKUP($G126,Sheet3!$H$2:$O$200,AG$1,FALSE)),$I$1),$I$1)</f>
        <v>0</v>
      </c>
      <c r="AH126" s="15">
        <f>IFERROR(IF(ISBLANK(AA126),IFERROR(VLOOKUP($F126,Sheet3!$H$2:$O$200,AH$1,FALSE),VLOOKUP($G126,Sheet3!$H$2:$O$200,AH$1,FALSE)),$I$1),$I$1)</f>
        <v>0</v>
      </c>
      <c r="AI126" s="15">
        <f>IFERROR(IF(ISBLANK(AB126),IFERROR(VLOOKUP($F126,Sheet3!$H$2:$O$200,AI$1,FALSE),VLOOKUP($G126,Sheet3!$H$2:$O$200,AI$1,FALSE)),$I$1),$I$1)</f>
        <v>0</v>
      </c>
      <c r="AJ126" s="15">
        <f>IFERROR(IF(ISBLANK(AC126),IFERROR(VLOOKUP($F126,Sheet3!$H$2:$O$200,AJ$1,FALSE),VLOOKUP($G126,Sheet3!$H$2:$O$200,AJ$1,FALSE)),$I$1),$I$1)</f>
        <v>0</v>
      </c>
      <c r="AK126" s="15">
        <f>IFERROR(IF(ISBLANK(AD126),IFERROR(VLOOKUP($F126,Sheet3!$H$2:$O$200,AK$1,FALSE),VLOOKUP($G126,Sheet3!$H$2:$O$200,AK$1,FALSE)),$I$1),$I$1)</f>
        <v>0</v>
      </c>
      <c r="AL126" s="15">
        <f>IFERROR(IF(ISBLANK(AE126),VLOOKUP($G126,Sheet3!$H$2:$O$200,AL$1,FALSE),$I$1),$I$1)</f>
        <v>0</v>
      </c>
      <c r="AM126" s="15">
        <f>IFERROR(IF(ISBLANK(AF126),VLOOKUP($G126,Sheet3!$H$2:$O$200,AM$1,FALSE),$I$1),$I$1)</f>
        <v>0</v>
      </c>
      <c r="AN126" s="15">
        <f>IFERROR(IF(ISBLANK(AG126),VLOOKUP($G126,Sheet3!$H$2:$O$200,AN$1,FALSE),$I$1),$I$1)</f>
        <v>0</v>
      </c>
      <c r="AO126" s="15">
        <f>IFERROR(IF(ISBLANK(AH126),VLOOKUP($G126,Sheet3!$H$2:$O$200,AO$1,FALSE),$I$1),$I$1)</f>
        <v>0</v>
      </c>
      <c r="AP126" s="15">
        <f>IFERROR(IF(ISBLANK(AI126),VLOOKUP($G126,Sheet3!$H$2:$O$200,AP$1,FALSE),$I$1),$I$1)</f>
        <v>0</v>
      </c>
      <c r="AQ126" s="15">
        <f>IFERROR(IF(ISBLANK(AJ126),VLOOKUP($G126,Sheet3!$H$2:$O$200,AQ$1,FALSE),$I$1),$I$1)</f>
        <v>0</v>
      </c>
      <c r="AR126" s="15">
        <f>IFERROR(IF(ISBLANK(AK126),VLOOKUP($G126,Sheet3!$H$2:$O$200,AR$1,FALSE),$I$1),$I$1)</f>
        <v>0</v>
      </c>
      <c r="AS126" s="15">
        <f t="shared" ref="AS126:AY126" si="133">IFERROR(IF(ISBLANK(J126),IF(ISBLANK(Q126),IF(ISBLANK(X126),IF(ISBLANK(AE126),IF(ISBLANK(AL126),$BB$1,AL126),AE126),X126),Q126),J126),$BB$1)</f>
        <v>0</v>
      </c>
      <c r="AT126" s="15">
        <f t="shared" si="133"/>
        <v>0</v>
      </c>
      <c r="AU126" s="15" t="str">
        <f t="shared" si="133"/>
        <v>lime juice</v>
      </c>
      <c r="AV126" s="15">
        <f t="shared" si="133"/>
        <v>0</v>
      </c>
      <c r="AW126" s="15">
        <f t="shared" si="133"/>
        <v>0</v>
      </c>
      <c r="AX126" s="15">
        <f t="shared" si="133"/>
        <v>0</v>
      </c>
      <c r="AY126" s="15">
        <f t="shared" si="133"/>
        <v>0</v>
      </c>
      <c r="BA126" s="13">
        <f t="shared" si="1"/>
        <v>35</v>
      </c>
      <c r="BB126" s="15" t="b">
        <f t="shared" si="2"/>
        <v>0</v>
      </c>
    </row>
    <row r="127" spans="1:54" x14ac:dyDescent="0.2">
      <c r="A127" s="19" t="s">
        <v>277</v>
      </c>
      <c r="B127" s="19" t="s">
        <v>265</v>
      </c>
      <c r="C127" s="19"/>
      <c r="D127" s="18" t="s">
        <v>90</v>
      </c>
      <c r="E127" s="19" t="s">
        <v>55</v>
      </c>
      <c r="F127" s="18" t="s">
        <v>78</v>
      </c>
      <c r="G127" s="18" t="s">
        <v>66</v>
      </c>
      <c r="H127" s="19" t="s">
        <v>277</v>
      </c>
      <c r="I127" s="15">
        <v>4</v>
      </c>
      <c r="J127" s="15">
        <f>IFERROR(VLOOKUP($C127,Sheet3!$H$2:$O$200,J$1,FALSE),IFERROR(VLOOKUP($D127,Sheet3!$H$2:$O$200,J$1,FALSE),VLOOKUP($E127,Sheet3!$H$2:$O$200,J$1,FALSE)))</f>
        <v>0</v>
      </c>
      <c r="K127" s="15">
        <f>IFERROR(VLOOKUP($C127,Sheet3!$H$2:$O$200,K$1,FALSE),IFERROR(VLOOKUP($D127,Sheet3!$H$2:$O$200,K$1,FALSE),VLOOKUP($E127,Sheet3!$H$2:$O$200,K$1,FALSE)))</f>
        <v>0</v>
      </c>
      <c r="L127" s="15" t="str">
        <f>IFERROR(VLOOKUP($C127,Sheet3!$H$2:$O$200,L$1,FALSE),IFERROR(VLOOKUP($D127,Sheet3!$H$2:$O$200,L$1,FALSE),VLOOKUP($E127,Sheet3!$H$2:$O$200,L$1,FALSE)))</f>
        <v>lime juice</v>
      </c>
      <c r="M127" s="15">
        <f>IFERROR(VLOOKUP($C127,Sheet3!$H$2:$O$200,M$1,FALSE),IFERROR(VLOOKUP($D127,Sheet3!$H$2:$O$200,M$1,FALSE),VLOOKUP($E127,Sheet3!$H$2:$O$200,M$1,FALSE)))</f>
        <v>0</v>
      </c>
      <c r="N127" s="15">
        <f>IFERROR(VLOOKUP($C127,Sheet3!$H$2:$O$200,N$1,FALSE),IFERROR(VLOOKUP($D127,Sheet3!$H$2:$O$200,N$1,FALSE),VLOOKUP($E127,Sheet3!$H$2:$O$200,N$1,FALSE)))</f>
        <v>0</v>
      </c>
      <c r="O127" s="15">
        <f>IFERROR(VLOOKUP($C127,Sheet3!$H$2:$O$200,O$1,FALSE),IFERROR(VLOOKUP($D127,Sheet3!$H$2:$O$200,O$1,FALSE),VLOOKUP($E127,Sheet3!$H$2:$O$200,O$1,FALSE)))</f>
        <v>0</v>
      </c>
      <c r="P127" s="15">
        <f>IFERROR(VLOOKUP($C127,Sheet3!$H$2:$O$200,P$1,FALSE),IFERROR(VLOOKUP($D127,Sheet3!$H$2:$O$200,P$1,FALSE),VLOOKUP($E127,Sheet3!$H$2:$O$200,P$1,FALSE)))</f>
        <v>0</v>
      </c>
      <c r="Q127" s="15">
        <f>IFERROR(IF(ISBLANK(J127),IFERROR(VLOOKUP($D127,Sheet3!$H$2:$O$200,Q$1,FALSE),IFERROR(VLOOKUP($E127,Sheet3!$H$2:$O$200,Q$1,FALSE),VLOOKUP($F127,Sheet3!$H$2:$O$200,Q$1,FALSE))),$I$1),$I$1)</f>
        <v>0</v>
      </c>
      <c r="R127" s="15">
        <f>IFERROR(IF(ISBLANK(K127),IFERROR(VLOOKUP($D127,Sheet3!$H$2:$O$200,R$1,FALSE),IFERROR(VLOOKUP($E127,Sheet3!$H$2:$O$200,R$1,FALSE),VLOOKUP($F127,Sheet3!$H$2:$O$200,R$1,FALSE))),$I$1),$I$1)</f>
        <v>0</v>
      </c>
      <c r="S127" s="15">
        <f>IFERROR(IF(ISBLANK(L127),IFERROR(VLOOKUP($D127,Sheet3!$H$2:$O$200,S$1,FALSE),IFERROR(VLOOKUP($E127,Sheet3!$H$2:$O$200,S$1,FALSE),VLOOKUP($F127,Sheet3!$H$2:$O$200,S$1,FALSE))),$I$1),$I$1)</f>
        <v>0</v>
      </c>
      <c r="T127" s="15">
        <f>IFERROR(IF(ISBLANK(M127),IFERROR(VLOOKUP($D127,Sheet3!$H$2:$O$200,T$1,FALSE),IFERROR(VLOOKUP($E127,Sheet3!$H$2:$O$200,T$1,FALSE),VLOOKUP($F127,Sheet3!$H$2:$O$200,T$1,FALSE))),$I$1),$I$1)</f>
        <v>0</v>
      </c>
      <c r="U127" s="15">
        <f>IFERROR(IF(ISBLANK(N127),IFERROR(VLOOKUP($D127,Sheet3!$H$2:$O$200,U$1,FALSE),IFERROR(VLOOKUP($E127,Sheet3!$H$2:$O$200,U$1,FALSE),VLOOKUP($F127,Sheet3!$H$2:$O$200,U$1,FALSE))),$I$1),$I$1)</f>
        <v>0</v>
      </c>
      <c r="V127" s="15">
        <f>IFERROR(IF(ISBLANK(O127),IFERROR(VLOOKUP($D127,Sheet3!$H$2:$O$200,V$1,FALSE),IFERROR(VLOOKUP($E127,Sheet3!$H$2:$O$200,V$1,FALSE),VLOOKUP($F127,Sheet3!$H$2:$O$200,V$1,FALSE))),$I$1),$I$1)</f>
        <v>0</v>
      </c>
      <c r="W127" s="15">
        <f>IFERROR(IF(ISBLANK(P127),IFERROR(VLOOKUP($D127,Sheet3!$H$2:$O$200,W$1,FALSE),IFERROR(VLOOKUP($E127,Sheet3!$H$2:$O$200,W$1,FALSE),VLOOKUP($F127,Sheet3!$H$2:$O$200,W$1,FALSE))),$I$1),$I$1)</f>
        <v>0</v>
      </c>
      <c r="X127" s="15">
        <f>IFERROR(IF(ISBLANK(Q127),IFERROR(VLOOKUP($E127,Sheet3!$H$2:$O$200,X$1,FALSE),IFERROR(VLOOKUP($F127,Sheet3!$H$2:$O$200,X$1,FALSE),VLOOKUP($G127,Sheet3!$H$2:$O$200,X$1,FALSE))),$I$1),$I$1)</f>
        <v>0</v>
      </c>
      <c r="Y127" s="15">
        <f>IFERROR(IF(ISBLANK(R127),IFERROR(VLOOKUP($E127,Sheet3!$H$2:$O$200,Y$1,FALSE),IFERROR(VLOOKUP($F127,Sheet3!$H$2:$O$200,Y$1,FALSE),VLOOKUP($G127,Sheet3!$H$2:$O$200,Y$1,FALSE))),$I$1),$I$1)</f>
        <v>0</v>
      </c>
      <c r="Z127" s="15">
        <f>IFERROR(IF(ISBLANK(S127),IFERROR(VLOOKUP($E127,Sheet3!$H$2:$O$200,Z$1,FALSE),IFERROR(VLOOKUP($F127,Sheet3!$H$2:$O$200,Z$1,FALSE),VLOOKUP($G127,Sheet3!$H$2:$O$200,Z$1,FALSE))),$I$1),$I$1)</f>
        <v>0</v>
      </c>
      <c r="AA127" s="15">
        <f>IFERROR(IF(ISBLANK(T127),IFERROR(VLOOKUP($E127,Sheet3!$H$2:$O$200,AA$1,FALSE),IFERROR(VLOOKUP($F127,Sheet3!$H$2:$O$200,AA$1,FALSE),VLOOKUP($G127,Sheet3!$H$2:$O$200,AA$1,FALSE))),$I$1),$I$1)</f>
        <v>0</v>
      </c>
      <c r="AB127" s="15">
        <f>IFERROR(IF(ISBLANK(U127),IFERROR(VLOOKUP($E127,Sheet3!$H$2:$O$200,AB$1,FALSE),IFERROR(VLOOKUP($F127,Sheet3!$H$2:$O$200,AB$1,FALSE),VLOOKUP($G127,Sheet3!$H$2:$O$200,AB$1,FALSE))),$I$1),$I$1)</f>
        <v>0</v>
      </c>
      <c r="AC127" s="15">
        <f>IFERROR(IF(ISBLANK(V127),IFERROR(VLOOKUP($E127,Sheet3!$H$2:$O$200,AC$1,FALSE),IFERROR(VLOOKUP($F127,Sheet3!$H$2:$O$200,AC$1,FALSE),VLOOKUP($G127,Sheet3!$H$2:$O$200,AC$1,FALSE))),$I$1),$I$1)</f>
        <v>0</v>
      </c>
      <c r="AD127" s="15">
        <f>IFERROR(IF(ISBLANK(W127),IFERROR(VLOOKUP($E127,Sheet3!$H$2:$O$200,AD$1,FALSE),IFERROR(VLOOKUP($F127,Sheet3!$H$2:$O$200,AD$1,FALSE),VLOOKUP($G127,Sheet3!$H$2:$O$200,AD$1,FALSE))),$I$1),$I$1)</f>
        <v>0</v>
      </c>
      <c r="AE127" s="15">
        <f>IFERROR(IF(ISBLANK(X127),IFERROR(VLOOKUP($F127,Sheet3!$H$2:$O$200,AE$1,FALSE),VLOOKUP($G127,Sheet3!$H$2:$O$200,AE$1,FALSE)),$I$1),$I$1)</f>
        <v>0</v>
      </c>
      <c r="AF127" s="15">
        <f>IFERROR(IF(ISBLANK(Y127),IFERROR(VLOOKUP($F127,Sheet3!$H$2:$O$200,AF$1,FALSE),VLOOKUP($G127,Sheet3!$H$2:$O$200,AF$1,FALSE)),$I$1),$I$1)</f>
        <v>0</v>
      </c>
      <c r="AG127" s="15">
        <f>IFERROR(IF(ISBLANK(Z127),IFERROR(VLOOKUP($F127,Sheet3!$H$2:$O$200,AG$1,FALSE),VLOOKUP($G127,Sheet3!$H$2:$O$200,AG$1,FALSE)),$I$1),$I$1)</f>
        <v>0</v>
      </c>
      <c r="AH127" s="15">
        <f>IFERROR(IF(ISBLANK(AA127),IFERROR(VLOOKUP($F127,Sheet3!$H$2:$O$200,AH$1,FALSE),VLOOKUP($G127,Sheet3!$H$2:$O$200,AH$1,FALSE)),$I$1),$I$1)</f>
        <v>0</v>
      </c>
      <c r="AI127" s="15">
        <f>IFERROR(IF(ISBLANK(AB127),IFERROR(VLOOKUP($F127,Sheet3!$H$2:$O$200,AI$1,FALSE),VLOOKUP($G127,Sheet3!$H$2:$O$200,AI$1,FALSE)),$I$1),$I$1)</f>
        <v>0</v>
      </c>
      <c r="AJ127" s="15">
        <f>IFERROR(IF(ISBLANK(AC127),IFERROR(VLOOKUP($F127,Sheet3!$H$2:$O$200,AJ$1,FALSE),VLOOKUP($G127,Sheet3!$H$2:$O$200,AJ$1,FALSE)),$I$1),$I$1)</f>
        <v>0</v>
      </c>
      <c r="AK127" s="15">
        <f>IFERROR(IF(ISBLANK(AD127),IFERROR(VLOOKUP($F127,Sheet3!$H$2:$O$200,AK$1,FALSE),VLOOKUP($G127,Sheet3!$H$2:$O$200,AK$1,FALSE)),$I$1),$I$1)</f>
        <v>0</v>
      </c>
      <c r="AL127" s="15">
        <f>IFERROR(IF(ISBLANK(AE127),VLOOKUP($G127,Sheet3!$H$2:$O$200,AL$1,FALSE),$I$1),$I$1)</f>
        <v>0</v>
      </c>
      <c r="AM127" s="15">
        <f>IFERROR(IF(ISBLANK(AF127),VLOOKUP($G127,Sheet3!$H$2:$O$200,AM$1,FALSE),$I$1),$I$1)</f>
        <v>0</v>
      </c>
      <c r="AN127" s="15">
        <f>IFERROR(IF(ISBLANK(AG127),VLOOKUP($G127,Sheet3!$H$2:$O$200,AN$1,FALSE),$I$1),$I$1)</f>
        <v>0</v>
      </c>
      <c r="AO127" s="15">
        <f>IFERROR(IF(ISBLANK(AH127),VLOOKUP($G127,Sheet3!$H$2:$O$200,AO$1,FALSE),$I$1),$I$1)</f>
        <v>0</v>
      </c>
      <c r="AP127" s="15">
        <f>IFERROR(IF(ISBLANK(AI127),VLOOKUP($G127,Sheet3!$H$2:$O$200,AP$1,FALSE),$I$1),$I$1)</f>
        <v>0</v>
      </c>
      <c r="AQ127" s="15">
        <f>IFERROR(IF(ISBLANK(AJ127),VLOOKUP($G127,Sheet3!$H$2:$O$200,AQ$1,FALSE),$I$1),$I$1)</f>
        <v>0</v>
      </c>
      <c r="AR127" s="15">
        <f>IFERROR(IF(ISBLANK(AK127),VLOOKUP($G127,Sheet3!$H$2:$O$200,AR$1,FALSE),$I$1),$I$1)</f>
        <v>0</v>
      </c>
      <c r="AS127" s="15">
        <f t="shared" ref="AS127:AY127" si="134">IFERROR(IF(ISBLANK(J127),IF(ISBLANK(Q127),IF(ISBLANK(X127),IF(ISBLANK(AE127),IF(ISBLANK(AL127),$BB$1,AL127),AE127),X127),Q127),J127),$BB$1)</f>
        <v>0</v>
      </c>
      <c r="AT127" s="15">
        <f t="shared" si="134"/>
        <v>0</v>
      </c>
      <c r="AU127" s="15" t="str">
        <f t="shared" si="134"/>
        <v>lime juice</v>
      </c>
      <c r="AV127" s="15">
        <f t="shared" si="134"/>
        <v>0</v>
      </c>
      <c r="AW127" s="15">
        <f t="shared" si="134"/>
        <v>0</v>
      </c>
      <c r="AX127" s="15">
        <f t="shared" si="134"/>
        <v>0</v>
      </c>
      <c r="AY127" s="15">
        <f t="shared" si="134"/>
        <v>0</v>
      </c>
      <c r="BA127" s="13">
        <f t="shared" si="1"/>
        <v>35</v>
      </c>
      <c r="BB127" s="15" t="b">
        <f t="shared" si="2"/>
        <v>0</v>
      </c>
    </row>
    <row r="128" spans="1:54" x14ac:dyDescent="0.2">
      <c r="A128" s="19" t="s">
        <v>278</v>
      </c>
      <c r="B128" s="19" t="s">
        <v>265</v>
      </c>
      <c r="C128" s="19"/>
      <c r="D128" s="19" t="s">
        <v>90</v>
      </c>
      <c r="E128" s="19" t="s">
        <v>86</v>
      </c>
      <c r="F128" s="19" t="s">
        <v>45</v>
      </c>
      <c r="G128" s="19"/>
      <c r="H128" s="19" t="s">
        <v>278</v>
      </c>
      <c r="I128" s="15">
        <v>3</v>
      </c>
      <c r="J128" s="15">
        <f>IFERROR(VLOOKUP($C128,Sheet3!$H$2:$O$200,J$1,FALSE),IFERROR(VLOOKUP($D128,Sheet3!$H$2:$O$200,J$1,FALSE),VLOOKUP($E128,Sheet3!$H$2:$O$200,J$1,FALSE)))</f>
        <v>0</v>
      </c>
      <c r="K128" s="15">
        <f>IFERROR(VLOOKUP($C128,Sheet3!$H$2:$O$200,K$1,FALSE),IFERROR(VLOOKUP($D128,Sheet3!$H$2:$O$200,K$1,FALSE),VLOOKUP($E128,Sheet3!$H$2:$O$200,K$1,FALSE)))</f>
        <v>0</v>
      </c>
      <c r="L128" s="15" t="str">
        <f>IFERROR(VLOOKUP($C128,Sheet3!$H$2:$O$200,L$1,FALSE),IFERROR(VLOOKUP($D128,Sheet3!$H$2:$O$200,L$1,FALSE),VLOOKUP($E128,Sheet3!$H$2:$O$200,L$1,FALSE)))</f>
        <v>lime juice</v>
      </c>
      <c r="M128" s="15">
        <f>IFERROR(VLOOKUP($C128,Sheet3!$H$2:$O$200,M$1,FALSE),IFERROR(VLOOKUP($D128,Sheet3!$H$2:$O$200,M$1,FALSE),VLOOKUP($E128,Sheet3!$H$2:$O$200,M$1,FALSE)))</f>
        <v>0</v>
      </c>
      <c r="N128" s="15">
        <f>IFERROR(VLOOKUP($C128,Sheet3!$H$2:$O$200,N$1,FALSE),IFERROR(VLOOKUP($D128,Sheet3!$H$2:$O$200,N$1,FALSE),VLOOKUP($E128,Sheet3!$H$2:$O$200,N$1,FALSE)))</f>
        <v>0</v>
      </c>
      <c r="O128" s="15">
        <f>IFERROR(VLOOKUP($C128,Sheet3!$H$2:$O$200,O$1,FALSE),IFERROR(VLOOKUP($D128,Sheet3!$H$2:$O$200,O$1,FALSE),VLOOKUP($E128,Sheet3!$H$2:$O$200,O$1,FALSE)))</f>
        <v>0</v>
      </c>
      <c r="P128" s="15">
        <f>IFERROR(VLOOKUP($C128,Sheet3!$H$2:$O$200,P$1,FALSE),IFERROR(VLOOKUP($D128,Sheet3!$H$2:$O$200,P$1,FALSE),VLOOKUP($E128,Sheet3!$H$2:$O$200,P$1,FALSE)))</f>
        <v>0</v>
      </c>
      <c r="Q128" s="15">
        <f>IFERROR(IF(ISBLANK(J128),IFERROR(VLOOKUP($D128,Sheet3!$H$2:$O$200,Q$1,FALSE),IFERROR(VLOOKUP($E128,Sheet3!$H$2:$O$200,Q$1,FALSE),VLOOKUP($F128,Sheet3!$H$2:$O$200,Q$1,FALSE))),$I$1),$I$1)</f>
        <v>0</v>
      </c>
      <c r="R128" s="15">
        <f>IFERROR(IF(ISBLANK(K128),IFERROR(VLOOKUP($D128,Sheet3!$H$2:$O$200,R$1,FALSE),IFERROR(VLOOKUP($E128,Sheet3!$H$2:$O$200,R$1,FALSE),VLOOKUP($F128,Sheet3!$H$2:$O$200,R$1,FALSE))),$I$1),$I$1)</f>
        <v>0</v>
      </c>
      <c r="S128" s="15">
        <f>IFERROR(IF(ISBLANK(L128),IFERROR(VLOOKUP($D128,Sheet3!$H$2:$O$200,S$1,FALSE),IFERROR(VLOOKUP($E128,Sheet3!$H$2:$O$200,S$1,FALSE),VLOOKUP($F128,Sheet3!$H$2:$O$200,S$1,FALSE))),$I$1),$I$1)</f>
        <v>0</v>
      </c>
      <c r="T128" s="15">
        <f>IFERROR(IF(ISBLANK(M128),IFERROR(VLOOKUP($D128,Sheet3!$H$2:$O$200,T$1,FALSE),IFERROR(VLOOKUP($E128,Sheet3!$H$2:$O$200,T$1,FALSE),VLOOKUP($F128,Sheet3!$H$2:$O$200,T$1,FALSE))),$I$1),$I$1)</f>
        <v>0</v>
      </c>
      <c r="U128" s="15">
        <f>IFERROR(IF(ISBLANK(N128),IFERROR(VLOOKUP($D128,Sheet3!$H$2:$O$200,U$1,FALSE),IFERROR(VLOOKUP($E128,Sheet3!$H$2:$O$200,U$1,FALSE),VLOOKUP($F128,Sheet3!$H$2:$O$200,U$1,FALSE))),$I$1),$I$1)</f>
        <v>0</v>
      </c>
      <c r="V128" s="15">
        <f>IFERROR(IF(ISBLANK(O128),IFERROR(VLOOKUP($D128,Sheet3!$H$2:$O$200,V$1,FALSE),IFERROR(VLOOKUP($E128,Sheet3!$H$2:$O$200,V$1,FALSE),VLOOKUP($F128,Sheet3!$H$2:$O$200,V$1,FALSE))),$I$1),$I$1)</f>
        <v>0</v>
      </c>
      <c r="W128" s="15">
        <f>IFERROR(IF(ISBLANK(P128),IFERROR(VLOOKUP($D128,Sheet3!$H$2:$O$200,W$1,FALSE),IFERROR(VLOOKUP($E128,Sheet3!$H$2:$O$200,W$1,FALSE),VLOOKUP($F128,Sheet3!$H$2:$O$200,W$1,FALSE))),$I$1),$I$1)</f>
        <v>0</v>
      </c>
      <c r="X128" s="15">
        <f>IFERROR(IF(ISBLANK(Q128),IFERROR(VLOOKUP($E128,Sheet3!$H$2:$O$200,X$1,FALSE),IFERROR(VLOOKUP($F128,Sheet3!$H$2:$O$200,X$1,FALSE),VLOOKUP($G128,Sheet3!$H$2:$O$200,X$1,FALSE))),$I$1),$I$1)</f>
        <v>0</v>
      </c>
      <c r="Y128" s="15">
        <f>IFERROR(IF(ISBLANK(R128),IFERROR(VLOOKUP($E128,Sheet3!$H$2:$O$200,Y$1,FALSE),IFERROR(VLOOKUP($F128,Sheet3!$H$2:$O$200,Y$1,FALSE),VLOOKUP($G128,Sheet3!$H$2:$O$200,Y$1,FALSE))),$I$1),$I$1)</f>
        <v>0</v>
      </c>
      <c r="Z128" s="15">
        <f>IFERROR(IF(ISBLANK(S128),IFERROR(VLOOKUP($E128,Sheet3!$H$2:$O$200,Z$1,FALSE),IFERROR(VLOOKUP($F128,Sheet3!$H$2:$O$200,Z$1,FALSE),VLOOKUP($G128,Sheet3!$H$2:$O$200,Z$1,FALSE))),$I$1),$I$1)</f>
        <v>0</v>
      </c>
      <c r="AA128" s="15">
        <f>IFERROR(IF(ISBLANK(T128),IFERROR(VLOOKUP($E128,Sheet3!$H$2:$O$200,AA$1,FALSE),IFERROR(VLOOKUP($F128,Sheet3!$H$2:$O$200,AA$1,FALSE),VLOOKUP($G128,Sheet3!$H$2:$O$200,AA$1,FALSE))),$I$1),$I$1)</f>
        <v>0</v>
      </c>
      <c r="AB128" s="15">
        <f>IFERROR(IF(ISBLANK(U128),IFERROR(VLOOKUP($E128,Sheet3!$H$2:$O$200,AB$1,FALSE),IFERROR(VLOOKUP($F128,Sheet3!$H$2:$O$200,AB$1,FALSE),VLOOKUP($G128,Sheet3!$H$2:$O$200,AB$1,FALSE))),$I$1),$I$1)</f>
        <v>0</v>
      </c>
      <c r="AC128" s="15">
        <f>IFERROR(IF(ISBLANK(V128),IFERROR(VLOOKUP($E128,Sheet3!$H$2:$O$200,AC$1,FALSE),IFERROR(VLOOKUP($F128,Sheet3!$H$2:$O$200,AC$1,FALSE),VLOOKUP($G128,Sheet3!$H$2:$O$200,AC$1,FALSE))),$I$1),$I$1)</f>
        <v>0</v>
      </c>
      <c r="AD128" s="15">
        <f>IFERROR(IF(ISBLANK(W128),IFERROR(VLOOKUP($E128,Sheet3!$H$2:$O$200,AD$1,FALSE),IFERROR(VLOOKUP($F128,Sheet3!$H$2:$O$200,AD$1,FALSE),VLOOKUP($G128,Sheet3!$H$2:$O$200,AD$1,FALSE))),$I$1),$I$1)</f>
        <v>0</v>
      </c>
      <c r="AE128" s="15">
        <f>IFERROR(IF(ISBLANK(X128),IFERROR(VLOOKUP($F128,Sheet3!$H$2:$O$200,AE$1,FALSE),VLOOKUP($G128,Sheet3!$H$2:$O$200,AE$1,FALSE)),$I$1),$I$1)</f>
        <v>0</v>
      </c>
      <c r="AF128" s="15">
        <f>IFERROR(IF(ISBLANK(Y128),IFERROR(VLOOKUP($F128,Sheet3!$H$2:$O$200,AF$1,FALSE),VLOOKUP($G128,Sheet3!$H$2:$O$200,AF$1,FALSE)),$I$1),$I$1)</f>
        <v>0</v>
      </c>
      <c r="AG128" s="15">
        <f>IFERROR(IF(ISBLANK(Z128),IFERROR(VLOOKUP($F128,Sheet3!$H$2:$O$200,AG$1,FALSE),VLOOKUP($G128,Sheet3!$H$2:$O$200,AG$1,FALSE)),$I$1),$I$1)</f>
        <v>0</v>
      </c>
      <c r="AH128" s="15">
        <f>IFERROR(IF(ISBLANK(AA128),IFERROR(VLOOKUP($F128,Sheet3!$H$2:$O$200,AH$1,FALSE),VLOOKUP($G128,Sheet3!$H$2:$O$200,AH$1,FALSE)),$I$1),$I$1)</f>
        <v>0</v>
      </c>
      <c r="AI128" s="15">
        <f>IFERROR(IF(ISBLANK(AB128),IFERROR(VLOOKUP($F128,Sheet3!$H$2:$O$200,AI$1,FALSE),VLOOKUP($G128,Sheet3!$H$2:$O$200,AI$1,FALSE)),$I$1),$I$1)</f>
        <v>0</v>
      </c>
      <c r="AJ128" s="15">
        <f>IFERROR(IF(ISBLANK(AC128),IFERROR(VLOOKUP($F128,Sheet3!$H$2:$O$200,AJ$1,FALSE),VLOOKUP($G128,Sheet3!$H$2:$O$200,AJ$1,FALSE)),$I$1),$I$1)</f>
        <v>0</v>
      </c>
      <c r="AK128" s="15">
        <f>IFERROR(IF(ISBLANK(AD128),IFERROR(VLOOKUP($F128,Sheet3!$H$2:$O$200,AK$1,FALSE),VLOOKUP($G128,Sheet3!$H$2:$O$200,AK$1,FALSE)),$I$1),$I$1)</f>
        <v>0</v>
      </c>
      <c r="AL128" s="15">
        <f>IFERROR(IF(ISBLANK(AE128),VLOOKUP($G128,Sheet3!$H$2:$O$200,AL$1,FALSE),$I$1),$I$1)</f>
        <v>0</v>
      </c>
      <c r="AM128" s="15">
        <f>IFERROR(IF(ISBLANK(AF128),VLOOKUP($G128,Sheet3!$H$2:$O$200,AM$1,FALSE),$I$1),$I$1)</f>
        <v>0</v>
      </c>
      <c r="AN128" s="15">
        <f>IFERROR(IF(ISBLANK(AG128),VLOOKUP($G128,Sheet3!$H$2:$O$200,AN$1,FALSE),$I$1),$I$1)</f>
        <v>0</v>
      </c>
      <c r="AO128" s="15">
        <f>IFERROR(IF(ISBLANK(AH128),VLOOKUP($G128,Sheet3!$H$2:$O$200,AO$1,FALSE),$I$1),$I$1)</f>
        <v>0</v>
      </c>
      <c r="AP128" s="15">
        <f>IFERROR(IF(ISBLANK(AI128),VLOOKUP($G128,Sheet3!$H$2:$O$200,AP$1,FALSE),$I$1),$I$1)</f>
        <v>0</v>
      </c>
      <c r="AQ128" s="15">
        <f>IFERROR(IF(ISBLANK(AJ128),VLOOKUP($G128,Sheet3!$H$2:$O$200,AQ$1,FALSE),$I$1),$I$1)</f>
        <v>0</v>
      </c>
      <c r="AR128" s="15">
        <f>IFERROR(IF(ISBLANK(AK128),VLOOKUP($G128,Sheet3!$H$2:$O$200,AR$1,FALSE),$I$1),$I$1)</f>
        <v>0</v>
      </c>
      <c r="AS128" s="15">
        <f t="shared" ref="AS128:AY128" si="135">IFERROR(IF(ISBLANK(J128),IF(ISBLANK(Q128),IF(ISBLANK(X128),IF(ISBLANK(AE128),IF(ISBLANK(AL128),$BB$1,AL128),AE128),X128),Q128),J128),$BB$1)</f>
        <v>0</v>
      </c>
      <c r="AT128" s="15">
        <f t="shared" si="135"/>
        <v>0</v>
      </c>
      <c r="AU128" s="15" t="str">
        <f t="shared" si="135"/>
        <v>lime juice</v>
      </c>
      <c r="AV128" s="15">
        <f t="shared" si="135"/>
        <v>0</v>
      </c>
      <c r="AW128" s="15">
        <f t="shared" si="135"/>
        <v>0</v>
      </c>
      <c r="AX128" s="15">
        <f t="shared" si="135"/>
        <v>0</v>
      </c>
      <c r="AY128" s="15">
        <f t="shared" si="135"/>
        <v>0</v>
      </c>
      <c r="BA128" s="13">
        <f t="shared" si="1"/>
        <v>35</v>
      </c>
      <c r="BB128" s="15" t="b">
        <f t="shared" si="2"/>
        <v>0</v>
      </c>
    </row>
    <row r="129" spans="1:54" x14ac:dyDescent="0.2">
      <c r="A129" s="19" t="s">
        <v>279</v>
      </c>
      <c r="B129" s="19" t="s">
        <v>265</v>
      </c>
      <c r="C129" s="19" t="s">
        <v>30</v>
      </c>
      <c r="D129" s="19" t="s">
        <v>90</v>
      </c>
      <c r="E129" s="19" t="s">
        <v>280</v>
      </c>
      <c r="F129" s="19"/>
      <c r="G129" s="19"/>
      <c r="H129" s="19" t="s">
        <v>279</v>
      </c>
      <c r="I129" s="15">
        <v>3</v>
      </c>
      <c r="J129" s="15">
        <f>IFERROR(VLOOKUP($C129,Sheet3!$H$2:$O$200,J$1,FALSE),IFERROR(VLOOKUP($D129,Sheet3!$H$2:$O$200,J$1,FALSE),VLOOKUP($E129,Sheet3!$H$2:$O$200,J$1,FALSE)))</f>
        <v>0</v>
      </c>
      <c r="K129" s="15">
        <f>IFERROR(VLOOKUP($C129,Sheet3!$H$2:$O$200,K$1,FALSE),IFERROR(VLOOKUP($D129,Sheet3!$H$2:$O$200,K$1,FALSE),VLOOKUP($E129,Sheet3!$H$2:$O$200,K$1,FALSE)))</f>
        <v>0</v>
      </c>
      <c r="L129" s="15">
        <f>IFERROR(VLOOKUP($C129,Sheet3!$H$2:$O$200,L$1,FALSE),IFERROR(VLOOKUP($D129,Sheet3!$H$2:$O$200,L$1,FALSE),VLOOKUP($E129,Sheet3!$H$2:$O$200,L$1,FALSE)))</f>
        <v>0</v>
      </c>
      <c r="M129" s="15" t="str">
        <f>IFERROR(VLOOKUP($C129,Sheet3!$H$2:$O$200,M$1,FALSE),IFERROR(VLOOKUP($D129,Sheet3!$H$2:$O$200,M$1,FALSE),VLOOKUP($E129,Sheet3!$H$2:$O$200,M$1,FALSE)))</f>
        <v>amaretto</v>
      </c>
      <c r="N129" s="15">
        <f>IFERROR(VLOOKUP($C129,Sheet3!$H$2:$O$200,N$1,FALSE),IFERROR(VLOOKUP($D129,Sheet3!$H$2:$O$200,N$1,FALSE),VLOOKUP($E129,Sheet3!$H$2:$O$200,N$1,FALSE)))</f>
        <v>0</v>
      </c>
      <c r="O129" s="15">
        <f>IFERROR(VLOOKUP($C129,Sheet3!$H$2:$O$200,O$1,FALSE),IFERROR(VLOOKUP($D129,Sheet3!$H$2:$O$200,O$1,FALSE),VLOOKUP($E129,Sheet3!$H$2:$O$200,O$1,FALSE)))</f>
        <v>0</v>
      </c>
      <c r="P129" s="15">
        <f>IFERROR(VLOOKUP($C129,Sheet3!$H$2:$O$200,P$1,FALSE),IFERROR(VLOOKUP($D129,Sheet3!$H$2:$O$200,P$1,FALSE),VLOOKUP($E129,Sheet3!$H$2:$O$200,P$1,FALSE)))</f>
        <v>0</v>
      </c>
      <c r="Q129" s="15">
        <f>IFERROR(IF(ISBLANK(J129),IFERROR(VLOOKUP($D129,Sheet3!$H$2:$O$200,Q$1,FALSE),IFERROR(VLOOKUP($E129,Sheet3!$H$2:$O$200,Q$1,FALSE),VLOOKUP($F129,Sheet3!$H$2:$O$200,Q$1,FALSE))),$I$1),$I$1)</f>
        <v>0</v>
      </c>
      <c r="R129" s="15">
        <f>IFERROR(IF(ISBLANK(K129),IFERROR(VLOOKUP($D129,Sheet3!$H$2:$O$200,R$1,FALSE),IFERROR(VLOOKUP($E129,Sheet3!$H$2:$O$200,R$1,FALSE),VLOOKUP($F129,Sheet3!$H$2:$O$200,R$1,FALSE))),$I$1),$I$1)</f>
        <v>0</v>
      </c>
      <c r="S129" s="15">
        <f>IFERROR(IF(ISBLANK(L129),IFERROR(VLOOKUP($D129,Sheet3!$H$2:$O$200,S$1,FALSE),IFERROR(VLOOKUP($E129,Sheet3!$H$2:$O$200,S$1,FALSE),VLOOKUP($F129,Sheet3!$H$2:$O$200,S$1,FALSE))),$I$1),$I$1)</f>
        <v>0</v>
      </c>
      <c r="T129" s="15">
        <f>IFERROR(IF(ISBLANK(M129),IFERROR(VLOOKUP($D129,Sheet3!$H$2:$O$200,T$1,FALSE),IFERROR(VLOOKUP($E129,Sheet3!$H$2:$O$200,T$1,FALSE),VLOOKUP($F129,Sheet3!$H$2:$O$200,T$1,FALSE))),$I$1),$I$1)</f>
        <v>0</v>
      </c>
      <c r="U129" s="15">
        <f>IFERROR(IF(ISBLANK(N129),IFERROR(VLOOKUP($D129,Sheet3!$H$2:$O$200,U$1,FALSE),IFERROR(VLOOKUP($E129,Sheet3!$H$2:$O$200,U$1,FALSE),VLOOKUP($F129,Sheet3!$H$2:$O$200,U$1,FALSE))),$I$1),$I$1)</f>
        <v>0</v>
      </c>
      <c r="V129" s="15">
        <f>IFERROR(IF(ISBLANK(O129),IFERROR(VLOOKUP($D129,Sheet3!$H$2:$O$200,V$1,FALSE),IFERROR(VLOOKUP($E129,Sheet3!$H$2:$O$200,V$1,FALSE),VLOOKUP($F129,Sheet3!$H$2:$O$200,V$1,FALSE))),$I$1),$I$1)</f>
        <v>0</v>
      </c>
      <c r="W129" s="15">
        <f>IFERROR(IF(ISBLANK(P129),IFERROR(VLOOKUP($D129,Sheet3!$H$2:$O$200,W$1,FALSE),IFERROR(VLOOKUP($E129,Sheet3!$H$2:$O$200,W$1,FALSE),VLOOKUP($F129,Sheet3!$H$2:$O$200,W$1,FALSE))),$I$1),$I$1)</f>
        <v>0</v>
      </c>
      <c r="X129" s="15">
        <f>IFERROR(IF(ISBLANK(Q129),IFERROR(VLOOKUP($E129,Sheet3!$H$2:$O$200,X$1,FALSE),IFERROR(VLOOKUP($F129,Sheet3!$H$2:$O$200,X$1,FALSE),VLOOKUP($G129,Sheet3!$H$2:$O$200,X$1,FALSE))),$I$1),$I$1)</f>
        <v>0</v>
      </c>
      <c r="Y129" s="15">
        <f>IFERROR(IF(ISBLANK(R129),IFERROR(VLOOKUP($E129,Sheet3!$H$2:$O$200,Y$1,FALSE),IFERROR(VLOOKUP($F129,Sheet3!$H$2:$O$200,Y$1,FALSE),VLOOKUP($G129,Sheet3!$H$2:$O$200,Y$1,FALSE))),$I$1),$I$1)</f>
        <v>0</v>
      </c>
      <c r="Z129" s="15">
        <f>IFERROR(IF(ISBLANK(S129),IFERROR(VLOOKUP($E129,Sheet3!$H$2:$O$200,Z$1,FALSE),IFERROR(VLOOKUP($F129,Sheet3!$H$2:$O$200,Z$1,FALSE),VLOOKUP($G129,Sheet3!$H$2:$O$200,Z$1,FALSE))),$I$1),$I$1)</f>
        <v>0</v>
      </c>
      <c r="AA129" s="15">
        <f>IFERROR(IF(ISBLANK(T129),IFERROR(VLOOKUP($E129,Sheet3!$H$2:$O$200,AA$1,FALSE),IFERROR(VLOOKUP($F129,Sheet3!$H$2:$O$200,AA$1,FALSE),VLOOKUP($G129,Sheet3!$H$2:$O$200,AA$1,FALSE))),$I$1),$I$1)</f>
        <v>0</v>
      </c>
      <c r="AB129" s="15">
        <f>IFERROR(IF(ISBLANK(U129),IFERROR(VLOOKUP($E129,Sheet3!$H$2:$O$200,AB$1,FALSE),IFERROR(VLOOKUP($F129,Sheet3!$H$2:$O$200,AB$1,FALSE),VLOOKUP($G129,Sheet3!$H$2:$O$200,AB$1,FALSE))),$I$1),$I$1)</f>
        <v>0</v>
      </c>
      <c r="AC129" s="15">
        <f>IFERROR(IF(ISBLANK(V129),IFERROR(VLOOKUP($E129,Sheet3!$H$2:$O$200,AC$1,FALSE),IFERROR(VLOOKUP($F129,Sheet3!$H$2:$O$200,AC$1,FALSE),VLOOKUP($G129,Sheet3!$H$2:$O$200,AC$1,FALSE))),$I$1),$I$1)</f>
        <v>0</v>
      </c>
      <c r="AD129" s="15">
        <f>IFERROR(IF(ISBLANK(W129),IFERROR(VLOOKUP($E129,Sheet3!$H$2:$O$200,AD$1,FALSE),IFERROR(VLOOKUP($F129,Sheet3!$H$2:$O$200,AD$1,FALSE),VLOOKUP($G129,Sheet3!$H$2:$O$200,AD$1,FALSE))),$I$1),$I$1)</f>
        <v>0</v>
      </c>
      <c r="AE129" s="15">
        <f>IFERROR(IF(ISBLANK(X129),IFERROR(VLOOKUP($F129,Sheet3!$H$2:$O$200,AE$1,FALSE),VLOOKUP($G129,Sheet3!$H$2:$O$200,AE$1,FALSE)),$I$1),$I$1)</f>
        <v>0</v>
      </c>
      <c r="AF129" s="15">
        <f>IFERROR(IF(ISBLANK(Y129),IFERROR(VLOOKUP($F129,Sheet3!$H$2:$O$200,AF$1,FALSE),VLOOKUP($G129,Sheet3!$H$2:$O$200,AF$1,FALSE)),$I$1),$I$1)</f>
        <v>0</v>
      </c>
      <c r="AG129" s="15">
        <f>IFERROR(IF(ISBLANK(Z129),IFERROR(VLOOKUP($F129,Sheet3!$H$2:$O$200,AG$1,FALSE),VLOOKUP($G129,Sheet3!$H$2:$O$200,AG$1,FALSE)),$I$1),$I$1)</f>
        <v>0</v>
      </c>
      <c r="AH129" s="15">
        <f>IFERROR(IF(ISBLANK(AA129),IFERROR(VLOOKUP($F129,Sheet3!$H$2:$O$200,AH$1,FALSE),VLOOKUP($G129,Sheet3!$H$2:$O$200,AH$1,FALSE)),$I$1),$I$1)</f>
        <v>0</v>
      </c>
      <c r="AI129" s="15">
        <f>IFERROR(IF(ISBLANK(AB129),IFERROR(VLOOKUP($F129,Sheet3!$H$2:$O$200,AI$1,FALSE),VLOOKUP($G129,Sheet3!$H$2:$O$200,AI$1,FALSE)),$I$1),$I$1)</f>
        <v>0</v>
      </c>
      <c r="AJ129" s="15">
        <f>IFERROR(IF(ISBLANK(AC129),IFERROR(VLOOKUP($F129,Sheet3!$H$2:$O$200,AJ$1,FALSE),VLOOKUP($G129,Sheet3!$H$2:$O$200,AJ$1,FALSE)),$I$1),$I$1)</f>
        <v>0</v>
      </c>
      <c r="AK129" s="15">
        <f>IFERROR(IF(ISBLANK(AD129),IFERROR(VLOOKUP($F129,Sheet3!$H$2:$O$200,AK$1,FALSE),VLOOKUP($G129,Sheet3!$H$2:$O$200,AK$1,FALSE)),$I$1),$I$1)</f>
        <v>0</v>
      </c>
      <c r="AL129" s="15">
        <f>IFERROR(IF(ISBLANK(AE129),VLOOKUP($G129,Sheet3!$H$2:$O$200,AL$1,FALSE),$I$1),$I$1)</f>
        <v>0</v>
      </c>
      <c r="AM129" s="15">
        <f>IFERROR(IF(ISBLANK(AF129),VLOOKUP($G129,Sheet3!$H$2:$O$200,AM$1,FALSE),$I$1),$I$1)</f>
        <v>0</v>
      </c>
      <c r="AN129" s="15">
        <f>IFERROR(IF(ISBLANK(AG129),VLOOKUP($G129,Sheet3!$H$2:$O$200,AN$1,FALSE),$I$1),$I$1)</f>
        <v>0</v>
      </c>
      <c r="AO129" s="15">
        <f>IFERROR(IF(ISBLANK(AH129),VLOOKUP($G129,Sheet3!$H$2:$O$200,AO$1,FALSE),$I$1),$I$1)</f>
        <v>0</v>
      </c>
      <c r="AP129" s="15">
        <f>IFERROR(IF(ISBLANK(AI129),VLOOKUP($G129,Sheet3!$H$2:$O$200,AP$1,FALSE),$I$1),$I$1)</f>
        <v>0</v>
      </c>
      <c r="AQ129" s="15">
        <f>IFERROR(IF(ISBLANK(AJ129),VLOOKUP($G129,Sheet3!$H$2:$O$200,AQ$1,FALSE),$I$1),$I$1)</f>
        <v>0</v>
      </c>
      <c r="AR129" s="15">
        <f>IFERROR(IF(ISBLANK(AK129),VLOOKUP($G129,Sheet3!$H$2:$O$200,AR$1,FALSE),$I$1),$I$1)</f>
        <v>0</v>
      </c>
      <c r="AS129" s="15">
        <f t="shared" ref="AS129:AY129" si="136">IFERROR(IF(ISBLANK(J129),IF(ISBLANK(Q129),IF(ISBLANK(X129),IF(ISBLANK(AE129),IF(ISBLANK(AL129),$BB$1,AL129),AE129),X129),Q129),J129),$BB$1)</f>
        <v>0</v>
      </c>
      <c r="AT129" s="15">
        <f t="shared" si="136"/>
        <v>0</v>
      </c>
      <c r="AU129" s="15">
        <f t="shared" si="136"/>
        <v>0</v>
      </c>
      <c r="AV129" s="15" t="str">
        <f t="shared" si="136"/>
        <v>amaretto</v>
      </c>
      <c r="AW129" s="15">
        <f t="shared" si="136"/>
        <v>0</v>
      </c>
      <c r="AX129" s="15">
        <f t="shared" si="136"/>
        <v>0</v>
      </c>
      <c r="AY129" s="15">
        <f t="shared" si="136"/>
        <v>0</v>
      </c>
      <c r="BA129" s="13">
        <f t="shared" si="1"/>
        <v>35</v>
      </c>
      <c r="BB129" s="15" t="b">
        <f t="shared" si="2"/>
        <v>0</v>
      </c>
    </row>
    <row r="130" spans="1:54" x14ac:dyDescent="0.2">
      <c r="A130" s="19" t="s">
        <v>281</v>
      </c>
      <c r="B130" s="19" t="s">
        <v>265</v>
      </c>
      <c r="C130" s="19" t="s">
        <v>60</v>
      </c>
      <c r="D130" s="19" t="s">
        <v>90</v>
      </c>
      <c r="E130" s="19" t="s">
        <v>282</v>
      </c>
      <c r="F130" s="19"/>
      <c r="G130" s="19"/>
      <c r="H130" s="19" t="s">
        <v>281</v>
      </c>
      <c r="I130" s="15">
        <v>3</v>
      </c>
      <c r="J130" s="15">
        <f>IFERROR(VLOOKUP($C130,Sheet3!$H$2:$O$200,J$1,FALSE),IFERROR(VLOOKUP($D130,Sheet3!$H$2:$O$200,J$1,FALSE),VLOOKUP($E130,Sheet3!$H$2:$O$200,J$1,FALSE)))</f>
        <v>0</v>
      </c>
      <c r="K130" s="15">
        <f>IFERROR(VLOOKUP($C130,Sheet3!$H$2:$O$200,K$1,FALSE),IFERROR(VLOOKUP($D130,Sheet3!$H$2:$O$200,K$1,FALSE),VLOOKUP($E130,Sheet3!$H$2:$O$200,K$1,FALSE)))</f>
        <v>0</v>
      </c>
      <c r="L130" s="15">
        <f>IFERROR(VLOOKUP($C130,Sheet3!$H$2:$O$200,L$1,FALSE),IFERROR(VLOOKUP($D130,Sheet3!$H$2:$O$200,L$1,FALSE),VLOOKUP($E130,Sheet3!$H$2:$O$200,L$1,FALSE)))</f>
        <v>0</v>
      </c>
      <c r="M130" s="15" t="str">
        <f>IFERROR(VLOOKUP($C130,Sheet3!$H$2:$O$200,M$1,FALSE),IFERROR(VLOOKUP($D130,Sheet3!$H$2:$O$200,M$1,FALSE),VLOOKUP($E130,Sheet3!$H$2:$O$200,M$1,FALSE)))</f>
        <v>apricot brandy</v>
      </c>
      <c r="N130" s="15">
        <f>IFERROR(VLOOKUP($C130,Sheet3!$H$2:$O$200,N$1,FALSE),IFERROR(VLOOKUP($D130,Sheet3!$H$2:$O$200,N$1,FALSE),VLOOKUP($E130,Sheet3!$H$2:$O$200,N$1,FALSE)))</f>
        <v>0</v>
      </c>
      <c r="O130" s="15">
        <f>IFERROR(VLOOKUP($C130,Sheet3!$H$2:$O$200,O$1,FALSE),IFERROR(VLOOKUP($D130,Sheet3!$H$2:$O$200,O$1,FALSE),VLOOKUP($E130,Sheet3!$H$2:$O$200,O$1,FALSE)))</f>
        <v>0</v>
      </c>
      <c r="P130" s="15">
        <f>IFERROR(VLOOKUP($C130,Sheet3!$H$2:$O$200,P$1,FALSE),IFERROR(VLOOKUP($D130,Sheet3!$H$2:$O$200,P$1,FALSE),VLOOKUP($E130,Sheet3!$H$2:$O$200,P$1,FALSE)))</f>
        <v>0</v>
      </c>
      <c r="Q130" s="15">
        <f>IFERROR(IF(ISBLANK(J130),IFERROR(VLOOKUP($D130,Sheet3!$H$2:$O$200,Q$1,FALSE),IFERROR(VLOOKUP($E130,Sheet3!$H$2:$O$200,Q$1,FALSE),VLOOKUP($F130,Sheet3!$H$2:$O$200,Q$1,FALSE))),$I$1),$I$1)</f>
        <v>0</v>
      </c>
      <c r="R130" s="15">
        <f>IFERROR(IF(ISBLANK(K130),IFERROR(VLOOKUP($D130,Sheet3!$H$2:$O$200,R$1,FALSE),IFERROR(VLOOKUP($E130,Sheet3!$H$2:$O$200,R$1,FALSE),VLOOKUP($F130,Sheet3!$H$2:$O$200,R$1,FALSE))),$I$1),$I$1)</f>
        <v>0</v>
      </c>
      <c r="S130" s="15">
        <f>IFERROR(IF(ISBLANK(L130),IFERROR(VLOOKUP($D130,Sheet3!$H$2:$O$200,S$1,FALSE),IFERROR(VLOOKUP($E130,Sheet3!$H$2:$O$200,S$1,FALSE),VLOOKUP($F130,Sheet3!$H$2:$O$200,S$1,FALSE))),$I$1),$I$1)</f>
        <v>0</v>
      </c>
      <c r="T130" s="15">
        <f>IFERROR(IF(ISBLANK(M130),IFERROR(VLOOKUP($D130,Sheet3!$H$2:$O$200,T$1,FALSE),IFERROR(VLOOKUP($E130,Sheet3!$H$2:$O$200,T$1,FALSE),VLOOKUP($F130,Sheet3!$H$2:$O$200,T$1,FALSE))),$I$1),$I$1)</f>
        <v>0</v>
      </c>
      <c r="U130" s="15">
        <f>IFERROR(IF(ISBLANK(N130),IFERROR(VLOOKUP($D130,Sheet3!$H$2:$O$200,U$1,FALSE),IFERROR(VLOOKUP($E130,Sheet3!$H$2:$O$200,U$1,FALSE),VLOOKUP($F130,Sheet3!$H$2:$O$200,U$1,FALSE))),$I$1),$I$1)</f>
        <v>0</v>
      </c>
      <c r="V130" s="15">
        <f>IFERROR(IF(ISBLANK(O130),IFERROR(VLOOKUP($D130,Sheet3!$H$2:$O$200,V$1,FALSE),IFERROR(VLOOKUP($E130,Sheet3!$H$2:$O$200,V$1,FALSE),VLOOKUP($F130,Sheet3!$H$2:$O$200,V$1,FALSE))),$I$1),$I$1)</f>
        <v>0</v>
      </c>
      <c r="W130" s="15">
        <f>IFERROR(IF(ISBLANK(P130),IFERROR(VLOOKUP($D130,Sheet3!$H$2:$O$200,W$1,FALSE),IFERROR(VLOOKUP($E130,Sheet3!$H$2:$O$200,W$1,FALSE),VLOOKUP($F130,Sheet3!$H$2:$O$200,W$1,FALSE))),$I$1),$I$1)</f>
        <v>0</v>
      </c>
      <c r="X130" s="15">
        <f>IFERROR(IF(ISBLANK(Q130),IFERROR(VLOOKUP($E130,Sheet3!$H$2:$O$200,X$1,FALSE),IFERROR(VLOOKUP($F130,Sheet3!$H$2:$O$200,X$1,FALSE),VLOOKUP($G130,Sheet3!$H$2:$O$200,X$1,FALSE))),$I$1),$I$1)</f>
        <v>0</v>
      </c>
      <c r="Y130" s="15">
        <f>IFERROR(IF(ISBLANK(R130),IFERROR(VLOOKUP($E130,Sheet3!$H$2:$O$200,Y$1,FALSE),IFERROR(VLOOKUP($F130,Sheet3!$H$2:$O$200,Y$1,FALSE),VLOOKUP($G130,Sheet3!$H$2:$O$200,Y$1,FALSE))),$I$1),$I$1)</f>
        <v>0</v>
      </c>
      <c r="Z130" s="15">
        <f>IFERROR(IF(ISBLANK(S130),IFERROR(VLOOKUP($E130,Sheet3!$H$2:$O$200,Z$1,FALSE),IFERROR(VLOOKUP($F130,Sheet3!$H$2:$O$200,Z$1,FALSE),VLOOKUP($G130,Sheet3!$H$2:$O$200,Z$1,FALSE))),$I$1),$I$1)</f>
        <v>0</v>
      </c>
      <c r="AA130" s="15">
        <f>IFERROR(IF(ISBLANK(T130),IFERROR(VLOOKUP($E130,Sheet3!$H$2:$O$200,AA$1,FALSE),IFERROR(VLOOKUP($F130,Sheet3!$H$2:$O$200,AA$1,FALSE),VLOOKUP($G130,Sheet3!$H$2:$O$200,AA$1,FALSE))),$I$1),$I$1)</f>
        <v>0</v>
      </c>
      <c r="AB130" s="15">
        <f>IFERROR(IF(ISBLANK(U130),IFERROR(VLOOKUP($E130,Sheet3!$H$2:$O$200,AB$1,FALSE),IFERROR(VLOOKUP($F130,Sheet3!$H$2:$O$200,AB$1,FALSE),VLOOKUP($G130,Sheet3!$H$2:$O$200,AB$1,FALSE))),$I$1),$I$1)</f>
        <v>0</v>
      </c>
      <c r="AC130" s="15">
        <f>IFERROR(IF(ISBLANK(V130),IFERROR(VLOOKUP($E130,Sheet3!$H$2:$O$200,AC$1,FALSE),IFERROR(VLOOKUP($F130,Sheet3!$H$2:$O$200,AC$1,FALSE),VLOOKUP($G130,Sheet3!$H$2:$O$200,AC$1,FALSE))),$I$1),$I$1)</f>
        <v>0</v>
      </c>
      <c r="AD130" s="15">
        <f>IFERROR(IF(ISBLANK(W130),IFERROR(VLOOKUP($E130,Sheet3!$H$2:$O$200,AD$1,FALSE),IFERROR(VLOOKUP($F130,Sheet3!$H$2:$O$200,AD$1,FALSE),VLOOKUP($G130,Sheet3!$H$2:$O$200,AD$1,FALSE))),$I$1),$I$1)</f>
        <v>0</v>
      </c>
      <c r="AE130" s="15">
        <f>IFERROR(IF(ISBLANK(X130),IFERROR(VLOOKUP($F130,Sheet3!$H$2:$O$200,AE$1,FALSE),VLOOKUP($G130,Sheet3!$H$2:$O$200,AE$1,FALSE)),$I$1),$I$1)</f>
        <v>0</v>
      </c>
      <c r="AF130" s="15">
        <f>IFERROR(IF(ISBLANK(Y130),IFERROR(VLOOKUP($F130,Sheet3!$H$2:$O$200,AF$1,FALSE),VLOOKUP($G130,Sheet3!$H$2:$O$200,AF$1,FALSE)),$I$1),$I$1)</f>
        <v>0</v>
      </c>
      <c r="AG130" s="15">
        <f>IFERROR(IF(ISBLANK(Z130),IFERROR(VLOOKUP($F130,Sheet3!$H$2:$O$200,AG$1,FALSE),VLOOKUP($G130,Sheet3!$H$2:$O$200,AG$1,FALSE)),$I$1),$I$1)</f>
        <v>0</v>
      </c>
      <c r="AH130" s="15">
        <f>IFERROR(IF(ISBLANK(AA130),IFERROR(VLOOKUP($F130,Sheet3!$H$2:$O$200,AH$1,FALSE),VLOOKUP($G130,Sheet3!$H$2:$O$200,AH$1,FALSE)),$I$1),$I$1)</f>
        <v>0</v>
      </c>
      <c r="AI130" s="15">
        <f>IFERROR(IF(ISBLANK(AB130),IFERROR(VLOOKUP($F130,Sheet3!$H$2:$O$200,AI$1,FALSE),VLOOKUP($G130,Sheet3!$H$2:$O$200,AI$1,FALSE)),$I$1),$I$1)</f>
        <v>0</v>
      </c>
      <c r="AJ130" s="15">
        <f>IFERROR(IF(ISBLANK(AC130),IFERROR(VLOOKUP($F130,Sheet3!$H$2:$O$200,AJ$1,FALSE),VLOOKUP($G130,Sheet3!$H$2:$O$200,AJ$1,FALSE)),$I$1),$I$1)</f>
        <v>0</v>
      </c>
      <c r="AK130" s="15">
        <f>IFERROR(IF(ISBLANK(AD130),IFERROR(VLOOKUP($F130,Sheet3!$H$2:$O$200,AK$1,FALSE),VLOOKUP($G130,Sheet3!$H$2:$O$200,AK$1,FALSE)),$I$1),$I$1)</f>
        <v>0</v>
      </c>
      <c r="AL130" s="15">
        <f>IFERROR(IF(ISBLANK(AE130),VLOOKUP($G130,Sheet3!$H$2:$O$200,AL$1,FALSE),$I$1),$I$1)</f>
        <v>0</v>
      </c>
      <c r="AM130" s="15">
        <f>IFERROR(IF(ISBLANK(AF130),VLOOKUP($G130,Sheet3!$H$2:$O$200,AM$1,FALSE),$I$1),$I$1)</f>
        <v>0</v>
      </c>
      <c r="AN130" s="15">
        <f>IFERROR(IF(ISBLANK(AG130),VLOOKUP($G130,Sheet3!$H$2:$O$200,AN$1,FALSE),$I$1),$I$1)</f>
        <v>0</v>
      </c>
      <c r="AO130" s="15">
        <f>IFERROR(IF(ISBLANK(AH130),VLOOKUP($G130,Sheet3!$H$2:$O$200,AO$1,FALSE),$I$1),$I$1)</f>
        <v>0</v>
      </c>
      <c r="AP130" s="15">
        <f>IFERROR(IF(ISBLANK(AI130),VLOOKUP($G130,Sheet3!$H$2:$O$200,AP$1,FALSE),$I$1),$I$1)</f>
        <v>0</v>
      </c>
      <c r="AQ130" s="15">
        <f>IFERROR(IF(ISBLANK(AJ130),VLOOKUP($G130,Sheet3!$H$2:$O$200,AQ$1,FALSE),$I$1),$I$1)</f>
        <v>0</v>
      </c>
      <c r="AR130" s="15">
        <f>IFERROR(IF(ISBLANK(AK130),VLOOKUP($G130,Sheet3!$H$2:$O$200,AR$1,FALSE),$I$1),$I$1)</f>
        <v>0</v>
      </c>
      <c r="AS130" s="15">
        <f t="shared" ref="AS130:AY130" si="137">IFERROR(IF(ISBLANK(J130),IF(ISBLANK(Q130),IF(ISBLANK(X130),IF(ISBLANK(AE130),IF(ISBLANK(AL130),$BB$1,AL130),AE130),X130),Q130),J130),$BB$1)</f>
        <v>0</v>
      </c>
      <c r="AT130" s="15">
        <f t="shared" si="137"/>
        <v>0</v>
      </c>
      <c r="AU130" s="15">
        <f t="shared" si="137"/>
        <v>0</v>
      </c>
      <c r="AV130" s="15" t="str">
        <f t="shared" si="137"/>
        <v>apricot brandy</v>
      </c>
      <c r="AW130" s="15">
        <f t="shared" si="137"/>
        <v>0</v>
      </c>
      <c r="AX130" s="15">
        <f t="shared" si="137"/>
        <v>0</v>
      </c>
      <c r="AY130" s="15">
        <f t="shared" si="137"/>
        <v>0</v>
      </c>
      <c r="BA130" s="13">
        <f t="shared" si="1"/>
        <v>35</v>
      </c>
      <c r="BB130" s="15" t="b">
        <f t="shared" si="2"/>
        <v>0</v>
      </c>
    </row>
    <row r="131" spans="1:54" x14ac:dyDescent="0.2">
      <c r="A131" s="19" t="s">
        <v>283</v>
      </c>
      <c r="B131" s="19" t="s">
        <v>265</v>
      </c>
      <c r="C131" s="19" t="s">
        <v>60</v>
      </c>
      <c r="D131" s="19" t="s">
        <v>90</v>
      </c>
      <c r="E131" s="19" t="s">
        <v>66</v>
      </c>
      <c r="F131" s="19"/>
      <c r="G131" s="19"/>
      <c r="H131" s="19" t="s">
        <v>283</v>
      </c>
      <c r="I131" s="15">
        <v>3</v>
      </c>
      <c r="J131" s="15">
        <f>IFERROR(VLOOKUP($C131,Sheet3!$H$2:$O$200,J$1,FALSE),IFERROR(VLOOKUP($D131,Sheet3!$H$2:$O$200,J$1,FALSE),VLOOKUP($E131,Sheet3!$H$2:$O$200,J$1,FALSE)))</f>
        <v>0</v>
      </c>
      <c r="K131" s="15">
        <f>IFERROR(VLOOKUP($C131,Sheet3!$H$2:$O$200,K$1,FALSE),IFERROR(VLOOKUP($D131,Sheet3!$H$2:$O$200,K$1,FALSE),VLOOKUP($E131,Sheet3!$H$2:$O$200,K$1,FALSE)))</f>
        <v>0</v>
      </c>
      <c r="L131" s="15">
        <f>IFERROR(VLOOKUP($C131,Sheet3!$H$2:$O$200,L$1,FALSE),IFERROR(VLOOKUP($D131,Sheet3!$H$2:$O$200,L$1,FALSE),VLOOKUP($E131,Sheet3!$H$2:$O$200,L$1,FALSE)))</f>
        <v>0</v>
      </c>
      <c r="M131" s="15" t="str">
        <f>IFERROR(VLOOKUP($C131,Sheet3!$H$2:$O$200,M$1,FALSE),IFERROR(VLOOKUP($D131,Sheet3!$H$2:$O$200,M$1,FALSE),VLOOKUP($E131,Sheet3!$H$2:$O$200,M$1,FALSE)))</f>
        <v>apricot brandy</v>
      </c>
      <c r="N131" s="15">
        <f>IFERROR(VLOOKUP($C131,Sheet3!$H$2:$O$200,N$1,FALSE),IFERROR(VLOOKUP($D131,Sheet3!$H$2:$O$200,N$1,FALSE),VLOOKUP($E131,Sheet3!$H$2:$O$200,N$1,FALSE)))</f>
        <v>0</v>
      </c>
      <c r="O131" s="15">
        <f>IFERROR(VLOOKUP($C131,Sheet3!$H$2:$O$200,O$1,FALSE),IFERROR(VLOOKUP($D131,Sheet3!$H$2:$O$200,O$1,FALSE),VLOOKUP($E131,Sheet3!$H$2:$O$200,O$1,FALSE)))</f>
        <v>0</v>
      </c>
      <c r="P131" s="15">
        <f>IFERROR(VLOOKUP($C131,Sheet3!$H$2:$O$200,P$1,FALSE),IFERROR(VLOOKUP($D131,Sheet3!$H$2:$O$200,P$1,FALSE),VLOOKUP($E131,Sheet3!$H$2:$O$200,P$1,FALSE)))</f>
        <v>0</v>
      </c>
      <c r="Q131" s="15">
        <f>IFERROR(IF(ISBLANK(J131),IFERROR(VLOOKUP($D131,Sheet3!$H$2:$O$200,Q$1,FALSE),IFERROR(VLOOKUP($E131,Sheet3!$H$2:$O$200,Q$1,FALSE),VLOOKUP($F131,Sheet3!$H$2:$O$200,Q$1,FALSE))),$I$1),$I$1)</f>
        <v>0</v>
      </c>
      <c r="R131" s="15">
        <f>IFERROR(IF(ISBLANK(K131),IFERROR(VLOOKUP($D131,Sheet3!$H$2:$O$200,R$1,FALSE),IFERROR(VLOOKUP($E131,Sheet3!$H$2:$O$200,R$1,FALSE),VLOOKUP($F131,Sheet3!$H$2:$O$200,R$1,FALSE))),$I$1),$I$1)</f>
        <v>0</v>
      </c>
      <c r="S131" s="15">
        <f>IFERROR(IF(ISBLANK(L131),IFERROR(VLOOKUP($D131,Sheet3!$H$2:$O$200,S$1,FALSE),IFERROR(VLOOKUP($E131,Sheet3!$H$2:$O$200,S$1,FALSE),VLOOKUP($F131,Sheet3!$H$2:$O$200,S$1,FALSE))),$I$1),$I$1)</f>
        <v>0</v>
      </c>
      <c r="T131" s="15">
        <f>IFERROR(IF(ISBLANK(M131),IFERROR(VLOOKUP($D131,Sheet3!$H$2:$O$200,T$1,FALSE),IFERROR(VLOOKUP($E131,Sheet3!$H$2:$O$200,T$1,FALSE),VLOOKUP($F131,Sheet3!$H$2:$O$200,T$1,FALSE))),$I$1),$I$1)</f>
        <v>0</v>
      </c>
      <c r="U131" s="15">
        <f>IFERROR(IF(ISBLANK(N131),IFERROR(VLOOKUP($D131,Sheet3!$H$2:$O$200,U$1,FALSE),IFERROR(VLOOKUP($E131,Sheet3!$H$2:$O$200,U$1,FALSE),VLOOKUP($F131,Sheet3!$H$2:$O$200,U$1,FALSE))),$I$1),$I$1)</f>
        <v>0</v>
      </c>
      <c r="V131" s="15">
        <f>IFERROR(IF(ISBLANK(O131),IFERROR(VLOOKUP($D131,Sheet3!$H$2:$O$200,V$1,FALSE),IFERROR(VLOOKUP($E131,Sheet3!$H$2:$O$200,V$1,FALSE),VLOOKUP($F131,Sheet3!$H$2:$O$200,V$1,FALSE))),$I$1),$I$1)</f>
        <v>0</v>
      </c>
      <c r="W131" s="15">
        <f>IFERROR(IF(ISBLANK(P131),IFERROR(VLOOKUP($D131,Sheet3!$H$2:$O$200,W$1,FALSE),IFERROR(VLOOKUP($E131,Sheet3!$H$2:$O$200,W$1,FALSE),VLOOKUP($F131,Sheet3!$H$2:$O$200,W$1,FALSE))),$I$1),$I$1)</f>
        <v>0</v>
      </c>
      <c r="X131" s="15">
        <f>IFERROR(IF(ISBLANK(Q131),IFERROR(VLOOKUP($E131,Sheet3!$H$2:$O$200,X$1,FALSE),IFERROR(VLOOKUP($F131,Sheet3!$H$2:$O$200,X$1,FALSE),VLOOKUP($G131,Sheet3!$H$2:$O$200,X$1,FALSE))),$I$1),$I$1)</f>
        <v>0</v>
      </c>
      <c r="Y131" s="15">
        <f>IFERROR(IF(ISBLANK(R131),IFERROR(VLOOKUP($E131,Sheet3!$H$2:$O$200,Y$1,FALSE),IFERROR(VLOOKUP($F131,Sheet3!$H$2:$O$200,Y$1,FALSE),VLOOKUP($G131,Sheet3!$H$2:$O$200,Y$1,FALSE))),$I$1),$I$1)</f>
        <v>0</v>
      </c>
      <c r="Z131" s="15">
        <f>IFERROR(IF(ISBLANK(S131),IFERROR(VLOOKUP($E131,Sheet3!$H$2:$O$200,Z$1,FALSE),IFERROR(VLOOKUP($F131,Sheet3!$H$2:$O$200,Z$1,FALSE),VLOOKUP($G131,Sheet3!$H$2:$O$200,Z$1,FALSE))),$I$1),$I$1)</f>
        <v>0</v>
      </c>
      <c r="AA131" s="15">
        <f>IFERROR(IF(ISBLANK(T131),IFERROR(VLOOKUP($E131,Sheet3!$H$2:$O$200,AA$1,FALSE),IFERROR(VLOOKUP($F131,Sheet3!$H$2:$O$200,AA$1,FALSE),VLOOKUP($G131,Sheet3!$H$2:$O$200,AA$1,FALSE))),$I$1),$I$1)</f>
        <v>0</v>
      </c>
      <c r="AB131" s="15">
        <f>IFERROR(IF(ISBLANK(U131),IFERROR(VLOOKUP($E131,Sheet3!$H$2:$O$200,AB$1,FALSE),IFERROR(VLOOKUP($F131,Sheet3!$H$2:$O$200,AB$1,FALSE),VLOOKUP($G131,Sheet3!$H$2:$O$200,AB$1,FALSE))),$I$1),$I$1)</f>
        <v>0</v>
      </c>
      <c r="AC131" s="15">
        <f>IFERROR(IF(ISBLANK(V131),IFERROR(VLOOKUP($E131,Sheet3!$H$2:$O$200,AC$1,FALSE),IFERROR(VLOOKUP($F131,Sheet3!$H$2:$O$200,AC$1,FALSE),VLOOKUP($G131,Sheet3!$H$2:$O$200,AC$1,FALSE))),$I$1),$I$1)</f>
        <v>0</v>
      </c>
      <c r="AD131" s="15">
        <f>IFERROR(IF(ISBLANK(W131),IFERROR(VLOOKUP($E131,Sheet3!$H$2:$O$200,AD$1,FALSE),IFERROR(VLOOKUP($F131,Sheet3!$H$2:$O$200,AD$1,FALSE),VLOOKUP($G131,Sheet3!$H$2:$O$200,AD$1,FALSE))),$I$1),$I$1)</f>
        <v>0</v>
      </c>
      <c r="AE131" s="15">
        <f>IFERROR(IF(ISBLANK(X131),IFERROR(VLOOKUP($F131,Sheet3!$H$2:$O$200,AE$1,FALSE),VLOOKUP($G131,Sheet3!$H$2:$O$200,AE$1,FALSE)),$I$1),$I$1)</f>
        <v>0</v>
      </c>
      <c r="AF131" s="15">
        <f>IFERROR(IF(ISBLANK(Y131),IFERROR(VLOOKUP($F131,Sheet3!$H$2:$O$200,AF$1,FALSE),VLOOKUP($G131,Sheet3!$H$2:$O$200,AF$1,FALSE)),$I$1),$I$1)</f>
        <v>0</v>
      </c>
      <c r="AG131" s="15">
        <f>IFERROR(IF(ISBLANK(Z131),IFERROR(VLOOKUP($F131,Sheet3!$H$2:$O$200,AG$1,FALSE),VLOOKUP($G131,Sheet3!$H$2:$O$200,AG$1,FALSE)),$I$1),$I$1)</f>
        <v>0</v>
      </c>
      <c r="AH131" s="15">
        <f>IFERROR(IF(ISBLANK(AA131),IFERROR(VLOOKUP($F131,Sheet3!$H$2:$O$200,AH$1,FALSE),VLOOKUP($G131,Sheet3!$H$2:$O$200,AH$1,FALSE)),$I$1),$I$1)</f>
        <v>0</v>
      </c>
      <c r="AI131" s="15">
        <f>IFERROR(IF(ISBLANK(AB131),IFERROR(VLOOKUP($F131,Sheet3!$H$2:$O$200,AI$1,FALSE),VLOOKUP($G131,Sheet3!$H$2:$O$200,AI$1,FALSE)),$I$1),$I$1)</f>
        <v>0</v>
      </c>
      <c r="AJ131" s="15">
        <f>IFERROR(IF(ISBLANK(AC131),IFERROR(VLOOKUP($F131,Sheet3!$H$2:$O$200,AJ$1,FALSE),VLOOKUP($G131,Sheet3!$H$2:$O$200,AJ$1,FALSE)),$I$1),$I$1)</f>
        <v>0</v>
      </c>
      <c r="AK131" s="15">
        <f>IFERROR(IF(ISBLANK(AD131),IFERROR(VLOOKUP($F131,Sheet3!$H$2:$O$200,AK$1,FALSE),VLOOKUP($G131,Sheet3!$H$2:$O$200,AK$1,FALSE)),$I$1),$I$1)</f>
        <v>0</v>
      </c>
      <c r="AL131" s="15">
        <f>IFERROR(IF(ISBLANK(AE131),VLOOKUP($G131,Sheet3!$H$2:$O$200,AL$1,FALSE),$I$1),$I$1)</f>
        <v>0</v>
      </c>
      <c r="AM131" s="15">
        <f>IFERROR(IF(ISBLANK(AF131),VLOOKUP($G131,Sheet3!$H$2:$O$200,AM$1,FALSE),$I$1),$I$1)</f>
        <v>0</v>
      </c>
      <c r="AN131" s="15">
        <f>IFERROR(IF(ISBLANK(AG131),VLOOKUP($G131,Sheet3!$H$2:$O$200,AN$1,FALSE),$I$1),$I$1)</f>
        <v>0</v>
      </c>
      <c r="AO131" s="15">
        <f>IFERROR(IF(ISBLANK(AH131),VLOOKUP($G131,Sheet3!$H$2:$O$200,AO$1,FALSE),$I$1),$I$1)</f>
        <v>0</v>
      </c>
      <c r="AP131" s="15">
        <f>IFERROR(IF(ISBLANK(AI131),VLOOKUP($G131,Sheet3!$H$2:$O$200,AP$1,FALSE),$I$1),$I$1)</f>
        <v>0</v>
      </c>
      <c r="AQ131" s="15">
        <f>IFERROR(IF(ISBLANK(AJ131),VLOOKUP($G131,Sheet3!$H$2:$O$200,AQ$1,FALSE),$I$1),$I$1)</f>
        <v>0</v>
      </c>
      <c r="AR131" s="15">
        <f>IFERROR(IF(ISBLANK(AK131),VLOOKUP($G131,Sheet3!$H$2:$O$200,AR$1,FALSE),$I$1),$I$1)</f>
        <v>0</v>
      </c>
      <c r="AS131" s="15">
        <f t="shared" ref="AS131:AY131" si="138">IFERROR(IF(ISBLANK(J131),IF(ISBLANK(Q131),IF(ISBLANK(X131),IF(ISBLANK(AE131),IF(ISBLANK(AL131),$BB$1,AL131),AE131),X131),Q131),J131),$BB$1)</f>
        <v>0</v>
      </c>
      <c r="AT131" s="15">
        <f t="shared" si="138"/>
        <v>0</v>
      </c>
      <c r="AU131" s="15">
        <f t="shared" si="138"/>
        <v>0</v>
      </c>
      <c r="AV131" s="15" t="str">
        <f t="shared" si="138"/>
        <v>apricot brandy</v>
      </c>
      <c r="AW131" s="15">
        <f t="shared" si="138"/>
        <v>0</v>
      </c>
      <c r="AX131" s="15">
        <f t="shared" si="138"/>
        <v>0</v>
      </c>
      <c r="AY131" s="15">
        <f t="shared" si="138"/>
        <v>0</v>
      </c>
      <c r="BA131" s="13">
        <f t="shared" si="1"/>
        <v>35</v>
      </c>
      <c r="BB131" s="15" t="b">
        <f t="shared" si="2"/>
        <v>0</v>
      </c>
    </row>
    <row r="132" spans="1:54" x14ac:dyDescent="0.2">
      <c r="A132" s="19" t="s">
        <v>284</v>
      </c>
      <c r="B132" s="19" t="s">
        <v>265</v>
      </c>
      <c r="C132" s="19" t="s">
        <v>31</v>
      </c>
      <c r="D132" s="19" t="s">
        <v>90</v>
      </c>
      <c r="E132" s="19" t="s">
        <v>48</v>
      </c>
      <c r="F132" s="19" t="s">
        <v>55</v>
      </c>
      <c r="G132" s="19"/>
      <c r="H132" s="19" t="s">
        <v>284</v>
      </c>
      <c r="I132" s="15">
        <v>4</v>
      </c>
      <c r="J132" s="15">
        <f>IFERROR(VLOOKUP($C132,Sheet3!$H$2:$O$200,J$1,FALSE),IFERROR(VLOOKUP($D132,Sheet3!$H$2:$O$200,J$1,FALSE),VLOOKUP($E132,Sheet3!$H$2:$O$200,J$1,FALSE)))</f>
        <v>0</v>
      </c>
      <c r="K132" s="15">
        <f>IFERROR(VLOOKUP($C132,Sheet3!$H$2:$O$200,K$1,FALSE),IFERROR(VLOOKUP($D132,Sheet3!$H$2:$O$200,K$1,FALSE),VLOOKUP($E132,Sheet3!$H$2:$O$200,K$1,FALSE)))</f>
        <v>0</v>
      </c>
      <c r="L132" s="15">
        <f>IFERROR(VLOOKUP($C132,Sheet3!$H$2:$O$200,L$1,FALSE),IFERROR(VLOOKUP($D132,Sheet3!$H$2:$O$200,L$1,FALSE),VLOOKUP($E132,Sheet3!$H$2:$O$200,L$1,FALSE)))</f>
        <v>0</v>
      </c>
      <c r="M132" s="15" t="str">
        <f>IFERROR(VLOOKUP($C132,Sheet3!$H$2:$O$200,M$1,FALSE),IFERROR(VLOOKUP($D132,Sheet3!$H$2:$O$200,M$1,FALSE),VLOOKUP($E132,Sheet3!$H$2:$O$200,M$1,FALSE)))</f>
        <v>white crème de cacao</v>
      </c>
      <c r="N132" s="15">
        <f>IFERROR(VLOOKUP($C132,Sheet3!$H$2:$O$200,N$1,FALSE),IFERROR(VLOOKUP($D132,Sheet3!$H$2:$O$200,N$1,FALSE),VLOOKUP($E132,Sheet3!$H$2:$O$200,N$1,FALSE)))</f>
        <v>0</v>
      </c>
      <c r="O132" s="15">
        <f>IFERROR(VLOOKUP($C132,Sheet3!$H$2:$O$200,O$1,FALSE),IFERROR(VLOOKUP($D132,Sheet3!$H$2:$O$200,O$1,FALSE),VLOOKUP($E132,Sheet3!$H$2:$O$200,O$1,FALSE)))</f>
        <v>0</v>
      </c>
      <c r="P132" s="15">
        <f>IFERROR(VLOOKUP($C132,Sheet3!$H$2:$O$200,P$1,FALSE),IFERROR(VLOOKUP($D132,Sheet3!$H$2:$O$200,P$1,FALSE),VLOOKUP($E132,Sheet3!$H$2:$O$200,P$1,FALSE)))</f>
        <v>0</v>
      </c>
      <c r="Q132" s="15">
        <f>IFERROR(IF(ISBLANK(J132),IFERROR(VLOOKUP($D132,Sheet3!$H$2:$O$200,Q$1,FALSE),IFERROR(VLOOKUP($E132,Sheet3!$H$2:$O$200,Q$1,FALSE),VLOOKUP($F132,Sheet3!$H$2:$O$200,Q$1,FALSE))),$I$1),$I$1)</f>
        <v>0</v>
      </c>
      <c r="R132" s="15">
        <f>IFERROR(IF(ISBLANK(K132),IFERROR(VLOOKUP($D132,Sheet3!$H$2:$O$200,R$1,FALSE),IFERROR(VLOOKUP($E132,Sheet3!$H$2:$O$200,R$1,FALSE),VLOOKUP($F132,Sheet3!$H$2:$O$200,R$1,FALSE))),$I$1),$I$1)</f>
        <v>0</v>
      </c>
      <c r="S132" s="15">
        <f>IFERROR(IF(ISBLANK(L132),IFERROR(VLOOKUP($D132,Sheet3!$H$2:$O$200,S$1,FALSE),IFERROR(VLOOKUP($E132,Sheet3!$H$2:$O$200,S$1,FALSE),VLOOKUP($F132,Sheet3!$H$2:$O$200,S$1,FALSE))),$I$1),$I$1)</f>
        <v>0</v>
      </c>
      <c r="T132" s="15">
        <f>IFERROR(IF(ISBLANK(M132),IFERROR(VLOOKUP($D132,Sheet3!$H$2:$O$200,T$1,FALSE),IFERROR(VLOOKUP($E132,Sheet3!$H$2:$O$200,T$1,FALSE),VLOOKUP($F132,Sheet3!$H$2:$O$200,T$1,FALSE))),$I$1),$I$1)</f>
        <v>0</v>
      </c>
      <c r="U132" s="15">
        <f>IFERROR(IF(ISBLANK(N132),IFERROR(VLOOKUP($D132,Sheet3!$H$2:$O$200,U$1,FALSE),IFERROR(VLOOKUP($E132,Sheet3!$H$2:$O$200,U$1,FALSE),VLOOKUP($F132,Sheet3!$H$2:$O$200,U$1,FALSE))),$I$1),$I$1)</f>
        <v>0</v>
      </c>
      <c r="V132" s="15">
        <f>IFERROR(IF(ISBLANK(O132),IFERROR(VLOOKUP($D132,Sheet3!$H$2:$O$200,V$1,FALSE),IFERROR(VLOOKUP($E132,Sheet3!$H$2:$O$200,V$1,FALSE),VLOOKUP($F132,Sheet3!$H$2:$O$200,V$1,FALSE))),$I$1),$I$1)</f>
        <v>0</v>
      </c>
      <c r="W132" s="15">
        <f>IFERROR(IF(ISBLANK(P132),IFERROR(VLOOKUP($D132,Sheet3!$H$2:$O$200,W$1,FALSE),IFERROR(VLOOKUP($E132,Sheet3!$H$2:$O$200,W$1,FALSE),VLOOKUP($F132,Sheet3!$H$2:$O$200,W$1,FALSE))),$I$1),$I$1)</f>
        <v>0</v>
      </c>
      <c r="X132" s="15">
        <f>IFERROR(IF(ISBLANK(Q132),IFERROR(VLOOKUP($E132,Sheet3!$H$2:$O$200,X$1,FALSE),IFERROR(VLOOKUP($F132,Sheet3!$H$2:$O$200,X$1,FALSE),VLOOKUP($G132,Sheet3!$H$2:$O$200,X$1,FALSE))),$I$1),$I$1)</f>
        <v>0</v>
      </c>
      <c r="Y132" s="15">
        <f>IFERROR(IF(ISBLANK(R132),IFERROR(VLOOKUP($E132,Sheet3!$H$2:$O$200,Y$1,FALSE),IFERROR(VLOOKUP($F132,Sheet3!$H$2:$O$200,Y$1,FALSE),VLOOKUP($G132,Sheet3!$H$2:$O$200,Y$1,FALSE))),$I$1),$I$1)</f>
        <v>0</v>
      </c>
      <c r="Z132" s="15">
        <f>IFERROR(IF(ISBLANK(S132),IFERROR(VLOOKUP($E132,Sheet3!$H$2:$O$200,Z$1,FALSE),IFERROR(VLOOKUP($F132,Sheet3!$H$2:$O$200,Z$1,FALSE),VLOOKUP($G132,Sheet3!$H$2:$O$200,Z$1,FALSE))),$I$1),$I$1)</f>
        <v>0</v>
      </c>
      <c r="AA132" s="15">
        <f>IFERROR(IF(ISBLANK(T132),IFERROR(VLOOKUP($E132,Sheet3!$H$2:$O$200,AA$1,FALSE),IFERROR(VLOOKUP($F132,Sheet3!$H$2:$O$200,AA$1,FALSE),VLOOKUP($G132,Sheet3!$H$2:$O$200,AA$1,FALSE))),$I$1),$I$1)</f>
        <v>0</v>
      </c>
      <c r="AB132" s="15">
        <f>IFERROR(IF(ISBLANK(U132),IFERROR(VLOOKUP($E132,Sheet3!$H$2:$O$200,AB$1,FALSE),IFERROR(VLOOKUP($F132,Sheet3!$H$2:$O$200,AB$1,FALSE),VLOOKUP($G132,Sheet3!$H$2:$O$200,AB$1,FALSE))),$I$1),$I$1)</f>
        <v>0</v>
      </c>
      <c r="AC132" s="15">
        <f>IFERROR(IF(ISBLANK(V132),IFERROR(VLOOKUP($E132,Sheet3!$H$2:$O$200,AC$1,FALSE),IFERROR(VLOOKUP($F132,Sheet3!$H$2:$O$200,AC$1,FALSE),VLOOKUP($G132,Sheet3!$H$2:$O$200,AC$1,FALSE))),$I$1),$I$1)</f>
        <v>0</v>
      </c>
      <c r="AD132" s="15">
        <f>IFERROR(IF(ISBLANK(W132),IFERROR(VLOOKUP($E132,Sheet3!$H$2:$O$200,AD$1,FALSE),IFERROR(VLOOKUP($F132,Sheet3!$H$2:$O$200,AD$1,FALSE),VLOOKUP($G132,Sheet3!$H$2:$O$200,AD$1,FALSE))),$I$1),$I$1)</f>
        <v>0</v>
      </c>
      <c r="AE132" s="15">
        <f>IFERROR(IF(ISBLANK(X132),IFERROR(VLOOKUP($F132,Sheet3!$H$2:$O$200,AE$1,FALSE),VLOOKUP($G132,Sheet3!$H$2:$O$200,AE$1,FALSE)),$I$1),$I$1)</f>
        <v>0</v>
      </c>
      <c r="AF132" s="15">
        <f>IFERROR(IF(ISBLANK(Y132),IFERROR(VLOOKUP($F132,Sheet3!$H$2:$O$200,AF$1,FALSE),VLOOKUP($G132,Sheet3!$H$2:$O$200,AF$1,FALSE)),$I$1),$I$1)</f>
        <v>0</v>
      </c>
      <c r="AG132" s="15">
        <f>IFERROR(IF(ISBLANK(Z132),IFERROR(VLOOKUP($F132,Sheet3!$H$2:$O$200,AG$1,FALSE),VLOOKUP($G132,Sheet3!$H$2:$O$200,AG$1,FALSE)),$I$1),$I$1)</f>
        <v>0</v>
      </c>
      <c r="AH132" s="15">
        <f>IFERROR(IF(ISBLANK(AA132),IFERROR(VLOOKUP($F132,Sheet3!$H$2:$O$200,AH$1,FALSE),VLOOKUP($G132,Sheet3!$H$2:$O$200,AH$1,FALSE)),$I$1),$I$1)</f>
        <v>0</v>
      </c>
      <c r="AI132" s="15">
        <f>IFERROR(IF(ISBLANK(AB132),IFERROR(VLOOKUP($F132,Sheet3!$H$2:$O$200,AI$1,FALSE),VLOOKUP($G132,Sheet3!$H$2:$O$200,AI$1,FALSE)),$I$1),$I$1)</f>
        <v>0</v>
      </c>
      <c r="AJ132" s="15">
        <f>IFERROR(IF(ISBLANK(AC132),IFERROR(VLOOKUP($F132,Sheet3!$H$2:$O$200,AJ$1,FALSE),VLOOKUP($G132,Sheet3!$H$2:$O$200,AJ$1,FALSE)),$I$1),$I$1)</f>
        <v>0</v>
      </c>
      <c r="AK132" s="15">
        <f>IFERROR(IF(ISBLANK(AD132),IFERROR(VLOOKUP($F132,Sheet3!$H$2:$O$200,AK$1,FALSE),VLOOKUP($G132,Sheet3!$H$2:$O$200,AK$1,FALSE)),$I$1),$I$1)</f>
        <v>0</v>
      </c>
      <c r="AL132" s="15">
        <f>IFERROR(IF(ISBLANK(AE132),VLOOKUP($G132,Sheet3!$H$2:$O$200,AL$1,FALSE),$I$1),$I$1)</f>
        <v>0</v>
      </c>
      <c r="AM132" s="15">
        <f>IFERROR(IF(ISBLANK(AF132),VLOOKUP($G132,Sheet3!$H$2:$O$200,AM$1,FALSE),$I$1),$I$1)</f>
        <v>0</v>
      </c>
      <c r="AN132" s="15">
        <f>IFERROR(IF(ISBLANK(AG132),VLOOKUP($G132,Sheet3!$H$2:$O$200,AN$1,FALSE),$I$1),$I$1)</f>
        <v>0</v>
      </c>
      <c r="AO132" s="15">
        <f>IFERROR(IF(ISBLANK(AH132),VLOOKUP($G132,Sheet3!$H$2:$O$200,AO$1,FALSE),$I$1),$I$1)</f>
        <v>0</v>
      </c>
      <c r="AP132" s="15">
        <f>IFERROR(IF(ISBLANK(AI132),VLOOKUP($G132,Sheet3!$H$2:$O$200,AP$1,FALSE),$I$1),$I$1)</f>
        <v>0</v>
      </c>
      <c r="AQ132" s="15">
        <f>IFERROR(IF(ISBLANK(AJ132),VLOOKUP($G132,Sheet3!$H$2:$O$200,AQ$1,FALSE),$I$1),$I$1)</f>
        <v>0</v>
      </c>
      <c r="AR132" s="15">
        <f>IFERROR(IF(ISBLANK(AK132),VLOOKUP($G132,Sheet3!$H$2:$O$200,AR$1,FALSE),$I$1),$I$1)</f>
        <v>0</v>
      </c>
      <c r="AS132" s="15">
        <f t="shared" ref="AS132:AY132" si="139">IFERROR(IF(ISBLANK(J132),IF(ISBLANK(Q132),IF(ISBLANK(X132),IF(ISBLANK(AE132),IF(ISBLANK(AL132),$BB$1,AL132),AE132),X132),Q132),J132),$BB$1)</f>
        <v>0</v>
      </c>
      <c r="AT132" s="15">
        <f t="shared" si="139"/>
        <v>0</v>
      </c>
      <c r="AU132" s="15">
        <f t="shared" si="139"/>
        <v>0</v>
      </c>
      <c r="AV132" s="15" t="str">
        <f t="shared" si="139"/>
        <v>white crème de cacao</v>
      </c>
      <c r="AW132" s="15">
        <f t="shared" si="139"/>
        <v>0</v>
      </c>
      <c r="AX132" s="15">
        <f t="shared" si="139"/>
        <v>0</v>
      </c>
      <c r="AY132" s="15">
        <f t="shared" si="139"/>
        <v>0</v>
      </c>
      <c r="BA132" s="13">
        <f t="shared" si="1"/>
        <v>35</v>
      </c>
      <c r="BB132" s="15" t="b">
        <f t="shared" si="2"/>
        <v>0</v>
      </c>
    </row>
    <row r="133" spans="1:54" x14ac:dyDescent="0.2">
      <c r="A133" s="19" t="s">
        <v>285</v>
      </c>
      <c r="B133" s="19" t="s">
        <v>265</v>
      </c>
      <c r="C133" s="19" t="s">
        <v>120</v>
      </c>
      <c r="D133" s="19" t="s">
        <v>90</v>
      </c>
      <c r="E133" s="19" t="s">
        <v>86</v>
      </c>
      <c r="F133" s="19"/>
      <c r="G133" s="19"/>
      <c r="H133" s="19" t="s">
        <v>285</v>
      </c>
      <c r="I133" s="15">
        <v>3</v>
      </c>
      <c r="J133" s="15">
        <f>IFERROR(VLOOKUP($C133,Sheet3!$H$2:$O$200,J$1,FALSE),IFERROR(VLOOKUP($D133,Sheet3!$H$2:$O$200,J$1,FALSE),VLOOKUP($E133,Sheet3!$H$2:$O$200,J$1,FALSE)))</f>
        <v>0</v>
      </c>
      <c r="K133" s="15">
        <f>IFERROR(VLOOKUP($C133,Sheet3!$H$2:$O$200,K$1,FALSE),IFERROR(VLOOKUP($D133,Sheet3!$H$2:$O$200,K$1,FALSE),VLOOKUP($E133,Sheet3!$H$2:$O$200,K$1,FALSE)))</f>
        <v>0</v>
      </c>
      <c r="L133" s="15">
        <f>IFERROR(VLOOKUP($C133,Sheet3!$H$2:$O$200,L$1,FALSE),IFERROR(VLOOKUP($D133,Sheet3!$H$2:$O$200,L$1,FALSE),VLOOKUP($E133,Sheet3!$H$2:$O$200,L$1,FALSE)))</f>
        <v>0</v>
      </c>
      <c r="M133" s="15" t="str">
        <f>IFERROR(VLOOKUP($C133,Sheet3!$H$2:$O$200,M$1,FALSE),IFERROR(VLOOKUP($D133,Sheet3!$H$2:$O$200,M$1,FALSE),VLOOKUP($E133,Sheet3!$H$2:$O$200,M$1,FALSE)))</f>
        <v>maraschino liqueur</v>
      </c>
      <c r="N133" s="15">
        <f>IFERROR(VLOOKUP($C133,Sheet3!$H$2:$O$200,N$1,FALSE),IFERROR(VLOOKUP($D133,Sheet3!$H$2:$O$200,N$1,FALSE),VLOOKUP($E133,Sheet3!$H$2:$O$200,N$1,FALSE)))</f>
        <v>0</v>
      </c>
      <c r="O133" s="15">
        <f>IFERROR(VLOOKUP($C133,Sheet3!$H$2:$O$200,O$1,FALSE),IFERROR(VLOOKUP($D133,Sheet3!$H$2:$O$200,O$1,FALSE),VLOOKUP($E133,Sheet3!$H$2:$O$200,O$1,FALSE)))</f>
        <v>0</v>
      </c>
      <c r="P133" s="15">
        <f>IFERROR(VLOOKUP($C133,Sheet3!$H$2:$O$200,P$1,FALSE),IFERROR(VLOOKUP($D133,Sheet3!$H$2:$O$200,P$1,FALSE),VLOOKUP($E133,Sheet3!$H$2:$O$200,P$1,FALSE)))</f>
        <v>0</v>
      </c>
      <c r="Q133" s="15">
        <f>IFERROR(IF(ISBLANK(J133),IFERROR(VLOOKUP($D133,Sheet3!$H$2:$O$200,Q$1,FALSE),IFERROR(VLOOKUP($E133,Sheet3!$H$2:$O$200,Q$1,FALSE),VLOOKUP($F133,Sheet3!$H$2:$O$200,Q$1,FALSE))),$I$1),$I$1)</f>
        <v>0</v>
      </c>
      <c r="R133" s="15">
        <f>IFERROR(IF(ISBLANK(K133),IFERROR(VLOOKUP($D133,Sheet3!$H$2:$O$200,R$1,FALSE),IFERROR(VLOOKUP($E133,Sheet3!$H$2:$O$200,R$1,FALSE),VLOOKUP($F133,Sheet3!$H$2:$O$200,R$1,FALSE))),$I$1),$I$1)</f>
        <v>0</v>
      </c>
      <c r="S133" s="15">
        <f>IFERROR(IF(ISBLANK(L133),IFERROR(VLOOKUP($D133,Sheet3!$H$2:$O$200,S$1,FALSE),IFERROR(VLOOKUP($E133,Sheet3!$H$2:$O$200,S$1,FALSE),VLOOKUP($F133,Sheet3!$H$2:$O$200,S$1,FALSE))),$I$1),$I$1)</f>
        <v>0</v>
      </c>
      <c r="T133" s="15">
        <f>IFERROR(IF(ISBLANK(M133),IFERROR(VLOOKUP($D133,Sheet3!$H$2:$O$200,T$1,FALSE),IFERROR(VLOOKUP($E133,Sheet3!$H$2:$O$200,T$1,FALSE),VLOOKUP($F133,Sheet3!$H$2:$O$200,T$1,FALSE))),$I$1),$I$1)</f>
        <v>0</v>
      </c>
      <c r="U133" s="15">
        <f>IFERROR(IF(ISBLANK(N133),IFERROR(VLOOKUP($D133,Sheet3!$H$2:$O$200,U$1,FALSE),IFERROR(VLOOKUP($E133,Sheet3!$H$2:$O$200,U$1,FALSE),VLOOKUP($F133,Sheet3!$H$2:$O$200,U$1,FALSE))),$I$1),$I$1)</f>
        <v>0</v>
      </c>
      <c r="V133" s="15">
        <f>IFERROR(IF(ISBLANK(O133),IFERROR(VLOOKUP($D133,Sheet3!$H$2:$O$200,V$1,FALSE),IFERROR(VLOOKUP($E133,Sheet3!$H$2:$O$200,V$1,FALSE),VLOOKUP($F133,Sheet3!$H$2:$O$200,V$1,FALSE))),$I$1),$I$1)</f>
        <v>0</v>
      </c>
      <c r="W133" s="15">
        <f>IFERROR(IF(ISBLANK(P133),IFERROR(VLOOKUP($D133,Sheet3!$H$2:$O$200,W$1,FALSE),IFERROR(VLOOKUP($E133,Sheet3!$H$2:$O$200,W$1,FALSE),VLOOKUP($F133,Sheet3!$H$2:$O$200,W$1,FALSE))),$I$1),$I$1)</f>
        <v>0</v>
      </c>
      <c r="X133" s="15">
        <f>IFERROR(IF(ISBLANK(Q133),IFERROR(VLOOKUP($E133,Sheet3!$H$2:$O$200,X$1,FALSE),IFERROR(VLOOKUP($F133,Sheet3!$H$2:$O$200,X$1,FALSE),VLOOKUP($G133,Sheet3!$H$2:$O$200,X$1,FALSE))),$I$1),$I$1)</f>
        <v>0</v>
      </c>
      <c r="Y133" s="15">
        <f>IFERROR(IF(ISBLANK(R133),IFERROR(VLOOKUP($E133,Sheet3!$H$2:$O$200,Y$1,FALSE),IFERROR(VLOOKUP($F133,Sheet3!$H$2:$O$200,Y$1,FALSE),VLOOKUP($G133,Sheet3!$H$2:$O$200,Y$1,FALSE))),$I$1),$I$1)</f>
        <v>0</v>
      </c>
      <c r="Z133" s="15">
        <f>IFERROR(IF(ISBLANK(S133),IFERROR(VLOOKUP($E133,Sheet3!$H$2:$O$200,Z$1,FALSE),IFERROR(VLOOKUP($F133,Sheet3!$H$2:$O$200,Z$1,FALSE),VLOOKUP($G133,Sheet3!$H$2:$O$200,Z$1,FALSE))),$I$1),$I$1)</f>
        <v>0</v>
      </c>
      <c r="AA133" s="15">
        <f>IFERROR(IF(ISBLANK(T133),IFERROR(VLOOKUP($E133,Sheet3!$H$2:$O$200,AA$1,FALSE),IFERROR(VLOOKUP($F133,Sheet3!$H$2:$O$200,AA$1,FALSE),VLOOKUP($G133,Sheet3!$H$2:$O$200,AA$1,FALSE))),$I$1),$I$1)</f>
        <v>0</v>
      </c>
      <c r="AB133" s="15">
        <f>IFERROR(IF(ISBLANK(U133),IFERROR(VLOOKUP($E133,Sheet3!$H$2:$O$200,AB$1,FALSE),IFERROR(VLOOKUP($F133,Sheet3!$H$2:$O$200,AB$1,FALSE),VLOOKUP($G133,Sheet3!$H$2:$O$200,AB$1,FALSE))),$I$1),$I$1)</f>
        <v>0</v>
      </c>
      <c r="AC133" s="15">
        <f>IFERROR(IF(ISBLANK(V133),IFERROR(VLOOKUP($E133,Sheet3!$H$2:$O$200,AC$1,FALSE),IFERROR(VLOOKUP($F133,Sheet3!$H$2:$O$200,AC$1,FALSE),VLOOKUP($G133,Sheet3!$H$2:$O$200,AC$1,FALSE))),$I$1),$I$1)</f>
        <v>0</v>
      </c>
      <c r="AD133" s="15">
        <f>IFERROR(IF(ISBLANK(W133),IFERROR(VLOOKUP($E133,Sheet3!$H$2:$O$200,AD$1,FALSE),IFERROR(VLOOKUP($F133,Sheet3!$H$2:$O$200,AD$1,FALSE),VLOOKUP($G133,Sheet3!$H$2:$O$200,AD$1,FALSE))),$I$1),$I$1)</f>
        <v>0</v>
      </c>
      <c r="AE133" s="15">
        <f>IFERROR(IF(ISBLANK(X133),IFERROR(VLOOKUP($F133,Sheet3!$H$2:$O$200,AE$1,FALSE),VLOOKUP($G133,Sheet3!$H$2:$O$200,AE$1,FALSE)),$I$1),$I$1)</f>
        <v>0</v>
      </c>
      <c r="AF133" s="15">
        <f>IFERROR(IF(ISBLANK(Y133),IFERROR(VLOOKUP($F133,Sheet3!$H$2:$O$200,AF$1,FALSE),VLOOKUP($G133,Sheet3!$H$2:$O$200,AF$1,FALSE)),$I$1),$I$1)</f>
        <v>0</v>
      </c>
      <c r="AG133" s="15">
        <f>IFERROR(IF(ISBLANK(Z133),IFERROR(VLOOKUP($F133,Sheet3!$H$2:$O$200,AG$1,FALSE),VLOOKUP($G133,Sheet3!$H$2:$O$200,AG$1,FALSE)),$I$1),$I$1)</f>
        <v>0</v>
      </c>
      <c r="AH133" s="15">
        <f>IFERROR(IF(ISBLANK(AA133),IFERROR(VLOOKUP($F133,Sheet3!$H$2:$O$200,AH$1,FALSE),VLOOKUP($G133,Sheet3!$H$2:$O$200,AH$1,FALSE)),$I$1),$I$1)</f>
        <v>0</v>
      </c>
      <c r="AI133" s="15">
        <f>IFERROR(IF(ISBLANK(AB133),IFERROR(VLOOKUP($F133,Sheet3!$H$2:$O$200,AI$1,FALSE),VLOOKUP($G133,Sheet3!$H$2:$O$200,AI$1,FALSE)),$I$1),$I$1)</f>
        <v>0</v>
      </c>
      <c r="AJ133" s="15">
        <f>IFERROR(IF(ISBLANK(AC133),IFERROR(VLOOKUP($F133,Sheet3!$H$2:$O$200,AJ$1,FALSE),VLOOKUP($G133,Sheet3!$H$2:$O$200,AJ$1,FALSE)),$I$1),$I$1)</f>
        <v>0</v>
      </c>
      <c r="AK133" s="15">
        <f>IFERROR(IF(ISBLANK(AD133),IFERROR(VLOOKUP($F133,Sheet3!$H$2:$O$200,AK$1,FALSE),VLOOKUP($G133,Sheet3!$H$2:$O$200,AK$1,FALSE)),$I$1),$I$1)</f>
        <v>0</v>
      </c>
      <c r="AL133" s="15">
        <f>IFERROR(IF(ISBLANK(AE133),VLOOKUP($G133,Sheet3!$H$2:$O$200,AL$1,FALSE),$I$1),$I$1)</f>
        <v>0</v>
      </c>
      <c r="AM133" s="15">
        <f>IFERROR(IF(ISBLANK(AF133),VLOOKUP($G133,Sheet3!$H$2:$O$200,AM$1,FALSE),$I$1),$I$1)</f>
        <v>0</v>
      </c>
      <c r="AN133" s="15">
        <f>IFERROR(IF(ISBLANK(AG133),VLOOKUP($G133,Sheet3!$H$2:$O$200,AN$1,FALSE),$I$1),$I$1)</f>
        <v>0</v>
      </c>
      <c r="AO133" s="15">
        <f>IFERROR(IF(ISBLANK(AH133),VLOOKUP($G133,Sheet3!$H$2:$O$200,AO$1,FALSE),$I$1),$I$1)</f>
        <v>0</v>
      </c>
      <c r="AP133" s="15">
        <f>IFERROR(IF(ISBLANK(AI133),VLOOKUP($G133,Sheet3!$H$2:$O$200,AP$1,FALSE),$I$1),$I$1)</f>
        <v>0</v>
      </c>
      <c r="AQ133" s="15">
        <f>IFERROR(IF(ISBLANK(AJ133),VLOOKUP($G133,Sheet3!$H$2:$O$200,AQ$1,FALSE),$I$1),$I$1)</f>
        <v>0</v>
      </c>
      <c r="AR133" s="15">
        <f>IFERROR(IF(ISBLANK(AK133),VLOOKUP($G133,Sheet3!$H$2:$O$200,AR$1,FALSE),$I$1),$I$1)</f>
        <v>0</v>
      </c>
      <c r="AS133" s="15">
        <f t="shared" ref="AS133:AY133" si="140">IFERROR(IF(ISBLANK(J133),IF(ISBLANK(Q133),IF(ISBLANK(X133),IF(ISBLANK(AE133),IF(ISBLANK(AL133),$BB$1,AL133),AE133),X133),Q133),J133),$BB$1)</f>
        <v>0</v>
      </c>
      <c r="AT133" s="15">
        <f t="shared" si="140"/>
        <v>0</v>
      </c>
      <c r="AU133" s="15">
        <f t="shared" si="140"/>
        <v>0</v>
      </c>
      <c r="AV133" s="15" t="str">
        <f t="shared" si="140"/>
        <v>maraschino liqueur</v>
      </c>
      <c r="AW133" s="15">
        <f t="shared" si="140"/>
        <v>0</v>
      </c>
      <c r="AX133" s="15">
        <f t="shared" si="140"/>
        <v>0</v>
      </c>
      <c r="AY133" s="15">
        <f t="shared" si="140"/>
        <v>0</v>
      </c>
      <c r="BA133" s="13">
        <f t="shared" si="1"/>
        <v>35</v>
      </c>
      <c r="BB133" s="15" t="b">
        <f t="shared" si="2"/>
        <v>0</v>
      </c>
    </row>
    <row r="134" spans="1:54" x14ac:dyDescent="0.2">
      <c r="A134" s="19" t="s">
        <v>286</v>
      </c>
      <c r="B134" s="19" t="s">
        <v>265</v>
      </c>
      <c r="C134" s="19" t="s">
        <v>100</v>
      </c>
      <c r="D134" s="19" t="s">
        <v>90</v>
      </c>
      <c r="E134" s="19"/>
      <c r="F134" s="19"/>
      <c r="G134" s="19"/>
      <c r="H134" s="19" t="s">
        <v>286</v>
      </c>
      <c r="I134" s="15">
        <v>2</v>
      </c>
      <c r="J134" s="15">
        <f>IFERROR(VLOOKUP($C134,Sheet3!$H$2:$O$200,J$1,FALSE),IFERROR(VLOOKUP($D134,Sheet3!$H$2:$O$200,J$1,FALSE),VLOOKUP($E134,Sheet3!$H$2:$O$200,J$1,FALSE)))</f>
        <v>0</v>
      </c>
      <c r="K134" s="15">
        <f>IFERROR(VLOOKUP($C134,Sheet3!$H$2:$O$200,K$1,FALSE),IFERROR(VLOOKUP($D134,Sheet3!$H$2:$O$200,K$1,FALSE),VLOOKUP($E134,Sheet3!$H$2:$O$200,K$1,FALSE)))</f>
        <v>0</v>
      </c>
      <c r="L134" s="15">
        <f>IFERROR(VLOOKUP($C134,Sheet3!$H$2:$O$200,L$1,FALSE),IFERROR(VLOOKUP($D134,Sheet3!$H$2:$O$200,L$1,FALSE),VLOOKUP($E134,Sheet3!$H$2:$O$200,L$1,FALSE)))</f>
        <v>0</v>
      </c>
      <c r="M134" s="15" t="str">
        <f>IFERROR(VLOOKUP($C134,Sheet3!$H$2:$O$200,M$1,FALSE),IFERROR(VLOOKUP($D134,Sheet3!$H$2:$O$200,M$1,FALSE),VLOOKUP($E134,Sheet3!$H$2:$O$200,M$1,FALSE)))</f>
        <v>triple sec</v>
      </c>
      <c r="N134" s="15">
        <f>IFERROR(VLOOKUP($C134,Sheet3!$H$2:$O$200,N$1,FALSE),IFERROR(VLOOKUP($D134,Sheet3!$H$2:$O$200,N$1,FALSE),VLOOKUP($E134,Sheet3!$H$2:$O$200,N$1,FALSE)))</f>
        <v>0</v>
      </c>
      <c r="O134" s="15">
        <f>IFERROR(VLOOKUP($C134,Sheet3!$H$2:$O$200,O$1,FALSE),IFERROR(VLOOKUP($D134,Sheet3!$H$2:$O$200,O$1,FALSE),VLOOKUP($E134,Sheet3!$H$2:$O$200,O$1,FALSE)))</f>
        <v>0</v>
      </c>
      <c r="P134" s="15">
        <f>IFERROR(VLOOKUP($C134,Sheet3!$H$2:$O$200,P$1,FALSE),IFERROR(VLOOKUP($D134,Sheet3!$H$2:$O$200,P$1,FALSE),VLOOKUP($E134,Sheet3!$H$2:$O$200,P$1,FALSE)))</f>
        <v>0</v>
      </c>
      <c r="Q134" s="15">
        <f>IFERROR(IF(ISBLANK(J134),IFERROR(VLOOKUP($D134,Sheet3!$H$2:$O$200,Q$1,FALSE),IFERROR(VLOOKUP($E134,Sheet3!$H$2:$O$200,Q$1,FALSE),VLOOKUP($F134,Sheet3!$H$2:$O$200,Q$1,FALSE))),$I$1),$I$1)</f>
        <v>0</v>
      </c>
      <c r="R134" s="15">
        <f>IFERROR(IF(ISBLANK(K134),IFERROR(VLOOKUP($D134,Sheet3!$H$2:$O$200,R$1,FALSE),IFERROR(VLOOKUP($E134,Sheet3!$H$2:$O$200,R$1,FALSE),VLOOKUP($F134,Sheet3!$H$2:$O$200,R$1,FALSE))),$I$1),$I$1)</f>
        <v>0</v>
      </c>
      <c r="S134" s="15">
        <f>IFERROR(IF(ISBLANK(L134),IFERROR(VLOOKUP($D134,Sheet3!$H$2:$O$200,S$1,FALSE),IFERROR(VLOOKUP($E134,Sheet3!$H$2:$O$200,S$1,FALSE),VLOOKUP($F134,Sheet3!$H$2:$O$200,S$1,FALSE))),$I$1),$I$1)</f>
        <v>0</v>
      </c>
      <c r="T134" s="15">
        <f>IFERROR(IF(ISBLANK(M134),IFERROR(VLOOKUP($D134,Sheet3!$H$2:$O$200,T$1,FALSE),IFERROR(VLOOKUP($E134,Sheet3!$H$2:$O$200,T$1,FALSE),VLOOKUP($F134,Sheet3!$H$2:$O$200,T$1,FALSE))),$I$1),$I$1)</f>
        <v>0</v>
      </c>
      <c r="U134" s="15">
        <f>IFERROR(IF(ISBLANK(N134),IFERROR(VLOOKUP($D134,Sheet3!$H$2:$O$200,U$1,FALSE),IFERROR(VLOOKUP($E134,Sheet3!$H$2:$O$200,U$1,FALSE),VLOOKUP($F134,Sheet3!$H$2:$O$200,U$1,FALSE))),$I$1),$I$1)</f>
        <v>0</v>
      </c>
      <c r="V134" s="15">
        <f>IFERROR(IF(ISBLANK(O134),IFERROR(VLOOKUP($D134,Sheet3!$H$2:$O$200,V$1,FALSE),IFERROR(VLOOKUP($E134,Sheet3!$H$2:$O$200,V$1,FALSE),VLOOKUP($F134,Sheet3!$H$2:$O$200,V$1,FALSE))),$I$1),$I$1)</f>
        <v>0</v>
      </c>
      <c r="W134" s="15">
        <f>IFERROR(IF(ISBLANK(P134),IFERROR(VLOOKUP($D134,Sheet3!$H$2:$O$200,W$1,FALSE),IFERROR(VLOOKUP($E134,Sheet3!$H$2:$O$200,W$1,FALSE),VLOOKUP($F134,Sheet3!$H$2:$O$200,W$1,FALSE))),$I$1),$I$1)</f>
        <v>0</v>
      </c>
      <c r="X134" s="15">
        <f>IFERROR(IF(ISBLANK(Q134),IFERROR(VLOOKUP($E134,Sheet3!$H$2:$O$200,X$1,FALSE),IFERROR(VLOOKUP($F134,Sheet3!$H$2:$O$200,X$1,FALSE),VLOOKUP($G134,Sheet3!$H$2:$O$200,X$1,FALSE))),$I$1),$I$1)</f>
        <v>0</v>
      </c>
      <c r="Y134" s="15">
        <f>IFERROR(IF(ISBLANK(R134),IFERROR(VLOOKUP($E134,Sheet3!$H$2:$O$200,Y$1,FALSE),IFERROR(VLOOKUP($F134,Sheet3!$H$2:$O$200,Y$1,FALSE),VLOOKUP($G134,Sheet3!$H$2:$O$200,Y$1,FALSE))),$I$1),$I$1)</f>
        <v>0</v>
      </c>
      <c r="Z134" s="15">
        <f>IFERROR(IF(ISBLANK(S134),IFERROR(VLOOKUP($E134,Sheet3!$H$2:$O$200,Z$1,FALSE),IFERROR(VLOOKUP($F134,Sheet3!$H$2:$O$200,Z$1,FALSE),VLOOKUP($G134,Sheet3!$H$2:$O$200,Z$1,FALSE))),$I$1),$I$1)</f>
        <v>0</v>
      </c>
      <c r="AA134" s="15">
        <f>IFERROR(IF(ISBLANK(T134),IFERROR(VLOOKUP($E134,Sheet3!$H$2:$O$200,AA$1,FALSE),IFERROR(VLOOKUP($F134,Sheet3!$H$2:$O$200,AA$1,FALSE),VLOOKUP($G134,Sheet3!$H$2:$O$200,AA$1,FALSE))),$I$1),$I$1)</f>
        <v>0</v>
      </c>
      <c r="AB134" s="15">
        <f>IFERROR(IF(ISBLANK(U134),IFERROR(VLOOKUP($E134,Sheet3!$H$2:$O$200,AB$1,FALSE),IFERROR(VLOOKUP($F134,Sheet3!$H$2:$O$200,AB$1,FALSE),VLOOKUP($G134,Sheet3!$H$2:$O$200,AB$1,FALSE))),$I$1),$I$1)</f>
        <v>0</v>
      </c>
      <c r="AC134" s="15">
        <f>IFERROR(IF(ISBLANK(V134),IFERROR(VLOOKUP($E134,Sheet3!$H$2:$O$200,AC$1,FALSE),IFERROR(VLOOKUP($F134,Sheet3!$H$2:$O$200,AC$1,FALSE),VLOOKUP($G134,Sheet3!$H$2:$O$200,AC$1,FALSE))),$I$1),$I$1)</f>
        <v>0</v>
      </c>
      <c r="AD134" s="15">
        <f>IFERROR(IF(ISBLANK(W134),IFERROR(VLOOKUP($E134,Sheet3!$H$2:$O$200,AD$1,FALSE),IFERROR(VLOOKUP($F134,Sheet3!$H$2:$O$200,AD$1,FALSE),VLOOKUP($G134,Sheet3!$H$2:$O$200,AD$1,FALSE))),$I$1),$I$1)</f>
        <v>0</v>
      </c>
      <c r="AE134" s="15">
        <f>IFERROR(IF(ISBLANK(X134),IFERROR(VLOOKUP($F134,Sheet3!$H$2:$O$200,AE$1,FALSE),VLOOKUP($G134,Sheet3!$H$2:$O$200,AE$1,FALSE)),$I$1),$I$1)</f>
        <v>0</v>
      </c>
      <c r="AF134" s="15">
        <f>IFERROR(IF(ISBLANK(Y134),IFERROR(VLOOKUP($F134,Sheet3!$H$2:$O$200,AF$1,FALSE),VLOOKUP($G134,Sheet3!$H$2:$O$200,AF$1,FALSE)),$I$1),$I$1)</f>
        <v>0</v>
      </c>
      <c r="AG134" s="15">
        <f>IFERROR(IF(ISBLANK(Z134),IFERROR(VLOOKUP($F134,Sheet3!$H$2:$O$200,AG$1,FALSE),VLOOKUP($G134,Sheet3!$H$2:$O$200,AG$1,FALSE)),$I$1),$I$1)</f>
        <v>0</v>
      </c>
      <c r="AH134" s="15">
        <f>IFERROR(IF(ISBLANK(AA134),IFERROR(VLOOKUP($F134,Sheet3!$H$2:$O$200,AH$1,FALSE),VLOOKUP($G134,Sheet3!$H$2:$O$200,AH$1,FALSE)),$I$1),$I$1)</f>
        <v>0</v>
      </c>
      <c r="AI134" s="15">
        <f>IFERROR(IF(ISBLANK(AB134),IFERROR(VLOOKUP($F134,Sheet3!$H$2:$O$200,AI$1,FALSE),VLOOKUP($G134,Sheet3!$H$2:$O$200,AI$1,FALSE)),$I$1),$I$1)</f>
        <v>0</v>
      </c>
      <c r="AJ134" s="15">
        <f>IFERROR(IF(ISBLANK(AC134),IFERROR(VLOOKUP($F134,Sheet3!$H$2:$O$200,AJ$1,FALSE),VLOOKUP($G134,Sheet3!$H$2:$O$200,AJ$1,FALSE)),$I$1),$I$1)</f>
        <v>0</v>
      </c>
      <c r="AK134" s="15">
        <f>IFERROR(IF(ISBLANK(AD134),IFERROR(VLOOKUP($F134,Sheet3!$H$2:$O$200,AK$1,FALSE),VLOOKUP($G134,Sheet3!$H$2:$O$200,AK$1,FALSE)),$I$1),$I$1)</f>
        <v>0</v>
      </c>
      <c r="AL134" s="15">
        <f>IFERROR(IF(ISBLANK(AE134),VLOOKUP($G134,Sheet3!$H$2:$O$200,AL$1,FALSE),$I$1),$I$1)</f>
        <v>0</v>
      </c>
      <c r="AM134" s="15">
        <f>IFERROR(IF(ISBLANK(AF134),VLOOKUP($G134,Sheet3!$H$2:$O$200,AM$1,FALSE),$I$1),$I$1)</f>
        <v>0</v>
      </c>
      <c r="AN134" s="15">
        <f>IFERROR(IF(ISBLANK(AG134),VLOOKUP($G134,Sheet3!$H$2:$O$200,AN$1,FALSE),$I$1),$I$1)</f>
        <v>0</v>
      </c>
      <c r="AO134" s="15">
        <f>IFERROR(IF(ISBLANK(AH134),VLOOKUP($G134,Sheet3!$H$2:$O$200,AO$1,FALSE),$I$1),$I$1)</f>
        <v>0</v>
      </c>
      <c r="AP134" s="15">
        <f>IFERROR(IF(ISBLANK(AI134),VLOOKUP($G134,Sheet3!$H$2:$O$200,AP$1,FALSE),$I$1),$I$1)</f>
        <v>0</v>
      </c>
      <c r="AQ134" s="15">
        <f>IFERROR(IF(ISBLANK(AJ134),VLOOKUP($G134,Sheet3!$H$2:$O$200,AQ$1,FALSE),$I$1),$I$1)</f>
        <v>0</v>
      </c>
      <c r="AR134" s="15">
        <f>IFERROR(IF(ISBLANK(AK134),VLOOKUP($G134,Sheet3!$H$2:$O$200,AR$1,FALSE),$I$1),$I$1)</f>
        <v>0</v>
      </c>
      <c r="AS134" s="15">
        <f t="shared" ref="AS134:AY134" si="141">IFERROR(IF(ISBLANK(J134),IF(ISBLANK(Q134),IF(ISBLANK(X134),IF(ISBLANK(AE134),IF(ISBLANK(AL134),$BB$1,AL134),AE134),X134),Q134),J134),$BB$1)</f>
        <v>0</v>
      </c>
      <c r="AT134" s="15">
        <f t="shared" si="141"/>
        <v>0</v>
      </c>
      <c r="AU134" s="15">
        <f t="shared" si="141"/>
        <v>0</v>
      </c>
      <c r="AV134" s="15" t="str">
        <f t="shared" si="141"/>
        <v>triple sec</v>
      </c>
      <c r="AW134" s="15">
        <f t="shared" si="141"/>
        <v>0</v>
      </c>
      <c r="AX134" s="15">
        <f t="shared" si="141"/>
        <v>0</v>
      </c>
      <c r="AY134" s="15">
        <f t="shared" si="141"/>
        <v>0</v>
      </c>
      <c r="BA134" s="13">
        <f t="shared" si="1"/>
        <v>35</v>
      </c>
      <c r="BB134" s="15" t="b">
        <f t="shared" si="2"/>
        <v>0</v>
      </c>
    </row>
    <row r="135" spans="1:54" x14ac:dyDescent="0.2">
      <c r="A135" s="19" t="s">
        <v>287</v>
      </c>
      <c r="B135" s="19" t="s">
        <v>265</v>
      </c>
      <c r="C135" s="19" t="s">
        <v>100</v>
      </c>
      <c r="D135" s="19" t="s">
        <v>38</v>
      </c>
      <c r="E135" s="19"/>
      <c r="F135" s="19"/>
      <c r="G135" s="19"/>
      <c r="H135" s="19" t="s">
        <v>287</v>
      </c>
      <c r="I135" s="15">
        <v>2</v>
      </c>
      <c r="J135" s="15">
        <f>IFERROR(VLOOKUP($C135,Sheet3!$H$2:$O$200,J$1,FALSE),IFERROR(VLOOKUP($D135,Sheet3!$H$2:$O$200,J$1,FALSE),VLOOKUP($E135,Sheet3!$H$2:$O$200,J$1,FALSE)))</f>
        <v>0</v>
      </c>
      <c r="K135" s="15">
        <f>IFERROR(VLOOKUP($C135,Sheet3!$H$2:$O$200,K$1,FALSE),IFERROR(VLOOKUP($D135,Sheet3!$H$2:$O$200,K$1,FALSE),VLOOKUP($E135,Sheet3!$H$2:$O$200,K$1,FALSE)))</f>
        <v>0</v>
      </c>
      <c r="L135" s="15">
        <f>IFERROR(VLOOKUP($C135,Sheet3!$H$2:$O$200,L$1,FALSE),IFERROR(VLOOKUP($D135,Sheet3!$H$2:$O$200,L$1,FALSE),VLOOKUP($E135,Sheet3!$H$2:$O$200,L$1,FALSE)))</f>
        <v>0</v>
      </c>
      <c r="M135" s="15" t="str">
        <f>IFERROR(VLOOKUP($C135,Sheet3!$H$2:$O$200,M$1,FALSE),IFERROR(VLOOKUP($D135,Sheet3!$H$2:$O$200,M$1,FALSE),VLOOKUP($E135,Sheet3!$H$2:$O$200,M$1,FALSE)))</f>
        <v>triple sec</v>
      </c>
      <c r="N135" s="15">
        <f>IFERROR(VLOOKUP($C135,Sheet3!$H$2:$O$200,N$1,FALSE),IFERROR(VLOOKUP($D135,Sheet3!$H$2:$O$200,N$1,FALSE),VLOOKUP($E135,Sheet3!$H$2:$O$200,N$1,FALSE)))</f>
        <v>0</v>
      </c>
      <c r="O135" s="15">
        <f>IFERROR(VLOOKUP($C135,Sheet3!$H$2:$O$200,O$1,FALSE),IFERROR(VLOOKUP($D135,Sheet3!$H$2:$O$200,O$1,FALSE),VLOOKUP($E135,Sheet3!$H$2:$O$200,O$1,FALSE)))</f>
        <v>0</v>
      </c>
      <c r="P135" s="15">
        <f>IFERROR(VLOOKUP($C135,Sheet3!$H$2:$O$200,P$1,FALSE),IFERROR(VLOOKUP($D135,Sheet3!$H$2:$O$200,P$1,FALSE),VLOOKUP($E135,Sheet3!$H$2:$O$200,P$1,FALSE)))</f>
        <v>0</v>
      </c>
      <c r="Q135" s="15">
        <f>IFERROR(IF(ISBLANK(J135),IFERROR(VLOOKUP($D135,Sheet3!$H$2:$O$200,Q$1,FALSE),IFERROR(VLOOKUP($E135,Sheet3!$H$2:$O$200,Q$1,FALSE),VLOOKUP($F135,Sheet3!$H$2:$O$200,Q$1,FALSE))),$I$1),$I$1)</f>
        <v>0</v>
      </c>
      <c r="R135" s="15">
        <f>IFERROR(IF(ISBLANK(K135),IFERROR(VLOOKUP($D135,Sheet3!$H$2:$O$200,R$1,FALSE),IFERROR(VLOOKUP($E135,Sheet3!$H$2:$O$200,R$1,FALSE),VLOOKUP($F135,Sheet3!$H$2:$O$200,R$1,FALSE))),$I$1),$I$1)</f>
        <v>0</v>
      </c>
      <c r="S135" s="15">
        <f>IFERROR(IF(ISBLANK(L135),IFERROR(VLOOKUP($D135,Sheet3!$H$2:$O$200,S$1,FALSE),IFERROR(VLOOKUP($E135,Sheet3!$H$2:$O$200,S$1,FALSE),VLOOKUP($F135,Sheet3!$H$2:$O$200,S$1,FALSE))),$I$1),$I$1)</f>
        <v>0</v>
      </c>
      <c r="T135" s="15">
        <f>IFERROR(IF(ISBLANK(M135),IFERROR(VLOOKUP($D135,Sheet3!$H$2:$O$200,T$1,FALSE),IFERROR(VLOOKUP($E135,Sheet3!$H$2:$O$200,T$1,FALSE),VLOOKUP($F135,Sheet3!$H$2:$O$200,T$1,FALSE))),$I$1),$I$1)</f>
        <v>0</v>
      </c>
      <c r="U135" s="15">
        <f>IFERROR(IF(ISBLANK(N135),IFERROR(VLOOKUP($D135,Sheet3!$H$2:$O$200,U$1,FALSE),IFERROR(VLOOKUP($E135,Sheet3!$H$2:$O$200,U$1,FALSE),VLOOKUP($F135,Sheet3!$H$2:$O$200,U$1,FALSE))),$I$1),$I$1)</f>
        <v>0</v>
      </c>
      <c r="V135" s="15">
        <f>IFERROR(IF(ISBLANK(O135),IFERROR(VLOOKUP($D135,Sheet3!$H$2:$O$200,V$1,FALSE),IFERROR(VLOOKUP($E135,Sheet3!$H$2:$O$200,V$1,FALSE),VLOOKUP($F135,Sheet3!$H$2:$O$200,V$1,FALSE))),$I$1),$I$1)</f>
        <v>0</v>
      </c>
      <c r="W135" s="15">
        <f>IFERROR(IF(ISBLANK(P135),IFERROR(VLOOKUP($D135,Sheet3!$H$2:$O$200,W$1,FALSE),IFERROR(VLOOKUP($E135,Sheet3!$H$2:$O$200,W$1,FALSE),VLOOKUP($F135,Sheet3!$H$2:$O$200,W$1,FALSE))),$I$1),$I$1)</f>
        <v>0</v>
      </c>
      <c r="X135" s="15">
        <f>IFERROR(IF(ISBLANK(Q135),IFERROR(VLOOKUP($E135,Sheet3!$H$2:$O$200,X$1,FALSE),IFERROR(VLOOKUP($F135,Sheet3!$H$2:$O$200,X$1,FALSE),VLOOKUP($G135,Sheet3!$H$2:$O$200,X$1,FALSE))),$I$1),$I$1)</f>
        <v>0</v>
      </c>
      <c r="Y135" s="15">
        <f>IFERROR(IF(ISBLANK(R135),IFERROR(VLOOKUP($E135,Sheet3!$H$2:$O$200,Y$1,FALSE),IFERROR(VLOOKUP($F135,Sheet3!$H$2:$O$200,Y$1,FALSE),VLOOKUP($G135,Sheet3!$H$2:$O$200,Y$1,FALSE))),$I$1),$I$1)</f>
        <v>0</v>
      </c>
      <c r="Z135" s="15">
        <f>IFERROR(IF(ISBLANK(S135),IFERROR(VLOOKUP($E135,Sheet3!$H$2:$O$200,Z$1,FALSE),IFERROR(VLOOKUP($F135,Sheet3!$H$2:$O$200,Z$1,FALSE),VLOOKUP($G135,Sheet3!$H$2:$O$200,Z$1,FALSE))),$I$1),$I$1)</f>
        <v>0</v>
      </c>
      <c r="AA135" s="15">
        <f>IFERROR(IF(ISBLANK(T135),IFERROR(VLOOKUP($E135,Sheet3!$H$2:$O$200,AA$1,FALSE),IFERROR(VLOOKUP($F135,Sheet3!$H$2:$O$200,AA$1,FALSE),VLOOKUP($G135,Sheet3!$H$2:$O$200,AA$1,FALSE))),$I$1),$I$1)</f>
        <v>0</v>
      </c>
      <c r="AB135" s="15">
        <f>IFERROR(IF(ISBLANK(U135),IFERROR(VLOOKUP($E135,Sheet3!$H$2:$O$200,AB$1,FALSE),IFERROR(VLOOKUP($F135,Sheet3!$H$2:$O$200,AB$1,FALSE),VLOOKUP($G135,Sheet3!$H$2:$O$200,AB$1,FALSE))),$I$1),$I$1)</f>
        <v>0</v>
      </c>
      <c r="AC135" s="15">
        <f>IFERROR(IF(ISBLANK(V135),IFERROR(VLOOKUP($E135,Sheet3!$H$2:$O$200,AC$1,FALSE),IFERROR(VLOOKUP($F135,Sheet3!$H$2:$O$200,AC$1,FALSE),VLOOKUP($G135,Sheet3!$H$2:$O$200,AC$1,FALSE))),$I$1),$I$1)</f>
        <v>0</v>
      </c>
      <c r="AD135" s="15">
        <f>IFERROR(IF(ISBLANK(W135),IFERROR(VLOOKUP($E135,Sheet3!$H$2:$O$200,AD$1,FALSE),IFERROR(VLOOKUP($F135,Sheet3!$H$2:$O$200,AD$1,FALSE),VLOOKUP($G135,Sheet3!$H$2:$O$200,AD$1,FALSE))),$I$1),$I$1)</f>
        <v>0</v>
      </c>
      <c r="AE135" s="15">
        <f>IFERROR(IF(ISBLANK(X135),IFERROR(VLOOKUP($F135,Sheet3!$H$2:$O$200,AE$1,FALSE),VLOOKUP($G135,Sheet3!$H$2:$O$200,AE$1,FALSE)),$I$1),$I$1)</f>
        <v>0</v>
      </c>
      <c r="AF135" s="15">
        <f>IFERROR(IF(ISBLANK(Y135),IFERROR(VLOOKUP($F135,Sheet3!$H$2:$O$200,AF$1,FALSE),VLOOKUP($G135,Sheet3!$H$2:$O$200,AF$1,FALSE)),$I$1),$I$1)</f>
        <v>0</v>
      </c>
      <c r="AG135" s="15">
        <f>IFERROR(IF(ISBLANK(Z135),IFERROR(VLOOKUP($F135,Sheet3!$H$2:$O$200,AG$1,FALSE),VLOOKUP($G135,Sheet3!$H$2:$O$200,AG$1,FALSE)),$I$1),$I$1)</f>
        <v>0</v>
      </c>
      <c r="AH135" s="15">
        <f>IFERROR(IF(ISBLANK(AA135),IFERROR(VLOOKUP($F135,Sheet3!$H$2:$O$200,AH$1,FALSE),VLOOKUP($G135,Sheet3!$H$2:$O$200,AH$1,FALSE)),$I$1),$I$1)</f>
        <v>0</v>
      </c>
      <c r="AI135" s="15">
        <f>IFERROR(IF(ISBLANK(AB135),IFERROR(VLOOKUP($F135,Sheet3!$H$2:$O$200,AI$1,FALSE),VLOOKUP($G135,Sheet3!$H$2:$O$200,AI$1,FALSE)),$I$1),$I$1)</f>
        <v>0</v>
      </c>
      <c r="AJ135" s="15">
        <f>IFERROR(IF(ISBLANK(AC135),IFERROR(VLOOKUP($F135,Sheet3!$H$2:$O$200,AJ$1,FALSE),VLOOKUP($G135,Sheet3!$H$2:$O$200,AJ$1,FALSE)),$I$1),$I$1)</f>
        <v>0</v>
      </c>
      <c r="AK135" s="15">
        <f>IFERROR(IF(ISBLANK(AD135),IFERROR(VLOOKUP($F135,Sheet3!$H$2:$O$200,AK$1,FALSE),VLOOKUP($G135,Sheet3!$H$2:$O$200,AK$1,FALSE)),$I$1),$I$1)</f>
        <v>0</v>
      </c>
      <c r="AL135" s="15">
        <f>IFERROR(IF(ISBLANK(AE135),VLOOKUP($G135,Sheet3!$H$2:$O$200,AL$1,FALSE),$I$1),$I$1)</f>
        <v>0</v>
      </c>
      <c r="AM135" s="15">
        <f>IFERROR(IF(ISBLANK(AF135),VLOOKUP($G135,Sheet3!$H$2:$O$200,AM$1,FALSE),$I$1),$I$1)</f>
        <v>0</v>
      </c>
      <c r="AN135" s="15">
        <f>IFERROR(IF(ISBLANK(AG135),VLOOKUP($G135,Sheet3!$H$2:$O$200,AN$1,FALSE),$I$1),$I$1)</f>
        <v>0</v>
      </c>
      <c r="AO135" s="15">
        <f>IFERROR(IF(ISBLANK(AH135),VLOOKUP($G135,Sheet3!$H$2:$O$200,AO$1,FALSE),$I$1),$I$1)</f>
        <v>0</v>
      </c>
      <c r="AP135" s="15">
        <f>IFERROR(IF(ISBLANK(AI135),VLOOKUP($G135,Sheet3!$H$2:$O$200,AP$1,FALSE),$I$1),$I$1)</f>
        <v>0</v>
      </c>
      <c r="AQ135" s="15">
        <f>IFERROR(IF(ISBLANK(AJ135),VLOOKUP($G135,Sheet3!$H$2:$O$200,AQ$1,FALSE),$I$1),$I$1)</f>
        <v>0</v>
      </c>
      <c r="AR135" s="15">
        <f>IFERROR(IF(ISBLANK(AK135),VLOOKUP($G135,Sheet3!$H$2:$O$200,AR$1,FALSE),$I$1),$I$1)</f>
        <v>0</v>
      </c>
      <c r="AS135" s="15">
        <f t="shared" ref="AS135:AY135" si="142">IFERROR(IF(ISBLANK(J135),IF(ISBLANK(Q135),IF(ISBLANK(X135),IF(ISBLANK(AE135),IF(ISBLANK(AL135),$BB$1,AL135),AE135),X135),Q135),J135),$BB$1)</f>
        <v>0</v>
      </c>
      <c r="AT135" s="15">
        <f t="shared" si="142"/>
        <v>0</v>
      </c>
      <c r="AU135" s="15">
        <f t="shared" si="142"/>
        <v>0</v>
      </c>
      <c r="AV135" s="15" t="str">
        <f t="shared" si="142"/>
        <v>triple sec</v>
      </c>
      <c r="AW135" s="15">
        <f t="shared" si="142"/>
        <v>0</v>
      </c>
      <c r="AX135" s="15">
        <f t="shared" si="142"/>
        <v>0</v>
      </c>
      <c r="AY135" s="15">
        <f t="shared" si="142"/>
        <v>0</v>
      </c>
      <c r="BA135" s="13">
        <f t="shared" si="1"/>
        <v>35</v>
      </c>
      <c r="BB135" s="15" t="b">
        <f t="shared" si="2"/>
        <v>0</v>
      </c>
    </row>
    <row r="136" spans="1:54" x14ac:dyDescent="0.2">
      <c r="A136" s="19" t="s">
        <v>288</v>
      </c>
      <c r="B136" s="19" t="s">
        <v>265</v>
      </c>
      <c r="C136" s="19" t="s">
        <v>100</v>
      </c>
      <c r="D136" s="19" t="s">
        <v>90</v>
      </c>
      <c r="E136" s="19" t="s">
        <v>120</v>
      </c>
      <c r="F136" s="19"/>
      <c r="G136" s="19"/>
      <c r="H136" s="19" t="s">
        <v>288</v>
      </c>
      <c r="I136" s="15">
        <v>3</v>
      </c>
      <c r="J136" s="15">
        <f>IFERROR(VLOOKUP($C136,Sheet3!$H$2:$O$200,J$1,FALSE),IFERROR(VLOOKUP($D136,Sheet3!$H$2:$O$200,J$1,FALSE),VLOOKUP($E136,Sheet3!$H$2:$O$200,J$1,FALSE)))</f>
        <v>0</v>
      </c>
      <c r="K136" s="15">
        <f>IFERROR(VLOOKUP($C136,Sheet3!$H$2:$O$200,K$1,FALSE),IFERROR(VLOOKUP($D136,Sheet3!$H$2:$O$200,K$1,FALSE),VLOOKUP($E136,Sheet3!$H$2:$O$200,K$1,FALSE)))</f>
        <v>0</v>
      </c>
      <c r="L136" s="15">
        <f>IFERROR(VLOOKUP($C136,Sheet3!$H$2:$O$200,L$1,FALSE),IFERROR(VLOOKUP($D136,Sheet3!$H$2:$O$200,L$1,FALSE),VLOOKUP($E136,Sheet3!$H$2:$O$200,L$1,FALSE)))</f>
        <v>0</v>
      </c>
      <c r="M136" s="15" t="str">
        <f>IFERROR(VLOOKUP($C136,Sheet3!$H$2:$O$200,M$1,FALSE),IFERROR(VLOOKUP($D136,Sheet3!$H$2:$O$200,M$1,FALSE),VLOOKUP($E136,Sheet3!$H$2:$O$200,M$1,FALSE)))</f>
        <v>triple sec</v>
      </c>
      <c r="N136" s="15">
        <f>IFERROR(VLOOKUP($C136,Sheet3!$H$2:$O$200,N$1,FALSE),IFERROR(VLOOKUP($D136,Sheet3!$H$2:$O$200,N$1,FALSE),VLOOKUP($E136,Sheet3!$H$2:$O$200,N$1,FALSE)))</f>
        <v>0</v>
      </c>
      <c r="O136" s="15">
        <f>IFERROR(VLOOKUP($C136,Sheet3!$H$2:$O$200,O$1,FALSE),IFERROR(VLOOKUP($D136,Sheet3!$H$2:$O$200,O$1,FALSE),VLOOKUP($E136,Sheet3!$H$2:$O$200,O$1,FALSE)))</f>
        <v>0</v>
      </c>
      <c r="P136" s="15">
        <f>IFERROR(VLOOKUP($C136,Sheet3!$H$2:$O$200,P$1,FALSE),IFERROR(VLOOKUP($D136,Sheet3!$H$2:$O$200,P$1,FALSE),VLOOKUP($E136,Sheet3!$H$2:$O$200,P$1,FALSE)))</f>
        <v>0</v>
      </c>
      <c r="Q136" s="15">
        <f>IFERROR(IF(ISBLANK(J136),IFERROR(VLOOKUP($D136,Sheet3!$H$2:$O$200,Q$1,FALSE),IFERROR(VLOOKUP($E136,Sheet3!$H$2:$O$200,Q$1,FALSE),VLOOKUP($F136,Sheet3!$H$2:$O$200,Q$1,FALSE))),$I$1),$I$1)</f>
        <v>0</v>
      </c>
      <c r="R136" s="15">
        <f>IFERROR(IF(ISBLANK(K136),IFERROR(VLOOKUP($D136,Sheet3!$H$2:$O$200,R$1,FALSE),IFERROR(VLOOKUP($E136,Sheet3!$H$2:$O$200,R$1,FALSE),VLOOKUP($F136,Sheet3!$H$2:$O$200,R$1,FALSE))),$I$1),$I$1)</f>
        <v>0</v>
      </c>
      <c r="S136" s="15">
        <f>IFERROR(IF(ISBLANK(L136),IFERROR(VLOOKUP($D136,Sheet3!$H$2:$O$200,S$1,FALSE),IFERROR(VLOOKUP($E136,Sheet3!$H$2:$O$200,S$1,FALSE),VLOOKUP($F136,Sheet3!$H$2:$O$200,S$1,FALSE))),$I$1),$I$1)</f>
        <v>0</v>
      </c>
      <c r="T136" s="15">
        <f>IFERROR(IF(ISBLANK(M136),IFERROR(VLOOKUP($D136,Sheet3!$H$2:$O$200,T$1,FALSE),IFERROR(VLOOKUP($E136,Sheet3!$H$2:$O$200,T$1,FALSE),VLOOKUP($F136,Sheet3!$H$2:$O$200,T$1,FALSE))),$I$1),$I$1)</f>
        <v>0</v>
      </c>
      <c r="U136" s="15">
        <f>IFERROR(IF(ISBLANK(N136),IFERROR(VLOOKUP($D136,Sheet3!$H$2:$O$200,U$1,FALSE),IFERROR(VLOOKUP($E136,Sheet3!$H$2:$O$200,U$1,FALSE),VLOOKUP($F136,Sheet3!$H$2:$O$200,U$1,FALSE))),$I$1),$I$1)</f>
        <v>0</v>
      </c>
      <c r="V136" s="15">
        <f>IFERROR(IF(ISBLANK(O136),IFERROR(VLOOKUP($D136,Sheet3!$H$2:$O$200,V$1,FALSE),IFERROR(VLOOKUP($E136,Sheet3!$H$2:$O$200,V$1,FALSE),VLOOKUP($F136,Sheet3!$H$2:$O$200,V$1,FALSE))),$I$1),$I$1)</f>
        <v>0</v>
      </c>
      <c r="W136" s="15">
        <f>IFERROR(IF(ISBLANK(P136),IFERROR(VLOOKUP($D136,Sheet3!$H$2:$O$200,W$1,FALSE),IFERROR(VLOOKUP($E136,Sheet3!$H$2:$O$200,W$1,FALSE),VLOOKUP($F136,Sheet3!$H$2:$O$200,W$1,FALSE))),$I$1),$I$1)</f>
        <v>0</v>
      </c>
      <c r="X136" s="15">
        <f>IFERROR(IF(ISBLANK(Q136),IFERROR(VLOOKUP($E136,Sheet3!$H$2:$O$200,X$1,FALSE),IFERROR(VLOOKUP($F136,Sheet3!$H$2:$O$200,X$1,FALSE),VLOOKUP($G136,Sheet3!$H$2:$O$200,X$1,FALSE))),$I$1),$I$1)</f>
        <v>0</v>
      </c>
      <c r="Y136" s="15">
        <f>IFERROR(IF(ISBLANK(R136),IFERROR(VLOOKUP($E136,Sheet3!$H$2:$O$200,Y$1,FALSE),IFERROR(VLOOKUP($F136,Sheet3!$H$2:$O$200,Y$1,FALSE),VLOOKUP($G136,Sheet3!$H$2:$O$200,Y$1,FALSE))),$I$1),$I$1)</f>
        <v>0</v>
      </c>
      <c r="Z136" s="15">
        <f>IFERROR(IF(ISBLANK(S136),IFERROR(VLOOKUP($E136,Sheet3!$H$2:$O$200,Z$1,FALSE),IFERROR(VLOOKUP($F136,Sheet3!$H$2:$O$200,Z$1,FALSE),VLOOKUP($G136,Sheet3!$H$2:$O$200,Z$1,FALSE))),$I$1),$I$1)</f>
        <v>0</v>
      </c>
      <c r="AA136" s="15">
        <f>IFERROR(IF(ISBLANK(T136),IFERROR(VLOOKUP($E136,Sheet3!$H$2:$O$200,AA$1,FALSE),IFERROR(VLOOKUP($F136,Sheet3!$H$2:$O$200,AA$1,FALSE),VLOOKUP($G136,Sheet3!$H$2:$O$200,AA$1,FALSE))),$I$1),$I$1)</f>
        <v>0</v>
      </c>
      <c r="AB136" s="15">
        <f>IFERROR(IF(ISBLANK(U136),IFERROR(VLOOKUP($E136,Sheet3!$H$2:$O$200,AB$1,FALSE),IFERROR(VLOOKUP($F136,Sheet3!$H$2:$O$200,AB$1,FALSE),VLOOKUP($G136,Sheet3!$H$2:$O$200,AB$1,FALSE))),$I$1),$I$1)</f>
        <v>0</v>
      </c>
      <c r="AC136" s="15">
        <f>IFERROR(IF(ISBLANK(V136),IFERROR(VLOOKUP($E136,Sheet3!$H$2:$O$200,AC$1,FALSE),IFERROR(VLOOKUP($F136,Sheet3!$H$2:$O$200,AC$1,FALSE),VLOOKUP($G136,Sheet3!$H$2:$O$200,AC$1,FALSE))),$I$1),$I$1)</f>
        <v>0</v>
      </c>
      <c r="AD136" s="15">
        <f>IFERROR(IF(ISBLANK(W136),IFERROR(VLOOKUP($E136,Sheet3!$H$2:$O$200,AD$1,FALSE),IFERROR(VLOOKUP($F136,Sheet3!$H$2:$O$200,AD$1,FALSE),VLOOKUP($G136,Sheet3!$H$2:$O$200,AD$1,FALSE))),$I$1),$I$1)</f>
        <v>0</v>
      </c>
      <c r="AE136" s="15">
        <f>IFERROR(IF(ISBLANK(X136),IFERROR(VLOOKUP($F136,Sheet3!$H$2:$O$200,AE$1,FALSE),VLOOKUP($G136,Sheet3!$H$2:$O$200,AE$1,FALSE)),$I$1),$I$1)</f>
        <v>0</v>
      </c>
      <c r="AF136" s="15">
        <f>IFERROR(IF(ISBLANK(Y136),IFERROR(VLOOKUP($F136,Sheet3!$H$2:$O$200,AF$1,FALSE),VLOOKUP($G136,Sheet3!$H$2:$O$200,AF$1,FALSE)),$I$1),$I$1)</f>
        <v>0</v>
      </c>
      <c r="AG136" s="15">
        <f>IFERROR(IF(ISBLANK(Z136),IFERROR(VLOOKUP($F136,Sheet3!$H$2:$O$200,AG$1,FALSE),VLOOKUP($G136,Sheet3!$H$2:$O$200,AG$1,FALSE)),$I$1),$I$1)</f>
        <v>0</v>
      </c>
      <c r="AH136" s="15">
        <f>IFERROR(IF(ISBLANK(AA136),IFERROR(VLOOKUP($F136,Sheet3!$H$2:$O$200,AH$1,FALSE),VLOOKUP($G136,Sheet3!$H$2:$O$200,AH$1,FALSE)),$I$1),$I$1)</f>
        <v>0</v>
      </c>
      <c r="AI136" s="15">
        <f>IFERROR(IF(ISBLANK(AB136),IFERROR(VLOOKUP($F136,Sheet3!$H$2:$O$200,AI$1,FALSE),VLOOKUP($G136,Sheet3!$H$2:$O$200,AI$1,FALSE)),$I$1),$I$1)</f>
        <v>0</v>
      </c>
      <c r="AJ136" s="15">
        <f>IFERROR(IF(ISBLANK(AC136),IFERROR(VLOOKUP($F136,Sheet3!$H$2:$O$200,AJ$1,FALSE),VLOOKUP($G136,Sheet3!$H$2:$O$200,AJ$1,FALSE)),$I$1),$I$1)</f>
        <v>0</v>
      </c>
      <c r="AK136" s="15">
        <f>IFERROR(IF(ISBLANK(AD136),IFERROR(VLOOKUP($F136,Sheet3!$H$2:$O$200,AK$1,FALSE),VLOOKUP($G136,Sheet3!$H$2:$O$200,AK$1,FALSE)),$I$1),$I$1)</f>
        <v>0</v>
      </c>
      <c r="AL136" s="15">
        <f>IFERROR(IF(ISBLANK(AE136),VLOOKUP($G136,Sheet3!$H$2:$O$200,AL$1,FALSE),$I$1),$I$1)</f>
        <v>0</v>
      </c>
      <c r="AM136" s="15">
        <f>IFERROR(IF(ISBLANK(AF136),VLOOKUP($G136,Sheet3!$H$2:$O$200,AM$1,FALSE),$I$1),$I$1)</f>
        <v>0</v>
      </c>
      <c r="AN136" s="15">
        <f>IFERROR(IF(ISBLANK(AG136),VLOOKUP($G136,Sheet3!$H$2:$O$200,AN$1,FALSE),$I$1),$I$1)</f>
        <v>0</v>
      </c>
      <c r="AO136" s="15">
        <f>IFERROR(IF(ISBLANK(AH136),VLOOKUP($G136,Sheet3!$H$2:$O$200,AO$1,FALSE),$I$1),$I$1)</f>
        <v>0</v>
      </c>
      <c r="AP136" s="15">
        <f>IFERROR(IF(ISBLANK(AI136),VLOOKUP($G136,Sheet3!$H$2:$O$200,AP$1,FALSE),$I$1),$I$1)</f>
        <v>0</v>
      </c>
      <c r="AQ136" s="15">
        <f>IFERROR(IF(ISBLANK(AJ136),VLOOKUP($G136,Sheet3!$H$2:$O$200,AQ$1,FALSE),$I$1),$I$1)</f>
        <v>0</v>
      </c>
      <c r="AR136" s="15">
        <f>IFERROR(IF(ISBLANK(AK136),VLOOKUP($G136,Sheet3!$H$2:$O$200,AR$1,FALSE),$I$1),$I$1)</f>
        <v>0</v>
      </c>
      <c r="AS136" s="15">
        <f t="shared" ref="AS136:AY136" si="143">IFERROR(IF(ISBLANK(J136),IF(ISBLANK(Q136),IF(ISBLANK(X136),IF(ISBLANK(AE136),IF(ISBLANK(AL136),$BB$1,AL136),AE136),X136),Q136),J136),$BB$1)</f>
        <v>0</v>
      </c>
      <c r="AT136" s="15">
        <f t="shared" si="143"/>
        <v>0</v>
      </c>
      <c r="AU136" s="15">
        <f t="shared" si="143"/>
        <v>0</v>
      </c>
      <c r="AV136" s="15" t="str">
        <f t="shared" si="143"/>
        <v>triple sec</v>
      </c>
      <c r="AW136" s="15">
        <f t="shared" si="143"/>
        <v>0</v>
      </c>
      <c r="AX136" s="15">
        <f t="shared" si="143"/>
        <v>0</v>
      </c>
      <c r="AY136" s="15">
        <f t="shared" si="143"/>
        <v>0</v>
      </c>
      <c r="BA136" s="13">
        <f t="shared" si="1"/>
        <v>35</v>
      </c>
      <c r="BB136" s="15" t="b">
        <f t="shared" si="2"/>
        <v>0</v>
      </c>
    </row>
    <row r="137" spans="1:54" x14ac:dyDescent="0.2">
      <c r="A137" s="19" t="s">
        <v>289</v>
      </c>
      <c r="B137" s="19" t="s">
        <v>265</v>
      </c>
      <c r="C137" s="19" t="s">
        <v>282</v>
      </c>
      <c r="D137" s="19" t="s">
        <v>90</v>
      </c>
      <c r="E137" s="19" t="s">
        <v>62</v>
      </c>
      <c r="F137" s="19"/>
      <c r="G137" s="19"/>
      <c r="H137" s="19" t="s">
        <v>289</v>
      </c>
      <c r="I137" s="15">
        <v>3</v>
      </c>
      <c r="J137" s="15" t="str">
        <f>IFERROR(VLOOKUP($C137,Sheet3!$H$2:$O$200,J$1,FALSE),IFERROR(VLOOKUP($D137,Sheet3!$H$2:$O$200,J$1,FALSE),VLOOKUP($E137,Sheet3!$H$2:$O$200,J$1,FALSE)))</f>
        <v>sloe gin</v>
      </c>
      <c r="K137" s="15">
        <f>IFERROR(VLOOKUP($C137,Sheet3!$H$2:$O$200,K$1,FALSE),IFERROR(VLOOKUP($D137,Sheet3!$H$2:$O$200,K$1,FALSE),VLOOKUP($E137,Sheet3!$H$2:$O$200,K$1,FALSE)))</f>
        <v>0</v>
      </c>
      <c r="L137" s="15">
        <f>IFERROR(VLOOKUP($C137,Sheet3!$H$2:$O$200,L$1,FALSE),IFERROR(VLOOKUP($D137,Sheet3!$H$2:$O$200,L$1,FALSE),VLOOKUP($E137,Sheet3!$H$2:$O$200,L$1,FALSE)))</f>
        <v>0</v>
      </c>
      <c r="M137" s="15">
        <f>IFERROR(VLOOKUP($C137,Sheet3!$H$2:$O$200,M$1,FALSE),IFERROR(VLOOKUP($D137,Sheet3!$H$2:$O$200,M$1,FALSE),VLOOKUP($E137,Sheet3!$H$2:$O$200,M$1,FALSE)))</f>
        <v>0</v>
      </c>
      <c r="N137" s="15">
        <f>IFERROR(VLOOKUP($C137,Sheet3!$H$2:$O$200,N$1,FALSE),IFERROR(VLOOKUP($D137,Sheet3!$H$2:$O$200,N$1,FALSE),VLOOKUP($E137,Sheet3!$H$2:$O$200,N$1,FALSE)))</f>
        <v>0</v>
      </c>
      <c r="O137" s="15">
        <f>IFERROR(VLOOKUP($C137,Sheet3!$H$2:$O$200,O$1,FALSE),IFERROR(VLOOKUP($D137,Sheet3!$H$2:$O$200,O$1,FALSE),VLOOKUP($E137,Sheet3!$H$2:$O$200,O$1,FALSE)))</f>
        <v>0</v>
      </c>
      <c r="P137" s="15">
        <f>IFERROR(VLOOKUP($C137,Sheet3!$H$2:$O$200,P$1,FALSE),IFERROR(VLOOKUP($D137,Sheet3!$H$2:$O$200,P$1,FALSE),VLOOKUP($E137,Sheet3!$H$2:$O$200,P$1,FALSE)))</f>
        <v>0</v>
      </c>
      <c r="Q137" s="15">
        <f>IFERROR(IF(ISBLANK(J137),IFERROR(VLOOKUP($D137,Sheet3!$H$2:$O$200,Q$1,FALSE),IFERROR(VLOOKUP($E137,Sheet3!$H$2:$O$200,Q$1,FALSE),VLOOKUP($F137,Sheet3!$H$2:$O$200,Q$1,FALSE))),$I$1),$I$1)</f>
        <v>0</v>
      </c>
      <c r="R137" s="15">
        <f>IFERROR(IF(ISBLANK(K137),IFERROR(VLOOKUP($D137,Sheet3!$H$2:$O$200,R$1,FALSE),IFERROR(VLOOKUP($E137,Sheet3!$H$2:$O$200,R$1,FALSE),VLOOKUP($F137,Sheet3!$H$2:$O$200,R$1,FALSE))),$I$1),$I$1)</f>
        <v>0</v>
      </c>
      <c r="S137" s="15">
        <f>IFERROR(IF(ISBLANK(L137),IFERROR(VLOOKUP($D137,Sheet3!$H$2:$O$200,S$1,FALSE),IFERROR(VLOOKUP($E137,Sheet3!$H$2:$O$200,S$1,FALSE),VLOOKUP($F137,Sheet3!$H$2:$O$200,S$1,FALSE))),$I$1),$I$1)</f>
        <v>0</v>
      </c>
      <c r="T137" s="15">
        <f>IFERROR(IF(ISBLANK(M137),IFERROR(VLOOKUP($D137,Sheet3!$H$2:$O$200,T$1,FALSE),IFERROR(VLOOKUP($E137,Sheet3!$H$2:$O$200,T$1,FALSE),VLOOKUP($F137,Sheet3!$H$2:$O$200,T$1,FALSE))),$I$1),$I$1)</f>
        <v>0</v>
      </c>
      <c r="U137" s="15">
        <f>IFERROR(IF(ISBLANK(N137),IFERROR(VLOOKUP($D137,Sheet3!$H$2:$O$200,U$1,FALSE),IFERROR(VLOOKUP($E137,Sheet3!$H$2:$O$200,U$1,FALSE),VLOOKUP($F137,Sheet3!$H$2:$O$200,U$1,FALSE))),$I$1),$I$1)</f>
        <v>0</v>
      </c>
      <c r="V137" s="15">
        <f>IFERROR(IF(ISBLANK(O137),IFERROR(VLOOKUP($D137,Sheet3!$H$2:$O$200,V$1,FALSE),IFERROR(VLOOKUP($E137,Sheet3!$H$2:$O$200,V$1,FALSE),VLOOKUP($F137,Sheet3!$H$2:$O$200,V$1,FALSE))),$I$1),$I$1)</f>
        <v>0</v>
      </c>
      <c r="W137" s="15">
        <f>IFERROR(IF(ISBLANK(P137),IFERROR(VLOOKUP($D137,Sheet3!$H$2:$O$200,W$1,FALSE),IFERROR(VLOOKUP($E137,Sheet3!$H$2:$O$200,W$1,FALSE),VLOOKUP($F137,Sheet3!$H$2:$O$200,W$1,FALSE))),$I$1),$I$1)</f>
        <v>0</v>
      </c>
      <c r="X137" s="15">
        <f>IFERROR(IF(ISBLANK(Q137),IFERROR(VLOOKUP($E137,Sheet3!$H$2:$O$200,X$1,FALSE),IFERROR(VLOOKUP($F137,Sheet3!$H$2:$O$200,X$1,FALSE),VLOOKUP($G137,Sheet3!$H$2:$O$200,X$1,FALSE))),$I$1),$I$1)</f>
        <v>0</v>
      </c>
      <c r="Y137" s="15">
        <f>IFERROR(IF(ISBLANK(R137),IFERROR(VLOOKUP($E137,Sheet3!$H$2:$O$200,Y$1,FALSE),IFERROR(VLOOKUP($F137,Sheet3!$H$2:$O$200,Y$1,FALSE),VLOOKUP($G137,Sheet3!$H$2:$O$200,Y$1,FALSE))),$I$1),$I$1)</f>
        <v>0</v>
      </c>
      <c r="Z137" s="15">
        <f>IFERROR(IF(ISBLANK(S137),IFERROR(VLOOKUP($E137,Sheet3!$H$2:$O$200,Z$1,FALSE),IFERROR(VLOOKUP($F137,Sheet3!$H$2:$O$200,Z$1,FALSE),VLOOKUP($G137,Sheet3!$H$2:$O$200,Z$1,FALSE))),$I$1),$I$1)</f>
        <v>0</v>
      </c>
      <c r="AA137" s="15">
        <f>IFERROR(IF(ISBLANK(T137),IFERROR(VLOOKUP($E137,Sheet3!$H$2:$O$200,AA$1,FALSE),IFERROR(VLOOKUP($F137,Sheet3!$H$2:$O$200,AA$1,FALSE),VLOOKUP($G137,Sheet3!$H$2:$O$200,AA$1,FALSE))),$I$1),$I$1)</f>
        <v>0</v>
      </c>
      <c r="AB137" s="15">
        <f>IFERROR(IF(ISBLANK(U137),IFERROR(VLOOKUP($E137,Sheet3!$H$2:$O$200,AB$1,FALSE),IFERROR(VLOOKUP($F137,Sheet3!$H$2:$O$200,AB$1,FALSE),VLOOKUP($G137,Sheet3!$H$2:$O$200,AB$1,FALSE))),$I$1),$I$1)</f>
        <v>0</v>
      </c>
      <c r="AC137" s="15">
        <f>IFERROR(IF(ISBLANK(V137),IFERROR(VLOOKUP($E137,Sheet3!$H$2:$O$200,AC$1,FALSE),IFERROR(VLOOKUP($F137,Sheet3!$H$2:$O$200,AC$1,FALSE),VLOOKUP($G137,Sheet3!$H$2:$O$200,AC$1,FALSE))),$I$1),$I$1)</f>
        <v>0</v>
      </c>
      <c r="AD137" s="15">
        <f>IFERROR(IF(ISBLANK(W137),IFERROR(VLOOKUP($E137,Sheet3!$H$2:$O$200,AD$1,FALSE),IFERROR(VLOOKUP($F137,Sheet3!$H$2:$O$200,AD$1,FALSE),VLOOKUP($G137,Sheet3!$H$2:$O$200,AD$1,FALSE))),$I$1),$I$1)</f>
        <v>0</v>
      </c>
      <c r="AE137" s="15">
        <f>IFERROR(IF(ISBLANK(X137),IFERROR(VLOOKUP($F137,Sheet3!$H$2:$O$200,AE$1,FALSE),VLOOKUP($G137,Sheet3!$H$2:$O$200,AE$1,FALSE)),$I$1),$I$1)</f>
        <v>0</v>
      </c>
      <c r="AF137" s="15">
        <f>IFERROR(IF(ISBLANK(Y137),IFERROR(VLOOKUP($F137,Sheet3!$H$2:$O$200,AF$1,FALSE),VLOOKUP($G137,Sheet3!$H$2:$O$200,AF$1,FALSE)),$I$1),$I$1)</f>
        <v>0</v>
      </c>
      <c r="AG137" s="15">
        <f>IFERROR(IF(ISBLANK(Z137),IFERROR(VLOOKUP($F137,Sheet3!$H$2:$O$200,AG$1,FALSE),VLOOKUP($G137,Sheet3!$H$2:$O$200,AG$1,FALSE)),$I$1),$I$1)</f>
        <v>0</v>
      </c>
      <c r="AH137" s="15">
        <f>IFERROR(IF(ISBLANK(AA137),IFERROR(VLOOKUP($F137,Sheet3!$H$2:$O$200,AH$1,FALSE),VLOOKUP($G137,Sheet3!$H$2:$O$200,AH$1,FALSE)),$I$1),$I$1)</f>
        <v>0</v>
      </c>
      <c r="AI137" s="15">
        <f>IFERROR(IF(ISBLANK(AB137),IFERROR(VLOOKUP($F137,Sheet3!$H$2:$O$200,AI$1,FALSE),VLOOKUP($G137,Sheet3!$H$2:$O$200,AI$1,FALSE)),$I$1),$I$1)</f>
        <v>0</v>
      </c>
      <c r="AJ137" s="15">
        <f>IFERROR(IF(ISBLANK(AC137),IFERROR(VLOOKUP($F137,Sheet3!$H$2:$O$200,AJ$1,FALSE),VLOOKUP($G137,Sheet3!$H$2:$O$200,AJ$1,FALSE)),$I$1),$I$1)</f>
        <v>0</v>
      </c>
      <c r="AK137" s="15">
        <f>IFERROR(IF(ISBLANK(AD137),IFERROR(VLOOKUP($F137,Sheet3!$H$2:$O$200,AK$1,FALSE),VLOOKUP($G137,Sheet3!$H$2:$O$200,AK$1,FALSE)),$I$1),$I$1)</f>
        <v>0</v>
      </c>
      <c r="AL137" s="15">
        <f>IFERROR(IF(ISBLANK(AE137),VLOOKUP($G137,Sheet3!$H$2:$O$200,AL$1,FALSE),$I$1),$I$1)</f>
        <v>0</v>
      </c>
      <c r="AM137" s="15">
        <f>IFERROR(IF(ISBLANK(AF137),VLOOKUP($G137,Sheet3!$H$2:$O$200,AM$1,FALSE),$I$1),$I$1)</f>
        <v>0</v>
      </c>
      <c r="AN137" s="15">
        <f>IFERROR(IF(ISBLANK(AG137),VLOOKUP($G137,Sheet3!$H$2:$O$200,AN$1,FALSE),$I$1),$I$1)</f>
        <v>0</v>
      </c>
      <c r="AO137" s="15">
        <f>IFERROR(IF(ISBLANK(AH137),VLOOKUP($G137,Sheet3!$H$2:$O$200,AO$1,FALSE),$I$1),$I$1)</f>
        <v>0</v>
      </c>
      <c r="AP137" s="15">
        <f>IFERROR(IF(ISBLANK(AI137),VLOOKUP($G137,Sheet3!$H$2:$O$200,AP$1,FALSE),$I$1),$I$1)</f>
        <v>0</v>
      </c>
      <c r="AQ137" s="15">
        <f>IFERROR(IF(ISBLANK(AJ137),VLOOKUP($G137,Sheet3!$H$2:$O$200,AQ$1,FALSE),$I$1),$I$1)</f>
        <v>0</v>
      </c>
      <c r="AR137" s="15">
        <f>IFERROR(IF(ISBLANK(AK137),VLOOKUP($G137,Sheet3!$H$2:$O$200,AR$1,FALSE),$I$1),$I$1)</f>
        <v>0</v>
      </c>
      <c r="AS137" s="15" t="str">
        <f t="shared" ref="AS137:AY137" si="144">IFERROR(IF(ISBLANK(J137),IF(ISBLANK(Q137),IF(ISBLANK(X137),IF(ISBLANK(AE137),IF(ISBLANK(AL137),$BB$1,AL137),AE137),X137),Q137),J137),$BB$1)</f>
        <v>sloe gin</v>
      </c>
      <c r="AT137" s="15">
        <f t="shared" si="144"/>
        <v>0</v>
      </c>
      <c r="AU137" s="15">
        <f t="shared" si="144"/>
        <v>0</v>
      </c>
      <c r="AV137" s="15">
        <f t="shared" si="144"/>
        <v>0</v>
      </c>
      <c r="AW137" s="15">
        <f t="shared" si="144"/>
        <v>0</v>
      </c>
      <c r="AX137" s="15">
        <f t="shared" si="144"/>
        <v>0</v>
      </c>
      <c r="AY137" s="15">
        <f t="shared" si="144"/>
        <v>0</v>
      </c>
      <c r="BA137" s="13">
        <f t="shared" si="1"/>
        <v>35</v>
      </c>
      <c r="BB137" s="15" t="b">
        <f t="shared" si="2"/>
        <v>0</v>
      </c>
    </row>
    <row r="138" spans="1:54" x14ac:dyDescent="0.2">
      <c r="A138" s="19" t="s">
        <v>290</v>
      </c>
      <c r="B138" s="19" t="s">
        <v>265</v>
      </c>
      <c r="C138" s="19" t="s">
        <v>57</v>
      </c>
      <c r="D138" s="19" t="s">
        <v>38</v>
      </c>
      <c r="E138" s="19"/>
      <c r="F138" s="19"/>
      <c r="G138" s="19"/>
      <c r="H138" s="19" t="s">
        <v>290</v>
      </c>
      <c r="I138" s="15">
        <v>2</v>
      </c>
      <c r="J138" s="15">
        <f>IFERROR(VLOOKUP($C138,Sheet3!$H$2:$O$200,J$1,FALSE),IFERROR(VLOOKUP($D138,Sheet3!$H$2:$O$200,J$1,FALSE),VLOOKUP($E138,Sheet3!$H$2:$O$200,J$1,FALSE)))</f>
        <v>0</v>
      </c>
      <c r="K138" s="15">
        <f>IFERROR(VLOOKUP($C138,Sheet3!$H$2:$O$200,K$1,FALSE),IFERROR(VLOOKUP($D138,Sheet3!$H$2:$O$200,K$1,FALSE),VLOOKUP($E138,Sheet3!$H$2:$O$200,K$1,FALSE)))</f>
        <v>0</v>
      </c>
      <c r="L138" s="15">
        <f>IFERROR(VLOOKUP($C138,Sheet3!$H$2:$O$200,L$1,FALSE),IFERROR(VLOOKUP($D138,Sheet3!$H$2:$O$200,L$1,FALSE),VLOOKUP($E138,Sheet3!$H$2:$O$200,L$1,FALSE)))</f>
        <v>0</v>
      </c>
      <c r="M138" s="15" t="str">
        <f>IFERROR(VLOOKUP($C138,Sheet3!$H$2:$O$200,M$1,FALSE),IFERROR(VLOOKUP($D138,Sheet3!$H$2:$O$200,M$1,FALSE),VLOOKUP($E138,Sheet3!$H$2:$O$200,M$1,FALSE)))</f>
        <v>crème de noyau</v>
      </c>
      <c r="N138" s="15">
        <f>IFERROR(VLOOKUP($C138,Sheet3!$H$2:$O$200,N$1,FALSE),IFERROR(VLOOKUP($D138,Sheet3!$H$2:$O$200,N$1,FALSE),VLOOKUP($E138,Sheet3!$H$2:$O$200,N$1,FALSE)))</f>
        <v>0</v>
      </c>
      <c r="O138" s="15">
        <f>IFERROR(VLOOKUP($C138,Sheet3!$H$2:$O$200,O$1,FALSE),IFERROR(VLOOKUP($D138,Sheet3!$H$2:$O$200,O$1,FALSE),VLOOKUP($E138,Sheet3!$H$2:$O$200,O$1,FALSE)))</f>
        <v>0</v>
      </c>
      <c r="P138" s="15">
        <f>IFERROR(VLOOKUP($C138,Sheet3!$H$2:$O$200,P$1,FALSE),IFERROR(VLOOKUP($D138,Sheet3!$H$2:$O$200,P$1,FALSE),VLOOKUP($E138,Sheet3!$H$2:$O$200,P$1,FALSE)))</f>
        <v>0</v>
      </c>
      <c r="Q138" s="15">
        <f>IFERROR(IF(ISBLANK(J138),IFERROR(VLOOKUP($D138,Sheet3!$H$2:$O$200,Q$1,FALSE),IFERROR(VLOOKUP($E138,Sheet3!$H$2:$O$200,Q$1,FALSE),VLOOKUP($F138,Sheet3!$H$2:$O$200,Q$1,FALSE))),$I$1),$I$1)</f>
        <v>0</v>
      </c>
      <c r="R138" s="15">
        <f>IFERROR(IF(ISBLANK(K138),IFERROR(VLOOKUP($D138,Sheet3!$H$2:$O$200,R$1,FALSE),IFERROR(VLOOKUP($E138,Sheet3!$H$2:$O$200,R$1,FALSE),VLOOKUP($F138,Sheet3!$H$2:$O$200,R$1,FALSE))),$I$1),$I$1)</f>
        <v>0</v>
      </c>
      <c r="S138" s="15">
        <f>IFERROR(IF(ISBLANK(L138),IFERROR(VLOOKUP($D138,Sheet3!$H$2:$O$200,S$1,FALSE),IFERROR(VLOOKUP($E138,Sheet3!$H$2:$O$200,S$1,FALSE),VLOOKUP($F138,Sheet3!$H$2:$O$200,S$1,FALSE))),$I$1),$I$1)</f>
        <v>0</v>
      </c>
      <c r="T138" s="15">
        <f>IFERROR(IF(ISBLANK(M138),IFERROR(VLOOKUP($D138,Sheet3!$H$2:$O$200,T$1,FALSE),IFERROR(VLOOKUP($E138,Sheet3!$H$2:$O$200,T$1,FALSE),VLOOKUP($F138,Sheet3!$H$2:$O$200,T$1,FALSE))),$I$1),$I$1)</f>
        <v>0</v>
      </c>
      <c r="U138" s="15">
        <f>IFERROR(IF(ISBLANK(N138),IFERROR(VLOOKUP($D138,Sheet3!$H$2:$O$200,U$1,FALSE),IFERROR(VLOOKUP($E138,Sheet3!$H$2:$O$200,U$1,FALSE),VLOOKUP($F138,Sheet3!$H$2:$O$200,U$1,FALSE))),$I$1),$I$1)</f>
        <v>0</v>
      </c>
      <c r="V138" s="15">
        <f>IFERROR(IF(ISBLANK(O138),IFERROR(VLOOKUP($D138,Sheet3!$H$2:$O$200,V$1,FALSE),IFERROR(VLOOKUP($E138,Sheet3!$H$2:$O$200,V$1,FALSE),VLOOKUP($F138,Sheet3!$H$2:$O$200,V$1,FALSE))),$I$1),$I$1)</f>
        <v>0</v>
      </c>
      <c r="W138" s="15">
        <f>IFERROR(IF(ISBLANK(P138),IFERROR(VLOOKUP($D138,Sheet3!$H$2:$O$200,W$1,FALSE),IFERROR(VLOOKUP($E138,Sheet3!$H$2:$O$200,W$1,FALSE),VLOOKUP($F138,Sheet3!$H$2:$O$200,W$1,FALSE))),$I$1),$I$1)</f>
        <v>0</v>
      </c>
      <c r="X138" s="15">
        <f>IFERROR(IF(ISBLANK(Q138),IFERROR(VLOOKUP($E138,Sheet3!$H$2:$O$200,X$1,FALSE),IFERROR(VLOOKUP($F138,Sheet3!$H$2:$O$200,X$1,FALSE),VLOOKUP($G138,Sheet3!$H$2:$O$200,X$1,FALSE))),$I$1),$I$1)</f>
        <v>0</v>
      </c>
      <c r="Y138" s="15">
        <f>IFERROR(IF(ISBLANK(R138),IFERROR(VLOOKUP($E138,Sheet3!$H$2:$O$200,Y$1,FALSE),IFERROR(VLOOKUP($F138,Sheet3!$H$2:$O$200,Y$1,FALSE),VLOOKUP($G138,Sheet3!$H$2:$O$200,Y$1,FALSE))),$I$1),$I$1)</f>
        <v>0</v>
      </c>
      <c r="Z138" s="15">
        <f>IFERROR(IF(ISBLANK(S138),IFERROR(VLOOKUP($E138,Sheet3!$H$2:$O$200,Z$1,FALSE),IFERROR(VLOOKUP($F138,Sheet3!$H$2:$O$200,Z$1,FALSE),VLOOKUP($G138,Sheet3!$H$2:$O$200,Z$1,FALSE))),$I$1),$I$1)</f>
        <v>0</v>
      </c>
      <c r="AA138" s="15">
        <f>IFERROR(IF(ISBLANK(T138),IFERROR(VLOOKUP($E138,Sheet3!$H$2:$O$200,AA$1,FALSE),IFERROR(VLOOKUP($F138,Sheet3!$H$2:$O$200,AA$1,FALSE),VLOOKUP($G138,Sheet3!$H$2:$O$200,AA$1,FALSE))),$I$1),$I$1)</f>
        <v>0</v>
      </c>
      <c r="AB138" s="15">
        <f>IFERROR(IF(ISBLANK(U138),IFERROR(VLOOKUP($E138,Sheet3!$H$2:$O$200,AB$1,FALSE),IFERROR(VLOOKUP($F138,Sheet3!$H$2:$O$200,AB$1,FALSE),VLOOKUP($G138,Sheet3!$H$2:$O$200,AB$1,FALSE))),$I$1),$I$1)</f>
        <v>0</v>
      </c>
      <c r="AC138" s="15">
        <f>IFERROR(IF(ISBLANK(V138),IFERROR(VLOOKUP($E138,Sheet3!$H$2:$O$200,AC$1,FALSE),IFERROR(VLOOKUP($F138,Sheet3!$H$2:$O$200,AC$1,FALSE),VLOOKUP($G138,Sheet3!$H$2:$O$200,AC$1,FALSE))),$I$1),$I$1)</f>
        <v>0</v>
      </c>
      <c r="AD138" s="15">
        <f>IFERROR(IF(ISBLANK(W138),IFERROR(VLOOKUP($E138,Sheet3!$H$2:$O$200,AD$1,FALSE),IFERROR(VLOOKUP($F138,Sheet3!$H$2:$O$200,AD$1,FALSE),VLOOKUP($G138,Sheet3!$H$2:$O$200,AD$1,FALSE))),$I$1),$I$1)</f>
        <v>0</v>
      </c>
      <c r="AE138" s="15">
        <f>IFERROR(IF(ISBLANK(X138),IFERROR(VLOOKUP($F138,Sheet3!$H$2:$O$200,AE$1,FALSE),VLOOKUP($G138,Sheet3!$H$2:$O$200,AE$1,FALSE)),$I$1),$I$1)</f>
        <v>0</v>
      </c>
      <c r="AF138" s="15">
        <f>IFERROR(IF(ISBLANK(Y138),IFERROR(VLOOKUP($F138,Sheet3!$H$2:$O$200,AF$1,FALSE),VLOOKUP($G138,Sheet3!$H$2:$O$200,AF$1,FALSE)),$I$1),$I$1)</f>
        <v>0</v>
      </c>
      <c r="AG138" s="15">
        <f>IFERROR(IF(ISBLANK(Z138),IFERROR(VLOOKUP($F138,Sheet3!$H$2:$O$200,AG$1,FALSE),VLOOKUP($G138,Sheet3!$H$2:$O$200,AG$1,FALSE)),$I$1),$I$1)</f>
        <v>0</v>
      </c>
      <c r="AH138" s="15">
        <f>IFERROR(IF(ISBLANK(AA138),IFERROR(VLOOKUP($F138,Sheet3!$H$2:$O$200,AH$1,FALSE),VLOOKUP($G138,Sheet3!$H$2:$O$200,AH$1,FALSE)),$I$1),$I$1)</f>
        <v>0</v>
      </c>
      <c r="AI138" s="15">
        <f>IFERROR(IF(ISBLANK(AB138),IFERROR(VLOOKUP($F138,Sheet3!$H$2:$O$200,AI$1,FALSE),VLOOKUP($G138,Sheet3!$H$2:$O$200,AI$1,FALSE)),$I$1),$I$1)</f>
        <v>0</v>
      </c>
      <c r="AJ138" s="15">
        <f>IFERROR(IF(ISBLANK(AC138),IFERROR(VLOOKUP($F138,Sheet3!$H$2:$O$200,AJ$1,FALSE),VLOOKUP($G138,Sheet3!$H$2:$O$200,AJ$1,FALSE)),$I$1),$I$1)</f>
        <v>0</v>
      </c>
      <c r="AK138" s="15">
        <f>IFERROR(IF(ISBLANK(AD138),IFERROR(VLOOKUP($F138,Sheet3!$H$2:$O$200,AK$1,FALSE),VLOOKUP($G138,Sheet3!$H$2:$O$200,AK$1,FALSE)),$I$1),$I$1)</f>
        <v>0</v>
      </c>
      <c r="AL138" s="15">
        <f>IFERROR(IF(ISBLANK(AE138),VLOOKUP($G138,Sheet3!$H$2:$O$200,AL$1,FALSE),$I$1),$I$1)</f>
        <v>0</v>
      </c>
      <c r="AM138" s="15">
        <f>IFERROR(IF(ISBLANK(AF138),VLOOKUP($G138,Sheet3!$H$2:$O$200,AM$1,FALSE),$I$1),$I$1)</f>
        <v>0</v>
      </c>
      <c r="AN138" s="15">
        <f>IFERROR(IF(ISBLANK(AG138),VLOOKUP($G138,Sheet3!$H$2:$O$200,AN$1,FALSE),$I$1),$I$1)</f>
        <v>0</v>
      </c>
      <c r="AO138" s="15">
        <f>IFERROR(IF(ISBLANK(AH138),VLOOKUP($G138,Sheet3!$H$2:$O$200,AO$1,FALSE),$I$1),$I$1)</f>
        <v>0</v>
      </c>
      <c r="AP138" s="15">
        <f>IFERROR(IF(ISBLANK(AI138),VLOOKUP($G138,Sheet3!$H$2:$O$200,AP$1,FALSE),$I$1),$I$1)</f>
        <v>0</v>
      </c>
      <c r="AQ138" s="15">
        <f>IFERROR(IF(ISBLANK(AJ138),VLOOKUP($G138,Sheet3!$H$2:$O$200,AQ$1,FALSE),$I$1),$I$1)</f>
        <v>0</v>
      </c>
      <c r="AR138" s="15">
        <f>IFERROR(IF(ISBLANK(AK138),VLOOKUP($G138,Sheet3!$H$2:$O$200,AR$1,FALSE),$I$1),$I$1)</f>
        <v>0</v>
      </c>
      <c r="AS138" s="15">
        <f t="shared" ref="AS138:AY138" si="145">IFERROR(IF(ISBLANK(J138),IF(ISBLANK(Q138),IF(ISBLANK(X138),IF(ISBLANK(AE138),IF(ISBLANK(AL138),$BB$1,AL138),AE138),X138),Q138),J138),$BB$1)</f>
        <v>0</v>
      </c>
      <c r="AT138" s="15">
        <f t="shared" si="145"/>
        <v>0</v>
      </c>
      <c r="AU138" s="15">
        <f t="shared" si="145"/>
        <v>0</v>
      </c>
      <c r="AV138" s="15" t="str">
        <f t="shared" si="145"/>
        <v>crème de noyau</v>
      </c>
      <c r="AW138" s="15">
        <f t="shared" si="145"/>
        <v>0</v>
      </c>
      <c r="AX138" s="15">
        <f t="shared" si="145"/>
        <v>0</v>
      </c>
      <c r="AY138" s="15">
        <f t="shared" si="145"/>
        <v>0</v>
      </c>
      <c r="BA138" s="13">
        <f t="shared" si="1"/>
        <v>35</v>
      </c>
      <c r="BB138" s="15" t="b">
        <f t="shared" si="2"/>
        <v>0</v>
      </c>
    </row>
    <row r="139" spans="1:54" x14ac:dyDescent="0.2">
      <c r="A139" s="19" t="s">
        <v>291</v>
      </c>
      <c r="B139" s="19" t="s">
        <v>292</v>
      </c>
      <c r="C139" s="19"/>
      <c r="D139" s="19" t="s">
        <v>90</v>
      </c>
      <c r="E139" s="19" t="s">
        <v>55</v>
      </c>
      <c r="F139" s="19"/>
      <c r="G139" s="19"/>
      <c r="H139" s="19" t="s">
        <v>291</v>
      </c>
      <c r="I139" s="15">
        <v>2</v>
      </c>
      <c r="J139" s="15">
        <f>IFERROR(VLOOKUP($C139,Sheet3!$H$2:$O$200,J$1,FALSE),IFERROR(VLOOKUP($D139,Sheet3!$H$2:$O$200,J$1,FALSE),VLOOKUP($E139,Sheet3!$H$2:$O$200,J$1,FALSE)))</f>
        <v>0</v>
      </c>
      <c r="K139" s="15">
        <f>IFERROR(VLOOKUP($C139,Sheet3!$H$2:$O$200,K$1,FALSE),IFERROR(VLOOKUP($D139,Sheet3!$H$2:$O$200,K$1,FALSE),VLOOKUP($E139,Sheet3!$H$2:$O$200,K$1,FALSE)))</f>
        <v>0</v>
      </c>
      <c r="L139" s="15" t="str">
        <f>IFERROR(VLOOKUP($C139,Sheet3!$H$2:$O$200,L$1,FALSE),IFERROR(VLOOKUP($D139,Sheet3!$H$2:$O$200,L$1,FALSE),VLOOKUP($E139,Sheet3!$H$2:$O$200,L$1,FALSE)))</f>
        <v>lime juice</v>
      </c>
      <c r="M139" s="15">
        <f>IFERROR(VLOOKUP($C139,Sheet3!$H$2:$O$200,M$1,FALSE),IFERROR(VLOOKUP($D139,Sheet3!$H$2:$O$200,M$1,FALSE),VLOOKUP($E139,Sheet3!$H$2:$O$200,M$1,FALSE)))</f>
        <v>0</v>
      </c>
      <c r="N139" s="15">
        <f>IFERROR(VLOOKUP($C139,Sheet3!$H$2:$O$200,N$1,FALSE),IFERROR(VLOOKUP($D139,Sheet3!$H$2:$O$200,N$1,FALSE),VLOOKUP($E139,Sheet3!$H$2:$O$200,N$1,FALSE)))</f>
        <v>0</v>
      </c>
      <c r="O139" s="15">
        <f>IFERROR(VLOOKUP($C139,Sheet3!$H$2:$O$200,O$1,FALSE),IFERROR(VLOOKUP($D139,Sheet3!$H$2:$O$200,O$1,FALSE),VLOOKUP($E139,Sheet3!$H$2:$O$200,O$1,FALSE)))</f>
        <v>0</v>
      </c>
      <c r="P139" s="15">
        <f>IFERROR(VLOOKUP($C139,Sheet3!$H$2:$O$200,P$1,FALSE),IFERROR(VLOOKUP($D139,Sheet3!$H$2:$O$200,P$1,FALSE),VLOOKUP($E139,Sheet3!$H$2:$O$200,P$1,FALSE)))</f>
        <v>0</v>
      </c>
      <c r="Q139" s="15">
        <f>IFERROR(IF(ISBLANK(J139),IFERROR(VLOOKUP($D139,Sheet3!$H$2:$O$200,Q$1,FALSE),IFERROR(VLOOKUP($E139,Sheet3!$H$2:$O$200,Q$1,FALSE),VLOOKUP($F139,Sheet3!$H$2:$O$200,Q$1,FALSE))),$I$1),$I$1)</f>
        <v>0</v>
      </c>
      <c r="R139" s="15">
        <f>IFERROR(IF(ISBLANK(K139),IFERROR(VLOOKUP($D139,Sheet3!$H$2:$O$200,R$1,FALSE),IFERROR(VLOOKUP($E139,Sheet3!$H$2:$O$200,R$1,FALSE),VLOOKUP($F139,Sheet3!$H$2:$O$200,R$1,FALSE))),$I$1),$I$1)</f>
        <v>0</v>
      </c>
      <c r="S139" s="15">
        <f>IFERROR(IF(ISBLANK(L139),IFERROR(VLOOKUP($D139,Sheet3!$H$2:$O$200,S$1,FALSE),IFERROR(VLOOKUP($E139,Sheet3!$H$2:$O$200,S$1,FALSE),VLOOKUP($F139,Sheet3!$H$2:$O$200,S$1,FALSE))),$I$1),$I$1)</f>
        <v>0</v>
      </c>
      <c r="T139" s="15">
        <f>IFERROR(IF(ISBLANK(M139),IFERROR(VLOOKUP($D139,Sheet3!$H$2:$O$200,T$1,FALSE),IFERROR(VLOOKUP($E139,Sheet3!$H$2:$O$200,T$1,FALSE),VLOOKUP($F139,Sheet3!$H$2:$O$200,T$1,FALSE))),$I$1),$I$1)</f>
        <v>0</v>
      </c>
      <c r="U139" s="15">
        <f>IFERROR(IF(ISBLANK(N139),IFERROR(VLOOKUP($D139,Sheet3!$H$2:$O$200,U$1,FALSE),IFERROR(VLOOKUP($E139,Sheet3!$H$2:$O$200,U$1,FALSE),VLOOKUP($F139,Sheet3!$H$2:$O$200,U$1,FALSE))),$I$1),$I$1)</f>
        <v>0</v>
      </c>
      <c r="V139" s="15">
        <f>IFERROR(IF(ISBLANK(O139),IFERROR(VLOOKUP($D139,Sheet3!$H$2:$O$200,V$1,FALSE),IFERROR(VLOOKUP($E139,Sheet3!$H$2:$O$200,V$1,FALSE),VLOOKUP($F139,Sheet3!$H$2:$O$200,V$1,FALSE))),$I$1),$I$1)</f>
        <v>0</v>
      </c>
      <c r="W139" s="15">
        <f>IFERROR(IF(ISBLANK(P139),IFERROR(VLOOKUP($D139,Sheet3!$H$2:$O$200,W$1,FALSE),IFERROR(VLOOKUP($E139,Sheet3!$H$2:$O$200,W$1,FALSE),VLOOKUP($F139,Sheet3!$H$2:$O$200,W$1,FALSE))),$I$1),$I$1)</f>
        <v>0</v>
      </c>
      <c r="X139" s="15">
        <f>IFERROR(IF(ISBLANK(Q139),IFERROR(VLOOKUP($E139,Sheet3!$H$2:$O$200,X$1,FALSE),IFERROR(VLOOKUP($F139,Sheet3!$H$2:$O$200,X$1,FALSE),VLOOKUP($G139,Sheet3!$H$2:$O$200,X$1,FALSE))),$I$1),$I$1)</f>
        <v>0</v>
      </c>
      <c r="Y139" s="15">
        <f>IFERROR(IF(ISBLANK(R139),IFERROR(VLOOKUP($E139,Sheet3!$H$2:$O$200,Y$1,FALSE),IFERROR(VLOOKUP($F139,Sheet3!$H$2:$O$200,Y$1,FALSE),VLOOKUP($G139,Sheet3!$H$2:$O$200,Y$1,FALSE))),$I$1),$I$1)</f>
        <v>0</v>
      </c>
      <c r="Z139" s="15">
        <f>IFERROR(IF(ISBLANK(S139),IFERROR(VLOOKUP($E139,Sheet3!$H$2:$O$200,Z$1,FALSE),IFERROR(VLOOKUP($F139,Sheet3!$H$2:$O$200,Z$1,FALSE),VLOOKUP($G139,Sheet3!$H$2:$O$200,Z$1,FALSE))),$I$1),$I$1)</f>
        <v>0</v>
      </c>
      <c r="AA139" s="15">
        <f>IFERROR(IF(ISBLANK(T139),IFERROR(VLOOKUP($E139,Sheet3!$H$2:$O$200,AA$1,FALSE),IFERROR(VLOOKUP($F139,Sheet3!$H$2:$O$200,AA$1,FALSE),VLOOKUP($G139,Sheet3!$H$2:$O$200,AA$1,FALSE))),$I$1),$I$1)</f>
        <v>0</v>
      </c>
      <c r="AB139" s="15">
        <f>IFERROR(IF(ISBLANK(U139),IFERROR(VLOOKUP($E139,Sheet3!$H$2:$O$200,AB$1,FALSE),IFERROR(VLOOKUP($F139,Sheet3!$H$2:$O$200,AB$1,FALSE),VLOOKUP($G139,Sheet3!$H$2:$O$200,AB$1,FALSE))),$I$1),$I$1)</f>
        <v>0</v>
      </c>
      <c r="AC139" s="15">
        <f>IFERROR(IF(ISBLANK(V139),IFERROR(VLOOKUP($E139,Sheet3!$H$2:$O$200,AC$1,FALSE),IFERROR(VLOOKUP($F139,Sheet3!$H$2:$O$200,AC$1,FALSE),VLOOKUP($G139,Sheet3!$H$2:$O$200,AC$1,FALSE))),$I$1),$I$1)</f>
        <v>0</v>
      </c>
      <c r="AD139" s="15">
        <f>IFERROR(IF(ISBLANK(W139),IFERROR(VLOOKUP($E139,Sheet3!$H$2:$O$200,AD$1,FALSE),IFERROR(VLOOKUP($F139,Sheet3!$H$2:$O$200,AD$1,FALSE),VLOOKUP($G139,Sheet3!$H$2:$O$200,AD$1,FALSE))),$I$1),$I$1)</f>
        <v>0</v>
      </c>
      <c r="AE139" s="15">
        <f>IFERROR(IF(ISBLANK(X139),IFERROR(VLOOKUP($F139,Sheet3!$H$2:$O$200,AE$1,FALSE),VLOOKUP($G139,Sheet3!$H$2:$O$200,AE$1,FALSE)),$I$1),$I$1)</f>
        <v>0</v>
      </c>
      <c r="AF139" s="15">
        <f>IFERROR(IF(ISBLANK(Y139),IFERROR(VLOOKUP($F139,Sheet3!$H$2:$O$200,AF$1,FALSE),VLOOKUP($G139,Sheet3!$H$2:$O$200,AF$1,FALSE)),$I$1),$I$1)</f>
        <v>0</v>
      </c>
      <c r="AG139" s="15">
        <f>IFERROR(IF(ISBLANK(Z139),IFERROR(VLOOKUP($F139,Sheet3!$H$2:$O$200,AG$1,FALSE),VLOOKUP($G139,Sheet3!$H$2:$O$200,AG$1,FALSE)),$I$1),$I$1)</f>
        <v>0</v>
      </c>
      <c r="AH139" s="15">
        <f>IFERROR(IF(ISBLANK(AA139),IFERROR(VLOOKUP($F139,Sheet3!$H$2:$O$200,AH$1,FALSE),VLOOKUP($G139,Sheet3!$H$2:$O$200,AH$1,FALSE)),$I$1),$I$1)</f>
        <v>0</v>
      </c>
      <c r="AI139" s="15">
        <f>IFERROR(IF(ISBLANK(AB139),IFERROR(VLOOKUP($F139,Sheet3!$H$2:$O$200,AI$1,FALSE),VLOOKUP($G139,Sheet3!$H$2:$O$200,AI$1,FALSE)),$I$1),$I$1)</f>
        <v>0</v>
      </c>
      <c r="AJ139" s="15">
        <f>IFERROR(IF(ISBLANK(AC139),IFERROR(VLOOKUP($F139,Sheet3!$H$2:$O$200,AJ$1,FALSE),VLOOKUP($G139,Sheet3!$H$2:$O$200,AJ$1,FALSE)),$I$1),$I$1)</f>
        <v>0</v>
      </c>
      <c r="AK139" s="15">
        <f>IFERROR(IF(ISBLANK(AD139),IFERROR(VLOOKUP($F139,Sheet3!$H$2:$O$200,AK$1,FALSE),VLOOKUP($G139,Sheet3!$H$2:$O$200,AK$1,FALSE)),$I$1),$I$1)</f>
        <v>0</v>
      </c>
      <c r="AL139" s="15">
        <f>IFERROR(IF(ISBLANK(AE139),VLOOKUP($G139,Sheet3!$H$2:$O$200,AL$1,FALSE),$I$1),$I$1)</f>
        <v>0</v>
      </c>
      <c r="AM139" s="15">
        <f>IFERROR(IF(ISBLANK(AF139),VLOOKUP($G139,Sheet3!$H$2:$O$200,AM$1,FALSE),$I$1),$I$1)</f>
        <v>0</v>
      </c>
      <c r="AN139" s="15">
        <f>IFERROR(IF(ISBLANK(AG139),VLOOKUP($G139,Sheet3!$H$2:$O$200,AN$1,FALSE),$I$1),$I$1)</f>
        <v>0</v>
      </c>
      <c r="AO139" s="15">
        <f>IFERROR(IF(ISBLANK(AH139),VLOOKUP($G139,Sheet3!$H$2:$O$200,AO$1,FALSE),$I$1),$I$1)</f>
        <v>0</v>
      </c>
      <c r="AP139" s="15">
        <f>IFERROR(IF(ISBLANK(AI139),VLOOKUP($G139,Sheet3!$H$2:$O$200,AP$1,FALSE),$I$1),$I$1)</f>
        <v>0</v>
      </c>
      <c r="AQ139" s="15">
        <f>IFERROR(IF(ISBLANK(AJ139),VLOOKUP($G139,Sheet3!$H$2:$O$200,AQ$1,FALSE),$I$1),$I$1)</f>
        <v>0</v>
      </c>
      <c r="AR139" s="15">
        <f>IFERROR(IF(ISBLANK(AK139),VLOOKUP($G139,Sheet3!$H$2:$O$200,AR$1,FALSE),$I$1),$I$1)</f>
        <v>0</v>
      </c>
      <c r="AS139" s="15">
        <f t="shared" ref="AS139:AY139" si="146">IFERROR(IF(ISBLANK(J139),IF(ISBLANK(Q139),IF(ISBLANK(X139),IF(ISBLANK(AE139),IF(ISBLANK(AL139),$BB$1,AL139),AE139),X139),Q139),J139),$BB$1)</f>
        <v>0</v>
      </c>
      <c r="AT139" s="15">
        <f t="shared" si="146"/>
        <v>0</v>
      </c>
      <c r="AU139" s="15" t="str">
        <f t="shared" si="146"/>
        <v>lime juice</v>
      </c>
      <c r="AV139" s="15">
        <f t="shared" si="146"/>
        <v>0</v>
      </c>
      <c r="AW139" s="15">
        <f t="shared" si="146"/>
        <v>0</v>
      </c>
      <c r="AX139" s="15">
        <f t="shared" si="146"/>
        <v>0</v>
      </c>
      <c r="AY139" s="15">
        <f t="shared" si="146"/>
        <v>0</v>
      </c>
      <c r="BA139" s="13">
        <f t="shared" si="1"/>
        <v>35</v>
      </c>
      <c r="BB139" s="15" t="b">
        <f t="shared" si="2"/>
        <v>0</v>
      </c>
    </row>
    <row r="140" spans="1:54" x14ac:dyDescent="0.2">
      <c r="A140" s="19" t="s">
        <v>293</v>
      </c>
      <c r="B140" s="19" t="s">
        <v>294</v>
      </c>
      <c r="C140" s="19"/>
      <c r="D140" s="19" t="s">
        <v>295</v>
      </c>
      <c r="E140" s="19" t="s">
        <v>86</v>
      </c>
      <c r="F140" s="19" t="s">
        <v>296</v>
      </c>
      <c r="G140" s="19"/>
      <c r="H140" s="19" t="s">
        <v>293</v>
      </c>
      <c r="I140" s="15">
        <v>3</v>
      </c>
      <c r="J140" s="15">
        <f>IFERROR(VLOOKUP($C140,Sheet3!$H$2:$O$200,J$1,FALSE),IFERROR(VLOOKUP($D140,Sheet3!$H$2:$O$200,J$1,FALSE),VLOOKUP($E140,Sheet3!$H$2:$O$200,J$1,FALSE)))</f>
        <v>0</v>
      </c>
      <c r="K140" s="15">
        <f>IFERROR(VLOOKUP($C140,Sheet3!$H$2:$O$200,K$1,FALSE),IFERROR(VLOOKUP($D140,Sheet3!$H$2:$O$200,K$1,FALSE),VLOOKUP($E140,Sheet3!$H$2:$O$200,K$1,FALSE)))</f>
        <v>0</v>
      </c>
      <c r="L140" s="15" t="str">
        <f>IFERROR(VLOOKUP($C140,Sheet3!$H$2:$O$200,L$1,FALSE),IFERROR(VLOOKUP($D140,Sheet3!$H$2:$O$200,L$1,FALSE),VLOOKUP($E140,Sheet3!$H$2:$O$200,L$1,FALSE)))</f>
        <v>lime juice</v>
      </c>
      <c r="M140" s="15">
        <f>IFERROR(VLOOKUP($C140,Sheet3!$H$2:$O$200,M$1,FALSE),IFERROR(VLOOKUP($D140,Sheet3!$H$2:$O$200,M$1,FALSE),VLOOKUP($E140,Sheet3!$H$2:$O$200,M$1,FALSE)))</f>
        <v>0</v>
      </c>
      <c r="N140" s="15" t="str">
        <f>IFERROR(VLOOKUP($C140,Sheet3!$H$2:$O$200,N$1,FALSE),IFERROR(VLOOKUP($D140,Sheet3!$H$2:$O$200,N$1,FALSE),VLOOKUP($E140,Sheet3!$H$2:$O$200,N$1,FALSE)))</f>
        <v>lemon juice</v>
      </c>
      <c r="O140" s="15">
        <f>IFERROR(VLOOKUP($C140,Sheet3!$H$2:$O$200,O$1,FALSE),IFERROR(VLOOKUP($D140,Sheet3!$H$2:$O$200,O$1,FALSE),VLOOKUP($E140,Sheet3!$H$2:$O$200,O$1,FALSE)))</f>
        <v>0</v>
      </c>
      <c r="P140" s="15">
        <f>IFERROR(VLOOKUP($C140,Sheet3!$H$2:$O$200,P$1,FALSE),IFERROR(VLOOKUP($D140,Sheet3!$H$2:$O$200,P$1,FALSE),VLOOKUP($E140,Sheet3!$H$2:$O$200,P$1,FALSE)))</f>
        <v>0</v>
      </c>
      <c r="Q140" s="15">
        <f>IFERROR(IF(ISBLANK(J140),IFERROR(VLOOKUP($D140,Sheet3!$H$2:$O$200,Q$1,FALSE),IFERROR(VLOOKUP($E140,Sheet3!$H$2:$O$200,Q$1,FALSE),VLOOKUP($F140,Sheet3!$H$2:$O$200,Q$1,FALSE))),$I$1),$I$1)</f>
        <v>0</v>
      </c>
      <c r="R140" s="15">
        <f>IFERROR(IF(ISBLANK(K140),IFERROR(VLOOKUP($D140,Sheet3!$H$2:$O$200,R$1,FALSE),IFERROR(VLOOKUP($E140,Sheet3!$H$2:$O$200,R$1,FALSE),VLOOKUP($F140,Sheet3!$H$2:$O$200,R$1,FALSE))),$I$1),$I$1)</f>
        <v>0</v>
      </c>
      <c r="S140" s="15">
        <f>IFERROR(IF(ISBLANK(L140),IFERROR(VLOOKUP($D140,Sheet3!$H$2:$O$200,S$1,FALSE),IFERROR(VLOOKUP($E140,Sheet3!$H$2:$O$200,S$1,FALSE),VLOOKUP($F140,Sheet3!$H$2:$O$200,S$1,FALSE))),$I$1),$I$1)</f>
        <v>0</v>
      </c>
      <c r="T140" s="15">
        <f>IFERROR(IF(ISBLANK(M140),IFERROR(VLOOKUP($D140,Sheet3!$H$2:$O$200,T$1,FALSE),IFERROR(VLOOKUP($E140,Sheet3!$H$2:$O$200,T$1,FALSE),VLOOKUP($F140,Sheet3!$H$2:$O$200,T$1,FALSE))),$I$1),$I$1)</f>
        <v>0</v>
      </c>
      <c r="U140" s="15">
        <f>IFERROR(IF(ISBLANK(N140),IFERROR(VLOOKUP($D140,Sheet3!$H$2:$O$200,U$1,FALSE),IFERROR(VLOOKUP($E140,Sheet3!$H$2:$O$200,U$1,FALSE),VLOOKUP($F140,Sheet3!$H$2:$O$200,U$1,FALSE))),$I$1),$I$1)</f>
        <v>0</v>
      </c>
      <c r="V140" s="15">
        <f>IFERROR(IF(ISBLANK(O140),IFERROR(VLOOKUP($D140,Sheet3!$H$2:$O$200,V$1,FALSE),IFERROR(VLOOKUP($E140,Sheet3!$H$2:$O$200,V$1,FALSE),VLOOKUP($F140,Sheet3!$H$2:$O$200,V$1,FALSE))),$I$1),$I$1)</f>
        <v>0</v>
      </c>
      <c r="W140" s="15">
        <f>IFERROR(IF(ISBLANK(P140),IFERROR(VLOOKUP($D140,Sheet3!$H$2:$O$200,W$1,FALSE),IFERROR(VLOOKUP($E140,Sheet3!$H$2:$O$200,W$1,FALSE),VLOOKUP($F140,Sheet3!$H$2:$O$200,W$1,FALSE))),$I$1),$I$1)</f>
        <v>0</v>
      </c>
      <c r="X140" s="15">
        <f>IFERROR(IF(ISBLANK(Q140),IFERROR(VLOOKUP($E140,Sheet3!$H$2:$O$200,X$1,FALSE),IFERROR(VLOOKUP($F140,Sheet3!$H$2:$O$200,X$1,FALSE),VLOOKUP($G140,Sheet3!$H$2:$O$200,X$1,FALSE))),$I$1),$I$1)</f>
        <v>0</v>
      </c>
      <c r="Y140" s="15">
        <f>IFERROR(IF(ISBLANK(R140),IFERROR(VLOOKUP($E140,Sheet3!$H$2:$O$200,Y$1,FALSE),IFERROR(VLOOKUP($F140,Sheet3!$H$2:$O$200,Y$1,FALSE),VLOOKUP($G140,Sheet3!$H$2:$O$200,Y$1,FALSE))),$I$1),$I$1)</f>
        <v>0</v>
      </c>
      <c r="Z140" s="15">
        <f>IFERROR(IF(ISBLANK(S140),IFERROR(VLOOKUP($E140,Sheet3!$H$2:$O$200,Z$1,FALSE),IFERROR(VLOOKUP($F140,Sheet3!$H$2:$O$200,Z$1,FALSE),VLOOKUP($G140,Sheet3!$H$2:$O$200,Z$1,FALSE))),$I$1),$I$1)</f>
        <v>0</v>
      </c>
      <c r="AA140" s="15">
        <f>IFERROR(IF(ISBLANK(T140),IFERROR(VLOOKUP($E140,Sheet3!$H$2:$O$200,AA$1,FALSE),IFERROR(VLOOKUP($F140,Sheet3!$H$2:$O$200,AA$1,FALSE),VLOOKUP($G140,Sheet3!$H$2:$O$200,AA$1,FALSE))),$I$1),$I$1)</f>
        <v>0</v>
      </c>
      <c r="AB140" s="15">
        <f>IFERROR(IF(ISBLANK(U140),IFERROR(VLOOKUP($E140,Sheet3!$H$2:$O$200,AB$1,FALSE),IFERROR(VLOOKUP($F140,Sheet3!$H$2:$O$200,AB$1,FALSE),VLOOKUP($G140,Sheet3!$H$2:$O$200,AB$1,FALSE))),$I$1),$I$1)</f>
        <v>0</v>
      </c>
      <c r="AC140" s="15">
        <f>IFERROR(IF(ISBLANK(V140),IFERROR(VLOOKUP($E140,Sheet3!$H$2:$O$200,AC$1,FALSE),IFERROR(VLOOKUP($F140,Sheet3!$H$2:$O$200,AC$1,FALSE),VLOOKUP($G140,Sheet3!$H$2:$O$200,AC$1,FALSE))),$I$1),$I$1)</f>
        <v>0</v>
      </c>
      <c r="AD140" s="15">
        <f>IFERROR(IF(ISBLANK(W140),IFERROR(VLOOKUP($E140,Sheet3!$H$2:$O$200,AD$1,FALSE),IFERROR(VLOOKUP($F140,Sheet3!$H$2:$O$200,AD$1,FALSE),VLOOKUP($G140,Sheet3!$H$2:$O$200,AD$1,FALSE))),$I$1),$I$1)</f>
        <v>0</v>
      </c>
      <c r="AE140" s="15">
        <f>IFERROR(IF(ISBLANK(X140),IFERROR(VLOOKUP($F140,Sheet3!$H$2:$O$200,AE$1,FALSE),VLOOKUP($G140,Sheet3!$H$2:$O$200,AE$1,FALSE)),$I$1),$I$1)</f>
        <v>0</v>
      </c>
      <c r="AF140" s="15">
        <f>IFERROR(IF(ISBLANK(Y140),IFERROR(VLOOKUP($F140,Sheet3!$H$2:$O$200,AF$1,FALSE),VLOOKUP($G140,Sheet3!$H$2:$O$200,AF$1,FALSE)),$I$1),$I$1)</f>
        <v>0</v>
      </c>
      <c r="AG140" s="15">
        <f>IFERROR(IF(ISBLANK(Z140),IFERROR(VLOOKUP($F140,Sheet3!$H$2:$O$200,AG$1,FALSE),VLOOKUP($G140,Sheet3!$H$2:$O$200,AG$1,FALSE)),$I$1),$I$1)</f>
        <v>0</v>
      </c>
      <c r="AH140" s="15">
        <f>IFERROR(IF(ISBLANK(AA140),IFERROR(VLOOKUP($F140,Sheet3!$H$2:$O$200,AH$1,FALSE),VLOOKUP($G140,Sheet3!$H$2:$O$200,AH$1,FALSE)),$I$1),$I$1)</f>
        <v>0</v>
      </c>
      <c r="AI140" s="15">
        <f>IFERROR(IF(ISBLANK(AB140),IFERROR(VLOOKUP($F140,Sheet3!$H$2:$O$200,AI$1,FALSE),VLOOKUP($G140,Sheet3!$H$2:$O$200,AI$1,FALSE)),$I$1),$I$1)</f>
        <v>0</v>
      </c>
      <c r="AJ140" s="15">
        <f>IFERROR(IF(ISBLANK(AC140),IFERROR(VLOOKUP($F140,Sheet3!$H$2:$O$200,AJ$1,FALSE),VLOOKUP($G140,Sheet3!$H$2:$O$200,AJ$1,FALSE)),$I$1),$I$1)</f>
        <v>0</v>
      </c>
      <c r="AK140" s="15">
        <f>IFERROR(IF(ISBLANK(AD140),IFERROR(VLOOKUP($F140,Sheet3!$H$2:$O$200,AK$1,FALSE),VLOOKUP($G140,Sheet3!$H$2:$O$200,AK$1,FALSE)),$I$1),$I$1)</f>
        <v>0</v>
      </c>
      <c r="AL140" s="15">
        <f>IFERROR(IF(ISBLANK(AE140),VLOOKUP($G140,Sheet3!$H$2:$O$200,AL$1,FALSE),$I$1),$I$1)</f>
        <v>0</v>
      </c>
      <c r="AM140" s="15">
        <f>IFERROR(IF(ISBLANK(AF140),VLOOKUP($G140,Sheet3!$H$2:$O$200,AM$1,FALSE),$I$1),$I$1)</f>
        <v>0</v>
      </c>
      <c r="AN140" s="15">
        <f>IFERROR(IF(ISBLANK(AG140),VLOOKUP($G140,Sheet3!$H$2:$O$200,AN$1,FALSE),$I$1),$I$1)</f>
        <v>0</v>
      </c>
      <c r="AO140" s="15">
        <f>IFERROR(IF(ISBLANK(AH140),VLOOKUP($G140,Sheet3!$H$2:$O$200,AO$1,FALSE),$I$1),$I$1)</f>
        <v>0</v>
      </c>
      <c r="AP140" s="15">
        <f>IFERROR(IF(ISBLANK(AI140),VLOOKUP($G140,Sheet3!$H$2:$O$200,AP$1,FALSE),$I$1),$I$1)</f>
        <v>0</v>
      </c>
      <c r="AQ140" s="15">
        <f>IFERROR(IF(ISBLANK(AJ140),VLOOKUP($G140,Sheet3!$H$2:$O$200,AQ$1,FALSE),$I$1),$I$1)</f>
        <v>0</v>
      </c>
      <c r="AR140" s="15">
        <f>IFERROR(IF(ISBLANK(AK140),VLOOKUP($G140,Sheet3!$H$2:$O$200,AR$1,FALSE),$I$1),$I$1)</f>
        <v>0</v>
      </c>
      <c r="AS140" s="15">
        <f t="shared" ref="AS140:AY140" si="147">IFERROR(IF(ISBLANK(J140),IF(ISBLANK(Q140),IF(ISBLANK(X140),IF(ISBLANK(AE140),IF(ISBLANK(AL140),$BB$1,AL140),AE140),X140),Q140),J140),$BB$1)</f>
        <v>0</v>
      </c>
      <c r="AT140" s="15">
        <f t="shared" si="147"/>
        <v>0</v>
      </c>
      <c r="AU140" s="15" t="str">
        <f t="shared" si="147"/>
        <v>lime juice</v>
      </c>
      <c r="AV140" s="15">
        <f t="shared" si="147"/>
        <v>0</v>
      </c>
      <c r="AW140" s="15" t="str">
        <f t="shared" si="147"/>
        <v>lemon juice</v>
      </c>
      <c r="AX140" s="15">
        <f t="shared" si="147"/>
        <v>0</v>
      </c>
      <c r="AY140" s="15">
        <f t="shared" si="147"/>
        <v>0</v>
      </c>
      <c r="BA140" s="13">
        <f t="shared" si="1"/>
        <v>35</v>
      </c>
      <c r="BB140" s="15" t="b">
        <f t="shared" si="2"/>
        <v>0</v>
      </c>
    </row>
    <row r="141" spans="1:54" x14ac:dyDescent="0.2">
      <c r="A141" s="19" t="s">
        <v>297</v>
      </c>
      <c r="B141" s="19" t="s">
        <v>294</v>
      </c>
      <c r="C141" s="19"/>
      <c r="D141" s="19" t="s">
        <v>90</v>
      </c>
      <c r="E141" s="19" t="s">
        <v>86</v>
      </c>
      <c r="F141" s="19" t="s">
        <v>126</v>
      </c>
      <c r="G141" s="19"/>
      <c r="H141" s="19" t="s">
        <v>297</v>
      </c>
      <c r="I141" s="15">
        <v>3</v>
      </c>
      <c r="J141" s="15">
        <f>IFERROR(VLOOKUP($C141,Sheet3!$H$2:$O$200,J$1,FALSE),IFERROR(VLOOKUP($D141,Sheet3!$H$2:$O$200,J$1,FALSE),VLOOKUP($E141,Sheet3!$H$2:$O$200,J$1,FALSE)))</f>
        <v>0</v>
      </c>
      <c r="K141" s="15">
        <f>IFERROR(VLOOKUP($C141,Sheet3!$H$2:$O$200,K$1,FALSE),IFERROR(VLOOKUP($D141,Sheet3!$H$2:$O$200,K$1,FALSE),VLOOKUP($E141,Sheet3!$H$2:$O$200,K$1,FALSE)))</f>
        <v>0</v>
      </c>
      <c r="L141" s="15" t="str">
        <f>IFERROR(VLOOKUP($C141,Sheet3!$H$2:$O$200,L$1,FALSE),IFERROR(VLOOKUP($D141,Sheet3!$H$2:$O$200,L$1,FALSE),VLOOKUP($E141,Sheet3!$H$2:$O$200,L$1,FALSE)))</f>
        <v>lime juice</v>
      </c>
      <c r="M141" s="15">
        <f>IFERROR(VLOOKUP($C141,Sheet3!$H$2:$O$200,M$1,FALSE),IFERROR(VLOOKUP($D141,Sheet3!$H$2:$O$200,M$1,FALSE),VLOOKUP($E141,Sheet3!$H$2:$O$200,M$1,FALSE)))</f>
        <v>0</v>
      </c>
      <c r="N141" s="15">
        <f>IFERROR(VLOOKUP($C141,Sheet3!$H$2:$O$200,N$1,FALSE),IFERROR(VLOOKUP($D141,Sheet3!$H$2:$O$200,N$1,FALSE),VLOOKUP($E141,Sheet3!$H$2:$O$200,N$1,FALSE)))</f>
        <v>0</v>
      </c>
      <c r="O141" s="15">
        <f>IFERROR(VLOOKUP($C141,Sheet3!$H$2:$O$200,O$1,FALSE),IFERROR(VLOOKUP($D141,Sheet3!$H$2:$O$200,O$1,FALSE),VLOOKUP($E141,Sheet3!$H$2:$O$200,O$1,FALSE)))</f>
        <v>0</v>
      </c>
      <c r="P141" s="15">
        <f>IFERROR(VLOOKUP($C141,Sheet3!$H$2:$O$200,P$1,FALSE),IFERROR(VLOOKUP($D141,Sheet3!$H$2:$O$200,P$1,FALSE),VLOOKUP($E141,Sheet3!$H$2:$O$200,P$1,FALSE)))</f>
        <v>0</v>
      </c>
      <c r="Q141" s="15">
        <f>IFERROR(IF(ISBLANK(J141),IFERROR(VLOOKUP($D141,Sheet3!$H$2:$O$200,Q$1,FALSE),IFERROR(VLOOKUP($E141,Sheet3!$H$2:$O$200,Q$1,FALSE),VLOOKUP($F141,Sheet3!$H$2:$O$200,Q$1,FALSE))),$I$1),$I$1)</f>
        <v>0</v>
      </c>
      <c r="R141" s="15">
        <f>IFERROR(IF(ISBLANK(K141),IFERROR(VLOOKUP($D141,Sheet3!$H$2:$O$200,R$1,FALSE),IFERROR(VLOOKUP($E141,Sheet3!$H$2:$O$200,R$1,FALSE),VLOOKUP($F141,Sheet3!$H$2:$O$200,R$1,FALSE))),$I$1),$I$1)</f>
        <v>0</v>
      </c>
      <c r="S141" s="15">
        <f>IFERROR(IF(ISBLANK(L141),IFERROR(VLOOKUP($D141,Sheet3!$H$2:$O$200,S$1,FALSE),IFERROR(VLOOKUP($E141,Sheet3!$H$2:$O$200,S$1,FALSE),VLOOKUP($F141,Sheet3!$H$2:$O$200,S$1,FALSE))),$I$1),$I$1)</f>
        <v>0</v>
      </c>
      <c r="T141" s="15">
        <f>IFERROR(IF(ISBLANK(M141),IFERROR(VLOOKUP($D141,Sheet3!$H$2:$O$200,T$1,FALSE),IFERROR(VLOOKUP($E141,Sheet3!$H$2:$O$200,T$1,FALSE),VLOOKUP($F141,Sheet3!$H$2:$O$200,T$1,FALSE))),$I$1),$I$1)</f>
        <v>0</v>
      </c>
      <c r="U141" s="15">
        <f>IFERROR(IF(ISBLANK(N141),IFERROR(VLOOKUP($D141,Sheet3!$H$2:$O$200,U$1,FALSE),IFERROR(VLOOKUP($E141,Sheet3!$H$2:$O$200,U$1,FALSE),VLOOKUP($F141,Sheet3!$H$2:$O$200,U$1,FALSE))),$I$1),$I$1)</f>
        <v>0</v>
      </c>
      <c r="V141" s="15">
        <f>IFERROR(IF(ISBLANK(O141),IFERROR(VLOOKUP($D141,Sheet3!$H$2:$O$200,V$1,FALSE),IFERROR(VLOOKUP($E141,Sheet3!$H$2:$O$200,V$1,FALSE),VLOOKUP($F141,Sheet3!$H$2:$O$200,V$1,FALSE))),$I$1),$I$1)</f>
        <v>0</v>
      </c>
      <c r="W141" s="15">
        <f>IFERROR(IF(ISBLANK(P141),IFERROR(VLOOKUP($D141,Sheet3!$H$2:$O$200,W$1,FALSE),IFERROR(VLOOKUP($E141,Sheet3!$H$2:$O$200,W$1,FALSE),VLOOKUP($F141,Sheet3!$H$2:$O$200,W$1,FALSE))),$I$1),$I$1)</f>
        <v>0</v>
      </c>
      <c r="X141" s="15">
        <f>IFERROR(IF(ISBLANK(Q141),IFERROR(VLOOKUP($E141,Sheet3!$H$2:$O$200,X$1,FALSE),IFERROR(VLOOKUP($F141,Sheet3!$H$2:$O$200,X$1,FALSE),VLOOKUP($G141,Sheet3!$H$2:$O$200,X$1,FALSE))),$I$1),$I$1)</f>
        <v>0</v>
      </c>
      <c r="Y141" s="15">
        <f>IFERROR(IF(ISBLANK(R141),IFERROR(VLOOKUP($E141,Sheet3!$H$2:$O$200,Y$1,FALSE),IFERROR(VLOOKUP($F141,Sheet3!$H$2:$O$200,Y$1,FALSE),VLOOKUP($G141,Sheet3!$H$2:$O$200,Y$1,FALSE))),$I$1),$I$1)</f>
        <v>0</v>
      </c>
      <c r="Z141" s="15">
        <f>IFERROR(IF(ISBLANK(S141),IFERROR(VLOOKUP($E141,Sheet3!$H$2:$O$200,Z$1,FALSE),IFERROR(VLOOKUP($F141,Sheet3!$H$2:$O$200,Z$1,FALSE),VLOOKUP($G141,Sheet3!$H$2:$O$200,Z$1,FALSE))),$I$1),$I$1)</f>
        <v>0</v>
      </c>
      <c r="AA141" s="15">
        <f>IFERROR(IF(ISBLANK(T141),IFERROR(VLOOKUP($E141,Sheet3!$H$2:$O$200,AA$1,FALSE),IFERROR(VLOOKUP($F141,Sheet3!$H$2:$O$200,AA$1,FALSE),VLOOKUP($G141,Sheet3!$H$2:$O$200,AA$1,FALSE))),$I$1),$I$1)</f>
        <v>0</v>
      </c>
      <c r="AB141" s="15">
        <f>IFERROR(IF(ISBLANK(U141),IFERROR(VLOOKUP($E141,Sheet3!$H$2:$O$200,AB$1,FALSE),IFERROR(VLOOKUP($F141,Sheet3!$H$2:$O$200,AB$1,FALSE),VLOOKUP($G141,Sheet3!$H$2:$O$200,AB$1,FALSE))),$I$1),$I$1)</f>
        <v>0</v>
      </c>
      <c r="AC141" s="15">
        <f>IFERROR(IF(ISBLANK(V141),IFERROR(VLOOKUP($E141,Sheet3!$H$2:$O$200,AC$1,FALSE),IFERROR(VLOOKUP($F141,Sheet3!$H$2:$O$200,AC$1,FALSE),VLOOKUP($G141,Sheet3!$H$2:$O$200,AC$1,FALSE))),$I$1),$I$1)</f>
        <v>0</v>
      </c>
      <c r="AD141" s="15">
        <f>IFERROR(IF(ISBLANK(W141),IFERROR(VLOOKUP($E141,Sheet3!$H$2:$O$200,AD$1,FALSE),IFERROR(VLOOKUP($F141,Sheet3!$H$2:$O$200,AD$1,FALSE),VLOOKUP($G141,Sheet3!$H$2:$O$200,AD$1,FALSE))),$I$1),$I$1)</f>
        <v>0</v>
      </c>
      <c r="AE141" s="15">
        <f>IFERROR(IF(ISBLANK(X141),IFERROR(VLOOKUP($F141,Sheet3!$H$2:$O$200,AE$1,FALSE),VLOOKUP($G141,Sheet3!$H$2:$O$200,AE$1,FALSE)),$I$1),$I$1)</f>
        <v>0</v>
      </c>
      <c r="AF141" s="15">
        <f>IFERROR(IF(ISBLANK(Y141),IFERROR(VLOOKUP($F141,Sheet3!$H$2:$O$200,AF$1,FALSE),VLOOKUP($G141,Sheet3!$H$2:$O$200,AF$1,FALSE)),$I$1),$I$1)</f>
        <v>0</v>
      </c>
      <c r="AG141" s="15">
        <f>IFERROR(IF(ISBLANK(Z141),IFERROR(VLOOKUP($F141,Sheet3!$H$2:$O$200,AG$1,FALSE),VLOOKUP($G141,Sheet3!$H$2:$O$200,AG$1,FALSE)),$I$1),$I$1)</f>
        <v>0</v>
      </c>
      <c r="AH141" s="15">
        <f>IFERROR(IF(ISBLANK(AA141),IFERROR(VLOOKUP($F141,Sheet3!$H$2:$O$200,AH$1,FALSE),VLOOKUP($G141,Sheet3!$H$2:$O$200,AH$1,FALSE)),$I$1),$I$1)</f>
        <v>0</v>
      </c>
      <c r="AI141" s="15">
        <f>IFERROR(IF(ISBLANK(AB141),IFERROR(VLOOKUP($F141,Sheet3!$H$2:$O$200,AI$1,FALSE),VLOOKUP($G141,Sheet3!$H$2:$O$200,AI$1,FALSE)),$I$1),$I$1)</f>
        <v>0</v>
      </c>
      <c r="AJ141" s="15">
        <f>IFERROR(IF(ISBLANK(AC141),IFERROR(VLOOKUP($F141,Sheet3!$H$2:$O$200,AJ$1,FALSE),VLOOKUP($G141,Sheet3!$H$2:$O$200,AJ$1,FALSE)),$I$1),$I$1)</f>
        <v>0</v>
      </c>
      <c r="AK141" s="15">
        <f>IFERROR(IF(ISBLANK(AD141),IFERROR(VLOOKUP($F141,Sheet3!$H$2:$O$200,AK$1,FALSE),VLOOKUP($G141,Sheet3!$H$2:$O$200,AK$1,FALSE)),$I$1),$I$1)</f>
        <v>0</v>
      </c>
      <c r="AL141" s="15">
        <f>IFERROR(IF(ISBLANK(AE141),VLOOKUP($G141,Sheet3!$H$2:$O$200,AL$1,FALSE),$I$1),$I$1)</f>
        <v>0</v>
      </c>
      <c r="AM141" s="15">
        <f>IFERROR(IF(ISBLANK(AF141),VLOOKUP($G141,Sheet3!$H$2:$O$200,AM$1,FALSE),$I$1),$I$1)</f>
        <v>0</v>
      </c>
      <c r="AN141" s="15">
        <f>IFERROR(IF(ISBLANK(AG141),VLOOKUP($G141,Sheet3!$H$2:$O$200,AN$1,FALSE),$I$1),$I$1)</f>
        <v>0</v>
      </c>
      <c r="AO141" s="15">
        <f>IFERROR(IF(ISBLANK(AH141),VLOOKUP($G141,Sheet3!$H$2:$O$200,AO$1,FALSE),$I$1),$I$1)</f>
        <v>0</v>
      </c>
      <c r="AP141" s="15">
        <f>IFERROR(IF(ISBLANK(AI141),VLOOKUP($G141,Sheet3!$H$2:$O$200,AP$1,FALSE),$I$1),$I$1)</f>
        <v>0</v>
      </c>
      <c r="AQ141" s="15">
        <f>IFERROR(IF(ISBLANK(AJ141),VLOOKUP($G141,Sheet3!$H$2:$O$200,AQ$1,FALSE),$I$1),$I$1)</f>
        <v>0</v>
      </c>
      <c r="AR141" s="15">
        <f>IFERROR(IF(ISBLANK(AK141),VLOOKUP($G141,Sheet3!$H$2:$O$200,AR$1,FALSE),$I$1),$I$1)</f>
        <v>0</v>
      </c>
      <c r="AS141" s="15">
        <f t="shared" ref="AS141:AY141" si="148">IFERROR(IF(ISBLANK(J141),IF(ISBLANK(Q141),IF(ISBLANK(X141),IF(ISBLANK(AE141),IF(ISBLANK(AL141),$BB$1,AL141),AE141),X141),Q141),J141),$BB$1)</f>
        <v>0</v>
      </c>
      <c r="AT141" s="15">
        <f t="shared" si="148"/>
        <v>0</v>
      </c>
      <c r="AU141" s="15" t="str">
        <f t="shared" si="148"/>
        <v>lime juice</v>
      </c>
      <c r="AV141" s="15">
        <f t="shared" si="148"/>
        <v>0</v>
      </c>
      <c r="AW141" s="15">
        <f t="shared" si="148"/>
        <v>0</v>
      </c>
      <c r="AX141" s="15">
        <f t="shared" si="148"/>
        <v>0</v>
      </c>
      <c r="AY141" s="15">
        <f t="shared" si="148"/>
        <v>0</v>
      </c>
      <c r="BA141" s="13">
        <f t="shared" si="1"/>
        <v>35</v>
      </c>
      <c r="BB141" s="15" t="b">
        <f t="shared" si="2"/>
        <v>0</v>
      </c>
    </row>
    <row r="142" spans="1:54" x14ac:dyDescent="0.2">
      <c r="A142" s="19" t="s">
        <v>298</v>
      </c>
      <c r="B142" s="19" t="s">
        <v>294</v>
      </c>
      <c r="C142" s="19" t="s">
        <v>100</v>
      </c>
      <c r="D142" s="19" t="s">
        <v>38</v>
      </c>
      <c r="E142" s="19"/>
      <c r="F142" s="19"/>
      <c r="G142" s="19"/>
      <c r="H142" s="19" t="s">
        <v>298</v>
      </c>
      <c r="I142" s="15">
        <v>2</v>
      </c>
      <c r="J142" s="15">
        <f>IFERROR(VLOOKUP($C142,Sheet3!$H$2:$O$200,J$1,FALSE),IFERROR(VLOOKUP($D142,Sheet3!$H$2:$O$200,J$1,FALSE),VLOOKUP($E142,Sheet3!$H$2:$O$200,J$1,FALSE)))</f>
        <v>0</v>
      </c>
      <c r="K142" s="15">
        <f>IFERROR(VLOOKUP($C142,Sheet3!$H$2:$O$200,K$1,FALSE),IFERROR(VLOOKUP($D142,Sheet3!$H$2:$O$200,K$1,FALSE),VLOOKUP($E142,Sheet3!$H$2:$O$200,K$1,FALSE)))</f>
        <v>0</v>
      </c>
      <c r="L142" s="15">
        <f>IFERROR(VLOOKUP($C142,Sheet3!$H$2:$O$200,L$1,FALSE),IFERROR(VLOOKUP($D142,Sheet3!$H$2:$O$200,L$1,FALSE),VLOOKUP($E142,Sheet3!$H$2:$O$200,L$1,FALSE)))</f>
        <v>0</v>
      </c>
      <c r="M142" s="15" t="str">
        <f>IFERROR(VLOOKUP($C142,Sheet3!$H$2:$O$200,M$1,FALSE),IFERROR(VLOOKUP($D142,Sheet3!$H$2:$O$200,M$1,FALSE),VLOOKUP($E142,Sheet3!$H$2:$O$200,M$1,FALSE)))</f>
        <v>triple sec</v>
      </c>
      <c r="N142" s="15">
        <f>IFERROR(VLOOKUP($C142,Sheet3!$H$2:$O$200,N$1,FALSE),IFERROR(VLOOKUP($D142,Sheet3!$H$2:$O$200,N$1,FALSE),VLOOKUP($E142,Sheet3!$H$2:$O$200,N$1,FALSE)))</f>
        <v>0</v>
      </c>
      <c r="O142" s="15">
        <f>IFERROR(VLOOKUP($C142,Sheet3!$H$2:$O$200,O$1,FALSE),IFERROR(VLOOKUP($D142,Sheet3!$H$2:$O$200,O$1,FALSE),VLOOKUP($E142,Sheet3!$H$2:$O$200,O$1,FALSE)))</f>
        <v>0</v>
      </c>
      <c r="P142" s="15">
        <f>IFERROR(VLOOKUP($C142,Sheet3!$H$2:$O$200,P$1,FALSE),IFERROR(VLOOKUP($D142,Sheet3!$H$2:$O$200,P$1,FALSE),VLOOKUP($E142,Sheet3!$H$2:$O$200,P$1,FALSE)))</f>
        <v>0</v>
      </c>
      <c r="Q142" s="15">
        <f>IFERROR(IF(ISBLANK(J142),IFERROR(VLOOKUP($D142,Sheet3!$H$2:$O$200,Q$1,FALSE),IFERROR(VLOOKUP($E142,Sheet3!$H$2:$O$200,Q$1,FALSE),VLOOKUP($F142,Sheet3!$H$2:$O$200,Q$1,FALSE))),$I$1),$I$1)</f>
        <v>0</v>
      </c>
      <c r="R142" s="15">
        <f>IFERROR(IF(ISBLANK(K142),IFERROR(VLOOKUP($D142,Sheet3!$H$2:$O$200,R$1,FALSE),IFERROR(VLOOKUP($E142,Sheet3!$H$2:$O$200,R$1,FALSE),VLOOKUP($F142,Sheet3!$H$2:$O$200,R$1,FALSE))),$I$1),$I$1)</f>
        <v>0</v>
      </c>
      <c r="S142" s="15">
        <f>IFERROR(IF(ISBLANK(L142),IFERROR(VLOOKUP($D142,Sheet3!$H$2:$O$200,S$1,FALSE),IFERROR(VLOOKUP($E142,Sheet3!$H$2:$O$200,S$1,FALSE),VLOOKUP($F142,Sheet3!$H$2:$O$200,S$1,FALSE))),$I$1),$I$1)</f>
        <v>0</v>
      </c>
      <c r="T142" s="15">
        <f>IFERROR(IF(ISBLANK(M142),IFERROR(VLOOKUP($D142,Sheet3!$H$2:$O$200,T$1,FALSE),IFERROR(VLOOKUP($E142,Sheet3!$H$2:$O$200,T$1,FALSE),VLOOKUP($F142,Sheet3!$H$2:$O$200,T$1,FALSE))),$I$1),$I$1)</f>
        <v>0</v>
      </c>
      <c r="U142" s="15">
        <f>IFERROR(IF(ISBLANK(N142),IFERROR(VLOOKUP($D142,Sheet3!$H$2:$O$200,U$1,FALSE),IFERROR(VLOOKUP($E142,Sheet3!$H$2:$O$200,U$1,FALSE),VLOOKUP($F142,Sheet3!$H$2:$O$200,U$1,FALSE))),$I$1),$I$1)</f>
        <v>0</v>
      </c>
      <c r="V142" s="15">
        <f>IFERROR(IF(ISBLANK(O142),IFERROR(VLOOKUP($D142,Sheet3!$H$2:$O$200,V$1,FALSE),IFERROR(VLOOKUP($E142,Sheet3!$H$2:$O$200,V$1,FALSE),VLOOKUP($F142,Sheet3!$H$2:$O$200,V$1,FALSE))),$I$1),$I$1)</f>
        <v>0</v>
      </c>
      <c r="W142" s="15">
        <f>IFERROR(IF(ISBLANK(P142),IFERROR(VLOOKUP($D142,Sheet3!$H$2:$O$200,W$1,FALSE),IFERROR(VLOOKUP($E142,Sheet3!$H$2:$O$200,W$1,FALSE),VLOOKUP($F142,Sheet3!$H$2:$O$200,W$1,FALSE))),$I$1),$I$1)</f>
        <v>0</v>
      </c>
      <c r="X142" s="15">
        <f>IFERROR(IF(ISBLANK(Q142),IFERROR(VLOOKUP($E142,Sheet3!$H$2:$O$200,X$1,FALSE),IFERROR(VLOOKUP($F142,Sheet3!$H$2:$O$200,X$1,FALSE),VLOOKUP($G142,Sheet3!$H$2:$O$200,X$1,FALSE))),$I$1),$I$1)</f>
        <v>0</v>
      </c>
      <c r="Y142" s="15">
        <f>IFERROR(IF(ISBLANK(R142),IFERROR(VLOOKUP($E142,Sheet3!$H$2:$O$200,Y$1,FALSE),IFERROR(VLOOKUP($F142,Sheet3!$H$2:$O$200,Y$1,FALSE),VLOOKUP($G142,Sheet3!$H$2:$O$200,Y$1,FALSE))),$I$1),$I$1)</f>
        <v>0</v>
      </c>
      <c r="Z142" s="15">
        <f>IFERROR(IF(ISBLANK(S142),IFERROR(VLOOKUP($E142,Sheet3!$H$2:$O$200,Z$1,FALSE),IFERROR(VLOOKUP($F142,Sheet3!$H$2:$O$200,Z$1,FALSE),VLOOKUP($G142,Sheet3!$H$2:$O$200,Z$1,FALSE))),$I$1),$I$1)</f>
        <v>0</v>
      </c>
      <c r="AA142" s="15">
        <f>IFERROR(IF(ISBLANK(T142),IFERROR(VLOOKUP($E142,Sheet3!$H$2:$O$200,AA$1,FALSE),IFERROR(VLOOKUP($F142,Sheet3!$H$2:$O$200,AA$1,FALSE),VLOOKUP($G142,Sheet3!$H$2:$O$200,AA$1,FALSE))),$I$1),$I$1)</f>
        <v>0</v>
      </c>
      <c r="AB142" s="15">
        <f>IFERROR(IF(ISBLANK(U142),IFERROR(VLOOKUP($E142,Sheet3!$H$2:$O$200,AB$1,FALSE),IFERROR(VLOOKUP($F142,Sheet3!$H$2:$O$200,AB$1,FALSE),VLOOKUP($G142,Sheet3!$H$2:$O$200,AB$1,FALSE))),$I$1),$I$1)</f>
        <v>0</v>
      </c>
      <c r="AC142" s="15">
        <f>IFERROR(IF(ISBLANK(V142),IFERROR(VLOOKUP($E142,Sheet3!$H$2:$O$200,AC$1,FALSE),IFERROR(VLOOKUP($F142,Sheet3!$H$2:$O$200,AC$1,FALSE),VLOOKUP($G142,Sheet3!$H$2:$O$200,AC$1,FALSE))),$I$1),$I$1)</f>
        <v>0</v>
      </c>
      <c r="AD142" s="15">
        <f>IFERROR(IF(ISBLANK(W142),IFERROR(VLOOKUP($E142,Sheet3!$H$2:$O$200,AD$1,FALSE),IFERROR(VLOOKUP($F142,Sheet3!$H$2:$O$200,AD$1,FALSE),VLOOKUP($G142,Sheet3!$H$2:$O$200,AD$1,FALSE))),$I$1),$I$1)</f>
        <v>0</v>
      </c>
      <c r="AE142" s="15">
        <f>IFERROR(IF(ISBLANK(X142),IFERROR(VLOOKUP($F142,Sheet3!$H$2:$O$200,AE$1,FALSE),VLOOKUP($G142,Sheet3!$H$2:$O$200,AE$1,FALSE)),$I$1),$I$1)</f>
        <v>0</v>
      </c>
      <c r="AF142" s="15">
        <f>IFERROR(IF(ISBLANK(Y142),IFERROR(VLOOKUP($F142,Sheet3!$H$2:$O$200,AF$1,FALSE),VLOOKUP($G142,Sheet3!$H$2:$O$200,AF$1,FALSE)),$I$1),$I$1)</f>
        <v>0</v>
      </c>
      <c r="AG142" s="15">
        <f>IFERROR(IF(ISBLANK(Z142),IFERROR(VLOOKUP($F142,Sheet3!$H$2:$O$200,AG$1,FALSE),VLOOKUP($G142,Sheet3!$H$2:$O$200,AG$1,FALSE)),$I$1),$I$1)</f>
        <v>0</v>
      </c>
      <c r="AH142" s="15">
        <f>IFERROR(IF(ISBLANK(AA142),IFERROR(VLOOKUP($F142,Sheet3!$H$2:$O$200,AH$1,FALSE),VLOOKUP($G142,Sheet3!$H$2:$O$200,AH$1,FALSE)),$I$1),$I$1)</f>
        <v>0</v>
      </c>
      <c r="AI142" s="15">
        <f>IFERROR(IF(ISBLANK(AB142),IFERROR(VLOOKUP($F142,Sheet3!$H$2:$O$200,AI$1,FALSE),VLOOKUP($G142,Sheet3!$H$2:$O$200,AI$1,FALSE)),$I$1),$I$1)</f>
        <v>0</v>
      </c>
      <c r="AJ142" s="15">
        <f>IFERROR(IF(ISBLANK(AC142),IFERROR(VLOOKUP($F142,Sheet3!$H$2:$O$200,AJ$1,FALSE),VLOOKUP($G142,Sheet3!$H$2:$O$200,AJ$1,FALSE)),$I$1),$I$1)</f>
        <v>0</v>
      </c>
      <c r="AK142" s="15">
        <f>IFERROR(IF(ISBLANK(AD142),IFERROR(VLOOKUP($F142,Sheet3!$H$2:$O$200,AK$1,FALSE),VLOOKUP($G142,Sheet3!$H$2:$O$200,AK$1,FALSE)),$I$1),$I$1)</f>
        <v>0</v>
      </c>
      <c r="AL142" s="15">
        <f>IFERROR(IF(ISBLANK(AE142),VLOOKUP($G142,Sheet3!$H$2:$O$200,AL$1,FALSE),$I$1),$I$1)</f>
        <v>0</v>
      </c>
      <c r="AM142" s="15">
        <f>IFERROR(IF(ISBLANK(AF142),VLOOKUP($G142,Sheet3!$H$2:$O$200,AM$1,FALSE),$I$1),$I$1)</f>
        <v>0</v>
      </c>
      <c r="AN142" s="15">
        <f>IFERROR(IF(ISBLANK(AG142),VLOOKUP($G142,Sheet3!$H$2:$O$200,AN$1,FALSE),$I$1),$I$1)</f>
        <v>0</v>
      </c>
      <c r="AO142" s="15">
        <f>IFERROR(IF(ISBLANK(AH142),VLOOKUP($G142,Sheet3!$H$2:$O$200,AO$1,FALSE),$I$1),$I$1)</f>
        <v>0</v>
      </c>
      <c r="AP142" s="15">
        <f>IFERROR(IF(ISBLANK(AI142),VLOOKUP($G142,Sheet3!$H$2:$O$200,AP$1,FALSE),$I$1),$I$1)</f>
        <v>0</v>
      </c>
      <c r="AQ142" s="15">
        <f>IFERROR(IF(ISBLANK(AJ142),VLOOKUP($G142,Sheet3!$H$2:$O$200,AQ$1,FALSE),$I$1),$I$1)</f>
        <v>0</v>
      </c>
      <c r="AR142" s="15">
        <f>IFERROR(IF(ISBLANK(AK142),VLOOKUP($G142,Sheet3!$H$2:$O$200,AR$1,FALSE),$I$1),$I$1)</f>
        <v>0</v>
      </c>
      <c r="AS142" s="15">
        <f t="shared" ref="AS142:AY142" si="149">IFERROR(IF(ISBLANK(J142),IF(ISBLANK(Q142),IF(ISBLANK(X142),IF(ISBLANK(AE142),IF(ISBLANK(AL142),$BB$1,AL142),AE142),X142),Q142),J142),$BB$1)</f>
        <v>0</v>
      </c>
      <c r="AT142" s="15">
        <f t="shared" si="149"/>
        <v>0</v>
      </c>
      <c r="AU142" s="15">
        <f t="shared" si="149"/>
        <v>0</v>
      </c>
      <c r="AV142" s="15" t="str">
        <f t="shared" si="149"/>
        <v>triple sec</v>
      </c>
      <c r="AW142" s="15">
        <f t="shared" si="149"/>
        <v>0</v>
      </c>
      <c r="AX142" s="15">
        <f t="shared" si="149"/>
        <v>0</v>
      </c>
      <c r="AY142" s="15">
        <f t="shared" si="149"/>
        <v>0</v>
      </c>
      <c r="BA142" s="13">
        <f t="shared" si="1"/>
        <v>35</v>
      </c>
      <c r="BB142" s="15" t="b">
        <f t="shared" si="2"/>
        <v>0</v>
      </c>
    </row>
    <row r="143" spans="1:54" x14ac:dyDescent="0.2">
      <c r="A143" s="19" t="s">
        <v>299</v>
      </c>
      <c r="B143" s="19" t="s">
        <v>300</v>
      </c>
      <c r="C143" s="19" t="s">
        <v>52</v>
      </c>
      <c r="D143" s="19" t="s">
        <v>78</v>
      </c>
      <c r="E143" s="19"/>
      <c r="F143" s="19"/>
      <c r="G143" s="19"/>
      <c r="H143" s="19" t="s">
        <v>299</v>
      </c>
      <c r="I143" s="15">
        <v>2</v>
      </c>
      <c r="J143" s="15">
        <f>IFERROR(VLOOKUP($C143,Sheet3!$H$2:$O$200,J$1,FALSE),IFERROR(VLOOKUP($D143,Sheet3!$H$2:$O$200,J$1,FALSE),VLOOKUP($E143,Sheet3!$H$2:$O$200,J$1,FALSE)))</f>
        <v>0</v>
      </c>
      <c r="K143" s="15">
        <f>IFERROR(VLOOKUP($C143,Sheet3!$H$2:$O$200,K$1,FALSE),IFERROR(VLOOKUP($D143,Sheet3!$H$2:$O$200,K$1,FALSE),VLOOKUP($E143,Sheet3!$H$2:$O$200,K$1,FALSE)))</f>
        <v>0</v>
      </c>
      <c r="L143" s="15">
        <f>IFERROR(VLOOKUP($C143,Sheet3!$H$2:$O$200,L$1,FALSE),IFERROR(VLOOKUP($D143,Sheet3!$H$2:$O$200,L$1,FALSE),VLOOKUP($E143,Sheet3!$H$2:$O$200,L$1,FALSE)))</f>
        <v>0</v>
      </c>
      <c r="M143" s="15" t="str">
        <f>IFERROR(VLOOKUP($C143,Sheet3!$H$2:$O$200,M$1,FALSE),IFERROR(VLOOKUP($D143,Sheet3!$H$2:$O$200,M$1,FALSE),VLOOKUP($E143,Sheet3!$H$2:$O$200,M$1,FALSE)))</f>
        <v>dry vermouth</v>
      </c>
      <c r="N143" s="15">
        <f>IFERROR(VLOOKUP($C143,Sheet3!$H$2:$O$200,N$1,FALSE),IFERROR(VLOOKUP($D143,Sheet3!$H$2:$O$200,N$1,FALSE),VLOOKUP($E143,Sheet3!$H$2:$O$200,N$1,FALSE)))</f>
        <v>0</v>
      </c>
      <c r="O143" s="15">
        <f>IFERROR(VLOOKUP($C143,Sheet3!$H$2:$O$200,O$1,FALSE),IFERROR(VLOOKUP($D143,Sheet3!$H$2:$O$200,O$1,FALSE),VLOOKUP($E143,Sheet3!$H$2:$O$200,O$1,FALSE)))</f>
        <v>0</v>
      </c>
      <c r="P143" s="15">
        <f>IFERROR(VLOOKUP($C143,Sheet3!$H$2:$O$200,P$1,FALSE),IFERROR(VLOOKUP($D143,Sheet3!$H$2:$O$200,P$1,FALSE),VLOOKUP($E143,Sheet3!$H$2:$O$200,P$1,FALSE)))</f>
        <v>0</v>
      </c>
      <c r="Q143" s="15">
        <f>IFERROR(IF(ISBLANK(J143),IFERROR(VLOOKUP($D143,Sheet3!$H$2:$O$200,Q$1,FALSE),IFERROR(VLOOKUP($E143,Sheet3!$H$2:$O$200,Q$1,FALSE),VLOOKUP($F143,Sheet3!$H$2:$O$200,Q$1,FALSE))),$I$1),$I$1)</f>
        <v>0</v>
      </c>
      <c r="R143" s="15">
        <f>IFERROR(IF(ISBLANK(K143),IFERROR(VLOOKUP($D143,Sheet3!$H$2:$O$200,R$1,FALSE),IFERROR(VLOOKUP($E143,Sheet3!$H$2:$O$200,R$1,FALSE),VLOOKUP($F143,Sheet3!$H$2:$O$200,R$1,FALSE))),$I$1),$I$1)</f>
        <v>0</v>
      </c>
      <c r="S143" s="15">
        <f>IFERROR(IF(ISBLANK(L143),IFERROR(VLOOKUP($D143,Sheet3!$H$2:$O$200,S$1,FALSE),IFERROR(VLOOKUP($E143,Sheet3!$H$2:$O$200,S$1,FALSE),VLOOKUP($F143,Sheet3!$H$2:$O$200,S$1,FALSE))),$I$1),$I$1)</f>
        <v>0</v>
      </c>
      <c r="T143" s="15">
        <f>IFERROR(IF(ISBLANK(M143),IFERROR(VLOOKUP($D143,Sheet3!$H$2:$O$200,T$1,FALSE),IFERROR(VLOOKUP($E143,Sheet3!$H$2:$O$200,T$1,FALSE),VLOOKUP($F143,Sheet3!$H$2:$O$200,T$1,FALSE))),$I$1),$I$1)</f>
        <v>0</v>
      </c>
      <c r="U143" s="15">
        <f>IFERROR(IF(ISBLANK(N143),IFERROR(VLOOKUP($D143,Sheet3!$H$2:$O$200,U$1,FALSE),IFERROR(VLOOKUP($E143,Sheet3!$H$2:$O$200,U$1,FALSE),VLOOKUP($F143,Sheet3!$H$2:$O$200,U$1,FALSE))),$I$1),$I$1)</f>
        <v>0</v>
      </c>
      <c r="V143" s="15">
        <f>IFERROR(IF(ISBLANK(O143),IFERROR(VLOOKUP($D143,Sheet3!$H$2:$O$200,V$1,FALSE),IFERROR(VLOOKUP($E143,Sheet3!$H$2:$O$200,V$1,FALSE),VLOOKUP($F143,Sheet3!$H$2:$O$200,V$1,FALSE))),$I$1),$I$1)</f>
        <v>0</v>
      </c>
      <c r="W143" s="15">
        <f>IFERROR(IF(ISBLANK(P143),IFERROR(VLOOKUP($D143,Sheet3!$H$2:$O$200,W$1,FALSE),IFERROR(VLOOKUP($E143,Sheet3!$H$2:$O$200,W$1,FALSE),VLOOKUP($F143,Sheet3!$H$2:$O$200,W$1,FALSE))),$I$1),$I$1)</f>
        <v>0</v>
      </c>
      <c r="X143" s="15">
        <f>IFERROR(IF(ISBLANK(Q143),IFERROR(VLOOKUP($E143,Sheet3!$H$2:$O$200,X$1,FALSE),IFERROR(VLOOKUP($F143,Sheet3!$H$2:$O$200,X$1,FALSE),VLOOKUP($G143,Sheet3!$H$2:$O$200,X$1,FALSE))),$I$1),$I$1)</f>
        <v>0</v>
      </c>
      <c r="Y143" s="15">
        <f>IFERROR(IF(ISBLANK(R143),IFERROR(VLOOKUP($E143,Sheet3!$H$2:$O$200,Y$1,FALSE),IFERROR(VLOOKUP($F143,Sheet3!$H$2:$O$200,Y$1,FALSE),VLOOKUP($G143,Sheet3!$H$2:$O$200,Y$1,FALSE))),$I$1),$I$1)</f>
        <v>0</v>
      </c>
      <c r="Z143" s="15">
        <f>IFERROR(IF(ISBLANK(S143),IFERROR(VLOOKUP($E143,Sheet3!$H$2:$O$200,Z$1,FALSE),IFERROR(VLOOKUP($F143,Sheet3!$H$2:$O$200,Z$1,FALSE),VLOOKUP($G143,Sheet3!$H$2:$O$200,Z$1,FALSE))),$I$1),$I$1)</f>
        <v>0</v>
      </c>
      <c r="AA143" s="15">
        <f>IFERROR(IF(ISBLANK(T143),IFERROR(VLOOKUP($E143,Sheet3!$H$2:$O$200,AA$1,FALSE),IFERROR(VLOOKUP($F143,Sheet3!$H$2:$O$200,AA$1,FALSE),VLOOKUP($G143,Sheet3!$H$2:$O$200,AA$1,FALSE))),$I$1),$I$1)</f>
        <v>0</v>
      </c>
      <c r="AB143" s="15">
        <f>IFERROR(IF(ISBLANK(U143),IFERROR(VLOOKUP($E143,Sheet3!$H$2:$O$200,AB$1,FALSE),IFERROR(VLOOKUP($F143,Sheet3!$H$2:$O$200,AB$1,FALSE),VLOOKUP($G143,Sheet3!$H$2:$O$200,AB$1,FALSE))),$I$1),$I$1)</f>
        <v>0</v>
      </c>
      <c r="AC143" s="15">
        <f>IFERROR(IF(ISBLANK(V143),IFERROR(VLOOKUP($E143,Sheet3!$H$2:$O$200,AC$1,FALSE),IFERROR(VLOOKUP($F143,Sheet3!$H$2:$O$200,AC$1,FALSE),VLOOKUP($G143,Sheet3!$H$2:$O$200,AC$1,FALSE))),$I$1),$I$1)</f>
        <v>0</v>
      </c>
      <c r="AD143" s="15">
        <f>IFERROR(IF(ISBLANK(W143),IFERROR(VLOOKUP($E143,Sheet3!$H$2:$O$200,AD$1,FALSE),IFERROR(VLOOKUP($F143,Sheet3!$H$2:$O$200,AD$1,FALSE),VLOOKUP($G143,Sheet3!$H$2:$O$200,AD$1,FALSE))),$I$1),$I$1)</f>
        <v>0</v>
      </c>
      <c r="AE143" s="15">
        <f>IFERROR(IF(ISBLANK(X143),IFERROR(VLOOKUP($F143,Sheet3!$H$2:$O$200,AE$1,FALSE),VLOOKUP($G143,Sheet3!$H$2:$O$200,AE$1,FALSE)),$I$1),$I$1)</f>
        <v>0</v>
      </c>
      <c r="AF143" s="15">
        <f>IFERROR(IF(ISBLANK(Y143),IFERROR(VLOOKUP($F143,Sheet3!$H$2:$O$200,AF$1,FALSE),VLOOKUP($G143,Sheet3!$H$2:$O$200,AF$1,FALSE)),$I$1),$I$1)</f>
        <v>0</v>
      </c>
      <c r="AG143" s="15">
        <f>IFERROR(IF(ISBLANK(Z143),IFERROR(VLOOKUP($F143,Sheet3!$H$2:$O$200,AG$1,FALSE),VLOOKUP($G143,Sheet3!$H$2:$O$200,AG$1,FALSE)),$I$1),$I$1)</f>
        <v>0</v>
      </c>
      <c r="AH143" s="15">
        <f>IFERROR(IF(ISBLANK(AA143),IFERROR(VLOOKUP($F143,Sheet3!$H$2:$O$200,AH$1,FALSE),VLOOKUP($G143,Sheet3!$H$2:$O$200,AH$1,FALSE)),$I$1),$I$1)</f>
        <v>0</v>
      </c>
      <c r="AI143" s="15">
        <f>IFERROR(IF(ISBLANK(AB143),IFERROR(VLOOKUP($F143,Sheet3!$H$2:$O$200,AI$1,FALSE),VLOOKUP($G143,Sheet3!$H$2:$O$200,AI$1,FALSE)),$I$1),$I$1)</f>
        <v>0</v>
      </c>
      <c r="AJ143" s="15">
        <f>IFERROR(IF(ISBLANK(AC143),IFERROR(VLOOKUP($F143,Sheet3!$H$2:$O$200,AJ$1,FALSE),VLOOKUP($G143,Sheet3!$H$2:$O$200,AJ$1,FALSE)),$I$1),$I$1)</f>
        <v>0</v>
      </c>
      <c r="AK143" s="15">
        <f>IFERROR(IF(ISBLANK(AD143),IFERROR(VLOOKUP($F143,Sheet3!$H$2:$O$200,AK$1,FALSE),VLOOKUP($G143,Sheet3!$H$2:$O$200,AK$1,FALSE)),$I$1),$I$1)</f>
        <v>0</v>
      </c>
      <c r="AL143" s="15">
        <f>IFERROR(IF(ISBLANK(AE143),VLOOKUP($G143,Sheet3!$H$2:$O$200,AL$1,FALSE),$I$1),$I$1)</f>
        <v>0</v>
      </c>
      <c r="AM143" s="15">
        <f>IFERROR(IF(ISBLANK(AF143),VLOOKUP($G143,Sheet3!$H$2:$O$200,AM$1,FALSE),$I$1),$I$1)</f>
        <v>0</v>
      </c>
      <c r="AN143" s="15">
        <f>IFERROR(IF(ISBLANK(AG143),VLOOKUP($G143,Sheet3!$H$2:$O$200,AN$1,FALSE),$I$1),$I$1)</f>
        <v>0</v>
      </c>
      <c r="AO143" s="15">
        <f>IFERROR(IF(ISBLANK(AH143),VLOOKUP($G143,Sheet3!$H$2:$O$200,AO$1,FALSE),$I$1),$I$1)</f>
        <v>0</v>
      </c>
      <c r="AP143" s="15">
        <f>IFERROR(IF(ISBLANK(AI143),VLOOKUP($G143,Sheet3!$H$2:$O$200,AP$1,FALSE),$I$1),$I$1)</f>
        <v>0</v>
      </c>
      <c r="AQ143" s="15">
        <f>IFERROR(IF(ISBLANK(AJ143),VLOOKUP($G143,Sheet3!$H$2:$O$200,AQ$1,FALSE),$I$1),$I$1)</f>
        <v>0</v>
      </c>
      <c r="AR143" s="15">
        <f>IFERROR(IF(ISBLANK(AK143),VLOOKUP($G143,Sheet3!$H$2:$O$200,AR$1,FALSE),$I$1),$I$1)</f>
        <v>0</v>
      </c>
      <c r="AS143" s="15">
        <f t="shared" ref="AS143:AY143" si="150">IFERROR(IF(ISBLANK(J143),IF(ISBLANK(Q143),IF(ISBLANK(X143),IF(ISBLANK(AE143),IF(ISBLANK(AL143),$BB$1,AL143),AE143),X143),Q143),J143),$BB$1)</f>
        <v>0</v>
      </c>
      <c r="AT143" s="15">
        <f t="shared" si="150"/>
        <v>0</v>
      </c>
      <c r="AU143" s="15">
        <f t="shared" si="150"/>
        <v>0</v>
      </c>
      <c r="AV143" s="15" t="str">
        <f t="shared" si="150"/>
        <v>dry vermouth</v>
      </c>
      <c r="AW143" s="15">
        <f t="shared" si="150"/>
        <v>0</v>
      </c>
      <c r="AX143" s="15">
        <f t="shared" si="150"/>
        <v>0</v>
      </c>
      <c r="AY143" s="15">
        <f t="shared" si="150"/>
        <v>0</v>
      </c>
      <c r="BA143" s="13">
        <f t="shared" si="1"/>
        <v>35</v>
      </c>
      <c r="BB143" s="15" t="b">
        <f t="shared" si="2"/>
        <v>0</v>
      </c>
    </row>
    <row r="144" spans="1:54" x14ac:dyDescent="0.2">
      <c r="A144" s="19" t="s">
        <v>301</v>
      </c>
      <c r="B144" s="19" t="s">
        <v>300</v>
      </c>
      <c r="C144" s="19" t="s">
        <v>302</v>
      </c>
      <c r="D144" s="19"/>
      <c r="E144" s="19"/>
      <c r="F144" s="19"/>
      <c r="G144" s="19"/>
      <c r="H144" s="19" t="s">
        <v>301</v>
      </c>
      <c r="I144" s="15">
        <v>1</v>
      </c>
      <c r="J144" s="15">
        <f>IFERROR(VLOOKUP($C144,Sheet3!$H$2:$O$200,J$1,FALSE),IFERROR(VLOOKUP($D144,Sheet3!$H$2:$O$200,J$1,FALSE),VLOOKUP($E144,Sheet3!$H$2:$O$200,J$1,FALSE)))</f>
        <v>0</v>
      </c>
      <c r="K144" s="15" t="str">
        <f>IFERROR(VLOOKUP($C144,Sheet3!$H$2:$O$200,K$1,FALSE),IFERROR(VLOOKUP($D144,Sheet3!$H$2:$O$200,K$1,FALSE),VLOOKUP($E144,Sheet3!$H$2:$O$200,K$1,FALSE)))</f>
        <v>ginger ale</v>
      </c>
      <c r="L144" s="15">
        <f>IFERROR(VLOOKUP($C144,Sheet3!$H$2:$O$200,L$1,FALSE),IFERROR(VLOOKUP($D144,Sheet3!$H$2:$O$200,L$1,FALSE),VLOOKUP($E144,Sheet3!$H$2:$O$200,L$1,FALSE)))</f>
        <v>0</v>
      </c>
      <c r="M144" s="15">
        <f>IFERROR(VLOOKUP($C144,Sheet3!$H$2:$O$200,M$1,FALSE),IFERROR(VLOOKUP($D144,Sheet3!$H$2:$O$200,M$1,FALSE),VLOOKUP($E144,Sheet3!$H$2:$O$200,M$1,FALSE)))</f>
        <v>0</v>
      </c>
      <c r="N144" s="15">
        <f>IFERROR(VLOOKUP($C144,Sheet3!$H$2:$O$200,N$1,FALSE),IFERROR(VLOOKUP($D144,Sheet3!$H$2:$O$200,N$1,FALSE),VLOOKUP($E144,Sheet3!$H$2:$O$200,N$1,FALSE)))</f>
        <v>0</v>
      </c>
      <c r="O144" s="15">
        <f>IFERROR(VLOOKUP($C144,Sheet3!$H$2:$O$200,O$1,FALSE),IFERROR(VLOOKUP($D144,Sheet3!$H$2:$O$200,O$1,FALSE),VLOOKUP($E144,Sheet3!$H$2:$O$200,O$1,FALSE)))</f>
        <v>0</v>
      </c>
      <c r="P144" s="15" t="str">
        <f>IFERROR(VLOOKUP($C144,Sheet3!$H$2:$O$200,P$1,FALSE),IFERROR(VLOOKUP($D144,Sheet3!$H$2:$O$200,P$1,FALSE),VLOOKUP($E144,Sheet3!$H$2:$O$200,P$1,FALSE)))</f>
        <v>club soda</v>
      </c>
      <c r="Q144" s="15">
        <f>IFERROR(IF(ISBLANK(J144),IFERROR(VLOOKUP($D144,Sheet3!$H$2:$O$200,Q$1,FALSE),IFERROR(VLOOKUP($E144,Sheet3!$H$2:$O$200,Q$1,FALSE),VLOOKUP($F144,Sheet3!$H$2:$O$200,Q$1,FALSE))),$I$1),$I$1)</f>
        <v>0</v>
      </c>
      <c r="R144" s="15">
        <f>IFERROR(IF(ISBLANK(K144),IFERROR(VLOOKUP($D144,Sheet3!$H$2:$O$200,R$1,FALSE),IFERROR(VLOOKUP($E144,Sheet3!$H$2:$O$200,R$1,FALSE),VLOOKUP($F144,Sheet3!$H$2:$O$200,R$1,FALSE))),$I$1),$I$1)</f>
        <v>0</v>
      </c>
      <c r="S144" s="15">
        <f>IFERROR(IF(ISBLANK(L144),IFERROR(VLOOKUP($D144,Sheet3!$H$2:$O$200,S$1,FALSE),IFERROR(VLOOKUP($E144,Sheet3!$H$2:$O$200,S$1,FALSE),VLOOKUP($F144,Sheet3!$H$2:$O$200,S$1,FALSE))),$I$1),$I$1)</f>
        <v>0</v>
      </c>
      <c r="T144" s="15">
        <f>IFERROR(IF(ISBLANK(M144),IFERROR(VLOOKUP($D144,Sheet3!$H$2:$O$200,T$1,FALSE),IFERROR(VLOOKUP($E144,Sheet3!$H$2:$O$200,T$1,FALSE),VLOOKUP($F144,Sheet3!$H$2:$O$200,T$1,FALSE))),$I$1),$I$1)</f>
        <v>0</v>
      </c>
      <c r="U144" s="15">
        <f>IFERROR(IF(ISBLANK(N144),IFERROR(VLOOKUP($D144,Sheet3!$H$2:$O$200,U$1,FALSE),IFERROR(VLOOKUP($E144,Sheet3!$H$2:$O$200,U$1,FALSE),VLOOKUP($F144,Sheet3!$H$2:$O$200,U$1,FALSE))),$I$1),$I$1)</f>
        <v>0</v>
      </c>
      <c r="V144" s="15">
        <f>IFERROR(IF(ISBLANK(O144),IFERROR(VLOOKUP($D144,Sheet3!$H$2:$O$200,V$1,FALSE),IFERROR(VLOOKUP($E144,Sheet3!$H$2:$O$200,V$1,FALSE),VLOOKUP($F144,Sheet3!$H$2:$O$200,V$1,FALSE))),$I$1),$I$1)</f>
        <v>0</v>
      </c>
      <c r="W144" s="15">
        <f>IFERROR(IF(ISBLANK(P144),IFERROR(VLOOKUP($D144,Sheet3!$H$2:$O$200,W$1,FALSE),IFERROR(VLOOKUP($E144,Sheet3!$H$2:$O$200,W$1,FALSE),VLOOKUP($F144,Sheet3!$H$2:$O$200,W$1,FALSE))),$I$1),$I$1)</f>
        <v>0</v>
      </c>
      <c r="X144" s="15">
        <f>IFERROR(IF(ISBLANK(Q144),IFERROR(VLOOKUP($E144,Sheet3!$H$2:$O$200,X$1,FALSE),IFERROR(VLOOKUP($F144,Sheet3!$H$2:$O$200,X$1,FALSE),VLOOKUP($G144,Sheet3!$H$2:$O$200,X$1,FALSE))),$I$1),$I$1)</f>
        <v>0</v>
      </c>
      <c r="Y144" s="15">
        <f>IFERROR(IF(ISBLANK(R144),IFERROR(VLOOKUP($E144,Sheet3!$H$2:$O$200,Y$1,FALSE),IFERROR(VLOOKUP($F144,Sheet3!$H$2:$O$200,Y$1,FALSE),VLOOKUP($G144,Sheet3!$H$2:$O$200,Y$1,FALSE))),$I$1),$I$1)</f>
        <v>0</v>
      </c>
      <c r="Z144" s="15">
        <f>IFERROR(IF(ISBLANK(S144),IFERROR(VLOOKUP($E144,Sheet3!$H$2:$O$200,Z$1,FALSE),IFERROR(VLOOKUP($F144,Sheet3!$H$2:$O$200,Z$1,FALSE),VLOOKUP($G144,Sheet3!$H$2:$O$200,Z$1,FALSE))),$I$1),$I$1)</f>
        <v>0</v>
      </c>
      <c r="AA144" s="15">
        <f>IFERROR(IF(ISBLANK(T144),IFERROR(VLOOKUP($E144,Sheet3!$H$2:$O$200,AA$1,FALSE),IFERROR(VLOOKUP($F144,Sheet3!$H$2:$O$200,AA$1,FALSE),VLOOKUP($G144,Sheet3!$H$2:$O$200,AA$1,FALSE))),$I$1),$I$1)</f>
        <v>0</v>
      </c>
      <c r="AB144" s="15">
        <f>IFERROR(IF(ISBLANK(U144),IFERROR(VLOOKUP($E144,Sheet3!$H$2:$O$200,AB$1,FALSE),IFERROR(VLOOKUP($F144,Sheet3!$H$2:$O$200,AB$1,FALSE),VLOOKUP($G144,Sheet3!$H$2:$O$200,AB$1,FALSE))),$I$1),$I$1)</f>
        <v>0</v>
      </c>
      <c r="AC144" s="15">
        <f>IFERROR(IF(ISBLANK(V144),IFERROR(VLOOKUP($E144,Sheet3!$H$2:$O$200,AC$1,FALSE),IFERROR(VLOOKUP($F144,Sheet3!$H$2:$O$200,AC$1,FALSE),VLOOKUP($G144,Sheet3!$H$2:$O$200,AC$1,FALSE))),$I$1),$I$1)</f>
        <v>0</v>
      </c>
      <c r="AD144" s="15">
        <f>IFERROR(IF(ISBLANK(W144),IFERROR(VLOOKUP($E144,Sheet3!$H$2:$O$200,AD$1,FALSE),IFERROR(VLOOKUP($F144,Sheet3!$H$2:$O$200,AD$1,FALSE),VLOOKUP($G144,Sheet3!$H$2:$O$200,AD$1,FALSE))),$I$1),$I$1)</f>
        <v>0</v>
      </c>
      <c r="AE144" s="15">
        <f>IFERROR(IF(ISBLANK(X144),IFERROR(VLOOKUP($F144,Sheet3!$H$2:$O$200,AE$1,FALSE),VLOOKUP($G144,Sheet3!$H$2:$O$200,AE$1,FALSE)),$I$1),$I$1)</f>
        <v>0</v>
      </c>
      <c r="AF144" s="15">
        <f>IFERROR(IF(ISBLANK(Y144),IFERROR(VLOOKUP($F144,Sheet3!$H$2:$O$200,AF$1,FALSE),VLOOKUP($G144,Sheet3!$H$2:$O$200,AF$1,FALSE)),$I$1),$I$1)</f>
        <v>0</v>
      </c>
      <c r="AG144" s="15">
        <f>IFERROR(IF(ISBLANK(Z144),IFERROR(VLOOKUP($F144,Sheet3!$H$2:$O$200,AG$1,FALSE),VLOOKUP($G144,Sheet3!$H$2:$O$200,AG$1,FALSE)),$I$1),$I$1)</f>
        <v>0</v>
      </c>
      <c r="AH144" s="15">
        <f>IFERROR(IF(ISBLANK(AA144),IFERROR(VLOOKUP($F144,Sheet3!$H$2:$O$200,AH$1,FALSE),VLOOKUP($G144,Sheet3!$H$2:$O$200,AH$1,FALSE)),$I$1),$I$1)</f>
        <v>0</v>
      </c>
      <c r="AI144" s="15">
        <f>IFERROR(IF(ISBLANK(AB144),IFERROR(VLOOKUP($F144,Sheet3!$H$2:$O$200,AI$1,FALSE),VLOOKUP($G144,Sheet3!$H$2:$O$200,AI$1,FALSE)),$I$1),$I$1)</f>
        <v>0</v>
      </c>
      <c r="AJ144" s="15">
        <f>IFERROR(IF(ISBLANK(AC144),IFERROR(VLOOKUP($F144,Sheet3!$H$2:$O$200,AJ$1,FALSE),VLOOKUP($G144,Sheet3!$H$2:$O$200,AJ$1,FALSE)),$I$1),$I$1)</f>
        <v>0</v>
      </c>
      <c r="AK144" s="15">
        <f>IFERROR(IF(ISBLANK(AD144),IFERROR(VLOOKUP($F144,Sheet3!$H$2:$O$200,AK$1,FALSE),VLOOKUP($G144,Sheet3!$H$2:$O$200,AK$1,FALSE)),$I$1),$I$1)</f>
        <v>0</v>
      </c>
      <c r="AL144" s="15">
        <f>IFERROR(IF(ISBLANK(AE144),VLOOKUP($G144,Sheet3!$H$2:$O$200,AL$1,FALSE),$I$1),$I$1)</f>
        <v>0</v>
      </c>
      <c r="AM144" s="15">
        <f>IFERROR(IF(ISBLANK(AF144),VLOOKUP($G144,Sheet3!$H$2:$O$200,AM$1,FALSE),$I$1),$I$1)</f>
        <v>0</v>
      </c>
      <c r="AN144" s="15">
        <f>IFERROR(IF(ISBLANK(AG144),VLOOKUP($G144,Sheet3!$H$2:$O$200,AN$1,FALSE),$I$1),$I$1)</f>
        <v>0</v>
      </c>
      <c r="AO144" s="15">
        <f>IFERROR(IF(ISBLANK(AH144),VLOOKUP($G144,Sheet3!$H$2:$O$200,AO$1,FALSE),$I$1),$I$1)</f>
        <v>0</v>
      </c>
      <c r="AP144" s="15">
        <f>IFERROR(IF(ISBLANK(AI144),VLOOKUP($G144,Sheet3!$H$2:$O$200,AP$1,FALSE),$I$1),$I$1)</f>
        <v>0</v>
      </c>
      <c r="AQ144" s="15">
        <f>IFERROR(IF(ISBLANK(AJ144),VLOOKUP($G144,Sheet3!$H$2:$O$200,AQ$1,FALSE),$I$1),$I$1)</f>
        <v>0</v>
      </c>
      <c r="AR144" s="15">
        <f>IFERROR(IF(ISBLANK(AK144),VLOOKUP($G144,Sheet3!$H$2:$O$200,AR$1,FALSE),$I$1),$I$1)</f>
        <v>0</v>
      </c>
      <c r="AS144" s="15">
        <f t="shared" ref="AS144:AY144" si="151">IFERROR(IF(ISBLANK(J144),IF(ISBLANK(Q144),IF(ISBLANK(X144),IF(ISBLANK(AE144),IF(ISBLANK(AL144),$BB$1,AL144),AE144),X144),Q144),J144),$BB$1)</f>
        <v>0</v>
      </c>
      <c r="AT144" s="15" t="str">
        <f t="shared" si="151"/>
        <v>ginger ale</v>
      </c>
      <c r="AU144" s="15">
        <f t="shared" si="151"/>
        <v>0</v>
      </c>
      <c r="AV144" s="15">
        <f t="shared" si="151"/>
        <v>0</v>
      </c>
      <c r="AW144" s="15">
        <f t="shared" si="151"/>
        <v>0</v>
      </c>
      <c r="AX144" s="15">
        <f t="shared" si="151"/>
        <v>0</v>
      </c>
      <c r="AY144" s="15" t="str">
        <f t="shared" si="151"/>
        <v>club soda</v>
      </c>
      <c r="BA144" s="13">
        <f t="shared" si="1"/>
        <v>35</v>
      </c>
      <c r="BB144" s="15" t="b">
        <f t="shared" si="2"/>
        <v>0</v>
      </c>
    </row>
    <row r="145" spans="1:54" x14ac:dyDescent="0.2">
      <c r="A145" s="19" t="s">
        <v>303</v>
      </c>
      <c r="B145" s="19" t="s">
        <v>300</v>
      </c>
      <c r="C145" s="19" t="s">
        <v>156</v>
      </c>
      <c r="D145" s="19"/>
      <c r="E145" s="19"/>
      <c r="F145" s="19"/>
      <c r="G145" s="19"/>
      <c r="H145" s="19" t="s">
        <v>303</v>
      </c>
      <c r="I145" s="15">
        <v>1</v>
      </c>
      <c r="J145" s="15">
        <f>IFERROR(VLOOKUP($C145,Sheet3!$H$2:$O$200,J$1,FALSE),IFERROR(VLOOKUP($D145,Sheet3!$H$2:$O$200,J$1,FALSE),VLOOKUP($E145,Sheet3!$H$2:$O$200,J$1,FALSE)))</f>
        <v>0</v>
      </c>
      <c r="K145" s="15" t="str">
        <f>IFERROR(VLOOKUP($C145,Sheet3!$H$2:$O$200,K$1,FALSE),IFERROR(VLOOKUP($D145,Sheet3!$H$2:$O$200,K$1,FALSE),VLOOKUP($E145,Sheet3!$H$2:$O$200,K$1,FALSE)))</f>
        <v>ginger ale</v>
      </c>
      <c r="L145" s="15">
        <f>IFERROR(VLOOKUP($C145,Sheet3!$H$2:$O$200,L$1,FALSE),IFERROR(VLOOKUP($D145,Sheet3!$H$2:$O$200,L$1,FALSE),VLOOKUP($E145,Sheet3!$H$2:$O$200,L$1,FALSE)))</f>
        <v>0</v>
      </c>
      <c r="M145" s="15">
        <f>IFERROR(VLOOKUP($C145,Sheet3!$H$2:$O$200,M$1,FALSE),IFERROR(VLOOKUP($D145,Sheet3!$H$2:$O$200,M$1,FALSE),VLOOKUP($E145,Sheet3!$H$2:$O$200,M$1,FALSE)))</f>
        <v>0</v>
      </c>
      <c r="N145" s="15">
        <f>IFERROR(VLOOKUP($C145,Sheet3!$H$2:$O$200,N$1,FALSE),IFERROR(VLOOKUP($D145,Sheet3!$H$2:$O$200,N$1,FALSE),VLOOKUP($E145,Sheet3!$H$2:$O$200,N$1,FALSE)))</f>
        <v>0</v>
      </c>
      <c r="O145" s="15">
        <f>IFERROR(VLOOKUP($C145,Sheet3!$H$2:$O$200,O$1,FALSE),IFERROR(VLOOKUP($D145,Sheet3!$H$2:$O$200,O$1,FALSE),VLOOKUP($E145,Sheet3!$H$2:$O$200,O$1,FALSE)))</f>
        <v>0</v>
      </c>
      <c r="P145" s="15">
        <f>IFERROR(VLOOKUP($C145,Sheet3!$H$2:$O$200,P$1,FALSE),IFERROR(VLOOKUP($D145,Sheet3!$H$2:$O$200,P$1,FALSE),VLOOKUP($E145,Sheet3!$H$2:$O$200,P$1,FALSE)))</f>
        <v>0</v>
      </c>
      <c r="Q145" s="15">
        <f>IFERROR(IF(ISBLANK(J145),IFERROR(VLOOKUP($D145,Sheet3!$H$2:$O$200,Q$1,FALSE),IFERROR(VLOOKUP($E145,Sheet3!$H$2:$O$200,Q$1,FALSE),VLOOKUP($F145,Sheet3!$H$2:$O$200,Q$1,FALSE))),$I$1),$I$1)</f>
        <v>0</v>
      </c>
      <c r="R145" s="15">
        <f>IFERROR(IF(ISBLANK(K145),IFERROR(VLOOKUP($D145,Sheet3!$H$2:$O$200,R$1,FALSE),IFERROR(VLOOKUP($E145,Sheet3!$H$2:$O$200,R$1,FALSE),VLOOKUP($F145,Sheet3!$H$2:$O$200,R$1,FALSE))),$I$1),$I$1)</f>
        <v>0</v>
      </c>
      <c r="S145" s="15">
        <f>IFERROR(IF(ISBLANK(L145),IFERROR(VLOOKUP($D145,Sheet3!$H$2:$O$200,S$1,FALSE),IFERROR(VLOOKUP($E145,Sheet3!$H$2:$O$200,S$1,FALSE),VLOOKUP($F145,Sheet3!$H$2:$O$200,S$1,FALSE))),$I$1),$I$1)</f>
        <v>0</v>
      </c>
      <c r="T145" s="15">
        <f>IFERROR(IF(ISBLANK(M145),IFERROR(VLOOKUP($D145,Sheet3!$H$2:$O$200,T$1,FALSE),IFERROR(VLOOKUP($E145,Sheet3!$H$2:$O$200,T$1,FALSE),VLOOKUP($F145,Sheet3!$H$2:$O$200,T$1,FALSE))),$I$1),$I$1)</f>
        <v>0</v>
      </c>
      <c r="U145" s="15">
        <f>IFERROR(IF(ISBLANK(N145),IFERROR(VLOOKUP($D145,Sheet3!$H$2:$O$200,U$1,FALSE),IFERROR(VLOOKUP($E145,Sheet3!$H$2:$O$200,U$1,FALSE),VLOOKUP($F145,Sheet3!$H$2:$O$200,U$1,FALSE))),$I$1),$I$1)</f>
        <v>0</v>
      </c>
      <c r="V145" s="15">
        <f>IFERROR(IF(ISBLANK(O145),IFERROR(VLOOKUP($D145,Sheet3!$H$2:$O$200,V$1,FALSE),IFERROR(VLOOKUP($E145,Sheet3!$H$2:$O$200,V$1,FALSE),VLOOKUP($F145,Sheet3!$H$2:$O$200,V$1,FALSE))),$I$1),$I$1)</f>
        <v>0</v>
      </c>
      <c r="W145" s="15">
        <f>IFERROR(IF(ISBLANK(P145),IFERROR(VLOOKUP($D145,Sheet3!$H$2:$O$200,W$1,FALSE),IFERROR(VLOOKUP($E145,Sheet3!$H$2:$O$200,W$1,FALSE),VLOOKUP($F145,Sheet3!$H$2:$O$200,W$1,FALSE))),$I$1),$I$1)</f>
        <v>0</v>
      </c>
      <c r="X145" s="15">
        <f>IFERROR(IF(ISBLANK(Q145),IFERROR(VLOOKUP($E145,Sheet3!$H$2:$O$200,X$1,FALSE),IFERROR(VLOOKUP($F145,Sheet3!$H$2:$O$200,X$1,FALSE),VLOOKUP($G145,Sheet3!$H$2:$O$200,X$1,FALSE))),$I$1),$I$1)</f>
        <v>0</v>
      </c>
      <c r="Y145" s="15">
        <f>IFERROR(IF(ISBLANK(R145),IFERROR(VLOOKUP($E145,Sheet3!$H$2:$O$200,Y$1,FALSE),IFERROR(VLOOKUP($F145,Sheet3!$H$2:$O$200,Y$1,FALSE),VLOOKUP($G145,Sheet3!$H$2:$O$200,Y$1,FALSE))),$I$1),$I$1)</f>
        <v>0</v>
      </c>
      <c r="Z145" s="15">
        <f>IFERROR(IF(ISBLANK(S145),IFERROR(VLOOKUP($E145,Sheet3!$H$2:$O$200,Z$1,FALSE),IFERROR(VLOOKUP($F145,Sheet3!$H$2:$O$200,Z$1,FALSE),VLOOKUP($G145,Sheet3!$H$2:$O$200,Z$1,FALSE))),$I$1),$I$1)</f>
        <v>0</v>
      </c>
      <c r="AA145" s="15">
        <f>IFERROR(IF(ISBLANK(T145),IFERROR(VLOOKUP($E145,Sheet3!$H$2:$O$200,AA$1,FALSE),IFERROR(VLOOKUP($F145,Sheet3!$H$2:$O$200,AA$1,FALSE),VLOOKUP($G145,Sheet3!$H$2:$O$200,AA$1,FALSE))),$I$1),$I$1)</f>
        <v>0</v>
      </c>
      <c r="AB145" s="15">
        <f>IFERROR(IF(ISBLANK(U145),IFERROR(VLOOKUP($E145,Sheet3!$H$2:$O$200,AB$1,FALSE),IFERROR(VLOOKUP($F145,Sheet3!$H$2:$O$200,AB$1,FALSE),VLOOKUP($G145,Sheet3!$H$2:$O$200,AB$1,FALSE))),$I$1),$I$1)</f>
        <v>0</v>
      </c>
      <c r="AC145" s="15">
        <f>IFERROR(IF(ISBLANK(V145),IFERROR(VLOOKUP($E145,Sheet3!$H$2:$O$200,AC$1,FALSE),IFERROR(VLOOKUP($F145,Sheet3!$H$2:$O$200,AC$1,FALSE),VLOOKUP($G145,Sheet3!$H$2:$O$200,AC$1,FALSE))),$I$1),$I$1)</f>
        <v>0</v>
      </c>
      <c r="AD145" s="15">
        <f>IFERROR(IF(ISBLANK(W145),IFERROR(VLOOKUP($E145,Sheet3!$H$2:$O$200,AD$1,FALSE),IFERROR(VLOOKUP($F145,Sheet3!$H$2:$O$200,AD$1,FALSE),VLOOKUP($G145,Sheet3!$H$2:$O$200,AD$1,FALSE))),$I$1),$I$1)</f>
        <v>0</v>
      </c>
      <c r="AE145" s="15">
        <f>IFERROR(IF(ISBLANK(X145),IFERROR(VLOOKUP($F145,Sheet3!$H$2:$O$200,AE$1,FALSE),VLOOKUP($G145,Sheet3!$H$2:$O$200,AE$1,FALSE)),$I$1),$I$1)</f>
        <v>0</v>
      </c>
      <c r="AF145" s="15">
        <f>IFERROR(IF(ISBLANK(Y145),IFERROR(VLOOKUP($F145,Sheet3!$H$2:$O$200,AF$1,FALSE),VLOOKUP($G145,Sheet3!$H$2:$O$200,AF$1,FALSE)),$I$1),$I$1)</f>
        <v>0</v>
      </c>
      <c r="AG145" s="15">
        <f>IFERROR(IF(ISBLANK(Z145),IFERROR(VLOOKUP($F145,Sheet3!$H$2:$O$200,AG$1,FALSE),VLOOKUP($G145,Sheet3!$H$2:$O$200,AG$1,FALSE)),$I$1),$I$1)</f>
        <v>0</v>
      </c>
      <c r="AH145" s="15">
        <f>IFERROR(IF(ISBLANK(AA145),IFERROR(VLOOKUP($F145,Sheet3!$H$2:$O$200,AH$1,FALSE),VLOOKUP($G145,Sheet3!$H$2:$O$200,AH$1,FALSE)),$I$1),$I$1)</f>
        <v>0</v>
      </c>
      <c r="AI145" s="15">
        <f>IFERROR(IF(ISBLANK(AB145),IFERROR(VLOOKUP($F145,Sheet3!$H$2:$O$200,AI$1,FALSE),VLOOKUP($G145,Sheet3!$H$2:$O$200,AI$1,FALSE)),$I$1),$I$1)</f>
        <v>0</v>
      </c>
      <c r="AJ145" s="15">
        <f>IFERROR(IF(ISBLANK(AC145),IFERROR(VLOOKUP($F145,Sheet3!$H$2:$O$200,AJ$1,FALSE),VLOOKUP($G145,Sheet3!$H$2:$O$200,AJ$1,FALSE)),$I$1),$I$1)</f>
        <v>0</v>
      </c>
      <c r="AK145" s="15">
        <f>IFERROR(IF(ISBLANK(AD145),IFERROR(VLOOKUP($F145,Sheet3!$H$2:$O$200,AK$1,FALSE),VLOOKUP($G145,Sheet3!$H$2:$O$200,AK$1,FALSE)),$I$1),$I$1)</f>
        <v>0</v>
      </c>
      <c r="AL145" s="15">
        <f>IFERROR(IF(ISBLANK(AE145),VLOOKUP($G145,Sheet3!$H$2:$O$200,AL$1,FALSE),$I$1),$I$1)</f>
        <v>0</v>
      </c>
      <c r="AM145" s="15">
        <f>IFERROR(IF(ISBLANK(AF145),VLOOKUP($G145,Sheet3!$H$2:$O$200,AM$1,FALSE),$I$1),$I$1)</f>
        <v>0</v>
      </c>
      <c r="AN145" s="15">
        <f>IFERROR(IF(ISBLANK(AG145),VLOOKUP($G145,Sheet3!$H$2:$O$200,AN$1,FALSE),$I$1),$I$1)</f>
        <v>0</v>
      </c>
      <c r="AO145" s="15">
        <f>IFERROR(IF(ISBLANK(AH145),VLOOKUP($G145,Sheet3!$H$2:$O$200,AO$1,FALSE),$I$1),$I$1)</f>
        <v>0</v>
      </c>
      <c r="AP145" s="15">
        <f>IFERROR(IF(ISBLANK(AI145),VLOOKUP($G145,Sheet3!$H$2:$O$200,AP$1,FALSE),$I$1),$I$1)</f>
        <v>0</v>
      </c>
      <c r="AQ145" s="15">
        <f>IFERROR(IF(ISBLANK(AJ145),VLOOKUP($G145,Sheet3!$H$2:$O$200,AQ$1,FALSE),$I$1),$I$1)</f>
        <v>0</v>
      </c>
      <c r="AR145" s="15">
        <f>IFERROR(IF(ISBLANK(AK145),VLOOKUP($G145,Sheet3!$H$2:$O$200,AR$1,FALSE),$I$1),$I$1)</f>
        <v>0</v>
      </c>
      <c r="AS145" s="15">
        <f t="shared" ref="AS145:AY145" si="152">IFERROR(IF(ISBLANK(J145),IF(ISBLANK(Q145),IF(ISBLANK(X145),IF(ISBLANK(AE145),IF(ISBLANK(AL145),$BB$1,AL145),AE145),X145),Q145),J145),$BB$1)</f>
        <v>0</v>
      </c>
      <c r="AT145" s="15" t="str">
        <f t="shared" si="152"/>
        <v>ginger ale</v>
      </c>
      <c r="AU145" s="15">
        <f t="shared" si="152"/>
        <v>0</v>
      </c>
      <c r="AV145" s="15">
        <f t="shared" si="152"/>
        <v>0</v>
      </c>
      <c r="AW145" s="15">
        <f t="shared" si="152"/>
        <v>0</v>
      </c>
      <c r="AX145" s="15">
        <f t="shared" si="152"/>
        <v>0</v>
      </c>
      <c r="AY145" s="15">
        <f t="shared" si="152"/>
        <v>0</v>
      </c>
      <c r="BA145" s="13">
        <f t="shared" si="1"/>
        <v>35</v>
      </c>
      <c r="BB145" s="15" t="b">
        <f t="shared" si="2"/>
        <v>0</v>
      </c>
    </row>
    <row r="146" spans="1:54" x14ac:dyDescent="0.2">
      <c r="A146" s="19" t="s">
        <v>304</v>
      </c>
      <c r="B146" s="19" t="s">
        <v>300</v>
      </c>
      <c r="C146" s="19"/>
      <c r="D146" s="19" t="s">
        <v>38</v>
      </c>
      <c r="E146" s="19" t="s">
        <v>55</v>
      </c>
      <c r="F146" s="19" t="s">
        <v>126</v>
      </c>
      <c r="G146" s="19"/>
      <c r="H146" s="19" t="s">
        <v>304</v>
      </c>
      <c r="I146" s="15">
        <v>3</v>
      </c>
      <c r="J146" s="15">
        <f>IFERROR(VLOOKUP($C146,Sheet3!$H$2:$O$200,J$1,FALSE),IFERROR(VLOOKUP($D146,Sheet3!$H$2:$O$200,J$1,FALSE),VLOOKUP($E146,Sheet3!$H$2:$O$200,J$1,FALSE)))</f>
        <v>0</v>
      </c>
      <c r="K146" s="15">
        <f>IFERROR(VLOOKUP($C146,Sheet3!$H$2:$O$200,K$1,FALSE),IFERROR(VLOOKUP($D146,Sheet3!$H$2:$O$200,K$1,FALSE),VLOOKUP($E146,Sheet3!$H$2:$O$200,K$1,FALSE)))</f>
        <v>0</v>
      </c>
      <c r="L146" s="15" t="str">
        <f>IFERROR(VLOOKUP($C146,Sheet3!$H$2:$O$200,L$1,FALSE),IFERROR(VLOOKUP($D146,Sheet3!$H$2:$O$200,L$1,FALSE),VLOOKUP($E146,Sheet3!$H$2:$O$200,L$1,FALSE)))</f>
        <v>lemon juice</v>
      </c>
      <c r="M146" s="15">
        <f>IFERROR(VLOOKUP($C146,Sheet3!$H$2:$O$200,M$1,FALSE),IFERROR(VLOOKUP($D146,Sheet3!$H$2:$O$200,M$1,FALSE),VLOOKUP($E146,Sheet3!$H$2:$O$200,M$1,FALSE)))</f>
        <v>0</v>
      </c>
      <c r="N146" s="15">
        <f>IFERROR(VLOOKUP($C146,Sheet3!$H$2:$O$200,N$1,FALSE),IFERROR(VLOOKUP($D146,Sheet3!$H$2:$O$200,N$1,FALSE),VLOOKUP($E146,Sheet3!$H$2:$O$200,N$1,FALSE)))</f>
        <v>0</v>
      </c>
      <c r="O146" s="15">
        <f>IFERROR(VLOOKUP($C146,Sheet3!$H$2:$O$200,O$1,FALSE),IFERROR(VLOOKUP($D146,Sheet3!$H$2:$O$200,O$1,FALSE),VLOOKUP($E146,Sheet3!$H$2:$O$200,O$1,FALSE)))</f>
        <v>0</v>
      </c>
      <c r="P146" s="15">
        <f>IFERROR(VLOOKUP($C146,Sheet3!$H$2:$O$200,P$1,FALSE),IFERROR(VLOOKUP($D146,Sheet3!$H$2:$O$200,P$1,FALSE),VLOOKUP($E146,Sheet3!$H$2:$O$200,P$1,FALSE)))</f>
        <v>0</v>
      </c>
      <c r="Q146" s="15">
        <f>IFERROR(IF(ISBLANK(J146),IFERROR(VLOOKUP($D146,Sheet3!$H$2:$O$200,Q$1,FALSE),IFERROR(VLOOKUP($E146,Sheet3!$H$2:$O$200,Q$1,FALSE),VLOOKUP($F146,Sheet3!$H$2:$O$200,Q$1,FALSE))),$I$1),$I$1)</f>
        <v>0</v>
      </c>
      <c r="R146" s="15">
        <f>IFERROR(IF(ISBLANK(K146),IFERROR(VLOOKUP($D146,Sheet3!$H$2:$O$200,R$1,FALSE),IFERROR(VLOOKUP($E146,Sheet3!$H$2:$O$200,R$1,FALSE),VLOOKUP($F146,Sheet3!$H$2:$O$200,R$1,FALSE))),$I$1),$I$1)</f>
        <v>0</v>
      </c>
      <c r="S146" s="15">
        <f>IFERROR(IF(ISBLANK(L146),IFERROR(VLOOKUP($D146,Sheet3!$H$2:$O$200,S$1,FALSE),IFERROR(VLOOKUP($E146,Sheet3!$H$2:$O$200,S$1,FALSE),VLOOKUP($F146,Sheet3!$H$2:$O$200,S$1,FALSE))),$I$1),$I$1)</f>
        <v>0</v>
      </c>
      <c r="T146" s="15">
        <f>IFERROR(IF(ISBLANK(M146),IFERROR(VLOOKUP($D146,Sheet3!$H$2:$O$200,T$1,FALSE),IFERROR(VLOOKUP($E146,Sheet3!$H$2:$O$200,T$1,FALSE),VLOOKUP($F146,Sheet3!$H$2:$O$200,T$1,FALSE))),$I$1),$I$1)</f>
        <v>0</v>
      </c>
      <c r="U146" s="15">
        <f>IFERROR(IF(ISBLANK(N146),IFERROR(VLOOKUP($D146,Sheet3!$H$2:$O$200,U$1,FALSE),IFERROR(VLOOKUP($E146,Sheet3!$H$2:$O$200,U$1,FALSE),VLOOKUP($F146,Sheet3!$H$2:$O$200,U$1,FALSE))),$I$1),$I$1)</f>
        <v>0</v>
      </c>
      <c r="V146" s="15">
        <f>IFERROR(IF(ISBLANK(O146),IFERROR(VLOOKUP($D146,Sheet3!$H$2:$O$200,V$1,FALSE),IFERROR(VLOOKUP($E146,Sheet3!$H$2:$O$200,V$1,FALSE),VLOOKUP($F146,Sheet3!$H$2:$O$200,V$1,FALSE))),$I$1),$I$1)</f>
        <v>0</v>
      </c>
      <c r="W146" s="15">
        <f>IFERROR(IF(ISBLANK(P146),IFERROR(VLOOKUP($D146,Sheet3!$H$2:$O$200,W$1,FALSE),IFERROR(VLOOKUP($E146,Sheet3!$H$2:$O$200,W$1,FALSE),VLOOKUP($F146,Sheet3!$H$2:$O$200,W$1,FALSE))),$I$1),$I$1)</f>
        <v>0</v>
      </c>
      <c r="X146" s="15">
        <f>IFERROR(IF(ISBLANK(Q146),IFERROR(VLOOKUP($E146,Sheet3!$H$2:$O$200,X$1,FALSE),IFERROR(VLOOKUP($F146,Sheet3!$H$2:$O$200,X$1,FALSE),VLOOKUP($G146,Sheet3!$H$2:$O$200,X$1,FALSE))),$I$1),$I$1)</f>
        <v>0</v>
      </c>
      <c r="Y146" s="15">
        <f>IFERROR(IF(ISBLANK(R146),IFERROR(VLOOKUP($E146,Sheet3!$H$2:$O$200,Y$1,FALSE),IFERROR(VLOOKUP($F146,Sheet3!$H$2:$O$200,Y$1,FALSE),VLOOKUP($G146,Sheet3!$H$2:$O$200,Y$1,FALSE))),$I$1),$I$1)</f>
        <v>0</v>
      </c>
      <c r="Z146" s="15">
        <f>IFERROR(IF(ISBLANK(S146),IFERROR(VLOOKUP($E146,Sheet3!$H$2:$O$200,Z$1,FALSE),IFERROR(VLOOKUP($F146,Sheet3!$H$2:$O$200,Z$1,FALSE),VLOOKUP($G146,Sheet3!$H$2:$O$200,Z$1,FALSE))),$I$1),$I$1)</f>
        <v>0</v>
      </c>
      <c r="AA146" s="15">
        <f>IFERROR(IF(ISBLANK(T146),IFERROR(VLOOKUP($E146,Sheet3!$H$2:$O$200,AA$1,FALSE),IFERROR(VLOOKUP($F146,Sheet3!$H$2:$O$200,AA$1,FALSE),VLOOKUP($G146,Sheet3!$H$2:$O$200,AA$1,FALSE))),$I$1),$I$1)</f>
        <v>0</v>
      </c>
      <c r="AB146" s="15">
        <f>IFERROR(IF(ISBLANK(U146),IFERROR(VLOOKUP($E146,Sheet3!$H$2:$O$200,AB$1,FALSE),IFERROR(VLOOKUP($F146,Sheet3!$H$2:$O$200,AB$1,FALSE),VLOOKUP($G146,Sheet3!$H$2:$O$200,AB$1,FALSE))),$I$1),$I$1)</f>
        <v>0</v>
      </c>
      <c r="AC146" s="15">
        <f>IFERROR(IF(ISBLANK(V146),IFERROR(VLOOKUP($E146,Sheet3!$H$2:$O$200,AC$1,FALSE),IFERROR(VLOOKUP($F146,Sheet3!$H$2:$O$200,AC$1,FALSE),VLOOKUP($G146,Sheet3!$H$2:$O$200,AC$1,FALSE))),$I$1),$I$1)</f>
        <v>0</v>
      </c>
      <c r="AD146" s="15">
        <f>IFERROR(IF(ISBLANK(W146),IFERROR(VLOOKUP($E146,Sheet3!$H$2:$O$200,AD$1,FALSE),IFERROR(VLOOKUP($F146,Sheet3!$H$2:$O$200,AD$1,FALSE),VLOOKUP($G146,Sheet3!$H$2:$O$200,AD$1,FALSE))),$I$1),$I$1)</f>
        <v>0</v>
      </c>
      <c r="AE146" s="15">
        <f>IFERROR(IF(ISBLANK(X146),IFERROR(VLOOKUP($F146,Sheet3!$H$2:$O$200,AE$1,FALSE),VLOOKUP($G146,Sheet3!$H$2:$O$200,AE$1,FALSE)),$I$1),$I$1)</f>
        <v>0</v>
      </c>
      <c r="AF146" s="15">
        <f>IFERROR(IF(ISBLANK(Y146),IFERROR(VLOOKUP($F146,Sheet3!$H$2:$O$200,AF$1,FALSE),VLOOKUP($G146,Sheet3!$H$2:$O$200,AF$1,FALSE)),$I$1),$I$1)</f>
        <v>0</v>
      </c>
      <c r="AG146" s="15">
        <f>IFERROR(IF(ISBLANK(Z146),IFERROR(VLOOKUP($F146,Sheet3!$H$2:$O$200,AG$1,FALSE),VLOOKUP($G146,Sheet3!$H$2:$O$200,AG$1,FALSE)),$I$1),$I$1)</f>
        <v>0</v>
      </c>
      <c r="AH146" s="15">
        <f>IFERROR(IF(ISBLANK(AA146),IFERROR(VLOOKUP($F146,Sheet3!$H$2:$O$200,AH$1,FALSE),VLOOKUP($G146,Sheet3!$H$2:$O$200,AH$1,FALSE)),$I$1),$I$1)</f>
        <v>0</v>
      </c>
      <c r="AI146" s="15">
        <f>IFERROR(IF(ISBLANK(AB146),IFERROR(VLOOKUP($F146,Sheet3!$H$2:$O$200,AI$1,FALSE),VLOOKUP($G146,Sheet3!$H$2:$O$200,AI$1,FALSE)),$I$1),$I$1)</f>
        <v>0</v>
      </c>
      <c r="AJ146" s="15">
        <f>IFERROR(IF(ISBLANK(AC146),IFERROR(VLOOKUP($F146,Sheet3!$H$2:$O$200,AJ$1,FALSE),VLOOKUP($G146,Sheet3!$H$2:$O$200,AJ$1,FALSE)),$I$1),$I$1)</f>
        <v>0</v>
      </c>
      <c r="AK146" s="15">
        <f>IFERROR(IF(ISBLANK(AD146),IFERROR(VLOOKUP($F146,Sheet3!$H$2:$O$200,AK$1,FALSE),VLOOKUP($G146,Sheet3!$H$2:$O$200,AK$1,FALSE)),$I$1),$I$1)</f>
        <v>0</v>
      </c>
      <c r="AL146" s="15">
        <f>IFERROR(IF(ISBLANK(AE146),VLOOKUP($G146,Sheet3!$H$2:$O$200,AL$1,FALSE),$I$1),$I$1)</f>
        <v>0</v>
      </c>
      <c r="AM146" s="15">
        <f>IFERROR(IF(ISBLANK(AF146),VLOOKUP($G146,Sheet3!$H$2:$O$200,AM$1,FALSE),$I$1),$I$1)</f>
        <v>0</v>
      </c>
      <c r="AN146" s="15">
        <f>IFERROR(IF(ISBLANK(AG146),VLOOKUP($G146,Sheet3!$H$2:$O$200,AN$1,FALSE),$I$1),$I$1)</f>
        <v>0</v>
      </c>
      <c r="AO146" s="15">
        <f>IFERROR(IF(ISBLANK(AH146),VLOOKUP($G146,Sheet3!$H$2:$O$200,AO$1,FALSE),$I$1),$I$1)</f>
        <v>0</v>
      </c>
      <c r="AP146" s="15">
        <f>IFERROR(IF(ISBLANK(AI146),VLOOKUP($G146,Sheet3!$H$2:$O$200,AP$1,FALSE),$I$1),$I$1)</f>
        <v>0</v>
      </c>
      <c r="AQ146" s="15">
        <f>IFERROR(IF(ISBLANK(AJ146),VLOOKUP($G146,Sheet3!$H$2:$O$200,AQ$1,FALSE),$I$1),$I$1)</f>
        <v>0</v>
      </c>
      <c r="AR146" s="15">
        <f>IFERROR(IF(ISBLANK(AK146),VLOOKUP($G146,Sheet3!$H$2:$O$200,AR$1,FALSE),$I$1),$I$1)</f>
        <v>0</v>
      </c>
      <c r="AS146" s="15">
        <f t="shared" ref="AS146:AY146" si="153">IFERROR(IF(ISBLANK(J146),IF(ISBLANK(Q146),IF(ISBLANK(X146),IF(ISBLANK(AE146),IF(ISBLANK(AL146),$BB$1,AL146),AE146),X146),Q146),J146),$BB$1)</f>
        <v>0</v>
      </c>
      <c r="AT146" s="15">
        <f t="shared" si="153"/>
        <v>0</v>
      </c>
      <c r="AU146" s="15" t="str">
        <f t="shared" si="153"/>
        <v>lemon juice</v>
      </c>
      <c r="AV146" s="15">
        <f t="shared" si="153"/>
        <v>0</v>
      </c>
      <c r="AW146" s="15">
        <f t="shared" si="153"/>
        <v>0</v>
      </c>
      <c r="AX146" s="15">
        <f t="shared" si="153"/>
        <v>0</v>
      </c>
      <c r="AY146" s="15">
        <f t="shared" si="153"/>
        <v>0</v>
      </c>
      <c r="BA146" s="13">
        <f t="shared" si="1"/>
        <v>35</v>
      </c>
      <c r="BB146" s="15" t="b">
        <f t="shared" si="2"/>
        <v>0</v>
      </c>
    </row>
    <row r="147" spans="1:54" x14ac:dyDescent="0.2">
      <c r="A147" s="19" t="s">
        <v>305</v>
      </c>
      <c r="B147" s="19" t="s">
        <v>300</v>
      </c>
      <c r="C147" s="19" t="s">
        <v>30</v>
      </c>
      <c r="D147" s="19" t="s">
        <v>38</v>
      </c>
      <c r="E147" s="19" t="s">
        <v>52</v>
      </c>
      <c r="F147" s="19"/>
      <c r="G147" s="19"/>
      <c r="H147" s="19" t="s">
        <v>305</v>
      </c>
      <c r="I147" s="15">
        <v>3</v>
      </c>
      <c r="J147" s="15">
        <f>IFERROR(VLOOKUP($C147,Sheet3!$H$2:$O$200,J$1,FALSE),IFERROR(VLOOKUP($D147,Sheet3!$H$2:$O$200,J$1,FALSE),VLOOKUP($E147,Sheet3!$H$2:$O$200,J$1,FALSE)))</f>
        <v>0</v>
      </c>
      <c r="K147" s="15">
        <f>IFERROR(VLOOKUP($C147,Sheet3!$H$2:$O$200,K$1,FALSE),IFERROR(VLOOKUP($D147,Sheet3!$H$2:$O$200,K$1,FALSE),VLOOKUP($E147,Sheet3!$H$2:$O$200,K$1,FALSE)))</f>
        <v>0</v>
      </c>
      <c r="L147" s="15">
        <f>IFERROR(VLOOKUP($C147,Sheet3!$H$2:$O$200,L$1,FALSE),IFERROR(VLOOKUP($D147,Sheet3!$H$2:$O$200,L$1,FALSE),VLOOKUP($E147,Sheet3!$H$2:$O$200,L$1,FALSE)))</f>
        <v>0</v>
      </c>
      <c r="M147" s="15" t="str">
        <f>IFERROR(VLOOKUP($C147,Sheet3!$H$2:$O$200,M$1,FALSE),IFERROR(VLOOKUP($D147,Sheet3!$H$2:$O$200,M$1,FALSE),VLOOKUP($E147,Sheet3!$H$2:$O$200,M$1,FALSE)))</f>
        <v>amaretto</v>
      </c>
      <c r="N147" s="15">
        <f>IFERROR(VLOOKUP($C147,Sheet3!$H$2:$O$200,N$1,FALSE),IFERROR(VLOOKUP($D147,Sheet3!$H$2:$O$200,N$1,FALSE),VLOOKUP($E147,Sheet3!$H$2:$O$200,N$1,FALSE)))</f>
        <v>0</v>
      </c>
      <c r="O147" s="15">
        <f>IFERROR(VLOOKUP($C147,Sheet3!$H$2:$O$200,O$1,FALSE),IFERROR(VLOOKUP($D147,Sheet3!$H$2:$O$200,O$1,FALSE),VLOOKUP($E147,Sheet3!$H$2:$O$200,O$1,FALSE)))</f>
        <v>0</v>
      </c>
      <c r="P147" s="15">
        <f>IFERROR(VLOOKUP($C147,Sheet3!$H$2:$O$200,P$1,FALSE),IFERROR(VLOOKUP($D147,Sheet3!$H$2:$O$200,P$1,FALSE),VLOOKUP($E147,Sheet3!$H$2:$O$200,P$1,FALSE)))</f>
        <v>0</v>
      </c>
      <c r="Q147" s="15">
        <f>IFERROR(IF(ISBLANK(J147),IFERROR(VLOOKUP($D147,Sheet3!$H$2:$O$200,Q$1,FALSE),IFERROR(VLOOKUP($E147,Sheet3!$H$2:$O$200,Q$1,FALSE),VLOOKUP($F147,Sheet3!$H$2:$O$200,Q$1,FALSE))),$I$1),$I$1)</f>
        <v>0</v>
      </c>
      <c r="R147" s="15">
        <f>IFERROR(IF(ISBLANK(K147),IFERROR(VLOOKUP($D147,Sheet3!$H$2:$O$200,R$1,FALSE),IFERROR(VLOOKUP($E147,Sheet3!$H$2:$O$200,R$1,FALSE),VLOOKUP($F147,Sheet3!$H$2:$O$200,R$1,FALSE))),$I$1),$I$1)</f>
        <v>0</v>
      </c>
      <c r="S147" s="15">
        <f>IFERROR(IF(ISBLANK(L147),IFERROR(VLOOKUP($D147,Sheet3!$H$2:$O$200,S$1,FALSE),IFERROR(VLOOKUP($E147,Sheet3!$H$2:$O$200,S$1,FALSE),VLOOKUP($F147,Sheet3!$H$2:$O$200,S$1,FALSE))),$I$1),$I$1)</f>
        <v>0</v>
      </c>
      <c r="T147" s="15">
        <f>IFERROR(IF(ISBLANK(M147),IFERROR(VLOOKUP($D147,Sheet3!$H$2:$O$200,T$1,FALSE),IFERROR(VLOOKUP($E147,Sheet3!$H$2:$O$200,T$1,FALSE),VLOOKUP($F147,Sheet3!$H$2:$O$200,T$1,FALSE))),$I$1),$I$1)</f>
        <v>0</v>
      </c>
      <c r="U147" s="15">
        <f>IFERROR(IF(ISBLANK(N147),IFERROR(VLOOKUP($D147,Sheet3!$H$2:$O$200,U$1,FALSE),IFERROR(VLOOKUP($E147,Sheet3!$H$2:$O$200,U$1,FALSE),VLOOKUP($F147,Sheet3!$H$2:$O$200,U$1,FALSE))),$I$1),$I$1)</f>
        <v>0</v>
      </c>
      <c r="V147" s="15">
        <f>IFERROR(IF(ISBLANK(O147),IFERROR(VLOOKUP($D147,Sheet3!$H$2:$O$200,V$1,FALSE),IFERROR(VLOOKUP($E147,Sheet3!$H$2:$O$200,V$1,FALSE),VLOOKUP($F147,Sheet3!$H$2:$O$200,V$1,FALSE))),$I$1),$I$1)</f>
        <v>0</v>
      </c>
      <c r="W147" s="15">
        <f>IFERROR(IF(ISBLANK(P147),IFERROR(VLOOKUP($D147,Sheet3!$H$2:$O$200,W$1,FALSE),IFERROR(VLOOKUP($E147,Sheet3!$H$2:$O$200,W$1,FALSE),VLOOKUP($F147,Sheet3!$H$2:$O$200,W$1,FALSE))),$I$1),$I$1)</f>
        <v>0</v>
      </c>
      <c r="X147" s="15">
        <f>IFERROR(IF(ISBLANK(Q147),IFERROR(VLOOKUP($E147,Sheet3!$H$2:$O$200,X$1,FALSE),IFERROR(VLOOKUP($F147,Sheet3!$H$2:$O$200,X$1,FALSE),VLOOKUP($G147,Sheet3!$H$2:$O$200,X$1,FALSE))),$I$1),$I$1)</f>
        <v>0</v>
      </c>
      <c r="Y147" s="15">
        <f>IFERROR(IF(ISBLANK(R147),IFERROR(VLOOKUP($E147,Sheet3!$H$2:$O$200,Y$1,FALSE),IFERROR(VLOOKUP($F147,Sheet3!$H$2:$O$200,Y$1,FALSE),VLOOKUP($G147,Sheet3!$H$2:$O$200,Y$1,FALSE))),$I$1),$I$1)</f>
        <v>0</v>
      </c>
      <c r="Z147" s="15">
        <f>IFERROR(IF(ISBLANK(S147),IFERROR(VLOOKUP($E147,Sheet3!$H$2:$O$200,Z$1,FALSE),IFERROR(VLOOKUP($F147,Sheet3!$H$2:$O$200,Z$1,FALSE),VLOOKUP($G147,Sheet3!$H$2:$O$200,Z$1,FALSE))),$I$1),$I$1)</f>
        <v>0</v>
      </c>
      <c r="AA147" s="15">
        <f>IFERROR(IF(ISBLANK(T147),IFERROR(VLOOKUP($E147,Sheet3!$H$2:$O$200,AA$1,FALSE),IFERROR(VLOOKUP($F147,Sheet3!$H$2:$O$200,AA$1,FALSE),VLOOKUP($G147,Sheet3!$H$2:$O$200,AA$1,FALSE))),$I$1),$I$1)</f>
        <v>0</v>
      </c>
      <c r="AB147" s="15">
        <f>IFERROR(IF(ISBLANK(U147),IFERROR(VLOOKUP($E147,Sheet3!$H$2:$O$200,AB$1,FALSE),IFERROR(VLOOKUP($F147,Sheet3!$H$2:$O$200,AB$1,FALSE),VLOOKUP($G147,Sheet3!$H$2:$O$200,AB$1,FALSE))),$I$1),$I$1)</f>
        <v>0</v>
      </c>
      <c r="AC147" s="15">
        <f>IFERROR(IF(ISBLANK(V147),IFERROR(VLOOKUP($E147,Sheet3!$H$2:$O$200,AC$1,FALSE),IFERROR(VLOOKUP($F147,Sheet3!$H$2:$O$200,AC$1,FALSE),VLOOKUP($G147,Sheet3!$H$2:$O$200,AC$1,FALSE))),$I$1),$I$1)</f>
        <v>0</v>
      </c>
      <c r="AD147" s="15">
        <f>IFERROR(IF(ISBLANK(W147),IFERROR(VLOOKUP($E147,Sheet3!$H$2:$O$200,AD$1,FALSE),IFERROR(VLOOKUP($F147,Sheet3!$H$2:$O$200,AD$1,FALSE),VLOOKUP($G147,Sheet3!$H$2:$O$200,AD$1,FALSE))),$I$1),$I$1)</f>
        <v>0</v>
      </c>
      <c r="AE147" s="15">
        <f>IFERROR(IF(ISBLANK(X147),IFERROR(VLOOKUP($F147,Sheet3!$H$2:$O$200,AE$1,FALSE),VLOOKUP($G147,Sheet3!$H$2:$O$200,AE$1,FALSE)),$I$1),$I$1)</f>
        <v>0</v>
      </c>
      <c r="AF147" s="15">
        <f>IFERROR(IF(ISBLANK(Y147),IFERROR(VLOOKUP($F147,Sheet3!$H$2:$O$200,AF$1,FALSE),VLOOKUP($G147,Sheet3!$H$2:$O$200,AF$1,FALSE)),$I$1),$I$1)</f>
        <v>0</v>
      </c>
      <c r="AG147" s="15">
        <f>IFERROR(IF(ISBLANK(Z147),IFERROR(VLOOKUP($F147,Sheet3!$H$2:$O$200,AG$1,FALSE),VLOOKUP($G147,Sheet3!$H$2:$O$200,AG$1,FALSE)),$I$1),$I$1)</f>
        <v>0</v>
      </c>
      <c r="AH147" s="15">
        <f>IFERROR(IF(ISBLANK(AA147),IFERROR(VLOOKUP($F147,Sheet3!$H$2:$O$200,AH$1,FALSE),VLOOKUP($G147,Sheet3!$H$2:$O$200,AH$1,FALSE)),$I$1),$I$1)</f>
        <v>0</v>
      </c>
      <c r="AI147" s="15">
        <f>IFERROR(IF(ISBLANK(AB147),IFERROR(VLOOKUP($F147,Sheet3!$H$2:$O$200,AI$1,FALSE),VLOOKUP($G147,Sheet3!$H$2:$O$200,AI$1,FALSE)),$I$1),$I$1)</f>
        <v>0</v>
      </c>
      <c r="AJ147" s="15">
        <f>IFERROR(IF(ISBLANK(AC147),IFERROR(VLOOKUP($F147,Sheet3!$H$2:$O$200,AJ$1,FALSE),VLOOKUP($G147,Sheet3!$H$2:$O$200,AJ$1,FALSE)),$I$1),$I$1)</f>
        <v>0</v>
      </c>
      <c r="AK147" s="15">
        <f>IFERROR(IF(ISBLANK(AD147),IFERROR(VLOOKUP($F147,Sheet3!$H$2:$O$200,AK$1,FALSE),VLOOKUP($G147,Sheet3!$H$2:$O$200,AK$1,FALSE)),$I$1),$I$1)</f>
        <v>0</v>
      </c>
      <c r="AL147" s="15">
        <f>IFERROR(IF(ISBLANK(AE147),VLOOKUP($G147,Sheet3!$H$2:$O$200,AL$1,FALSE),$I$1),$I$1)</f>
        <v>0</v>
      </c>
      <c r="AM147" s="15">
        <f>IFERROR(IF(ISBLANK(AF147),VLOOKUP($G147,Sheet3!$H$2:$O$200,AM$1,FALSE),$I$1),$I$1)</f>
        <v>0</v>
      </c>
      <c r="AN147" s="15">
        <f>IFERROR(IF(ISBLANK(AG147),VLOOKUP($G147,Sheet3!$H$2:$O$200,AN$1,FALSE),$I$1),$I$1)</f>
        <v>0</v>
      </c>
      <c r="AO147" s="15">
        <f>IFERROR(IF(ISBLANK(AH147),VLOOKUP($G147,Sheet3!$H$2:$O$200,AO$1,FALSE),$I$1),$I$1)</f>
        <v>0</v>
      </c>
      <c r="AP147" s="15">
        <f>IFERROR(IF(ISBLANK(AI147),VLOOKUP($G147,Sheet3!$H$2:$O$200,AP$1,FALSE),$I$1),$I$1)</f>
        <v>0</v>
      </c>
      <c r="AQ147" s="15">
        <f>IFERROR(IF(ISBLANK(AJ147),VLOOKUP($G147,Sheet3!$H$2:$O$200,AQ$1,FALSE),$I$1),$I$1)</f>
        <v>0</v>
      </c>
      <c r="AR147" s="15">
        <f>IFERROR(IF(ISBLANK(AK147),VLOOKUP($G147,Sheet3!$H$2:$O$200,AR$1,FALSE),$I$1),$I$1)</f>
        <v>0</v>
      </c>
      <c r="AS147" s="15">
        <f t="shared" ref="AS147:AY147" si="154">IFERROR(IF(ISBLANK(J147),IF(ISBLANK(Q147),IF(ISBLANK(X147),IF(ISBLANK(AE147),IF(ISBLANK(AL147),$BB$1,AL147),AE147),X147),Q147),J147),$BB$1)</f>
        <v>0</v>
      </c>
      <c r="AT147" s="15">
        <f t="shared" si="154"/>
        <v>0</v>
      </c>
      <c r="AU147" s="15">
        <f t="shared" si="154"/>
        <v>0</v>
      </c>
      <c r="AV147" s="15" t="str">
        <f t="shared" si="154"/>
        <v>amaretto</v>
      </c>
      <c r="AW147" s="15">
        <f t="shared" si="154"/>
        <v>0</v>
      </c>
      <c r="AX147" s="15">
        <f t="shared" si="154"/>
        <v>0</v>
      </c>
      <c r="AY147" s="15">
        <f t="shared" si="154"/>
        <v>0</v>
      </c>
      <c r="BA147" s="13">
        <f t="shared" si="1"/>
        <v>35</v>
      </c>
      <c r="BB147" s="15" t="b">
        <f t="shared" si="2"/>
        <v>0</v>
      </c>
    </row>
    <row r="148" spans="1:54" x14ac:dyDescent="0.2">
      <c r="A148" s="19" t="s">
        <v>306</v>
      </c>
      <c r="B148" s="19" t="s">
        <v>300</v>
      </c>
      <c r="C148" s="19" t="s">
        <v>31</v>
      </c>
      <c r="D148" s="19" t="s">
        <v>38</v>
      </c>
      <c r="E148" s="19" t="s">
        <v>52</v>
      </c>
      <c r="F148" s="19"/>
      <c r="G148" s="19"/>
      <c r="H148" s="19" t="s">
        <v>306</v>
      </c>
      <c r="I148" s="15">
        <v>3</v>
      </c>
      <c r="J148" s="15">
        <f>IFERROR(VLOOKUP($C148,Sheet3!$H$2:$O$200,J$1,FALSE),IFERROR(VLOOKUP($D148,Sheet3!$H$2:$O$200,J$1,FALSE),VLOOKUP($E148,Sheet3!$H$2:$O$200,J$1,FALSE)))</f>
        <v>0</v>
      </c>
      <c r="K148" s="15">
        <f>IFERROR(VLOOKUP($C148,Sheet3!$H$2:$O$200,K$1,FALSE),IFERROR(VLOOKUP($D148,Sheet3!$H$2:$O$200,K$1,FALSE),VLOOKUP($E148,Sheet3!$H$2:$O$200,K$1,FALSE)))</f>
        <v>0</v>
      </c>
      <c r="L148" s="15">
        <f>IFERROR(VLOOKUP($C148,Sheet3!$H$2:$O$200,L$1,FALSE),IFERROR(VLOOKUP($D148,Sheet3!$H$2:$O$200,L$1,FALSE),VLOOKUP($E148,Sheet3!$H$2:$O$200,L$1,FALSE)))</f>
        <v>0</v>
      </c>
      <c r="M148" s="15" t="str">
        <f>IFERROR(VLOOKUP($C148,Sheet3!$H$2:$O$200,M$1,FALSE),IFERROR(VLOOKUP($D148,Sheet3!$H$2:$O$200,M$1,FALSE),VLOOKUP($E148,Sheet3!$H$2:$O$200,M$1,FALSE)))</f>
        <v>white crème de cacao</v>
      </c>
      <c r="N148" s="15">
        <f>IFERROR(VLOOKUP($C148,Sheet3!$H$2:$O$200,N$1,FALSE),IFERROR(VLOOKUP($D148,Sheet3!$H$2:$O$200,N$1,FALSE),VLOOKUP($E148,Sheet3!$H$2:$O$200,N$1,FALSE)))</f>
        <v>0</v>
      </c>
      <c r="O148" s="15">
        <f>IFERROR(VLOOKUP($C148,Sheet3!$H$2:$O$200,O$1,FALSE),IFERROR(VLOOKUP($D148,Sheet3!$H$2:$O$200,O$1,FALSE),VLOOKUP($E148,Sheet3!$H$2:$O$200,O$1,FALSE)))</f>
        <v>0</v>
      </c>
      <c r="P148" s="15">
        <f>IFERROR(VLOOKUP($C148,Sheet3!$H$2:$O$200,P$1,FALSE),IFERROR(VLOOKUP($D148,Sheet3!$H$2:$O$200,P$1,FALSE),VLOOKUP($E148,Sheet3!$H$2:$O$200,P$1,FALSE)))</f>
        <v>0</v>
      </c>
      <c r="Q148" s="15">
        <f>IFERROR(IF(ISBLANK(J148),IFERROR(VLOOKUP($D148,Sheet3!$H$2:$O$200,Q$1,FALSE),IFERROR(VLOOKUP($E148,Sheet3!$H$2:$O$200,Q$1,FALSE),VLOOKUP($F148,Sheet3!$H$2:$O$200,Q$1,FALSE))),$I$1),$I$1)</f>
        <v>0</v>
      </c>
      <c r="R148" s="15">
        <f>IFERROR(IF(ISBLANK(K148),IFERROR(VLOOKUP($D148,Sheet3!$H$2:$O$200,R$1,FALSE),IFERROR(VLOOKUP($E148,Sheet3!$H$2:$O$200,R$1,FALSE),VLOOKUP($F148,Sheet3!$H$2:$O$200,R$1,FALSE))),$I$1),$I$1)</f>
        <v>0</v>
      </c>
      <c r="S148" s="15">
        <f>IFERROR(IF(ISBLANK(L148),IFERROR(VLOOKUP($D148,Sheet3!$H$2:$O$200,S$1,FALSE),IFERROR(VLOOKUP($E148,Sheet3!$H$2:$O$200,S$1,FALSE),VLOOKUP($F148,Sheet3!$H$2:$O$200,S$1,FALSE))),$I$1),$I$1)</f>
        <v>0</v>
      </c>
      <c r="T148" s="15">
        <f>IFERROR(IF(ISBLANK(M148),IFERROR(VLOOKUP($D148,Sheet3!$H$2:$O$200,T$1,FALSE),IFERROR(VLOOKUP($E148,Sheet3!$H$2:$O$200,T$1,FALSE),VLOOKUP($F148,Sheet3!$H$2:$O$200,T$1,FALSE))),$I$1),$I$1)</f>
        <v>0</v>
      </c>
      <c r="U148" s="15">
        <f>IFERROR(IF(ISBLANK(N148),IFERROR(VLOOKUP($D148,Sheet3!$H$2:$O$200,U$1,FALSE),IFERROR(VLOOKUP($E148,Sheet3!$H$2:$O$200,U$1,FALSE),VLOOKUP($F148,Sheet3!$H$2:$O$200,U$1,FALSE))),$I$1),$I$1)</f>
        <v>0</v>
      </c>
      <c r="V148" s="15">
        <f>IFERROR(IF(ISBLANK(O148),IFERROR(VLOOKUP($D148,Sheet3!$H$2:$O$200,V$1,FALSE),IFERROR(VLOOKUP($E148,Sheet3!$H$2:$O$200,V$1,FALSE),VLOOKUP($F148,Sheet3!$H$2:$O$200,V$1,FALSE))),$I$1),$I$1)</f>
        <v>0</v>
      </c>
      <c r="W148" s="15">
        <f>IFERROR(IF(ISBLANK(P148),IFERROR(VLOOKUP($D148,Sheet3!$H$2:$O$200,W$1,FALSE),IFERROR(VLOOKUP($E148,Sheet3!$H$2:$O$200,W$1,FALSE),VLOOKUP($F148,Sheet3!$H$2:$O$200,W$1,FALSE))),$I$1),$I$1)</f>
        <v>0</v>
      </c>
      <c r="X148" s="15">
        <f>IFERROR(IF(ISBLANK(Q148),IFERROR(VLOOKUP($E148,Sheet3!$H$2:$O$200,X$1,FALSE),IFERROR(VLOOKUP($F148,Sheet3!$H$2:$O$200,X$1,FALSE),VLOOKUP($G148,Sheet3!$H$2:$O$200,X$1,FALSE))),$I$1),$I$1)</f>
        <v>0</v>
      </c>
      <c r="Y148" s="15">
        <f>IFERROR(IF(ISBLANK(R148),IFERROR(VLOOKUP($E148,Sheet3!$H$2:$O$200,Y$1,FALSE),IFERROR(VLOOKUP($F148,Sheet3!$H$2:$O$200,Y$1,FALSE),VLOOKUP($G148,Sheet3!$H$2:$O$200,Y$1,FALSE))),$I$1),$I$1)</f>
        <v>0</v>
      </c>
      <c r="Z148" s="15">
        <f>IFERROR(IF(ISBLANK(S148),IFERROR(VLOOKUP($E148,Sheet3!$H$2:$O$200,Z$1,FALSE),IFERROR(VLOOKUP($F148,Sheet3!$H$2:$O$200,Z$1,FALSE),VLOOKUP($G148,Sheet3!$H$2:$O$200,Z$1,FALSE))),$I$1),$I$1)</f>
        <v>0</v>
      </c>
      <c r="AA148" s="15">
        <f>IFERROR(IF(ISBLANK(T148),IFERROR(VLOOKUP($E148,Sheet3!$H$2:$O$200,AA$1,FALSE),IFERROR(VLOOKUP($F148,Sheet3!$H$2:$O$200,AA$1,FALSE),VLOOKUP($G148,Sheet3!$H$2:$O$200,AA$1,FALSE))),$I$1),$I$1)</f>
        <v>0</v>
      </c>
      <c r="AB148" s="15">
        <f>IFERROR(IF(ISBLANK(U148),IFERROR(VLOOKUP($E148,Sheet3!$H$2:$O$200,AB$1,FALSE),IFERROR(VLOOKUP($F148,Sheet3!$H$2:$O$200,AB$1,FALSE),VLOOKUP($G148,Sheet3!$H$2:$O$200,AB$1,FALSE))),$I$1),$I$1)</f>
        <v>0</v>
      </c>
      <c r="AC148" s="15">
        <f>IFERROR(IF(ISBLANK(V148),IFERROR(VLOOKUP($E148,Sheet3!$H$2:$O$200,AC$1,FALSE),IFERROR(VLOOKUP($F148,Sheet3!$H$2:$O$200,AC$1,FALSE),VLOOKUP($G148,Sheet3!$H$2:$O$200,AC$1,FALSE))),$I$1),$I$1)</f>
        <v>0</v>
      </c>
      <c r="AD148" s="15">
        <f>IFERROR(IF(ISBLANK(W148),IFERROR(VLOOKUP($E148,Sheet3!$H$2:$O$200,AD$1,FALSE),IFERROR(VLOOKUP($F148,Sheet3!$H$2:$O$200,AD$1,FALSE),VLOOKUP($G148,Sheet3!$H$2:$O$200,AD$1,FALSE))),$I$1),$I$1)</f>
        <v>0</v>
      </c>
      <c r="AE148" s="15">
        <f>IFERROR(IF(ISBLANK(X148),IFERROR(VLOOKUP($F148,Sheet3!$H$2:$O$200,AE$1,FALSE),VLOOKUP($G148,Sheet3!$H$2:$O$200,AE$1,FALSE)),$I$1),$I$1)</f>
        <v>0</v>
      </c>
      <c r="AF148" s="15">
        <f>IFERROR(IF(ISBLANK(Y148),IFERROR(VLOOKUP($F148,Sheet3!$H$2:$O$200,AF$1,FALSE),VLOOKUP($G148,Sheet3!$H$2:$O$200,AF$1,FALSE)),$I$1),$I$1)</f>
        <v>0</v>
      </c>
      <c r="AG148" s="15">
        <f>IFERROR(IF(ISBLANK(Z148),IFERROR(VLOOKUP($F148,Sheet3!$H$2:$O$200,AG$1,FALSE),VLOOKUP($G148,Sheet3!$H$2:$O$200,AG$1,FALSE)),$I$1),$I$1)</f>
        <v>0</v>
      </c>
      <c r="AH148" s="15">
        <f>IFERROR(IF(ISBLANK(AA148),IFERROR(VLOOKUP($F148,Sheet3!$H$2:$O$200,AH$1,FALSE),VLOOKUP($G148,Sheet3!$H$2:$O$200,AH$1,FALSE)),$I$1),$I$1)</f>
        <v>0</v>
      </c>
      <c r="AI148" s="15">
        <f>IFERROR(IF(ISBLANK(AB148),IFERROR(VLOOKUP($F148,Sheet3!$H$2:$O$200,AI$1,FALSE),VLOOKUP($G148,Sheet3!$H$2:$O$200,AI$1,FALSE)),$I$1),$I$1)</f>
        <v>0</v>
      </c>
      <c r="AJ148" s="15">
        <f>IFERROR(IF(ISBLANK(AC148),IFERROR(VLOOKUP($F148,Sheet3!$H$2:$O$200,AJ$1,FALSE),VLOOKUP($G148,Sheet3!$H$2:$O$200,AJ$1,FALSE)),$I$1),$I$1)</f>
        <v>0</v>
      </c>
      <c r="AK148" s="15">
        <f>IFERROR(IF(ISBLANK(AD148),IFERROR(VLOOKUP($F148,Sheet3!$H$2:$O$200,AK$1,FALSE),VLOOKUP($G148,Sheet3!$H$2:$O$200,AK$1,FALSE)),$I$1),$I$1)</f>
        <v>0</v>
      </c>
      <c r="AL148" s="15">
        <f>IFERROR(IF(ISBLANK(AE148),VLOOKUP($G148,Sheet3!$H$2:$O$200,AL$1,FALSE),$I$1),$I$1)</f>
        <v>0</v>
      </c>
      <c r="AM148" s="15">
        <f>IFERROR(IF(ISBLANK(AF148),VLOOKUP($G148,Sheet3!$H$2:$O$200,AM$1,FALSE),$I$1),$I$1)</f>
        <v>0</v>
      </c>
      <c r="AN148" s="15">
        <f>IFERROR(IF(ISBLANK(AG148),VLOOKUP($G148,Sheet3!$H$2:$O$200,AN$1,FALSE),$I$1),$I$1)</f>
        <v>0</v>
      </c>
      <c r="AO148" s="15">
        <f>IFERROR(IF(ISBLANK(AH148),VLOOKUP($G148,Sheet3!$H$2:$O$200,AO$1,FALSE),$I$1),$I$1)</f>
        <v>0</v>
      </c>
      <c r="AP148" s="15">
        <f>IFERROR(IF(ISBLANK(AI148),VLOOKUP($G148,Sheet3!$H$2:$O$200,AP$1,FALSE),$I$1),$I$1)</f>
        <v>0</v>
      </c>
      <c r="AQ148" s="15">
        <f>IFERROR(IF(ISBLANK(AJ148),VLOOKUP($G148,Sheet3!$H$2:$O$200,AQ$1,FALSE),$I$1),$I$1)</f>
        <v>0</v>
      </c>
      <c r="AR148" s="15">
        <f>IFERROR(IF(ISBLANK(AK148),VLOOKUP($G148,Sheet3!$H$2:$O$200,AR$1,FALSE),$I$1),$I$1)</f>
        <v>0</v>
      </c>
      <c r="AS148" s="15">
        <f t="shared" ref="AS148:AY148" si="155">IFERROR(IF(ISBLANK(J148),IF(ISBLANK(Q148),IF(ISBLANK(X148),IF(ISBLANK(AE148),IF(ISBLANK(AL148),$BB$1,AL148),AE148),X148),Q148),J148),$BB$1)</f>
        <v>0</v>
      </c>
      <c r="AT148" s="15">
        <f t="shared" si="155"/>
        <v>0</v>
      </c>
      <c r="AU148" s="15">
        <f t="shared" si="155"/>
        <v>0</v>
      </c>
      <c r="AV148" s="15" t="str">
        <f t="shared" si="155"/>
        <v>white crème de cacao</v>
      </c>
      <c r="AW148" s="15">
        <f t="shared" si="155"/>
        <v>0</v>
      </c>
      <c r="AX148" s="15">
        <f t="shared" si="155"/>
        <v>0</v>
      </c>
      <c r="AY148" s="15">
        <f t="shared" si="155"/>
        <v>0</v>
      </c>
      <c r="BA148" s="13">
        <f t="shared" si="1"/>
        <v>35</v>
      </c>
      <c r="BB148" s="15" t="b">
        <f t="shared" si="2"/>
        <v>0</v>
      </c>
    </row>
    <row r="149" spans="1:54" x14ac:dyDescent="0.2">
      <c r="A149" s="19" t="s">
        <v>307</v>
      </c>
      <c r="B149" s="19" t="s">
        <v>300</v>
      </c>
      <c r="C149" s="19" t="s">
        <v>308</v>
      </c>
      <c r="D149" s="19" t="s">
        <v>38</v>
      </c>
      <c r="E149" s="19" t="s">
        <v>52</v>
      </c>
      <c r="F149" s="19"/>
      <c r="G149" s="19"/>
      <c r="H149" s="19" t="s">
        <v>307</v>
      </c>
      <c r="I149" s="15">
        <v>3</v>
      </c>
      <c r="J149" s="15">
        <f>IFERROR(VLOOKUP($C149,Sheet3!$H$2:$O$200,J$1,FALSE),IFERROR(VLOOKUP($D149,Sheet3!$H$2:$O$200,J$1,FALSE),VLOOKUP($E149,Sheet3!$H$2:$O$200,J$1,FALSE)))</f>
        <v>0</v>
      </c>
      <c r="K149" s="15">
        <f>IFERROR(VLOOKUP($C149,Sheet3!$H$2:$O$200,K$1,FALSE),IFERROR(VLOOKUP($D149,Sheet3!$H$2:$O$200,K$1,FALSE),VLOOKUP($E149,Sheet3!$H$2:$O$200,K$1,FALSE)))</f>
        <v>0</v>
      </c>
      <c r="L149" s="15">
        <f>IFERROR(VLOOKUP($C149,Sheet3!$H$2:$O$200,L$1,FALSE),IFERROR(VLOOKUP($D149,Sheet3!$H$2:$O$200,L$1,FALSE),VLOOKUP($E149,Sheet3!$H$2:$O$200,L$1,FALSE)))</f>
        <v>0</v>
      </c>
      <c r="M149" s="15" t="str">
        <f>IFERROR(VLOOKUP($C149,Sheet3!$H$2:$O$200,M$1,FALSE),IFERROR(VLOOKUP($D149,Sheet3!$H$2:$O$200,M$1,FALSE),VLOOKUP($E149,Sheet3!$H$2:$O$200,M$1,FALSE)))</f>
        <v>white crème de menthe</v>
      </c>
      <c r="N149" s="15">
        <f>IFERROR(VLOOKUP($C149,Sheet3!$H$2:$O$200,N$1,FALSE),IFERROR(VLOOKUP($D149,Sheet3!$H$2:$O$200,N$1,FALSE),VLOOKUP($E149,Sheet3!$H$2:$O$200,N$1,FALSE)))</f>
        <v>0</v>
      </c>
      <c r="O149" s="15">
        <f>IFERROR(VLOOKUP($C149,Sheet3!$H$2:$O$200,O$1,FALSE),IFERROR(VLOOKUP($D149,Sheet3!$H$2:$O$200,O$1,FALSE),VLOOKUP($E149,Sheet3!$H$2:$O$200,O$1,FALSE)))</f>
        <v>0</v>
      </c>
      <c r="P149" s="15">
        <f>IFERROR(VLOOKUP($C149,Sheet3!$H$2:$O$200,P$1,FALSE),IFERROR(VLOOKUP($D149,Sheet3!$H$2:$O$200,P$1,FALSE),VLOOKUP($E149,Sheet3!$H$2:$O$200,P$1,FALSE)))</f>
        <v>0</v>
      </c>
      <c r="Q149" s="15">
        <f>IFERROR(IF(ISBLANK(J149),IFERROR(VLOOKUP($D149,Sheet3!$H$2:$O$200,Q$1,FALSE),IFERROR(VLOOKUP($E149,Sheet3!$H$2:$O$200,Q$1,FALSE),VLOOKUP($F149,Sheet3!$H$2:$O$200,Q$1,FALSE))),$I$1),$I$1)</f>
        <v>0</v>
      </c>
      <c r="R149" s="15">
        <f>IFERROR(IF(ISBLANK(K149),IFERROR(VLOOKUP($D149,Sheet3!$H$2:$O$200,R$1,FALSE),IFERROR(VLOOKUP($E149,Sheet3!$H$2:$O$200,R$1,FALSE),VLOOKUP($F149,Sheet3!$H$2:$O$200,R$1,FALSE))),$I$1),$I$1)</f>
        <v>0</v>
      </c>
      <c r="S149" s="15">
        <f>IFERROR(IF(ISBLANK(L149),IFERROR(VLOOKUP($D149,Sheet3!$H$2:$O$200,S$1,FALSE),IFERROR(VLOOKUP($E149,Sheet3!$H$2:$O$200,S$1,FALSE),VLOOKUP($F149,Sheet3!$H$2:$O$200,S$1,FALSE))),$I$1),$I$1)</f>
        <v>0</v>
      </c>
      <c r="T149" s="15">
        <f>IFERROR(IF(ISBLANK(M149),IFERROR(VLOOKUP($D149,Sheet3!$H$2:$O$200,T$1,FALSE),IFERROR(VLOOKUP($E149,Sheet3!$H$2:$O$200,T$1,FALSE),VLOOKUP($F149,Sheet3!$H$2:$O$200,T$1,FALSE))),$I$1),$I$1)</f>
        <v>0</v>
      </c>
      <c r="U149" s="15">
        <f>IFERROR(IF(ISBLANK(N149),IFERROR(VLOOKUP($D149,Sheet3!$H$2:$O$200,U$1,FALSE),IFERROR(VLOOKUP($E149,Sheet3!$H$2:$O$200,U$1,FALSE),VLOOKUP($F149,Sheet3!$H$2:$O$200,U$1,FALSE))),$I$1),$I$1)</f>
        <v>0</v>
      </c>
      <c r="V149" s="15">
        <f>IFERROR(IF(ISBLANK(O149),IFERROR(VLOOKUP($D149,Sheet3!$H$2:$O$200,V$1,FALSE),IFERROR(VLOOKUP($E149,Sheet3!$H$2:$O$200,V$1,FALSE),VLOOKUP($F149,Sheet3!$H$2:$O$200,V$1,FALSE))),$I$1),$I$1)</f>
        <v>0</v>
      </c>
      <c r="W149" s="15">
        <f>IFERROR(IF(ISBLANK(P149),IFERROR(VLOOKUP($D149,Sheet3!$H$2:$O$200,W$1,FALSE),IFERROR(VLOOKUP($E149,Sheet3!$H$2:$O$200,W$1,FALSE),VLOOKUP($F149,Sheet3!$H$2:$O$200,W$1,FALSE))),$I$1),$I$1)</f>
        <v>0</v>
      </c>
      <c r="X149" s="15">
        <f>IFERROR(IF(ISBLANK(Q149),IFERROR(VLOOKUP($E149,Sheet3!$H$2:$O$200,X$1,FALSE),IFERROR(VLOOKUP($F149,Sheet3!$H$2:$O$200,X$1,FALSE),VLOOKUP($G149,Sheet3!$H$2:$O$200,X$1,FALSE))),$I$1),$I$1)</f>
        <v>0</v>
      </c>
      <c r="Y149" s="15">
        <f>IFERROR(IF(ISBLANK(R149),IFERROR(VLOOKUP($E149,Sheet3!$H$2:$O$200,Y$1,FALSE),IFERROR(VLOOKUP($F149,Sheet3!$H$2:$O$200,Y$1,FALSE),VLOOKUP($G149,Sheet3!$H$2:$O$200,Y$1,FALSE))),$I$1),$I$1)</f>
        <v>0</v>
      </c>
      <c r="Z149" s="15">
        <f>IFERROR(IF(ISBLANK(S149),IFERROR(VLOOKUP($E149,Sheet3!$H$2:$O$200,Z$1,FALSE),IFERROR(VLOOKUP($F149,Sheet3!$H$2:$O$200,Z$1,FALSE),VLOOKUP($G149,Sheet3!$H$2:$O$200,Z$1,FALSE))),$I$1),$I$1)</f>
        <v>0</v>
      </c>
      <c r="AA149" s="15">
        <f>IFERROR(IF(ISBLANK(T149),IFERROR(VLOOKUP($E149,Sheet3!$H$2:$O$200,AA$1,FALSE),IFERROR(VLOOKUP($F149,Sheet3!$H$2:$O$200,AA$1,FALSE),VLOOKUP($G149,Sheet3!$H$2:$O$200,AA$1,FALSE))),$I$1),$I$1)</f>
        <v>0</v>
      </c>
      <c r="AB149" s="15">
        <f>IFERROR(IF(ISBLANK(U149),IFERROR(VLOOKUP($E149,Sheet3!$H$2:$O$200,AB$1,FALSE),IFERROR(VLOOKUP($F149,Sheet3!$H$2:$O$200,AB$1,FALSE),VLOOKUP($G149,Sheet3!$H$2:$O$200,AB$1,FALSE))),$I$1),$I$1)</f>
        <v>0</v>
      </c>
      <c r="AC149" s="15">
        <f>IFERROR(IF(ISBLANK(V149),IFERROR(VLOOKUP($E149,Sheet3!$H$2:$O$200,AC$1,FALSE),IFERROR(VLOOKUP($F149,Sheet3!$H$2:$O$200,AC$1,FALSE),VLOOKUP($G149,Sheet3!$H$2:$O$200,AC$1,FALSE))),$I$1),$I$1)</f>
        <v>0</v>
      </c>
      <c r="AD149" s="15">
        <f>IFERROR(IF(ISBLANK(W149),IFERROR(VLOOKUP($E149,Sheet3!$H$2:$O$200,AD$1,FALSE),IFERROR(VLOOKUP($F149,Sheet3!$H$2:$O$200,AD$1,FALSE),VLOOKUP($G149,Sheet3!$H$2:$O$200,AD$1,FALSE))),$I$1),$I$1)</f>
        <v>0</v>
      </c>
      <c r="AE149" s="15">
        <f>IFERROR(IF(ISBLANK(X149),IFERROR(VLOOKUP($F149,Sheet3!$H$2:$O$200,AE$1,FALSE),VLOOKUP($G149,Sheet3!$H$2:$O$200,AE$1,FALSE)),$I$1),$I$1)</f>
        <v>0</v>
      </c>
      <c r="AF149" s="15">
        <f>IFERROR(IF(ISBLANK(Y149),IFERROR(VLOOKUP($F149,Sheet3!$H$2:$O$200,AF$1,FALSE),VLOOKUP($G149,Sheet3!$H$2:$O$200,AF$1,FALSE)),$I$1),$I$1)</f>
        <v>0</v>
      </c>
      <c r="AG149" s="15">
        <f>IFERROR(IF(ISBLANK(Z149),IFERROR(VLOOKUP($F149,Sheet3!$H$2:$O$200,AG$1,FALSE),VLOOKUP($G149,Sheet3!$H$2:$O$200,AG$1,FALSE)),$I$1),$I$1)</f>
        <v>0</v>
      </c>
      <c r="AH149" s="15">
        <f>IFERROR(IF(ISBLANK(AA149),IFERROR(VLOOKUP($F149,Sheet3!$H$2:$O$200,AH$1,FALSE),VLOOKUP($G149,Sheet3!$H$2:$O$200,AH$1,FALSE)),$I$1),$I$1)</f>
        <v>0</v>
      </c>
      <c r="AI149" s="15">
        <f>IFERROR(IF(ISBLANK(AB149),IFERROR(VLOOKUP($F149,Sheet3!$H$2:$O$200,AI$1,FALSE),VLOOKUP($G149,Sheet3!$H$2:$O$200,AI$1,FALSE)),$I$1),$I$1)</f>
        <v>0</v>
      </c>
      <c r="AJ149" s="15">
        <f>IFERROR(IF(ISBLANK(AC149),IFERROR(VLOOKUP($F149,Sheet3!$H$2:$O$200,AJ$1,FALSE),VLOOKUP($G149,Sheet3!$H$2:$O$200,AJ$1,FALSE)),$I$1),$I$1)</f>
        <v>0</v>
      </c>
      <c r="AK149" s="15">
        <f>IFERROR(IF(ISBLANK(AD149),IFERROR(VLOOKUP($F149,Sheet3!$H$2:$O$200,AK$1,FALSE),VLOOKUP($G149,Sheet3!$H$2:$O$200,AK$1,FALSE)),$I$1),$I$1)</f>
        <v>0</v>
      </c>
      <c r="AL149" s="15">
        <f>IFERROR(IF(ISBLANK(AE149),VLOOKUP($G149,Sheet3!$H$2:$O$200,AL$1,FALSE),$I$1),$I$1)</f>
        <v>0</v>
      </c>
      <c r="AM149" s="15">
        <f>IFERROR(IF(ISBLANK(AF149),VLOOKUP($G149,Sheet3!$H$2:$O$200,AM$1,FALSE),$I$1),$I$1)</f>
        <v>0</v>
      </c>
      <c r="AN149" s="15">
        <f>IFERROR(IF(ISBLANK(AG149),VLOOKUP($G149,Sheet3!$H$2:$O$200,AN$1,FALSE),$I$1),$I$1)</f>
        <v>0</v>
      </c>
      <c r="AO149" s="15">
        <f>IFERROR(IF(ISBLANK(AH149),VLOOKUP($G149,Sheet3!$H$2:$O$200,AO$1,FALSE),$I$1),$I$1)</f>
        <v>0</v>
      </c>
      <c r="AP149" s="15">
        <f>IFERROR(IF(ISBLANK(AI149),VLOOKUP($G149,Sheet3!$H$2:$O$200,AP$1,FALSE),$I$1),$I$1)</f>
        <v>0</v>
      </c>
      <c r="AQ149" s="15">
        <f>IFERROR(IF(ISBLANK(AJ149),VLOOKUP($G149,Sheet3!$H$2:$O$200,AQ$1,FALSE),$I$1),$I$1)</f>
        <v>0</v>
      </c>
      <c r="AR149" s="15">
        <f>IFERROR(IF(ISBLANK(AK149),VLOOKUP($G149,Sheet3!$H$2:$O$200,AR$1,FALSE),$I$1),$I$1)</f>
        <v>0</v>
      </c>
      <c r="AS149" s="15">
        <f t="shared" ref="AS149:AY149" si="156">IFERROR(IF(ISBLANK(J149),IF(ISBLANK(Q149),IF(ISBLANK(X149),IF(ISBLANK(AE149),IF(ISBLANK(AL149),$BB$1,AL149),AE149),X149),Q149),J149),$BB$1)</f>
        <v>0</v>
      </c>
      <c r="AT149" s="15">
        <f t="shared" si="156"/>
        <v>0</v>
      </c>
      <c r="AU149" s="15">
        <f t="shared" si="156"/>
        <v>0</v>
      </c>
      <c r="AV149" s="15" t="str">
        <f t="shared" si="156"/>
        <v>white crème de menthe</v>
      </c>
      <c r="AW149" s="15">
        <f t="shared" si="156"/>
        <v>0</v>
      </c>
      <c r="AX149" s="15">
        <f t="shared" si="156"/>
        <v>0</v>
      </c>
      <c r="AY149" s="15">
        <f t="shared" si="156"/>
        <v>0</v>
      </c>
      <c r="BA149" s="13">
        <f t="shared" si="1"/>
        <v>35</v>
      </c>
      <c r="BB149" s="15" t="b">
        <f t="shared" si="2"/>
        <v>0</v>
      </c>
    </row>
    <row r="150" spans="1:54" x14ac:dyDescent="0.2">
      <c r="A150" s="19" t="s">
        <v>309</v>
      </c>
      <c r="B150" s="19" t="s">
        <v>300</v>
      </c>
      <c r="C150" s="19" t="s">
        <v>215</v>
      </c>
      <c r="D150" s="19" t="s">
        <v>38</v>
      </c>
      <c r="E150" s="19" t="s">
        <v>55</v>
      </c>
      <c r="F150" s="19"/>
      <c r="G150" s="19"/>
      <c r="H150" s="19" t="s">
        <v>309</v>
      </c>
      <c r="I150" s="15">
        <v>3</v>
      </c>
      <c r="J150" s="15">
        <f>IFERROR(VLOOKUP($C150,Sheet3!$H$2:$O$200,J$1,FALSE),IFERROR(VLOOKUP($D150,Sheet3!$H$2:$O$200,J$1,FALSE),VLOOKUP($E150,Sheet3!$H$2:$O$200,J$1,FALSE)))</f>
        <v>0</v>
      </c>
      <c r="K150" s="15">
        <f>IFERROR(VLOOKUP($C150,Sheet3!$H$2:$O$200,K$1,FALSE),IFERROR(VLOOKUP($D150,Sheet3!$H$2:$O$200,K$1,FALSE),VLOOKUP($E150,Sheet3!$H$2:$O$200,K$1,FALSE)))</f>
        <v>0</v>
      </c>
      <c r="L150" s="15">
        <f>IFERROR(VLOOKUP($C150,Sheet3!$H$2:$O$200,L$1,FALSE),IFERROR(VLOOKUP($D150,Sheet3!$H$2:$O$200,L$1,FALSE),VLOOKUP($E150,Sheet3!$H$2:$O$200,L$1,FALSE)))</f>
        <v>0</v>
      </c>
      <c r="M150" s="15" t="str">
        <f>IFERROR(VLOOKUP($C150,Sheet3!$H$2:$O$200,M$1,FALSE),IFERROR(VLOOKUP($D150,Sheet3!$H$2:$O$200,M$1,FALSE),VLOOKUP($E150,Sheet3!$H$2:$O$200,M$1,FALSE)))</f>
        <v>kummel</v>
      </c>
      <c r="N150" s="15">
        <f>IFERROR(VLOOKUP($C150,Sheet3!$H$2:$O$200,N$1,FALSE),IFERROR(VLOOKUP($D150,Sheet3!$H$2:$O$200,N$1,FALSE),VLOOKUP($E150,Sheet3!$H$2:$O$200,N$1,FALSE)))</f>
        <v>0</v>
      </c>
      <c r="O150" s="15">
        <f>IFERROR(VLOOKUP($C150,Sheet3!$H$2:$O$200,O$1,FALSE),IFERROR(VLOOKUP($D150,Sheet3!$H$2:$O$200,O$1,FALSE),VLOOKUP($E150,Sheet3!$H$2:$O$200,O$1,FALSE)))</f>
        <v>0</v>
      </c>
      <c r="P150" s="15">
        <f>IFERROR(VLOOKUP($C150,Sheet3!$H$2:$O$200,P$1,FALSE),IFERROR(VLOOKUP($D150,Sheet3!$H$2:$O$200,P$1,FALSE),VLOOKUP($E150,Sheet3!$H$2:$O$200,P$1,FALSE)))</f>
        <v>0</v>
      </c>
      <c r="Q150" s="15">
        <f>IFERROR(IF(ISBLANK(J150),IFERROR(VLOOKUP($D150,Sheet3!$H$2:$O$200,Q$1,FALSE),IFERROR(VLOOKUP($E150,Sheet3!$H$2:$O$200,Q$1,FALSE),VLOOKUP($F150,Sheet3!$H$2:$O$200,Q$1,FALSE))),$I$1),$I$1)</f>
        <v>0</v>
      </c>
      <c r="R150" s="15">
        <f>IFERROR(IF(ISBLANK(K150),IFERROR(VLOOKUP($D150,Sheet3!$H$2:$O$200,R$1,FALSE),IFERROR(VLOOKUP($E150,Sheet3!$H$2:$O$200,R$1,FALSE),VLOOKUP($F150,Sheet3!$H$2:$O$200,R$1,FALSE))),$I$1),$I$1)</f>
        <v>0</v>
      </c>
      <c r="S150" s="15">
        <f>IFERROR(IF(ISBLANK(L150),IFERROR(VLOOKUP($D150,Sheet3!$H$2:$O$200,S$1,FALSE),IFERROR(VLOOKUP($E150,Sheet3!$H$2:$O$200,S$1,FALSE),VLOOKUP($F150,Sheet3!$H$2:$O$200,S$1,FALSE))),$I$1),$I$1)</f>
        <v>0</v>
      </c>
      <c r="T150" s="15">
        <f>IFERROR(IF(ISBLANK(M150),IFERROR(VLOOKUP($D150,Sheet3!$H$2:$O$200,T$1,FALSE),IFERROR(VLOOKUP($E150,Sheet3!$H$2:$O$200,T$1,FALSE),VLOOKUP($F150,Sheet3!$H$2:$O$200,T$1,FALSE))),$I$1),$I$1)</f>
        <v>0</v>
      </c>
      <c r="U150" s="15">
        <f>IFERROR(IF(ISBLANK(N150),IFERROR(VLOOKUP($D150,Sheet3!$H$2:$O$200,U$1,FALSE),IFERROR(VLOOKUP($E150,Sheet3!$H$2:$O$200,U$1,FALSE),VLOOKUP($F150,Sheet3!$H$2:$O$200,U$1,FALSE))),$I$1),$I$1)</f>
        <v>0</v>
      </c>
      <c r="V150" s="15">
        <f>IFERROR(IF(ISBLANK(O150),IFERROR(VLOOKUP($D150,Sheet3!$H$2:$O$200,V$1,FALSE),IFERROR(VLOOKUP($E150,Sheet3!$H$2:$O$200,V$1,FALSE),VLOOKUP($F150,Sheet3!$H$2:$O$200,V$1,FALSE))),$I$1),$I$1)</f>
        <v>0</v>
      </c>
      <c r="W150" s="15">
        <f>IFERROR(IF(ISBLANK(P150),IFERROR(VLOOKUP($D150,Sheet3!$H$2:$O$200,W$1,FALSE),IFERROR(VLOOKUP($E150,Sheet3!$H$2:$O$200,W$1,FALSE),VLOOKUP($F150,Sheet3!$H$2:$O$200,W$1,FALSE))),$I$1),$I$1)</f>
        <v>0</v>
      </c>
      <c r="X150" s="15">
        <f>IFERROR(IF(ISBLANK(Q150),IFERROR(VLOOKUP($E150,Sheet3!$H$2:$O$200,X$1,FALSE),IFERROR(VLOOKUP($F150,Sheet3!$H$2:$O$200,X$1,FALSE),VLOOKUP($G150,Sheet3!$H$2:$O$200,X$1,FALSE))),$I$1),$I$1)</f>
        <v>0</v>
      </c>
      <c r="Y150" s="15">
        <f>IFERROR(IF(ISBLANK(R150),IFERROR(VLOOKUP($E150,Sheet3!$H$2:$O$200,Y$1,FALSE),IFERROR(VLOOKUP($F150,Sheet3!$H$2:$O$200,Y$1,FALSE),VLOOKUP($G150,Sheet3!$H$2:$O$200,Y$1,FALSE))),$I$1),$I$1)</f>
        <v>0</v>
      </c>
      <c r="Z150" s="15">
        <f>IFERROR(IF(ISBLANK(S150),IFERROR(VLOOKUP($E150,Sheet3!$H$2:$O$200,Z$1,FALSE),IFERROR(VLOOKUP($F150,Sheet3!$H$2:$O$200,Z$1,FALSE),VLOOKUP($G150,Sheet3!$H$2:$O$200,Z$1,FALSE))),$I$1),$I$1)</f>
        <v>0</v>
      </c>
      <c r="AA150" s="15">
        <f>IFERROR(IF(ISBLANK(T150),IFERROR(VLOOKUP($E150,Sheet3!$H$2:$O$200,AA$1,FALSE),IFERROR(VLOOKUP($F150,Sheet3!$H$2:$O$200,AA$1,FALSE),VLOOKUP($G150,Sheet3!$H$2:$O$200,AA$1,FALSE))),$I$1),$I$1)</f>
        <v>0</v>
      </c>
      <c r="AB150" s="15">
        <f>IFERROR(IF(ISBLANK(U150),IFERROR(VLOOKUP($E150,Sheet3!$H$2:$O$200,AB$1,FALSE),IFERROR(VLOOKUP($F150,Sheet3!$H$2:$O$200,AB$1,FALSE),VLOOKUP($G150,Sheet3!$H$2:$O$200,AB$1,FALSE))),$I$1),$I$1)</f>
        <v>0</v>
      </c>
      <c r="AC150" s="15">
        <f>IFERROR(IF(ISBLANK(V150),IFERROR(VLOOKUP($E150,Sheet3!$H$2:$O$200,AC$1,FALSE),IFERROR(VLOOKUP($F150,Sheet3!$H$2:$O$200,AC$1,FALSE),VLOOKUP($G150,Sheet3!$H$2:$O$200,AC$1,FALSE))),$I$1),$I$1)</f>
        <v>0</v>
      </c>
      <c r="AD150" s="15">
        <f>IFERROR(IF(ISBLANK(W150),IFERROR(VLOOKUP($E150,Sheet3!$H$2:$O$200,AD$1,FALSE),IFERROR(VLOOKUP($F150,Sheet3!$H$2:$O$200,AD$1,FALSE),VLOOKUP($G150,Sheet3!$H$2:$O$200,AD$1,FALSE))),$I$1),$I$1)</f>
        <v>0</v>
      </c>
      <c r="AE150" s="15">
        <f>IFERROR(IF(ISBLANK(X150),IFERROR(VLOOKUP($F150,Sheet3!$H$2:$O$200,AE$1,FALSE),VLOOKUP($G150,Sheet3!$H$2:$O$200,AE$1,FALSE)),$I$1),$I$1)</f>
        <v>0</v>
      </c>
      <c r="AF150" s="15">
        <f>IFERROR(IF(ISBLANK(Y150),IFERROR(VLOOKUP($F150,Sheet3!$H$2:$O$200,AF$1,FALSE),VLOOKUP($G150,Sheet3!$H$2:$O$200,AF$1,FALSE)),$I$1),$I$1)</f>
        <v>0</v>
      </c>
      <c r="AG150" s="15">
        <f>IFERROR(IF(ISBLANK(Z150),IFERROR(VLOOKUP($F150,Sheet3!$H$2:$O$200,AG$1,FALSE),VLOOKUP($G150,Sheet3!$H$2:$O$200,AG$1,FALSE)),$I$1),$I$1)</f>
        <v>0</v>
      </c>
      <c r="AH150" s="15">
        <f>IFERROR(IF(ISBLANK(AA150),IFERROR(VLOOKUP($F150,Sheet3!$H$2:$O$200,AH$1,FALSE),VLOOKUP($G150,Sheet3!$H$2:$O$200,AH$1,FALSE)),$I$1),$I$1)</f>
        <v>0</v>
      </c>
      <c r="AI150" s="15">
        <f>IFERROR(IF(ISBLANK(AB150),IFERROR(VLOOKUP($F150,Sheet3!$H$2:$O$200,AI$1,FALSE),VLOOKUP($G150,Sheet3!$H$2:$O$200,AI$1,FALSE)),$I$1),$I$1)</f>
        <v>0</v>
      </c>
      <c r="AJ150" s="15">
        <f>IFERROR(IF(ISBLANK(AC150),IFERROR(VLOOKUP($F150,Sheet3!$H$2:$O$200,AJ$1,FALSE),VLOOKUP($G150,Sheet3!$H$2:$O$200,AJ$1,FALSE)),$I$1),$I$1)</f>
        <v>0</v>
      </c>
      <c r="AK150" s="15">
        <f>IFERROR(IF(ISBLANK(AD150),IFERROR(VLOOKUP($F150,Sheet3!$H$2:$O$200,AK$1,FALSE),VLOOKUP($G150,Sheet3!$H$2:$O$200,AK$1,FALSE)),$I$1),$I$1)</f>
        <v>0</v>
      </c>
      <c r="AL150" s="15">
        <f>IFERROR(IF(ISBLANK(AE150),VLOOKUP($G150,Sheet3!$H$2:$O$200,AL$1,FALSE),$I$1),$I$1)</f>
        <v>0</v>
      </c>
      <c r="AM150" s="15">
        <f>IFERROR(IF(ISBLANK(AF150),VLOOKUP($G150,Sheet3!$H$2:$O$200,AM$1,FALSE),$I$1),$I$1)</f>
        <v>0</v>
      </c>
      <c r="AN150" s="15">
        <f>IFERROR(IF(ISBLANK(AG150),VLOOKUP($G150,Sheet3!$H$2:$O$200,AN$1,FALSE),$I$1),$I$1)</f>
        <v>0</v>
      </c>
      <c r="AO150" s="15">
        <f>IFERROR(IF(ISBLANK(AH150),VLOOKUP($G150,Sheet3!$H$2:$O$200,AO$1,FALSE),$I$1),$I$1)</f>
        <v>0</v>
      </c>
      <c r="AP150" s="15">
        <f>IFERROR(IF(ISBLANK(AI150),VLOOKUP($G150,Sheet3!$H$2:$O$200,AP$1,FALSE),$I$1),$I$1)</f>
        <v>0</v>
      </c>
      <c r="AQ150" s="15">
        <f>IFERROR(IF(ISBLANK(AJ150),VLOOKUP($G150,Sheet3!$H$2:$O$200,AQ$1,FALSE),$I$1),$I$1)</f>
        <v>0</v>
      </c>
      <c r="AR150" s="15">
        <f>IFERROR(IF(ISBLANK(AK150),VLOOKUP($G150,Sheet3!$H$2:$O$200,AR$1,FALSE),$I$1),$I$1)</f>
        <v>0</v>
      </c>
      <c r="AS150" s="15">
        <f t="shared" ref="AS150:AY150" si="157">IFERROR(IF(ISBLANK(J150),IF(ISBLANK(Q150),IF(ISBLANK(X150),IF(ISBLANK(AE150),IF(ISBLANK(AL150),$BB$1,AL150),AE150),X150),Q150),J150),$BB$1)</f>
        <v>0</v>
      </c>
      <c r="AT150" s="15">
        <f t="shared" si="157"/>
        <v>0</v>
      </c>
      <c r="AU150" s="15">
        <f t="shared" si="157"/>
        <v>0</v>
      </c>
      <c r="AV150" s="15" t="str">
        <f t="shared" si="157"/>
        <v>kummel</v>
      </c>
      <c r="AW150" s="15">
        <f t="shared" si="157"/>
        <v>0</v>
      </c>
      <c r="AX150" s="15">
        <f t="shared" si="157"/>
        <v>0</v>
      </c>
      <c r="AY150" s="15">
        <f t="shared" si="157"/>
        <v>0</v>
      </c>
      <c r="BA150" s="13">
        <f t="shared" si="1"/>
        <v>35</v>
      </c>
      <c r="BB150" s="15" t="b">
        <f t="shared" si="2"/>
        <v>0</v>
      </c>
    </row>
    <row r="151" spans="1:54" x14ac:dyDescent="0.2">
      <c r="A151" s="19" t="s">
        <v>310</v>
      </c>
      <c r="B151" s="19" t="s">
        <v>300</v>
      </c>
      <c r="C151" s="19" t="s">
        <v>100</v>
      </c>
      <c r="D151" s="19" t="s">
        <v>38</v>
      </c>
      <c r="E151" s="19" t="s">
        <v>48</v>
      </c>
      <c r="F151" s="19"/>
      <c r="G151" s="19"/>
      <c r="H151" s="19" t="s">
        <v>310</v>
      </c>
      <c r="I151" s="15">
        <v>3</v>
      </c>
      <c r="J151" s="15">
        <f>IFERROR(VLOOKUP($C151,Sheet3!$H$2:$O$200,J$1,FALSE),IFERROR(VLOOKUP($D151,Sheet3!$H$2:$O$200,J$1,FALSE),VLOOKUP($E151,Sheet3!$H$2:$O$200,J$1,FALSE)))</f>
        <v>0</v>
      </c>
      <c r="K151" s="15">
        <f>IFERROR(VLOOKUP($C151,Sheet3!$H$2:$O$200,K$1,FALSE),IFERROR(VLOOKUP($D151,Sheet3!$H$2:$O$200,K$1,FALSE),VLOOKUP($E151,Sheet3!$H$2:$O$200,K$1,FALSE)))</f>
        <v>0</v>
      </c>
      <c r="L151" s="15">
        <f>IFERROR(VLOOKUP($C151,Sheet3!$H$2:$O$200,L$1,FALSE),IFERROR(VLOOKUP($D151,Sheet3!$H$2:$O$200,L$1,FALSE),VLOOKUP($E151,Sheet3!$H$2:$O$200,L$1,FALSE)))</f>
        <v>0</v>
      </c>
      <c r="M151" s="15" t="str">
        <f>IFERROR(VLOOKUP($C151,Sheet3!$H$2:$O$200,M$1,FALSE),IFERROR(VLOOKUP($D151,Sheet3!$H$2:$O$200,M$1,FALSE),VLOOKUP($E151,Sheet3!$H$2:$O$200,M$1,FALSE)))</f>
        <v>triple sec</v>
      </c>
      <c r="N151" s="15">
        <f>IFERROR(VLOOKUP($C151,Sheet3!$H$2:$O$200,N$1,FALSE),IFERROR(VLOOKUP($D151,Sheet3!$H$2:$O$200,N$1,FALSE),VLOOKUP($E151,Sheet3!$H$2:$O$200,N$1,FALSE)))</f>
        <v>0</v>
      </c>
      <c r="O151" s="15">
        <f>IFERROR(VLOOKUP($C151,Sheet3!$H$2:$O$200,O$1,FALSE),IFERROR(VLOOKUP($D151,Sheet3!$H$2:$O$200,O$1,FALSE),VLOOKUP($E151,Sheet3!$H$2:$O$200,O$1,FALSE)))</f>
        <v>0</v>
      </c>
      <c r="P151" s="15">
        <f>IFERROR(VLOOKUP($C151,Sheet3!$H$2:$O$200,P$1,FALSE),IFERROR(VLOOKUP($D151,Sheet3!$H$2:$O$200,P$1,FALSE),VLOOKUP($E151,Sheet3!$H$2:$O$200,P$1,FALSE)))</f>
        <v>0</v>
      </c>
      <c r="Q151" s="15">
        <f>IFERROR(IF(ISBLANK(J151),IFERROR(VLOOKUP($D151,Sheet3!$H$2:$O$200,Q$1,FALSE),IFERROR(VLOOKUP($E151,Sheet3!$H$2:$O$200,Q$1,FALSE),VLOOKUP($F151,Sheet3!$H$2:$O$200,Q$1,FALSE))),$I$1),$I$1)</f>
        <v>0</v>
      </c>
      <c r="R151" s="15">
        <f>IFERROR(IF(ISBLANK(K151),IFERROR(VLOOKUP($D151,Sheet3!$H$2:$O$200,R$1,FALSE),IFERROR(VLOOKUP($E151,Sheet3!$H$2:$O$200,R$1,FALSE),VLOOKUP($F151,Sheet3!$H$2:$O$200,R$1,FALSE))),$I$1),$I$1)</f>
        <v>0</v>
      </c>
      <c r="S151" s="15">
        <f>IFERROR(IF(ISBLANK(L151),IFERROR(VLOOKUP($D151,Sheet3!$H$2:$O$200,S$1,FALSE),IFERROR(VLOOKUP($E151,Sheet3!$H$2:$O$200,S$1,FALSE),VLOOKUP($F151,Sheet3!$H$2:$O$200,S$1,FALSE))),$I$1),$I$1)</f>
        <v>0</v>
      </c>
      <c r="T151" s="15">
        <f>IFERROR(IF(ISBLANK(M151),IFERROR(VLOOKUP($D151,Sheet3!$H$2:$O$200,T$1,FALSE),IFERROR(VLOOKUP($E151,Sheet3!$H$2:$O$200,T$1,FALSE),VLOOKUP($F151,Sheet3!$H$2:$O$200,T$1,FALSE))),$I$1),$I$1)</f>
        <v>0</v>
      </c>
      <c r="U151" s="15">
        <f>IFERROR(IF(ISBLANK(N151),IFERROR(VLOOKUP($D151,Sheet3!$H$2:$O$200,U$1,FALSE),IFERROR(VLOOKUP($E151,Sheet3!$H$2:$O$200,U$1,FALSE),VLOOKUP($F151,Sheet3!$H$2:$O$200,U$1,FALSE))),$I$1),$I$1)</f>
        <v>0</v>
      </c>
      <c r="V151" s="15">
        <f>IFERROR(IF(ISBLANK(O151),IFERROR(VLOOKUP($D151,Sheet3!$H$2:$O$200,V$1,FALSE),IFERROR(VLOOKUP($E151,Sheet3!$H$2:$O$200,V$1,FALSE),VLOOKUP($F151,Sheet3!$H$2:$O$200,V$1,FALSE))),$I$1),$I$1)</f>
        <v>0</v>
      </c>
      <c r="W151" s="15">
        <f>IFERROR(IF(ISBLANK(P151),IFERROR(VLOOKUP($D151,Sheet3!$H$2:$O$200,W$1,FALSE),IFERROR(VLOOKUP($E151,Sheet3!$H$2:$O$200,W$1,FALSE),VLOOKUP($F151,Sheet3!$H$2:$O$200,W$1,FALSE))),$I$1),$I$1)</f>
        <v>0</v>
      </c>
      <c r="X151" s="15">
        <f>IFERROR(IF(ISBLANK(Q151),IFERROR(VLOOKUP($E151,Sheet3!$H$2:$O$200,X$1,FALSE),IFERROR(VLOOKUP($F151,Sheet3!$H$2:$O$200,X$1,FALSE),VLOOKUP($G151,Sheet3!$H$2:$O$200,X$1,FALSE))),$I$1),$I$1)</f>
        <v>0</v>
      </c>
      <c r="Y151" s="15">
        <f>IFERROR(IF(ISBLANK(R151),IFERROR(VLOOKUP($E151,Sheet3!$H$2:$O$200,Y$1,FALSE),IFERROR(VLOOKUP($F151,Sheet3!$H$2:$O$200,Y$1,FALSE),VLOOKUP($G151,Sheet3!$H$2:$O$200,Y$1,FALSE))),$I$1),$I$1)</f>
        <v>0</v>
      </c>
      <c r="Z151" s="15">
        <f>IFERROR(IF(ISBLANK(S151),IFERROR(VLOOKUP($E151,Sheet3!$H$2:$O$200,Z$1,FALSE),IFERROR(VLOOKUP($F151,Sheet3!$H$2:$O$200,Z$1,FALSE),VLOOKUP($G151,Sheet3!$H$2:$O$200,Z$1,FALSE))),$I$1),$I$1)</f>
        <v>0</v>
      </c>
      <c r="AA151" s="15">
        <f>IFERROR(IF(ISBLANK(T151),IFERROR(VLOOKUP($E151,Sheet3!$H$2:$O$200,AA$1,FALSE),IFERROR(VLOOKUP($F151,Sheet3!$H$2:$O$200,AA$1,FALSE),VLOOKUP($G151,Sheet3!$H$2:$O$200,AA$1,FALSE))),$I$1),$I$1)</f>
        <v>0</v>
      </c>
      <c r="AB151" s="15">
        <f>IFERROR(IF(ISBLANK(U151),IFERROR(VLOOKUP($E151,Sheet3!$H$2:$O$200,AB$1,FALSE),IFERROR(VLOOKUP($F151,Sheet3!$H$2:$O$200,AB$1,FALSE),VLOOKUP($G151,Sheet3!$H$2:$O$200,AB$1,FALSE))),$I$1),$I$1)</f>
        <v>0</v>
      </c>
      <c r="AC151" s="15">
        <f>IFERROR(IF(ISBLANK(V151),IFERROR(VLOOKUP($E151,Sheet3!$H$2:$O$200,AC$1,FALSE),IFERROR(VLOOKUP($F151,Sheet3!$H$2:$O$200,AC$1,FALSE),VLOOKUP($G151,Sheet3!$H$2:$O$200,AC$1,FALSE))),$I$1),$I$1)</f>
        <v>0</v>
      </c>
      <c r="AD151" s="15">
        <f>IFERROR(IF(ISBLANK(W151),IFERROR(VLOOKUP($E151,Sheet3!$H$2:$O$200,AD$1,FALSE),IFERROR(VLOOKUP($F151,Sheet3!$H$2:$O$200,AD$1,FALSE),VLOOKUP($G151,Sheet3!$H$2:$O$200,AD$1,FALSE))),$I$1),$I$1)</f>
        <v>0</v>
      </c>
      <c r="AE151" s="15">
        <f>IFERROR(IF(ISBLANK(X151),IFERROR(VLOOKUP($F151,Sheet3!$H$2:$O$200,AE$1,FALSE),VLOOKUP($G151,Sheet3!$H$2:$O$200,AE$1,FALSE)),$I$1),$I$1)</f>
        <v>0</v>
      </c>
      <c r="AF151" s="15">
        <f>IFERROR(IF(ISBLANK(Y151),IFERROR(VLOOKUP($F151,Sheet3!$H$2:$O$200,AF$1,FALSE),VLOOKUP($G151,Sheet3!$H$2:$O$200,AF$1,FALSE)),$I$1),$I$1)</f>
        <v>0</v>
      </c>
      <c r="AG151" s="15">
        <f>IFERROR(IF(ISBLANK(Z151),IFERROR(VLOOKUP($F151,Sheet3!$H$2:$O$200,AG$1,FALSE),VLOOKUP($G151,Sheet3!$H$2:$O$200,AG$1,FALSE)),$I$1),$I$1)</f>
        <v>0</v>
      </c>
      <c r="AH151" s="15">
        <f>IFERROR(IF(ISBLANK(AA151),IFERROR(VLOOKUP($F151,Sheet3!$H$2:$O$200,AH$1,FALSE),VLOOKUP($G151,Sheet3!$H$2:$O$200,AH$1,FALSE)),$I$1),$I$1)</f>
        <v>0</v>
      </c>
      <c r="AI151" s="15">
        <f>IFERROR(IF(ISBLANK(AB151),IFERROR(VLOOKUP($F151,Sheet3!$H$2:$O$200,AI$1,FALSE),VLOOKUP($G151,Sheet3!$H$2:$O$200,AI$1,FALSE)),$I$1),$I$1)</f>
        <v>0</v>
      </c>
      <c r="AJ151" s="15">
        <f>IFERROR(IF(ISBLANK(AC151),IFERROR(VLOOKUP($F151,Sheet3!$H$2:$O$200,AJ$1,FALSE),VLOOKUP($G151,Sheet3!$H$2:$O$200,AJ$1,FALSE)),$I$1),$I$1)</f>
        <v>0</v>
      </c>
      <c r="AK151" s="15">
        <f>IFERROR(IF(ISBLANK(AD151),IFERROR(VLOOKUP($F151,Sheet3!$H$2:$O$200,AK$1,FALSE),VLOOKUP($G151,Sheet3!$H$2:$O$200,AK$1,FALSE)),$I$1),$I$1)</f>
        <v>0</v>
      </c>
      <c r="AL151" s="15">
        <f>IFERROR(IF(ISBLANK(AE151),VLOOKUP($G151,Sheet3!$H$2:$O$200,AL$1,FALSE),$I$1),$I$1)</f>
        <v>0</v>
      </c>
      <c r="AM151" s="15">
        <f>IFERROR(IF(ISBLANK(AF151),VLOOKUP($G151,Sheet3!$H$2:$O$200,AM$1,FALSE),$I$1),$I$1)</f>
        <v>0</v>
      </c>
      <c r="AN151" s="15">
        <f>IFERROR(IF(ISBLANK(AG151),VLOOKUP($G151,Sheet3!$H$2:$O$200,AN$1,FALSE),$I$1),$I$1)</f>
        <v>0</v>
      </c>
      <c r="AO151" s="15">
        <f>IFERROR(IF(ISBLANK(AH151),VLOOKUP($G151,Sheet3!$H$2:$O$200,AO$1,FALSE),$I$1),$I$1)</f>
        <v>0</v>
      </c>
      <c r="AP151" s="15">
        <f>IFERROR(IF(ISBLANK(AI151),VLOOKUP($G151,Sheet3!$H$2:$O$200,AP$1,FALSE),$I$1),$I$1)</f>
        <v>0</v>
      </c>
      <c r="AQ151" s="15">
        <f>IFERROR(IF(ISBLANK(AJ151),VLOOKUP($G151,Sheet3!$H$2:$O$200,AQ$1,FALSE),$I$1),$I$1)</f>
        <v>0</v>
      </c>
      <c r="AR151" s="15">
        <f>IFERROR(IF(ISBLANK(AK151),VLOOKUP($G151,Sheet3!$H$2:$O$200,AR$1,FALSE),$I$1),$I$1)</f>
        <v>0</v>
      </c>
      <c r="AS151" s="15">
        <f t="shared" ref="AS151:AY151" si="158">IFERROR(IF(ISBLANK(J151),IF(ISBLANK(Q151),IF(ISBLANK(X151),IF(ISBLANK(AE151),IF(ISBLANK(AL151),$BB$1,AL151),AE151),X151),Q151),J151),$BB$1)</f>
        <v>0</v>
      </c>
      <c r="AT151" s="15">
        <f t="shared" si="158"/>
        <v>0</v>
      </c>
      <c r="AU151" s="15">
        <f t="shared" si="158"/>
        <v>0</v>
      </c>
      <c r="AV151" s="15" t="str">
        <f t="shared" si="158"/>
        <v>triple sec</v>
      </c>
      <c r="AW151" s="15">
        <f t="shared" si="158"/>
        <v>0</v>
      </c>
      <c r="AX151" s="15">
        <f t="shared" si="158"/>
        <v>0</v>
      </c>
      <c r="AY151" s="15">
        <f t="shared" si="158"/>
        <v>0</v>
      </c>
      <c r="BA151" s="13">
        <f t="shared" si="1"/>
        <v>35</v>
      </c>
      <c r="BB151" s="15" t="b">
        <f t="shared" si="2"/>
        <v>0</v>
      </c>
    </row>
    <row r="152" spans="1:54" x14ac:dyDescent="0.2">
      <c r="A152" s="19" t="s">
        <v>311</v>
      </c>
      <c r="B152" s="19" t="s">
        <v>300</v>
      </c>
      <c r="C152" s="19" t="s">
        <v>57</v>
      </c>
      <c r="D152" s="19" t="s">
        <v>38</v>
      </c>
      <c r="E152" s="19"/>
      <c r="F152" s="19"/>
      <c r="G152" s="19"/>
      <c r="H152" s="19" t="s">
        <v>311</v>
      </c>
      <c r="I152" s="15">
        <v>2</v>
      </c>
      <c r="J152" s="15">
        <f>IFERROR(VLOOKUP($C152,Sheet3!$H$2:$O$200,J$1,FALSE),IFERROR(VLOOKUP($D152,Sheet3!$H$2:$O$200,J$1,FALSE),VLOOKUP($E152,Sheet3!$H$2:$O$200,J$1,FALSE)))</f>
        <v>0</v>
      </c>
      <c r="K152" s="15">
        <f>IFERROR(VLOOKUP($C152,Sheet3!$H$2:$O$200,K$1,FALSE),IFERROR(VLOOKUP($D152,Sheet3!$H$2:$O$200,K$1,FALSE),VLOOKUP($E152,Sheet3!$H$2:$O$200,K$1,FALSE)))</f>
        <v>0</v>
      </c>
      <c r="L152" s="15">
        <f>IFERROR(VLOOKUP($C152,Sheet3!$H$2:$O$200,L$1,FALSE),IFERROR(VLOOKUP($D152,Sheet3!$H$2:$O$200,L$1,FALSE),VLOOKUP($E152,Sheet3!$H$2:$O$200,L$1,FALSE)))</f>
        <v>0</v>
      </c>
      <c r="M152" s="15" t="str">
        <f>IFERROR(VLOOKUP($C152,Sheet3!$H$2:$O$200,M$1,FALSE),IFERROR(VLOOKUP($D152,Sheet3!$H$2:$O$200,M$1,FALSE),VLOOKUP($E152,Sheet3!$H$2:$O$200,M$1,FALSE)))</f>
        <v>crème de noyau</v>
      </c>
      <c r="N152" s="15">
        <f>IFERROR(VLOOKUP($C152,Sheet3!$H$2:$O$200,N$1,FALSE),IFERROR(VLOOKUP($D152,Sheet3!$H$2:$O$200,N$1,FALSE),VLOOKUP($E152,Sheet3!$H$2:$O$200,N$1,FALSE)))</f>
        <v>0</v>
      </c>
      <c r="O152" s="15">
        <f>IFERROR(VLOOKUP($C152,Sheet3!$H$2:$O$200,O$1,FALSE),IFERROR(VLOOKUP($D152,Sheet3!$H$2:$O$200,O$1,FALSE),VLOOKUP($E152,Sheet3!$H$2:$O$200,O$1,FALSE)))</f>
        <v>0</v>
      </c>
      <c r="P152" s="15">
        <f>IFERROR(VLOOKUP($C152,Sheet3!$H$2:$O$200,P$1,FALSE),IFERROR(VLOOKUP($D152,Sheet3!$H$2:$O$200,P$1,FALSE),VLOOKUP($E152,Sheet3!$H$2:$O$200,P$1,FALSE)))</f>
        <v>0</v>
      </c>
      <c r="Q152" s="15">
        <f>IFERROR(IF(ISBLANK(J152),IFERROR(VLOOKUP($D152,Sheet3!$H$2:$O$200,Q$1,FALSE),IFERROR(VLOOKUP($E152,Sheet3!$H$2:$O$200,Q$1,FALSE),VLOOKUP($F152,Sheet3!$H$2:$O$200,Q$1,FALSE))),$I$1),$I$1)</f>
        <v>0</v>
      </c>
      <c r="R152" s="15">
        <f>IFERROR(IF(ISBLANK(K152),IFERROR(VLOOKUP($D152,Sheet3!$H$2:$O$200,R$1,FALSE),IFERROR(VLOOKUP($E152,Sheet3!$H$2:$O$200,R$1,FALSE),VLOOKUP($F152,Sheet3!$H$2:$O$200,R$1,FALSE))),$I$1),$I$1)</f>
        <v>0</v>
      </c>
      <c r="S152" s="15">
        <f>IFERROR(IF(ISBLANK(L152),IFERROR(VLOOKUP($D152,Sheet3!$H$2:$O$200,S$1,FALSE),IFERROR(VLOOKUP($E152,Sheet3!$H$2:$O$200,S$1,FALSE),VLOOKUP($F152,Sheet3!$H$2:$O$200,S$1,FALSE))),$I$1),$I$1)</f>
        <v>0</v>
      </c>
      <c r="T152" s="15">
        <f>IFERROR(IF(ISBLANK(M152),IFERROR(VLOOKUP($D152,Sheet3!$H$2:$O$200,T$1,FALSE),IFERROR(VLOOKUP($E152,Sheet3!$H$2:$O$200,T$1,FALSE),VLOOKUP($F152,Sheet3!$H$2:$O$200,T$1,FALSE))),$I$1),$I$1)</f>
        <v>0</v>
      </c>
      <c r="U152" s="15">
        <f>IFERROR(IF(ISBLANK(N152),IFERROR(VLOOKUP($D152,Sheet3!$H$2:$O$200,U$1,FALSE),IFERROR(VLOOKUP($E152,Sheet3!$H$2:$O$200,U$1,FALSE),VLOOKUP($F152,Sheet3!$H$2:$O$200,U$1,FALSE))),$I$1),$I$1)</f>
        <v>0</v>
      </c>
      <c r="V152" s="15">
        <f>IFERROR(IF(ISBLANK(O152),IFERROR(VLOOKUP($D152,Sheet3!$H$2:$O$200,V$1,FALSE),IFERROR(VLOOKUP($E152,Sheet3!$H$2:$O$200,V$1,FALSE),VLOOKUP($F152,Sheet3!$H$2:$O$200,V$1,FALSE))),$I$1),$I$1)</f>
        <v>0</v>
      </c>
      <c r="W152" s="15">
        <f>IFERROR(IF(ISBLANK(P152),IFERROR(VLOOKUP($D152,Sheet3!$H$2:$O$200,W$1,FALSE),IFERROR(VLOOKUP($E152,Sheet3!$H$2:$O$200,W$1,FALSE),VLOOKUP($F152,Sheet3!$H$2:$O$200,W$1,FALSE))),$I$1),$I$1)</f>
        <v>0</v>
      </c>
      <c r="X152" s="15">
        <f>IFERROR(IF(ISBLANK(Q152),IFERROR(VLOOKUP($E152,Sheet3!$H$2:$O$200,X$1,FALSE),IFERROR(VLOOKUP($F152,Sheet3!$H$2:$O$200,X$1,FALSE),VLOOKUP($G152,Sheet3!$H$2:$O$200,X$1,FALSE))),$I$1),$I$1)</f>
        <v>0</v>
      </c>
      <c r="Y152" s="15">
        <f>IFERROR(IF(ISBLANK(R152),IFERROR(VLOOKUP($E152,Sheet3!$H$2:$O$200,Y$1,FALSE),IFERROR(VLOOKUP($F152,Sheet3!$H$2:$O$200,Y$1,FALSE),VLOOKUP($G152,Sheet3!$H$2:$O$200,Y$1,FALSE))),$I$1),$I$1)</f>
        <v>0</v>
      </c>
      <c r="Z152" s="15">
        <f>IFERROR(IF(ISBLANK(S152),IFERROR(VLOOKUP($E152,Sheet3!$H$2:$O$200,Z$1,FALSE),IFERROR(VLOOKUP($F152,Sheet3!$H$2:$O$200,Z$1,FALSE),VLOOKUP($G152,Sheet3!$H$2:$O$200,Z$1,FALSE))),$I$1),$I$1)</f>
        <v>0</v>
      </c>
      <c r="AA152" s="15">
        <f>IFERROR(IF(ISBLANK(T152),IFERROR(VLOOKUP($E152,Sheet3!$H$2:$O$200,AA$1,FALSE),IFERROR(VLOOKUP($F152,Sheet3!$H$2:$O$200,AA$1,FALSE),VLOOKUP($G152,Sheet3!$H$2:$O$200,AA$1,FALSE))),$I$1),$I$1)</f>
        <v>0</v>
      </c>
      <c r="AB152" s="15">
        <f>IFERROR(IF(ISBLANK(U152),IFERROR(VLOOKUP($E152,Sheet3!$H$2:$O$200,AB$1,FALSE),IFERROR(VLOOKUP($F152,Sheet3!$H$2:$O$200,AB$1,FALSE),VLOOKUP($G152,Sheet3!$H$2:$O$200,AB$1,FALSE))),$I$1),$I$1)</f>
        <v>0</v>
      </c>
      <c r="AC152" s="15">
        <f>IFERROR(IF(ISBLANK(V152),IFERROR(VLOOKUP($E152,Sheet3!$H$2:$O$200,AC$1,FALSE),IFERROR(VLOOKUP($F152,Sheet3!$H$2:$O$200,AC$1,FALSE),VLOOKUP($G152,Sheet3!$H$2:$O$200,AC$1,FALSE))),$I$1),$I$1)</f>
        <v>0</v>
      </c>
      <c r="AD152" s="15">
        <f>IFERROR(IF(ISBLANK(W152),IFERROR(VLOOKUP($E152,Sheet3!$H$2:$O$200,AD$1,FALSE),IFERROR(VLOOKUP($F152,Sheet3!$H$2:$O$200,AD$1,FALSE),VLOOKUP($G152,Sheet3!$H$2:$O$200,AD$1,FALSE))),$I$1),$I$1)</f>
        <v>0</v>
      </c>
      <c r="AE152" s="15">
        <f>IFERROR(IF(ISBLANK(X152),IFERROR(VLOOKUP($F152,Sheet3!$H$2:$O$200,AE$1,FALSE),VLOOKUP($G152,Sheet3!$H$2:$O$200,AE$1,FALSE)),$I$1),$I$1)</f>
        <v>0</v>
      </c>
      <c r="AF152" s="15">
        <f>IFERROR(IF(ISBLANK(Y152),IFERROR(VLOOKUP($F152,Sheet3!$H$2:$O$200,AF$1,FALSE),VLOOKUP($G152,Sheet3!$H$2:$O$200,AF$1,FALSE)),$I$1),$I$1)</f>
        <v>0</v>
      </c>
      <c r="AG152" s="15">
        <f>IFERROR(IF(ISBLANK(Z152),IFERROR(VLOOKUP($F152,Sheet3!$H$2:$O$200,AG$1,FALSE),VLOOKUP($G152,Sheet3!$H$2:$O$200,AG$1,FALSE)),$I$1),$I$1)</f>
        <v>0</v>
      </c>
      <c r="AH152" s="15">
        <f>IFERROR(IF(ISBLANK(AA152),IFERROR(VLOOKUP($F152,Sheet3!$H$2:$O$200,AH$1,FALSE),VLOOKUP($G152,Sheet3!$H$2:$O$200,AH$1,FALSE)),$I$1),$I$1)</f>
        <v>0</v>
      </c>
      <c r="AI152" s="15">
        <f>IFERROR(IF(ISBLANK(AB152),IFERROR(VLOOKUP($F152,Sheet3!$H$2:$O$200,AI$1,FALSE),VLOOKUP($G152,Sheet3!$H$2:$O$200,AI$1,FALSE)),$I$1),$I$1)</f>
        <v>0</v>
      </c>
      <c r="AJ152" s="15">
        <f>IFERROR(IF(ISBLANK(AC152),IFERROR(VLOOKUP($F152,Sheet3!$H$2:$O$200,AJ$1,FALSE),VLOOKUP($G152,Sheet3!$H$2:$O$200,AJ$1,FALSE)),$I$1),$I$1)</f>
        <v>0</v>
      </c>
      <c r="AK152" s="15">
        <f>IFERROR(IF(ISBLANK(AD152),IFERROR(VLOOKUP($F152,Sheet3!$H$2:$O$200,AK$1,FALSE),VLOOKUP($G152,Sheet3!$H$2:$O$200,AK$1,FALSE)),$I$1),$I$1)</f>
        <v>0</v>
      </c>
      <c r="AL152" s="15">
        <f>IFERROR(IF(ISBLANK(AE152),VLOOKUP($G152,Sheet3!$H$2:$O$200,AL$1,FALSE),$I$1),$I$1)</f>
        <v>0</v>
      </c>
      <c r="AM152" s="15">
        <f>IFERROR(IF(ISBLANK(AF152),VLOOKUP($G152,Sheet3!$H$2:$O$200,AM$1,FALSE),$I$1),$I$1)</f>
        <v>0</v>
      </c>
      <c r="AN152" s="15">
        <f>IFERROR(IF(ISBLANK(AG152),VLOOKUP($G152,Sheet3!$H$2:$O$200,AN$1,FALSE),$I$1),$I$1)</f>
        <v>0</v>
      </c>
      <c r="AO152" s="15">
        <f>IFERROR(IF(ISBLANK(AH152),VLOOKUP($G152,Sheet3!$H$2:$O$200,AO$1,FALSE),$I$1),$I$1)</f>
        <v>0</v>
      </c>
      <c r="AP152" s="15">
        <f>IFERROR(IF(ISBLANK(AI152),VLOOKUP($G152,Sheet3!$H$2:$O$200,AP$1,FALSE),$I$1),$I$1)</f>
        <v>0</v>
      </c>
      <c r="AQ152" s="15">
        <f>IFERROR(IF(ISBLANK(AJ152),VLOOKUP($G152,Sheet3!$H$2:$O$200,AQ$1,FALSE),$I$1),$I$1)</f>
        <v>0</v>
      </c>
      <c r="AR152" s="15">
        <f>IFERROR(IF(ISBLANK(AK152),VLOOKUP($G152,Sheet3!$H$2:$O$200,AR$1,FALSE),$I$1),$I$1)</f>
        <v>0</v>
      </c>
      <c r="AS152" s="15">
        <f t="shared" ref="AS152:AY152" si="159">IFERROR(IF(ISBLANK(J152),IF(ISBLANK(Q152),IF(ISBLANK(X152),IF(ISBLANK(AE152),IF(ISBLANK(AL152),$BB$1,AL152),AE152),X152),Q152),J152),$BB$1)</f>
        <v>0</v>
      </c>
      <c r="AT152" s="15">
        <f t="shared" si="159"/>
        <v>0</v>
      </c>
      <c r="AU152" s="15">
        <f t="shared" si="159"/>
        <v>0</v>
      </c>
      <c r="AV152" s="15" t="str">
        <f t="shared" si="159"/>
        <v>crème de noyau</v>
      </c>
      <c r="AW152" s="15">
        <f t="shared" si="159"/>
        <v>0</v>
      </c>
      <c r="AX152" s="15">
        <f t="shared" si="159"/>
        <v>0</v>
      </c>
      <c r="AY152" s="15">
        <f t="shared" si="159"/>
        <v>0</v>
      </c>
      <c r="BA152" s="13">
        <f t="shared" si="1"/>
        <v>35</v>
      </c>
      <c r="BB152" s="15" t="b">
        <f t="shared" si="2"/>
        <v>0</v>
      </c>
    </row>
    <row r="153" spans="1:54" x14ac:dyDescent="0.2">
      <c r="A153" s="20" t="s">
        <v>312</v>
      </c>
      <c r="B153" s="20" t="s">
        <v>313</v>
      </c>
      <c r="C153" s="20"/>
      <c r="D153" s="20"/>
      <c r="E153" s="20" t="s">
        <v>314</v>
      </c>
      <c r="F153" s="20" t="s">
        <v>240</v>
      </c>
      <c r="G153" s="20" t="s">
        <v>315</v>
      </c>
      <c r="H153" s="20" t="s">
        <v>312</v>
      </c>
      <c r="I153" s="15">
        <v>3</v>
      </c>
      <c r="J153" s="15">
        <f>IFERROR(VLOOKUP($C153,Sheet3!$H$2:$O$200,J$1,FALSE),IFERROR(VLOOKUP($D153,Sheet3!$H$2:$O$200,J$1,FALSE),VLOOKUP($E153,Sheet3!$H$2:$O$200,J$1,FALSE)))</f>
        <v>0</v>
      </c>
      <c r="K153" s="15" t="str">
        <f>IFERROR(VLOOKUP($C153,Sheet3!$H$2:$O$200,K$1,FALSE),IFERROR(VLOOKUP($D153,Sheet3!$H$2:$O$200,K$1,FALSE),VLOOKUP($E153,Sheet3!$H$2:$O$200,K$1,FALSE)))</f>
        <v>Angostura</v>
      </c>
      <c r="L153" s="15">
        <f>IFERROR(VLOOKUP($C153,Sheet3!$H$2:$O$200,L$1,FALSE),IFERROR(VLOOKUP($D153,Sheet3!$H$2:$O$200,L$1,FALSE),VLOOKUP($E153,Sheet3!$H$2:$O$200,L$1,FALSE)))</f>
        <v>0</v>
      </c>
      <c r="M153" s="15">
        <f>IFERROR(VLOOKUP($C153,Sheet3!$H$2:$O$200,M$1,FALSE),IFERROR(VLOOKUP($D153,Sheet3!$H$2:$O$200,M$1,FALSE),VLOOKUP($E153,Sheet3!$H$2:$O$200,M$1,FALSE)))</f>
        <v>0</v>
      </c>
      <c r="N153" s="15">
        <f>IFERROR(VLOOKUP($C153,Sheet3!$H$2:$O$200,N$1,FALSE),IFERROR(VLOOKUP($D153,Sheet3!$H$2:$O$200,N$1,FALSE),VLOOKUP($E153,Sheet3!$H$2:$O$200,N$1,FALSE)))</f>
        <v>0</v>
      </c>
      <c r="O153" s="15">
        <f>IFERROR(VLOOKUP($C153,Sheet3!$H$2:$O$200,O$1,FALSE),IFERROR(VLOOKUP($D153,Sheet3!$H$2:$O$200,O$1,FALSE),VLOOKUP($E153,Sheet3!$H$2:$O$200,O$1,FALSE)))</f>
        <v>0</v>
      </c>
      <c r="P153" s="15">
        <f>IFERROR(VLOOKUP($C153,Sheet3!$H$2:$O$200,P$1,FALSE),IFERROR(VLOOKUP($D153,Sheet3!$H$2:$O$200,P$1,FALSE),VLOOKUP($E153,Sheet3!$H$2:$O$200,P$1,FALSE)))</f>
        <v>0</v>
      </c>
      <c r="Q153" s="15">
        <f>IFERROR(IF(ISBLANK(J153),IFERROR(VLOOKUP($D153,Sheet3!$H$2:$O$200,Q$1,FALSE),IFERROR(VLOOKUP($E153,Sheet3!$H$2:$O$200,Q$1,FALSE),VLOOKUP($F153,Sheet3!$H$2:$O$200,Q$1,FALSE))),$I$1),$I$1)</f>
        <v>0</v>
      </c>
      <c r="R153" s="15">
        <f>IFERROR(IF(ISBLANK(K153),IFERROR(VLOOKUP($D153,Sheet3!$H$2:$O$200,R$1,FALSE),IFERROR(VLOOKUP($E153,Sheet3!$H$2:$O$200,R$1,FALSE),VLOOKUP($F153,Sheet3!$H$2:$O$200,R$1,FALSE))),$I$1),$I$1)</f>
        <v>0</v>
      </c>
      <c r="S153" s="15">
        <f>IFERROR(IF(ISBLANK(L153),IFERROR(VLOOKUP($D153,Sheet3!$H$2:$O$200,S$1,FALSE),IFERROR(VLOOKUP($E153,Sheet3!$H$2:$O$200,S$1,FALSE),VLOOKUP($F153,Sheet3!$H$2:$O$200,S$1,FALSE))),$I$1),$I$1)</f>
        <v>0</v>
      </c>
      <c r="T153" s="15">
        <f>IFERROR(IF(ISBLANK(M153),IFERROR(VLOOKUP($D153,Sheet3!$H$2:$O$200,T$1,FALSE),IFERROR(VLOOKUP($E153,Sheet3!$H$2:$O$200,T$1,FALSE),VLOOKUP($F153,Sheet3!$H$2:$O$200,T$1,FALSE))),$I$1),$I$1)</f>
        <v>0</v>
      </c>
      <c r="U153" s="15">
        <f>IFERROR(IF(ISBLANK(N153),IFERROR(VLOOKUP($D153,Sheet3!$H$2:$O$200,U$1,FALSE),IFERROR(VLOOKUP($E153,Sheet3!$H$2:$O$200,U$1,FALSE),VLOOKUP($F153,Sheet3!$H$2:$O$200,U$1,FALSE))),$I$1),$I$1)</f>
        <v>0</v>
      </c>
      <c r="V153" s="15">
        <f>IFERROR(IF(ISBLANK(O153),IFERROR(VLOOKUP($D153,Sheet3!$H$2:$O$200,V$1,FALSE),IFERROR(VLOOKUP($E153,Sheet3!$H$2:$O$200,V$1,FALSE),VLOOKUP($F153,Sheet3!$H$2:$O$200,V$1,FALSE))),$I$1),$I$1)</f>
        <v>0</v>
      </c>
      <c r="W153" s="15">
        <f>IFERROR(IF(ISBLANK(P153),IFERROR(VLOOKUP($D153,Sheet3!$H$2:$O$200,W$1,FALSE),IFERROR(VLOOKUP($E153,Sheet3!$H$2:$O$200,W$1,FALSE),VLOOKUP($F153,Sheet3!$H$2:$O$200,W$1,FALSE))),$I$1),$I$1)</f>
        <v>0</v>
      </c>
      <c r="X153" s="15">
        <f>IFERROR(IF(ISBLANK(Q153),IFERROR(VLOOKUP($E153,Sheet3!$H$2:$O$200,X$1,FALSE),IFERROR(VLOOKUP($F153,Sheet3!$H$2:$O$200,X$1,FALSE),VLOOKUP($G153,Sheet3!$H$2:$O$200,X$1,FALSE))),$I$1),$I$1)</f>
        <v>0</v>
      </c>
      <c r="Y153" s="15">
        <f>IFERROR(IF(ISBLANK(R153),IFERROR(VLOOKUP($E153,Sheet3!$H$2:$O$200,Y$1,FALSE),IFERROR(VLOOKUP($F153,Sheet3!$H$2:$O$200,Y$1,FALSE),VLOOKUP($G153,Sheet3!$H$2:$O$200,Y$1,FALSE))),$I$1),$I$1)</f>
        <v>0</v>
      </c>
      <c r="Z153" s="15">
        <f>IFERROR(IF(ISBLANK(S153),IFERROR(VLOOKUP($E153,Sheet3!$H$2:$O$200,Z$1,FALSE),IFERROR(VLOOKUP($F153,Sheet3!$H$2:$O$200,Z$1,FALSE),VLOOKUP($G153,Sheet3!$H$2:$O$200,Z$1,FALSE))),$I$1),$I$1)</f>
        <v>0</v>
      </c>
      <c r="AA153" s="15">
        <f>IFERROR(IF(ISBLANK(T153),IFERROR(VLOOKUP($E153,Sheet3!$H$2:$O$200,AA$1,FALSE),IFERROR(VLOOKUP($F153,Sheet3!$H$2:$O$200,AA$1,FALSE),VLOOKUP($G153,Sheet3!$H$2:$O$200,AA$1,FALSE))),$I$1),$I$1)</f>
        <v>0</v>
      </c>
      <c r="AB153" s="15">
        <f>IFERROR(IF(ISBLANK(U153),IFERROR(VLOOKUP($E153,Sheet3!$H$2:$O$200,AB$1,FALSE),IFERROR(VLOOKUP($F153,Sheet3!$H$2:$O$200,AB$1,FALSE),VLOOKUP($G153,Sheet3!$H$2:$O$200,AB$1,FALSE))),$I$1),$I$1)</f>
        <v>0</v>
      </c>
      <c r="AC153" s="15">
        <f>IFERROR(IF(ISBLANK(V153),IFERROR(VLOOKUP($E153,Sheet3!$H$2:$O$200,AC$1,FALSE),IFERROR(VLOOKUP($F153,Sheet3!$H$2:$O$200,AC$1,FALSE),VLOOKUP($G153,Sheet3!$H$2:$O$200,AC$1,FALSE))),$I$1),$I$1)</f>
        <v>0</v>
      </c>
      <c r="AD153" s="15">
        <f>IFERROR(IF(ISBLANK(W153),IFERROR(VLOOKUP($E153,Sheet3!$H$2:$O$200,AD$1,FALSE),IFERROR(VLOOKUP($F153,Sheet3!$H$2:$O$200,AD$1,FALSE),VLOOKUP($G153,Sheet3!$H$2:$O$200,AD$1,FALSE))),$I$1),$I$1)</f>
        <v>0</v>
      </c>
      <c r="AE153" s="15">
        <f>IFERROR(IF(ISBLANK(X153),IFERROR(VLOOKUP($F153,Sheet3!$H$2:$O$200,AE$1,FALSE),VLOOKUP($G153,Sheet3!$H$2:$O$200,AE$1,FALSE)),$I$1),$I$1)</f>
        <v>0</v>
      </c>
      <c r="AF153" s="15">
        <f>IFERROR(IF(ISBLANK(Y153),IFERROR(VLOOKUP($F153,Sheet3!$H$2:$O$200,AF$1,FALSE),VLOOKUP($G153,Sheet3!$H$2:$O$200,AF$1,FALSE)),$I$1),$I$1)</f>
        <v>0</v>
      </c>
      <c r="AG153" s="15">
        <f>IFERROR(IF(ISBLANK(Z153),IFERROR(VLOOKUP($F153,Sheet3!$H$2:$O$200,AG$1,FALSE),VLOOKUP($G153,Sheet3!$H$2:$O$200,AG$1,FALSE)),$I$1),$I$1)</f>
        <v>0</v>
      </c>
      <c r="AH153" s="15">
        <f>IFERROR(IF(ISBLANK(AA153),IFERROR(VLOOKUP($F153,Sheet3!$H$2:$O$200,AH$1,FALSE),VLOOKUP($G153,Sheet3!$H$2:$O$200,AH$1,FALSE)),$I$1),$I$1)</f>
        <v>0</v>
      </c>
      <c r="AI153" s="15">
        <f>IFERROR(IF(ISBLANK(AB153),IFERROR(VLOOKUP($F153,Sheet3!$H$2:$O$200,AI$1,FALSE),VLOOKUP($G153,Sheet3!$H$2:$O$200,AI$1,FALSE)),$I$1),$I$1)</f>
        <v>0</v>
      </c>
      <c r="AJ153" s="15">
        <f>IFERROR(IF(ISBLANK(AC153),IFERROR(VLOOKUP($F153,Sheet3!$H$2:$O$200,AJ$1,FALSE),VLOOKUP($G153,Sheet3!$H$2:$O$200,AJ$1,FALSE)),$I$1),$I$1)</f>
        <v>0</v>
      </c>
      <c r="AK153" s="15">
        <f>IFERROR(IF(ISBLANK(AD153),IFERROR(VLOOKUP($F153,Sheet3!$H$2:$O$200,AK$1,FALSE),VLOOKUP($G153,Sheet3!$H$2:$O$200,AK$1,FALSE)),$I$1),$I$1)</f>
        <v>0</v>
      </c>
      <c r="AL153" s="15">
        <f>IFERROR(IF(ISBLANK(AE153),VLOOKUP($G153,Sheet3!$H$2:$O$200,AL$1,FALSE),$I$1),$I$1)</f>
        <v>0</v>
      </c>
      <c r="AM153" s="15">
        <f>IFERROR(IF(ISBLANK(AF153),VLOOKUP($G153,Sheet3!$H$2:$O$200,AM$1,FALSE),$I$1),$I$1)</f>
        <v>0</v>
      </c>
      <c r="AN153" s="15">
        <f>IFERROR(IF(ISBLANK(AG153),VLOOKUP($G153,Sheet3!$H$2:$O$200,AN$1,FALSE),$I$1),$I$1)</f>
        <v>0</v>
      </c>
      <c r="AO153" s="15">
        <f>IFERROR(IF(ISBLANK(AH153),VLOOKUP($G153,Sheet3!$H$2:$O$200,AO$1,FALSE),$I$1),$I$1)</f>
        <v>0</v>
      </c>
      <c r="AP153" s="15">
        <f>IFERROR(IF(ISBLANK(AI153),VLOOKUP($G153,Sheet3!$H$2:$O$200,AP$1,FALSE),$I$1),$I$1)</f>
        <v>0</v>
      </c>
      <c r="AQ153" s="15">
        <f>IFERROR(IF(ISBLANK(AJ153),VLOOKUP($G153,Sheet3!$H$2:$O$200,AQ$1,FALSE),$I$1),$I$1)</f>
        <v>0</v>
      </c>
      <c r="AR153" s="15">
        <f>IFERROR(IF(ISBLANK(AK153),VLOOKUP($G153,Sheet3!$H$2:$O$200,AR$1,FALSE),$I$1),$I$1)</f>
        <v>0</v>
      </c>
      <c r="AS153" s="15">
        <f t="shared" ref="AS153:AY153" si="160">IFERROR(IF(ISBLANK(J153),IF(ISBLANK(Q153),IF(ISBLANK(X153),IF(ISBLANK(AE153),IF(ISBLANK(AL153),$BB$1,AL153),AE153),X153),Q153),J153),$BB$1)</f>
        <v>0</v>
      </c>
      <c r="AT153" s="15" t="str">
        <f t="shared" si="160"/>
        <v>Angostura</v>
      </c>
      <c r="AU153" s="15">
        <f t="shared" si="160"/>
        <v>0</v>
      </c>
      <c r="AV153" s="15">
        <f t="shared" si="160"/>
        <v>0</v>
      </c>
      <c r="AW153" s="15">
        <f t="shared" si="160"/>
        <v>0</v>
      </c>
      <c r="AX153" s="15">
        <f t="shared" si="160"/>
        <v>0</v>
      </c>
      <c r="AY153" s="15">
        <f t="shared" si="160"/>
        <v>0</v>
      </c>
      <c r="BA153" s="13">
        <f t="shared" si="1"/>
        <v>35</v>
      </c>
      <c r="BB153" s="15" t="b">
        <f t="shared" si="2"/>
        <v>0</v>
      </c>
    </row>
    <row r="154" spans="1:54" x14ac:dyDescent="0.2">
      <c r="A154" s="19" t="s">
        <v>316</v>
      </c>
      <c r="B154" s="19" t="s">
        <v>317</v>
      </c>
      <c r="C154" s="19" t="s">
        <v>30</v>
      </c>
      <c r="D154" s="19"/>
      <c r="E154" s="19"/>
      <c r="F154" s="19"/>
      <c r="G154" s="19"/>
      <c r="H154" s="19" t="s">
        <v>316</v>
      </c>
      <c r="I154" s="15">
        <v>1</v>
      </c>
      <c r="J154" s="15">
        <f>IFERROR(VLOOKUP($C154,Sheet3!$H$2:$O$200,J$1,FALSE),IFERROR(VLOOKUP($D154,Sheet3!$H$2:$O$200,J$1,FALSE),VLOOKUP($E154,Sheet3!$H$2:$O$200,J$1,FALSE)))</f>
        <v>0</v>
      </c>
      <c r="K154" s="15">
        <f>IFERROR(VLOOKUP($C154,Sheet3!$H$2:$O$200,K$1,FALSE),IFERROR(VLOOKUP($D154,Sheet3!$H$2:$O$200,K$1,FALSE),VLOOKUP($E154,Sheet3!$H$2:$O$200,K$1,FALSE)))</f>
        <v>0</v>
      </c>
      <c r="L154" s="15">
        <f>IFERROR(VLOOKUP($C154,Sheet3!$H$2:$O$200,L$1,FALSE),IFERROR(VLOOKUP($D154,Sheet3!$H$2:$O$200,L$1,FALSE),VLOOKUP($E154,Sheet3!$H$2:$O$200,L$1,FALSE)))</f>
        <v>0</v>
      </c>
      <c r="M154" s="15" t="str">
        <f>IFERROR(VLOOKUP($C154,Sheet3!$H$2:$O$200,M$1,FALSE),IFERROR(VLOOKUP($D154,Sheet3!$H$2:$O$200,M$1,FALSE),VLOOKUP($E154,Sheet3!$H$2:$O$200,M$1,FALSE)))</f>
        <v>amaretto</v>
      </c>
      <c r="N154" s="15">
        <f>IFERROR(VLOOKUP($C154,Sheet3!$H$2:$O$200,N$1,FALSE),IFERROR(VLOOKUP($D154,Sheet3!$H$2:$O$200,N$1,FALSE),VLOOKUP($E154,Sheet3!$H$2:$O$200,N$1,FALSE)))</f>
        <v>0</v>
      </c>
      <c r="O154" s="15">
        <f>IFERROR(VLOOKUP($C154,Sheet3!$H$2:$O$200,O$1,FALSE),IFERROR(VLOOKUP($D154,Sheet3!$H$2:$O$200,O$1,FALSE),VLOOKUP($E154,Sheet3!$H$2:$O$200,O$1,FALSE)))</f>
        <v>0</v>
      </c>
      <c r="P154" s="15">
        <f>IFERROR(VLOOKUP($C154,Sheet3!$H$2:$O$200,P$1,FALSE),IFERROR(VLOOKUP($D154,Sheet3!$H$2:$O$200,P$1,FALSE),VLOOKUP($E154,Sheet3!$H$2:$O$200,P$1,FALSE)))</f>
        <v>0</v>
      </c>
      <c r="Q154" s="15">
        <f>IFERROR(IF(ISBLANK(J154),IFERROR(VLOOKUP($D154,Sheet3!$H$2:$O$200,Q$1,FALSE),IFERROR(VLOOKUP($E154,Sheet3!$H$2:$O$200,Q$1,FALSE),VLOOKUP($F154,Sheet3!$H$2:$O$200,Q$1,FALSE))),$I$1),$I$1)</f>
        <v>0</v>
      </c>
      <c r="R154" s="15">
        <f>IFERROR(IF(ISBLANK(K154),IFERROR(VLOOKUP($D154,Sheet3!$H$2:$O$200,R$1,FALSE),IFERROR(VLOOKUP($E154,Sheet3!$H$2:$O$200,R$1,FALSE),VLOOKUP($F154,Sheet3!$H$2:$O$200,R$1,FALSE))),$I$1),$I$1)</f>
        <v>0</v>
      </c>
      <c r="S154" s="15">
        <f>IFERROR(IF(ISBLANK(L154),IFERROR(VLOOKUP($D154,Sheet3!$H$2:$O$200,S$1,FALSE),IFERROR(VLOOKUP($E154,Sheet3!$H$2:$O$200,S$1,FALSE),VLOOKUP($F154,Sheet3!$H$2:$O$200,S$1,FALSE))),$I$1),$I$1)</f>
        <v>0</v>
      </c>
      <c r="T154" s="15">
        <f>IFERROR(IF(ISBLANK(M154),IFERROR(VLOOKUP($D154,Sheet3!$H$2:$O$200,T$1,FALSE),IFERROR(VLOOKUP($E154,Sheet3!$H$2:$O$200,T$1,FALSE),VLOOKUP($F154,Sheet3!$H$2:$O$200,T$1,FALSE))),$I$1),$I$1)</f>
        <v>0</v>
      </c>
      <c r="U154" s="15">
        <f>IFERROR(IF(ISBLANK(N154),IFERROR(VLOOKUP($D154,Sheet3!$H$2:$O$200,U$1,FALSE),IFERROR(VLOOKUP($E154,Sheet3!$H$2:$O$200,U$1,FALSE),VLOOKUP($F154,Sheet3!$H$2:$O$200,U$1,FALSE))),$I$1),$I$1)</f>
        <v>0</v>
      </c>
      <c r="V154" s="15">
        <f>IFERROR(IF(ISBLANK(O154),IFERROR(VLOOKUP($D154,Sheet3!$H$2:$O$200,V$1,FALSE),IFERROR(VLOOKUP($E154,Sheet3!$H$2:$O$200,V$1,FALSE),VLOOKUP($F154,Sheet3!$H$2:$O$200,V$1,FALSE))),$I$1),$I$1)</f>
        <v>0</v>
      </c>
      <c r="W154" s="15">
        <f>IFERROR(IF(ISBLANK(P154),IFERROR(VLOOKUP($D154,Sheet3!$H$2:$O$200,W$1,FALSE),IFERROR(VLOOKUP($E154,Sheet3!$H$2:$O$200,W$1,FALSE),VLOOKUP($F154,Sheet3!$H$2:$O$200,W$1,FALSE))),$I$1),$I$1)</f>
        <v>0</v>
      </c>
      <c r="X154" s="15">
        <f>IFERROR(IF(ISBLANK(Q154),IFERROR(VLOOKUP($E154,Sheet3!$H$2:$O$200,X$1,FALSE),IFERROR(VLOOKUP($F154,Sheet3!$H$2:$O$200,X$1,FALSE),VLOOKUP($G154,Sheet3!$H$2:$O$200,X$1,FALSE))),$I$1),$I$1)</f>
        <v>0</v>
      </c>
      <c r="Y154" s="15">
        <f>IFERROR(IF(ISBLANK(R154),IFERROR(VLOOKUP($E154,Sheet3!$H$2:$O$200,Y$1,FALSE),IFERROR(VLOOKUP($F154,Sheet3!$H$2:$O$200,Y$1,FALSE),VLOOKUP($G154,Sheet3!$H$2:$O$200,Y$1,FALSE))),$I$1),$I$1)</f>
        <v>0</v>
      </c>
      <c r="Z154" s="15">
        <f>IFERROR(IF(ISBLANK(S154),IFERROR(VLOOKUP($E154,Sheet3!$H$2:$O$200,Z$1,FALSE),IFERROR(VLOOKUP($F154,Sheet3!$H$2:$O$200,Z$1,FALSE),VLOOKUP($G154,Sheet3!$H$2:$O$200,Z$1,FALSE))),$I$1),$I$1)</f>
        <v>0</v>
      </c>
      <c r="AA154" s="15">
        <f>IFERROR(IF(ISBLANK(T154),IFERROR(VLOOKUP($E154,Sheet3!$H$2:$O$200,AA$1,FALSE),IFERROR(VLOOKUP($F154,Sheet3!$H$2:$O$200,AA$1,FALSE),VLOOKUP($G154,Sheet3!$H$2:$O$200,AA$1,FALSE))),$I$1),$I$1)</f>
        <v>0</v>
      </c>
      <c r="AB154" s="15">
        <f>IFERROR(IF(ISBLANK(U154),IFERROR(VLOOKUP($E154,Sheet3!$H$2:$O$200,AB$1,FALSE),IFERROR(VLOOKUP($F154,Sheet3!$H$2:$O$200,AB$1,FALSE),VLOOKUP($G154,Sheet3!$H$2:$O$200,AB$1,FALSE))),$I$1),$I$1)</f>
        <v>0</v>
      </c>
      <c r="AC154" s="15">
        <f>IFERROR(IF(ISBLANK(V154),IFERROR(VLOOKUP($E154,Sheet3!$H$2:$O$200,AC$1,FALSE),IFERROR(VLOOKUP($F154,Sheet3!$H$2:$O$200,AC$1,FALSE),VLOOKUP($G154,Sheet3!$H$2:$O$200,AC$1,FALSE))),$I$1),$I$1)</f>
        <v>0</v>
      </c>
      <c r="AD154" s="15">
        <f>IFERROR(IF(ISBLANK(W154),IFERROR(VLOOKUP($E154,Sheet3!$H$2:$O$200,AD$1,FALSE),IFERROR(VLOOKUP($F154,Sheet3!$H$2:$O$200,AD$1,FALSE),VLOOKUP($G154,Sheet3!$H$2:$O$200,AD$1,FALSE))),$I$1),$I$1)</f>
        <v>0</v>
      </c>
      <c r="AE154" s="15">
        <f>IFERROR(IF(ISBLANK(X154),IFERROR(VLOOKUP($F154,Sheet3!$H$2:$O$200,AE$1,FALSE),VLOOKUP($G154,Sheet3!$H$2:$O$200,AE$1,FALSE)),$I$1),$I$1)</f>
        <v>0</v>
      </c>
      <c r="AF154" s="15">
        <f>IFERROR(IF(ISBLANK(Y154),IFERROR(VLOOKUP($F154,Sheet3!$H$2:$O$200,AF$1,FALSE),VLOOKUP($G154,Sheet3!$H$2:$O$200,AF$1,FALSE)),$I$1),$I$1)</f>
        <v>0</v>
      </c>
      <c r="AG154" s="15">
        <f>IFERROR(IF(ISBLANK(Z154),IFERROR(VLOOKUP($F154,Sheet3!$H$2:$O$200,AG$1,FALSE),VLOOKUP($G154,Sheet3!$H$2:$O$200,AG$1,FALSE)),$I$1),$I$1)</f>
        <v>0</v>
      </c>
      <c r="AH154" s="15">
        <f>IFERROR(IF(ISBLANK(AA154),IFERROR(VLOOKUP($F154,Sheet3!$H$2:$O$200,AH$1,FALSE),VLOOKUP($G154,Sheet3!$H$2:$O$200,AH$1,FALSE)),$I$1),$I$1)</f>
        <v>0</v>
      </c>
      <c r="AI154" s="15">
        <f>IFERROR(IF(ISBLANK(AB154),IFERROR(VLOOKUP($F154,Sheet3!$H$2:$O$200,AI$1,FALSE),VLOOKUP($G154,Sheet3!$H$2:$O$200,AI$1,FALSE)),$I$1),$I$1)</f>
        <v>0</v>
      </c>
      <c r="AJ154" s="15">
        <f>IFERROR(IF(ISBLANK(AC154),IFERROR(VLOOKUP($F154,Sheet3!$H$2:$O$200,AJ$1,FALSE),VLOOKUP($G154,Sheet3!$H$2:$O$200,AJ$1,FALSE)),$I$1),$I$1)</f>
        <v>0</v>
      </c>
      <c r="AK154" s="15">
        <f>IFERROR(IF(ISBLANK(AD154),IFERROR(VLOOKUP($F154,Sheet3!$H$2:$O$200,AK$1,FALSE),VLOOKUP($G154,Sheet3!$H$2:$O$200,AK$1,FALSE)),$I$1),$I$1)</f>
        <v>0</v>
      </c>
      <c r="AL154" s="15">
        <f>IFERROR(IF(ISBLANK(AE154),VLOOKUP($G154,Sheet3!$H$2:$O$200,AL$1,FALSE),$I$1),$I$1)</f>
        <v>0</v>
      </c>
      <c r="AM154" s="15">
        <f>IFERROR(IF(ISBLANK(AF154),VLOOKUP($G154,Sheet3!$H$2:$O$200,AM$1,FALSE),$I$1),$I$1)</f>
        <v>0</v>
      </c>
      <c r="AN154" s="15">
        <f>IFERROR(IF(ISBLANK(AG154),VLOOKUP($G154,Sheet3!$H$2:$O$200,AN$1,FALSE),$I$1),$I$1)</f>
        <v>0</v>
      </c>
      <c r="AO154" s="15">
        <f>IFERROR(IF(ISBLANK(AH154),VLOOKUP($G154,Sheet3!$H$2:$O$200,AO$1,FALSE),$I$1),$I$1)</f>
        <v>0</v>
      </c>
      <c r="AP154" s="15">
        <f>IFERROR(IF(ISBLANK(AI154),VLOOKUP($G154,Sheet3!$H$2:$O$200,AP$1,FALSE),$I$1),$I$1)</f>
        <v>0</v>
      </c>
      <c r="AQ154" s="15">
        <f>IFERROR(IF(ISBLANK(AJ154),VLOOKUP($G154,Sheet3!$H$2:$O$200,AQ$1,FALSE),$I$1),$I$1)</f>
        <v>0</v>
      </c>
      <c r="AR154" s="15">
        <f>IFERROR(IF(ISBLANK(AK154),VLOOKUP($G154,Sheet3!$H$2:$O$200,AR$1,FALSE),$I$1),$I$1)</f>
        <v>0</v>
      </c>
      <c r="AS154" s="15">
        <f t="shared" ref="AS154:AY154" si="161">IFERROR(IF(ISBLANK(J154),IF(ISBLANK(Q154),IF(ISBLANK(X154),IF(ISBLANK(AE154),IF(ISBLANK(AL154),$BB$1,AL154),AE154),X154),Q154),J154),$BB$1)</f>
        <v>0</v>
      </c>
      <c r="AT154" s="15">
        <f t="shared" si="161"/>
        <v>0</v>
      </c>
      <c r="AU154" s="15">
        <f t="shared" si="161"/>
        <v>0</v>
      </c>
      <c r="AV154" s="15" t="str">
        <f t="shared" si="161"/>
        <v>amaretto</v>
      </c>
      <c r="AW154" s="15">
        <f t="shared" si="161"/>
        <v>0</v>
      </c>
      <c r="AX154" s="15">
        <f t="shared" si="161"/>
        <v>0</v>
      </c>
      <c r="AY154" s="15">
        <f t="shared" si="161"/>
        <v>0</v>
      </c>
      <c r="BA154" s="13">
        <f t="shared" si="1"/>
        <v>35</v>
      </c>
      <c r="BB154" s="15" t="b">
        <f t="shared" si="2"/>
        <v>0</v>
      </c>
    </row>
    <row r="155" spans="1:54" x14ac:dyDescent="0.2">
      <c r="A155" s="19" t="s">
        <v>318</v>
      </c>
      <c r="B155" s="19" t="s">
        <v>317</v>
      </c>
      <c r="C155" s="19" t="s">
        <v>30</v>
      </c>
      <c r="D155" s="19"/>
      <c r="E155" s="19" t="s">
        <v>32</v>
      </c>
      <c r="F155" s="19"/>
      <c r="G155" s="19"/>
      <c r="H155" s="19" t="s">
        <v>318</v>
      </c>
      <c r="I155" s="15">
        <v>2</v>
      </c>
      <c r="J155" s="15">
        <f>IFERROR(VLOOKUP($C155,Sheet3!$H$2:$O$200,J$1,FALSE),IFERROR(VLOOKUP($D155,Sheet3!$H$2:$O$200,J$1,FALSE),VLOOKUP($E155,Sheet3!$H$2:$O$200,J$1,FALSE)))</f>
        <v>0</v>
      </c>
      <c r="K155" s="15">
        <f>IFERROR(VLOOKUP($C155,Sheet3!$H$2:$O$200,K$1,FALSE),IFERROR(VLOOKUP($D155,Sheet3!$H$2:$O$200,K$1,FALSE),VLOOKUP($E155,Sheet3!$H$2:$O$200,K$1,FALSE)))</f>
        <v>0</v>
      </c>
      <c r="L155" s="15">
        <f>IFERROR(VLOOKUP($C155,Sheet3!$H$2:$O$200,L$1,FALSE),IFERROR(VLOOKUP($D155,Sheet3!$H$2:$O$200,L$1,FALSE),VLOOKUP($E155,Sheet3!$H$2:$O$200,L$1,FALSE)))</f>
        <v>0</v>
      </c>
      <c r="M155" s="15" t="str">
        <f>IFERROR(VLOOKUP($C155,Sheet3!$H$2:$O$200,M$1,FALSE),IFERROR(VLOOKUP($D155,Sheet3!$H$2:$O$200,M$1,FALSE),VLOOKUP($E155,Sheet3!$H$2:$O$200,M$1,FALSE)))</f>
        <v>amaretto</v>
      </c>
      <c r="N155" s="15">
        <f>IFERROR(VLOOKUP($C155,Sheet3!$H$2:$O$200,N$1,FALSE),IFERROR(VLOOKUP($D155,Sheet3!$H$2:$O$200,N$1,FALSE),VLOOKUP($E155,Sheet3!$H$2:$O$200,N$1,FALSE)))</f>
        <v>0</v>
      </c>
      <c r="O155" s="15">
        <f>IFERROR(VLOOKUP($C155,Sheet3!$H$2:$O$200,O$1,FALSE),IFERROR(VLOOKUP($D155,Sheet3!$H$2:$O$200,O$1,FALSE),VLOOKUP($E155,Sheet3!$H$2:$O$200,O$1,FALSE)))</f>
        <v>0</v>
      </c>
      <c r="P155" s="15">
        <f>IFERROR(VLOOKUP($C155,Sheet3!$H$2:$O$200,P$1,FALSE),IFERROR(VLOOKUP($D155,Sheet3!$H$2:$O$200,P$1,FALSE),VLOOKUP($E155,Sheet3!$H$2:$O$200,P$1,FALSE)))</f>
        <v>0</v>
      </c>
      <c r="Q155" s="15">
        <f>IFERROR(IF(ISBLANK(J155),IFERROR(VLOOKUP($D155,Sheet3!$H$2:$O$200,Q$1,FALSE),IFERROR(VLOOKUP($E155,Sheet3!$H$2:$O$200,Q$1,FALSE),VLOOKUP($F155,Sheet3!$H$2:$O$200,Q$1,FALSE))),$I$1),$I$1)</f>
        <v>0</v>
      </c>
      <c r="R155" s="15">
        <f>IFERROR(IF(ISBLANK(K155),IFERROR(VLOOKUP($D155,Sheet3!$H$2:$O$200,R$1,FALSE),IFERROR(VLOOKUP($E155,Sheet3!$H$2:$O$200,R$1,FALSE),VLOOKUP($F155,Sheet3!$H$2:$O$200,R$1,FALSE))),$I$1),$I$1)</f>
        <v>0</v>
      </c>
      <c r="S155" s="15">
        <f>IFERROR(IF(ISBLANK(L155),IFERROR(VLOOKUP($D155,Sheet3!$H$2:$O$200,S$1,FALSE),IFERROR(VLOOKUP($E155,Sheet3!$H$2:$O$200,S$1,FALSE),VLOOKUP($F155,Sheet3!$H$2:$O$200,S$1,FALSE))),$I$1),$I$1)</f>
        <v>0</v>
      </c>
      <c r="T155" s="15">
        <f>IFERROR(IF(ISBLANK(M155),IFERROR(VLOOKUP($D155,Sheet3!$H$2:$O$200,T$1,FALSE),IFERROR(VLOOKUP($E155,Sheet3!$H$2:$O$200,T$1,FALSE),VLOOKUP($F155,Sheet3!$H$2:$O$200,T$1,FALSE))),$I$1),$I$1)</f>
        <v>0</v>
      </c>
      <c r="U155" s="15">
        <f>IFERROR(IF(ISBLANK(N155),IFERROR(VLOOKUP($D155,Sheet3!$H$2:$O$200,U$1,FALSE),IFERROR(VLOOKUP($E155,Sheet3!$H$2:$O$200,U$1,FALSE),VLOOKUP($F155,Sheet3!$H$2:$O$200,U$1,FALSE))),$I$1),$I$1)</f>
        <v>0</v>
      </c>
      <c r="V155" s="15">
        <f>IFERROR(IF(ISBLANK(O155),IFERROR(VLOOKUP($D155,Sheet3!$H$2:$O$200,V$1,FALSE),IFERROR(VLOOKUP($E155,Sheet3!$H$2:$O$200,V$1,FALSE),VLOOKUP($F155,Sheet3!$H$2:$O$200,V$1,FALSE))),$I$1),$I$1)</f>
        <v>0</v>
      </c>
      <c r="W155" s="15">
        <f>IFERROR(IF(ISBLANK(P155),IFERROR(VLOOKUP($D155,Sheet3!$H$2:$O$200,W$1,FALSE),IFERROR(VLOOKUP($E155,Sheet3!$H$2:$O$200,W$1,FALSE),VLOOKUP($F155,Sheet3!$H$2:$O$200,W$1,FALSE))),$I$1),$I$1)</f>
        <v>0</v>
      </c>
      <c r="X155" s="15">
        <f>IFERROR(IF(ISBLANK(Q155),IFERROR(VLOOKUP($E155,Sheet3!$H$2:$O$200,X$1,FALSE),IFERROR(VLOOKUP($F155,Sheet3!$H$2:$O$200,X$1,FALSE),VLOOKUP($G155,Sheet3!$H$2:$O$200,X$1,FALSE))),$I$1),$I$1)</f>
        <v>0</v>
      </c>
      <c r="Y155" s="15">
        <f>IFERROR(IF(ISBLANK(R155),IFERROR(VLOOKUP($E155,Sheet3!$H$2:$O$200,Y$1,FALSE),IFERROR(VLOOKUP($F155,Sheet3!$H$2:$O$200,Y$1,FALSE),VLOOKUP($G155,Sheet3!$H$2:$O$200,Y$1,FALSE))),$I$1),$I$1)</f>
        <v>0</v>
      </c>
      <c r="Z155" s="15">
        <f>IFERROR(IF(ISBLANK(S155),IFERROR(VLOOKUP($E155,Sheet3!$H$2:$O$200,Z$1,FALSE),IFERROR(VLOOKUP($F155,Sheet3!$H$2:$O$200,Z$1,FALSE),VLOOKUP($G155,Sheet3!$H$2:$O$200,Z$1,FALSE))),$I$1),$I$1)</f>
        <v>0</v>
      </c>
      <c r="AA155" s="15">
        <f>IFERROR(IF(ISBLANK(T155),IFERROR(VLOOKUP($E155,Sheet3!$H$2:$O$200,AA$1,FALSE),IFERROR(VLOOKUP($F155,Sheet3!$H$2:$O$200,AA$1,FALSE),VLOOKUP($G155,Sheet3!$H$2:$O$200,AA$1,FALSE))),$I$1),$I$1)</f>
        <v>0</v>
      </c>
      <c r="AB155" s="15">
        <f>IFERROR(IF(ISBLANK(U155),IFERROR(VLOOKUP($E155,Sheet3!$H$2:$O$200,AB$1,FALSE),IFERROR(VLOOKUP($F155,Sheet3!$H$2:$O$200,AB$1,FALSE),VLOOKUP($G155,Sheet3!$H$2:$O$200,AB$1,FALSE))),$I$1),$I$1)</f>
        <v>0</v>
      </c>
      <c r="AC155" s="15">
        <f>IFERROR(IF(ISBLANK(V155),IFERROR(VLOOKUP($E155,Sheet3!$H$2:$O$200,AC$1,FALSE),IFERROR(VLOOKUP($F155,Sheet3!$H$2:$O$200,AC$1,FALSE),VLOOKUP($G155,Sheet3!$H$2:$O$200,AC$1,FALSE))),$I$1),$I$1)</f>
        <v>0</v>
      </c>
      <c r="AD155" s="15">
        <f>IFERROR(IF(ISBLANK(W155),IFERROR(VLOOKUP($E155,Sheet3!$H$2:$O$200,AD$1,FALSE),IFERROR(VLOOKUP($F155,Sheet3!$H$2:$O$200,AD$1,FALSE),VLOOKUP($G155,Sheet3!$H$2:$O$200,AD$1,FALSE))),$I$1),$I$1)</f>
        <v>0</v>
      </c>
      <c r="AE155" s="15">
        <f>IFERROR(IF(ISBLANK(X155),IFERROR(VLOOKUP($F155,Sheet3!$H$2:$O$200,AE$1,FALSE),VLOOKUP($G155,Sheet3!$H$2:$O$200,AE$1,FALSE)),$I$1),$I$1)</f>
        <v>0</v>
      </c>
      <c r="AF155" s="15">
        <f>IFERROR(IF(ISBLANK(Y155),IFERROR(VLOOKUP($F155,Sheet3!$H$2:$O$200,AF$1,FALSE),VLOOKUP($G155,Sheet3!$H$2:$O$200,AF$1,FALSE)),$I$1),$I$1)</f>
        <v>0</v>
      </c>
      <c r="AG155" s="15">
        <f>IFERROR(IF(ISBLANK(Z155),IFERROR(VLOOKUP($F155,Sheet3!$H$2:$O$200,AG$1,FALSE),VLOOKUP($G155,Sheet3!$H$2:$O$200,AG$1,FALSE)),$I$1),$I$1)</f>
        <v>0</v>
      </c>
      <c r="AH155" s="15">
        <f>IFERROR(IF(ISBLANK(AA155),IFERROR(VLOOKUP($F155,Sheet3!$H$2:$O$200,AH$1,FALSE),VLOOKUP($G155,Sheet3!$H$2:$O$200,AH$1,FALSE)),$I$1),$I$1)</f>
        <v>0</v>
      </c>
      <c r="AI155" s="15">
        <f>IFERROR(IF(ISBLANK(AB155),IFERROR(VLOOKUP($F155,Sheet3!$H$2:$O$200,AI$1,FALSE),VLOOKUP($G155,Sheet3!$H$2:$O$200,AI$1,FALSE)),$I$1),$I$1)</f>
        <v>0</v>
      </c>
      <c r="AJ155" s="15">
        <f>IFERROR(IF(ISBLANK(AC155),IFERROR(VLOOKUP($F155,Sheet3!$H$2:$O$200,AJ$1,FALSE),VLOOKUP($G155,Sheet3!$H$2:$O$200,AJ$1,FALSE)),$I$1),$I$1)</f>
        <v>0</v>
      </c>
      <c r="AK155" s="15">
        <f>IFERROR(IF(ISBLANK(AD155),IFERROR(VLOOKUP($F155,Sheet3!$H$2:$O$200,AK$1,FALSE),VLOOKUP($G155,Sheet3!$H$2:$O$200,AK$1,FALSE)),$I$1),$I$1)</f>
        <v>0</v>
      </c>
      <c r="AL155" s="15">
        <f>IFERROR(IF(ISBLANK(AE155),VLOOKUP($G155,Sheet3!$H$2:$O$200,AL$1,FALSE),$I$1),$I$1)</f>
        <v>0</v>
      </c>
      <c r="AM155" s="15">
        <f>IFERROR(IF(ISBLANK(AF155),VLOOKUP($G155,Sheet3!$H$2:$O$200,AM$1,FALSE),$I$1),$I$1)</f>
        <v>0</v>
      </c>
      <c r="AN155" s="15">
        <f>IFERROR(IF(ISBLANK(AG155),VLOOKUP($G155,Sheet3!$H$2:$O$200,AN$1,FALSE),$I$1),$I$1)</f>
        <v>0</v>
      </c>
      <c r="AO155" s="15">
        <f>IFERROR(IF(ISBLANK(AH155),VLOOKUP($G155,Sheet3!$H$2:$O$200,AO$1,FALSE),$I$1),$I$1)</f>
        <v>0</v>
      </c>
      <c r="AP155" s="15">
        <f>IFERROR(IF(ISBLANK(AI155),VLOOKUP($G155,Sheet3!$H$2:$O$200,AP$1,FALSE),$I$1),$I$1)</f>
        <v>0</v>
      </c>
      <c r="AQ155" s="15">
        <f>IFERROR(IF(ISBLANK(AJ155),VLOOKUP($G155,Sheet3!$H$2:$O$200,AQ$1,FALSE),$I$1),$I$1)</f>
        <v>0</v>
      </c>
      <c r="AR155" s="15">
        <f>IFERROR(IF(ISBLANK(AK155),VLOOKUP($G155,Sheet3!$H$2:$O$200,AR$1,FALSE),$I$1),$I$1)</f>
        <v>0</v>
      </c>
      <c r="AS155" s="15">
        <f t="shared" ref="AS155:AY155" si="162">IFERROR(IF(ISBLANK(J155),IF(ISBLANK(Q155),IF(ISBLANK(X155),IF(ISBLANK(AE155),IF(ISBLANK(AL155),$BB$1,AL155),AE155),X155),Q155),J155),$BB$1)</f>
        <v>0</v>
      </c>
      <c r="AT155" s="15">
        <f t="shared" si="162"/>
        <v>0</v>
      </c>
      <c r="AU155" s="15">
        <f t="shared" si="162"/>
        <v>0</v>
      </c>
      <c r="AV155" s="15" t="str">
        <f t="shared" si="162"/>
        <v>amaretto</v>
      </c>
      <c r="AW155" s="15">
        <f t="shared" si="162"/>
        <v>0</v>
      </c>
      <c r="AX155" s="15">
        <f t="shared" si="162"/>
        <v>0</v>
      </c>
      <c r="AY155" s="15">
        <f t="shared" si="162"/>
        <v>0</v>
      </c>
      <c r="BA155" s="13">
        <f t="shared" si="1"/>
        <v>35</v>
      </c>
      <c r="BB155" s="15" t="b">
        <f t="shared" si="2"/>
        <v>0</v>
      </c>
    </row>
    <row r="156" spans="1:54" x14ac:dyDescent="0.2">
      <c r="A156" s="19" t="s">
        <v>319</v>
      </c>
      <c r="B156" s="19" t="s">
        <v>317</v>
      </c>
      <c r="C156" s="19" t="s">
        <v>173</v>
      </c>
      <c r="D156" s="19"/>
      <c r="E156" s="19"/>
      <c r="F156" s="19"/>
      <c r="G156" s="19"/>
      <c r="H156" s="19" t="s">
        <v>319</v>
      </c>
      <c r="I156" s="15">
        <v>1</v>
      </c>
      <c r="J156" s="15">
        <f>IFERROR(VLOOKUP($C156,Sheet3!$H$2:$O$200,J$1,FALSE),IFERROR(VLOOKUP($D156,Sheet3!$H$2:$O$200,J$1,FALSE),VLOOKUP($E156,Sheet3!$H$2:$O$200,J$1,FALSE)))</f>
        <v>0</v>
      </c>
      <c r="K156" s="15">
        <f>IFERROR(VLOOKUP($C156,Sheet3!$H$2:$O$200,K$1,FALSE),IFERROR(VLOOKUP($D156,Sheet3!$H$2:$O$200,K$1,FALSE),VLOOKUP($E156,Sheet3!$H$2:$O$200,K$1,FALSE)))</f>
        <v>0</v>
      </c>
      <c r="L156" s="15">
        <f>IFERROR(VLOOKUP($C156,Sheet3!$H$2:$O$200,L$1,FALSE),IFERROR(VLOOKUP($D156,Sheet3!$H$2:$O$200,L$1,FALSE),VLOOKUP($E156,Sheet3!$H$2:$O$200,L$1,FALSE)))</f>
        <v>0</v>
      </c>
      <c r="M156" s="15" t="str">
        <f>IFERROR(VLOOKUP($C156,Sheet3!$H$2:$O$200,M$1,FALSE),IFERROR(VLOOKUP($D156,Sheet3!$H$2:$O$200,M$1,FALSE),VLOOKUP($E156,Sheet3!$H$2:$O$200,M$1,FALSE)))</f>
        <v>ginger liqueur</v>
      </c>
      <c r="N156" s="15">
        <f>IFERROR(VLOOKUP($C156,Sheet3!$H$2:$O$200,N$1,FALSE),IFERROR(VLOOKUP($D156,Sheet3!$H$2:$O$200,N$1,FALSE),VLOOKUP($E156,Sheet3!$H$2:$O$200,N$1,FALSE)))</f>
        <v>0</v>
      </c>
      <c r="O156" s="15">
        <f>IFERROR(VLOOKUP($C156,Sheet3!$H$2:$O$200,O$1,FALSE),IFERROR(VLOOKUP($D156,Sheet3!$H$2:$O$200,O$1,FALSE),VLOOKUP($E156,Sheet3!$H$2:$O$200,O$1,FALSE)))</f>
        <v>0</v>
      </c>
      <c r="P156" s="15">
        <f>IFERROR(VLOOKUP($C156,Sheet3!$H$2:$O$200,P$1,FALSE),IFERROR(VLOOKUP($D156,Sheet3!$H$2:$O$200,P$1,FALSE),VLOOKUP($E156,Sheet3!$H$2:$O$200,P$1,FALSE)))</f>
        <v>0</v>
      </c>
      <c r="Q156" s="15">
        <f>IFERROR(IF(ISBLANK(J156),IFERROR(VLOOKUP($D156,Sheet3!$H$2:$O$200,Q$1,FALSE),IFERROR(VLOOKUP($E156,Sheet3!$H$2:$O$200,Q$1,FALSE),VLOOKUP($F156,Sheet3!$H$2:$O$200,Q$1,FALSE))),$I$1),$I$1)</f>
        <v>0</v>
      </c>
      <c r="R156" s="15">
        <f>IFERROR(IF(ISBLANK(K156),IFERROR(VLOOKUP($D156,Sheet3!$H$2:$O$200,R$1,FALSE),IFERROR(VLOOKUP($E156,Sheet3!$H$2:$O$200,R$1,FALSE),VLOOKUP($F156,Sheet3!$H$2:$O$200,R$1,FALSE))),$I$1),$I$1)</f>
        <v>0</v>
      </c>
      <c r="S156" s="15">
        <f>IFERROR(IF(ISBLANK(L156),IFERROR(VLOOKUP($D156,Sheet3!$H$2:$O$200,S$1,FALSE),IFERROR(VLOOKUP($E156,Sheet3!$H$2:$O$200,S$1,FALSE),VLOOKUP($F156,Sheet3!$H$2:$O$200,S$1,FALSE))),$I$1),$I$1)</f>
        <v>0</v>
      </c>
      <c r="T156" s="15">
        <f>IFERROR(IF(ISBLANK(M156),IFERROR(VLOOKUP($D156,Sheet3!$H$2:$O$200,T$1,FALSE),IFERROR(VLOOKUP($E156,Sheet3!$H$2:$O$200,T$1,FALSE),VLOOKUP($F156,Sheet3!$H$2:$O$200,T$1,FALSE))),$I$1),$I$1)</f>
        <v>0</v>
      </c>
      <c r="U156" s="15">
        <f>IFERROR(IF(ISBLANK(N156),IFERROR(VLOOKUP($D156,Sheet3!$H$2:$O$200,U$1,FALSE),IFERROR(VLOOKUP($E156,Sheet3!$H$2:$O$200,U$1,FALSE),VLOOKUP($F156,Sheet3!$H$2:$O$200,U$1,FALSE))),$I$1),$I$1)</f>
        <v>0</v>
      </c>
      <c r="V156" s="15">
        <f>IFERROR(IF(ISBLANK(O156),IFERROR(VLOOKUP($D156,Sheet3!$H$2:$O$200,V$1,FALSE),IFERROR(VLOOKUP($E156,Sheet3!$H$2:$O$200,V$1,FALSE),VLOOKUP($F156,Sheet3!$H$2:$O$200,V$1,FALSE))),$I$1),$I$1)</f>
        <v>0</v>
      </c>
      <c r="W156" s="15">
        <f>IFERROR(IF(ISBLANK(P156),IFERROR(VLOOKUP($D156,Sheet3!$H$2:$O$200,W$1,FALSE),IFERROR(VLOOKUP($E156,Sheet3!$H$2:$O$200,W$1,FALSE),VLOOKUP($F156,Sheet3!$H$2:$O$200,W$1,FALSE))),$I$1),$I$1)</f>
        <v>0</v>
      </c>
      <c r="X156" s="15">
        <f>IFERROR(IF(ISBLANK(Q156),IFERROR(VLOOKUP($E156,Sheet3!$H$2:$O$200,X$1,FALSE),IFERROR(VLOOKUP($F156,Sheet3!$H$2:$O$200,X$1,FALSE),VLOOKUP($G156,Sheet3!$H$2:$O$200,X$1,FALSE))),$I$1),$I$1)</f>
        <v>0</v>
      </c>
      <c r="Y156" s="15">
        <f>IFERROR(IF(ISBLANK(R156),IFERROR(VLOOKUP($E156,Sheet3!$H$2:$O$200,Y$1,FALSE),IFERROR(VLOOKUP($F156,Sheet3!$H$2:$O$200,Y$1,FALSE),VLOOKUP($G156,Sheet3!$H$2:$O$200,Y$1,FALSE))),$I$1),$I$1)</f>
        <v>0</v>
      </c>
      <c r="Z156" s="15">
        <f>IFERROR(IF(ISBLANK(S156),IFERROR(VLOOKUP($E156,Sheet3!$H$2:$O$200,Z$1,FALSE),IFERROR(VLOOKUP($F156,Sheet3!$H$2:$O$200,Z$1,FALSE),VLOOKUP($G156,Sheet3!$H$2:$O$200,Z$1,FALSE))),$I$1),$I$1)</f>
        <v>0</v>
      </c>
      <c r="AA156" s="15">
        <f>IFERROR(IF(ISBLANK(T156),IFERROR(VLOOKUP($E156,Sheet3!$H$2:$O$200,AA$1,FALSE),IFERROR(VLOOKUP($F156,Sheet3!$H$2:$O$200,AA$1,FALSE),VLOOKUP($G156,Sheet3!$H$2:$O$200,AA$1,FALSE))),$I$1),$I$1)</f>
        <v>0</v>
      </c>
      <c r="AB156" s="15">
        <f>IFERROR(IF(ISBLANK(U156),IFERROR(VLOOKUP($E156,Sheet3!$H$2:$O$200,AB$1,FALSE),IFERROR(VLOOKUP($F156,Sheet3!$H$2:$O$200,AB$1,FALSE),VLOOKUP($G156,Sheet3!$H$2:$O$200,AB$1,FALSE))),$I$1),$I$1)</f>
        <v>0</v>
      </c>
      <c r="AC156" s="15">
        <f>IFERROR(IF(ISBLANK(V156),IFERROR(VLOOKUP($E156,Sheet3!$H$2:$O$200,AC$1,FALSE),IFERROR(VLOOKUP($F156,Sheet3!$H$2:$O$200,AC$1,FALSE),VLOOKUP($G156,Sheet3!$H$2:$O$200,AC$1,FALSE))),$I$1),$I$1)</f>
        <v>0</v>
      </c>
      <c r="AD156" s="15">
        <f>IFERROR(IF(ISBLANK(W156),IFERROR(VLOOKUP($E156,Sheet3!$H$2:$O$200,AD$1,FALSE),IFERROR(VLOOKUP($F156,Sheet3!$H$2:$O$200,AD$1,FALSE),VLOOKUP($G156,Sheet3!$H$2:$O$200,AD$1,FALSE))),$I$1),$I$1)</f>
        <v>0</v>
      </c>
      <c r="AE156" s="15">
        <f>IFERROR(IF(ISBLANK(X156),IFERROR(VLOOKUP($F156,Sheet3!$H$2:$O$200,AE$1,FALSE),VLOOKUP($G156,Sheet3!$H$2:$O$200,AE$1,FALSE)),$I$1),$I$1)</f>
        <v>0</v>
      </c>
      <c r="AF156" s="15">
        <f>IFERROR(IF(ISBLANK(Y156),IFERROR(VLOOKUP($F156,Sheet3!$H$2:$O$200,AF$1,FALSE),VLOOKUP($G156,Sheet3!$H$2:$O$200,AF$1,FALSE)),$I$1),$I$1)</f>
        <v>0</v>
      </c>
      <c r="AG156" s="15">
        <f>IFERROR(IF(ISBLANK(Z156),IFERROR(VLOOKUP($F156,Sheet3!$H$2:$O$200,AG$1,FALSE),VLOOKUP($G156,Sheet3!$H$2:$O$200,AG$1,FALSE)),$I$1),$I$1)</f>
        <v>0</v>
      </c>
      <c r="AH156" s="15">
        <f>IFERROR(IF(ISBLANK(AA156),IFERROR(VLOOKUP($F156,Sheet3!$H$2:$O$200,AH$1,FALSE),VLOOKUP($G156,Sheet3!$H$2:$O$200,AH$1,FALSE)),$I$1),$I$1)</f>
        <v>0</v>
      </c>
      <c r="AI156" s="15">
        <f>IFERROR(IF(ISBLANK(AB156),IFERROR(VLOOKUP($F156,Sheet3!$H$2:$O$200,AI$1,FALSE),VLOOKUP($G156,Sheet3!$H$2:$O$200,AI$1,FALSE)),$I$1),$I$1)</f>
        <v>0</v>
      </c>
      <c r="AJ156" s="15">
        <f>IFERROR(IF(ISBLANK(AC156),IFERROR(VLOOKUP($F156,Sheet3!$H$2:$O$200,AJ$1,FALSE),VLOOKUP($G156,Sheet3!$H$2:$O$200,AJ$1,FALSE)),$I$1),$I$1)</f>
        <v>0</v>
      </c>
      <c r="AK156" s="15">
        <f>IFERROR(IF(ISBLANK(AD156),IFERROR(VLOOKUP($F156,Sheet3!$H$2:$O$200,AK$1,FALSE),VLOOKUP($G156,Sheet3!$H$2:$O$200,AK$1,FALSE)),$I$1),$I$1)</f>
        <v>0</v>
      </c>
      <c r="AL156" s="15">
        <f>IFERROR(IF(ISBLANK(AE156),VLOOKUP($G156,Sheet3!$H$2:$O$200,AL$1,FALSE),$I$1),$I$1)</f>
        <v>0</v>
      </c>
      <c r="AM156" s="15">
        <f>IFERROR(IF(ISBLANK(AF156),VLOOKUP($G156,Sheet3!$H$2:$O$200,AM$1,FALSE),$I$1),$I$1)</f>
        <v>0</v>
      </c>
      <c r="AN156" s="15">
        <f>IFERROR(IF(ISBLANK(AG156),VLOOKUP($G156,Sheet3!$H$2:$O$200,AN$1,FALSE),$I$1),$I$1)</f>
        <v>0</v>
      </c>
      <c r="AO156" s="15">
        <f>IFERROR(IF(ISBLANK(AH156),VLOOKUP($G156,Sheet3!$H$2:$O$200,AO$1,FALSE),$I$1),$I$1)</f>
        <v>0</v>
      </c>
      <c r="AP156" s="15">
        <f>IFERROR(IF(ISBLANK(AI156),VLOOKUP($G156,Sheet3!$H$2:$O$200,AP$1,FALSE),$I$1),$I$1)</f>
        <v>0</v>
      </c>
      <c r="AQ156" s="15">
        <f>IFERROR(IF(ISBLANK(AJ156),VLOOKUP($G156,Sheet3!$H$2:$O$200,AQ$1,FALSE),$I$1),$I$1)</f>
        <v>0</v>
      </c>
      <c r="AR156" s="15">
        <f>IFERROR(IF(ISBLANK(AK156),VLOOKUP($G156,Sheet3!$H$2:$O$200,AR$1,FALSE),$I$1),$I$1)</f>
        <v>0</v>
      </c>
      <c r="AS156" s="15">
        <f t="shared" ref="AS156:AY156" si="163">IFERROR(IF(ISBLANK(J156),IF(ISBLANK(Q156),IF(ISBLANK(X156),IF(ISBLANK(AE156),IF(ISBLANK(AL156),$BB$1,AL156),AE156),X156),Q156),J156),$BB$1)</f>
        <v>0</v>
      </c>
      <c r="AT156" s="15">
        <f t="shared" si="163"/>
        <v>0</v>
      </c>
      <c r="AU156" s="15">
        <f t="shared" si="163"/>
        <v>0</v>
      </c>
      <c r="AV156" s="15" t="str">
        <f t="shared" si="163"/>
        <v>ginger liqueur</v>
      </c>
      <c r="AW156" s="15">
        <f t="shared" si="163"/>
        <v>0</v>
      </c>
      <c r="AX156" s="15">
        <f t="shared" si="163"/>
        <v>0</v>
      </c>
      <c r="AY156" s="15">
        <f t="shared" si="163"/>
        <v>0</v>
      </c>
      <c r="BA156" s="13">
        <f t="shared" si="1"/>
        <v>35</v>
      </c>
      <c r="BB156" s="15" t="b">
        <f t="shared" si="2"/>
        <v>0</v>
      </c>
    </row>
    <row r="157" spans="1:54" x14ac:dyDescent="0.2">
      <c r="A157" s="19" t="s">
        <v>320</v>
      </c>
      <c r="B157" s="19" t="s">
        <v>317</v>
      </c>
      <c r="C157" s="19" t="s">
        <v>60</v>
      </c>
      <c r="D157" s="19"/>
      <c r="E157" s="19"/>
      <c r="F157" s="19"/>
      <c r="G157" s="19"/>
      <c r="H157" s="19" t="s">
        <v>320</v>
      </c>
      <c r="I157" s="15">
        <v>1</v>
      </c>
      <c r="J157" s="15">
        <f>IFERROR(VLOOKUP($C157,Sheet3!$H$2:$O$200,J$1,FALSE),IFERROR(VLOOKUP($D157,Sheet3!$H$2:$O$200,J$1,FALSE),VLOOKUP($E157,Sheet3!$H$2:$O$200,J$1,FALSE)))</f>
        <v>0</v>
      </c>
      <c r="K157" s="15">
        <f>IFERROR(VLOOKUP($C157,Sheet3!$H$2:$O$200,K$1,FALSE),IFERROR(VLOOKUP($D157,Sheet3!$H$2:$O$200,K$1,FALSE),VLOOKUP($E157,Sheet3!$H$2:$O$200,K$1,FALSE)))</f>
        <v>0</v>
      </c>
      <c r="L157" s="15">
        <f>IFERROR(VLOOKUP($C157,Sheet3!$H$2:$O$200,L$1,FALSE),IFERROR(VLOOKUP($D157,Sheet3!$H$2:$O$200,L$1,FALSE),VLOOKUP($E157,Sheet3!$H$2:$O$200,L$1,FALSE)))</f>
        <v>0</v>
      </c>
      <c r="M157" s="15" t="str">
        <f>IFERROR(VLOOKUP($C157,Sheet3!$H$2:$O$200,M$1,FALSE),IFERROR(VLOOKUP($D157,Sheet3!$H$2:$O$200,M$1,FALSE),VLOOKUP($E157,Sheet3!$H$2:$O$200,M$1,FALSE)))</f>
        <v>apricot brandy</v>
      </c>
      <c r="N157" s="15">
        <f>IFERROR(VLOOKUP($C157,Sheet3!$H$2:$O$200,N$1,FALSE),IFERROR(VLOOKUP($D157,Sheet3!$H$2:$O$200,N$1,FALSE),VLOOKUP($E157,Sheet3!$H$2:$O$200,N$1,FALSE)))</f>
        <v>0</v>
      </c>
      <c r="O157" s="15">
        <f>IFERROR(VLOOKUP($C157,Sheet3!$H$2:$O$200,O$1,FALSE),IFERROR(VLOOKUP($D157,Sheet3!$H$2:$O$200,O$1,FALSE),VLOOKUP($E157,Sheet3!$H$2:$O$200,O$1,FALSE)))</f>
        <v>0</v>
      </c>
      <c r="P157" s="15">
        <f>IFERROR(VLOOKUP($C157,Sheet3!$H$2:$O$200,P$1,FALSE),IFERROR(VLOOKUP($D157,Sheet3!$H$2:$O$200,P$1,FALSE),VLOOKUP($E157,Sheet3!$H$2:$O$200,P$1,FALSE)))</f>
        <v>0</v>
      </c>
      <c r="Q157" s="15">
        <f>IFERROR(IF(ISBLANK(J157),IFERROR(VLOOKUP($D157,Sheet3!$H$2:$O$200,Q$1,FALSE),IFERROR(VLOOKUP($E157,Sheet3!$H$2:$O$200,Q$1,FALSE),VLOOKUP($F157,Sheet3!$H$2:$O$200,Q$1,FALSE))),$I$1),$I$1)</f>
        <v>0</v>
      </c>
      <c r="R157" s="15">
        <f>IFERROR(IF(ISBLANK(K157),IFERROR(VLOOKUP($D157,Sheet3!$H$2:$O$200,R$1,FALSE),IFERROR(VLOOKUP($E157,Sheet3!$H$2:$O$200,R$1,FALSE),VLOOKUP($F157,Sheet3!$H$2:$O$200,R$1,FALSE))),$I$1),$I$1)</f>
        <v>0</v>
      </c>
      <c r="S157" s="15">
        <f>IFERROR(IF(ISBLANK(L157),IFERROR(VLOOKUP($D157,Sheet3!$H$2:$O$200,S$1,FALSE),IFERROR(VLOOKUP($E157,Sheet3!$H$2:$O$200,S$1,FALSE),VLOOKUP($F157,Sheet3!$H$2:$O$200,S$1,FALSE))),$I$1),$I$1)</f>
        <v>0</v>
      </c>
      <c r="T157" s="15">
        <f>IFERROR(IF(ISBLANK(M157),IFERROR(VLOOKUP($D157,Sheet3!$H$2:$O$200,T$1,FALSE),IFERROR(VLOOKUP($E157,Sheet3!$H$2:$O$200,T$1,FALSE),VLOOKUP($F157,Sheet3!$H$2:$O$200,T$1,FALSE))),$I$1),$I$1)</f>
        <v>0</v>
      </c>
      <c r="U157" s="15">
        <f>IFERROR(IF(ISBLANK(N157),IFERROR(VLOOKUP($D157,Sheet3!$H$2:$O$200,U$1,FALSE),IFERROR(VLOOKUP($E157,Sheet3!$H$2:$O$200,U$1,FALSE),VLOOKUP($F157,Sheet3!$H$2:$O$200,U$1,FALSE))),$I$1),$I$1)</f>
        <v>0</v>
      </c>
      <c r="V157" s="15">
        <f>IFERROR(IF(ISBLANK(O157),IFERROR(VLOOKUP($D157,Sheet3!$H$2:$O$200,V$1,FALSE),IFERROR(VLOOKUP($E157,Sheet3!$H$2:$O$200,V$1,FALSE),VLOOKUP($F157,Sheet3!$H$2:$O$200,V$1,FALSE))),$I$1),$I$1)</f>
        <v>0</v>
      </c>
      <c r="W157" s="15">
        <f>IFERROR(IF(ISBLANK(P157),IFERROR(VLOOKUP($D157,Sheet3!$H$2:$O$200,W$1,FALSE),IFERROR(VLOOKUP($E157,Sheet3!$H$2:$O$200,W$1,FALSE),VLOOKUP($F157,Sheet3!$H$2:$O$200,W$1,FALSE))),$I$1),$I$1)</f>
        <v>0</v>
      </c>
      <c r="X157" s="15">
        <f>IFERROR(IF(ISBLANK(Q157),IFERROR(VLOOKUP($E157,Sheet3!$H$2:$O$200,X$1,FALSE),IFERROR(VLOOKUP($F157,Sheet3!$H$2:$O$200,X$1,FALSE),VLOOKUP($G157,Sheet3!$H$2:$O$200,X$1,FALSE))),$I$1),$I$1)</f>
        <v>0</v>
      </c>
      <c r="Y157" s="15">
        <f>IFERROR(IF(ISBLANK(R157),IFERROR(VLOOKUP($E157,Sheet3!$H$2:$O$200,Y$1,FALSE),IFERROR(VLOOKUP($F157,Sheet3!$H$2:$O$200,Y$1,FALSE),VLOOKUP($G157,Sheet3!$H$2:$O$200,Y$1,FALSE))),$I$1),$I$1)</f>
        <v>0</v>
      </c>
      <c r="Z157" s="15">
        <f>IFERROR(IF(ISBLANK(S157),IFERROR(VLOOKUP($E157,Sheet3!$H$2:$O$200,Z$1,FALSE),IFERROR(VLOOKUP($F157,Sheet3!$H$2:$O$200,Z$1,FALSE),VLOOKUP($G157,Sheet3!$H$2:$O$200,Z$1,FALSE))),$I$1),$I$1)</f>
        <v>0</v>
      </c>
      <c r="AA157" s="15">
        <f>IFERROR(IF(ISBLANK(T157),IFERROR(VLOOKUP($E157,Sheet3!$H$2:$O$200,AA$1,FALSE),IFERROR(VLOOKUP($F157,Sheet3!$H$2:$O$200,AA$1,FALSE),VLOOKUP($G157,Sheet3!$H$2:$O$200,AA$1,FALSE))),$I$1),$I$1)</f>
        <v>0</v>
      </c>
      <c r="AB157" s="15">
        <f>IFERROR(IF(ISBLANK(U157),IFERROR(VLOOKUP($E157,Sheet3!$H$2:$O$200,AB$1,FALSE),IFERROR(VLOOKUP($F157,Sheet3!$H$2:$O$200,AB$1,FALSE),VLOOKUP($G157,Sheet3!$H$2:$O$200,AB$1,FALSE))),$I$1),$I$1)</f>
        <v>0</v>
      </c>
      <c r="AC157" s="15">
        <f>IFERROR(IF(ISBLANK(V157),IFERROR(VLOOKUP($E157,Sheet3!$H$2:$O$200,AC$1,FALSE),IFERROR(VLOOKUP($F157,Sheet3!$H$2:$O$200,AC$1,FALSE),VLOOKUP($G157,Sheet3!$H$2:$O$200,AC$1,FALSE))),$I$1),$I$1)</f>
        <v>0</v>
      </c>
      <c r="AD157" s="15">
        <f>IFERROR(IF(ISBLANK(W157),IFERROR(VLOOKUP($E157,Sheet3!$H$2:$O$200,AD$1,FALSE),IFERROR(VLOOKUP($F157,Sheet3!$H$2:$O$200,AD$1,FALSE),VLOOKUP($G157,Sheet3!$H$2:$O$200,AD$1,FALSE))),$I$1),$I$1)</f>
        <v>0</v>
      </c>
      <c r="AE157" s="15">
        <f>IFERROR(IF(ISBLANK(X157),IFERROR(VLOOKUP($F157,Sheet3!$H$2:$O$200,AE$1,FALSE),VLOOKUP($G157,Sheet3!$H$2:$O$200,AE$1,FALSE)),$I$1),$I$1)</f>
        <v>0</v>
      </c>
      <c r="AF157" s="15">
        <f>IFERROR(IF(ISBLANK(Y157),IFERROR(VLOOKUP($F157,Sheet3!$H$2:$O$200,AF$1,FALSE),VLOOKUP($G157,Sheet3!$H$2:$O$200,AF$1,FALSE)),$I$1),$I$1)</f>
        <v>0</v>
      </c>
      <c r="AG157" s="15">
        <f>IFERROR(IF(ISBLANK(Z157),IFERROR(VLOOKUP($F157,Sheet3!$H$2:$O$200,AG$1,FALSE),VLOOKUP($G157,Sheet3!$H$2:$O$200,AG$1,FALSE)),$I$1),$I$1)</f>
        <v>0</v>
      </c>
      <c r="AH157" s="15">
        <f>IFERROR(IF(ISBLANK(AA157),IFERROR(VLOOKUP($F157,Sheet3!$H$2:$O$200,AH$1,FALSE),VLOOKUP($G157,Sheet3!$H$2:$O$200,AH$1,FALSE)),$I$1),$I$1)</f>
        <v>0</v>
      </c>
      <c r="AI157" s="15">
        <f>IFERROR(IF(ISBLANK(AB157),IFERROR(VLOOKUP($F157,Sheet3!$H$2:$O$200,AI$1,FALSE),VLOOKUP($G157,Sheet3!$H$2:$O$200,AI$1,FALSE)),$I$1),$I$1)</f>
        <v>0</v>
      </c>
      <c r="AJ157" s="15">
        <f>IFERROR(IF(ISBLANK(AC157),IFERROR(VLOOKUP($F157,Sheet3!$H$2:$O$200,AJ$1,FALSE),VLOOKUP($G157,Sheet3!$H$2:$O$200,AJ$1,FALSE)),$I$1),$I$1)</f>
        <v>0</v>
      </c>
      <c r="AK157" s="15">
        <f>IFERROR(IF(ISBLANK(AD157),IFERROR(VLOOKUP($F157,Sheet3!$H$2:$O$200,AK$1,FALSE),VLOOKUP($G157,Sheet3!$H$2:$O$200,AK$1,FALSE)),$I$1),$I$1)</f>
        <v>0</v>
      </c>
      <c r="AL157" s="15">
        <f>IFERROR(IF(ISBLANK(AE157),VLOOKUP($G157,Sheet3!$H$2:$O$200,AL$1,FALSE),$I$1),$I$1)</f>
        <v>0</v>
      </c>
      <c r="AM157" s="15">
        <f>IFERROR(IF(ISBLANK(AF157),VLOOKUP($G157,Sheet3!$H$2:$O$200,AM$1,FALSE),$I$1),$I$1)</f>
        <v>0</v>
      </c>
      <c r="AN157" s="15">
        <f>IFERROR(IF(ISBLANK(AG157),VLOOKUP($G157,Sheet3!$H$2:$O$200,AN$1,FALSE),$I$1),$I$1)</f>
        <v>0</v>
      </c>
      <c r="AO157" s="15">
        <f>IFERROR(IF(ISBLANK(AH157),VLOOKUP($G157,Sheet3!$H$2:$O$200,AO$1,FALSE),$I$1),$I$1)</f>
        <v>0</v>
      </c>
      <c r="AP157" s="15">
        <f>IFERROR(IF(ISBLANK(AI157),VLOOKUP($G157,Sheet3!$H$2:$O$200,AP$1,FALSE),$I$1),$I$1)</f>
        <v>0</v>
      </c>
      <c r="AQ157" s="15">
        <f>IFERROR(IF(ISBLANK(AJ157),VLOOKUP($G157,Sheet3!$H$2:$O$200,AQ$1,FALSE),$I$1),$I$1)</f>
        <v>0</v>
      </c>
      <c r="AR157" s="15">
        <f>IFERROR(IF(ISBLANK(AK157),VLOOKUP($G157,Sheet3!$H$2:$O$200,AR$1,FALSE),$I$1),$I$1)</f>
        <v>0</v>
      </c>
      <c r="AS157" s="15">
        <f t="shared" ref="AS157:AY157" si="164">IFERROR(IF(ISBLANK(J157),IF(ISBLANK(Q157),IF(ISBLANK(X157),IF(ISBLANK(AE157),IF(ISBLANK(AL157),$BB$1,AL157),AE157),X157),Q157),J157),$BB$1)</f>
        <v>0</v>
      </c>
      <c r="AT157" s="15">
        <f t="shared" si="164"/>
        <v>0</v>
      </c>
      <c r="AU157" s="15">
        <f t="shared" si="164"/>
        <v>0</v>
      </c>
      <c r="AV157" s="15" t="str">
        <f t="shared" si="164"/>
        <v>apricot brandy</v>
      </c>
      <c r="AW157" s="15">
        <f t="shared" si="164"/>
        <v>0</v>
      </c>
      <c r="AX157" s="15">
        <f t="shared" si="164"/>
        <v>0</v>
      </c>
      <c r="AY157" s="15">
        <f t="shared" si="164"/>
        <v>0</v>
      </c>
      <c r="BA157" s="13">
        <f t="shared" si="1"/>
        <v>35</v>
      </c>
      <c r="BB157" s="15" t="b">
        <f t="shared" si="2"/>
        <v>0</v>
      </c>
    </row>
    <row r="158" spans="1:54" x14ac:dyDescent="0.2">
      <c r="A158" s="19" t="s">
        <v>321</v>
      </c>
      <c r="B158" s="19" t="s">
        <v>317</v>
      </c>
      <c r="C158" s="19" t="s">
        <v>70</v>
      </c>
      <c r="D158" s="19"/>
      <c r="E158" s="19"/>
      <c r="F158" s="19"/>
      <c r="G158" s="19"/>
      <c r="H158" s="19" t="s">
        <v>321</v>
      </c>
      <c r="I158" s="15">
        <v>1</v>
      </c>
      <c r="J158" s="15">
        <f>IFERROR(VLOOKUP($C158,Sheet3!$H$2:$O$200,J$1,FALSE),IFERROR(VLOOKUP($D158,Sheet3!$H$2:$O$200,J$1,FALSE),VLOOKUP($E158,Sheet3!$H$2:$O$200,J$1,FALSE)))</f>
        <v>0</v>
      </c>
      <c r="K158" s="15">
        <f>IFERROR(VLOOKUP($C158,Sheet3!$H$2:$O$200,K$1,FALSE),IFERROR(VLOOKUP($D158,Sheet3!$H$2:$O$200,K$1,FALSE),VLOOKUP($E158,Sheet3!$H$2:$O$200,K$1,FALSE)))</f>
        <v>0</v>
      </c>
      <c r="L158" s="15">
        <f>IFERROR(VLOOKUP($C158,Sheet3!$H$2:$O$200,L$1,FALSE),IFERROR(VLOOKUP($D158,Sheet3!$H$2:$O$200,L$1,FALSE),VLOOKUP($E158,Sheet3!$H$2:$O$200,L$1,FALSE)))</f>
        <v>0</v>
      </c>
      <c r="M158" s="15" t="str">
        <f>IFERROR(VLOOKUP($C158,Sheet3!$H$2:$O$200,M$1,FALSE),IFERROR(VLOOKUP($D158,Sheet3!$H$2:$O$200,M$1,FALSE),VLOOKUP($E158,Sheet3!$H$2:$O$200,M$1,FALSE)))</f>
        <v>cherry brandy</v>
      </c>
      <c r="N158" s="15">
        <f>IFERROR(VLOOKUP($C158,Sheet3!$H$2:$O$200,N$1,FALSE),IFERROR(VLOOKUP($D158,Sheet3!$H$2:$O$200,N$1,FALSE),VLOOKUP($E158,Sheet3!$H$2:$O$200,N$1,FALSE)))</f>
        <v>0</v>
      </c>
      <c r="O158" s="15">
        <f>IFERROR(VLOOKUP($C158,Sheet3!$H$2:$O$200,O$1,FALSE),IFERROR(VLOOKUP($D158,Sheet3!$H$2:$O$200,O$1,FALSE),VLOOKUP($E158,Sheet3!$H$2:$O$200,O$1,FALSE)))</f>
        <v>0</v>
      </c>
      <c r="P158" s="15">
        <f>IFERROR(VLOOKUP($C158,Sheet3!$H$2:$O$200,P$1,FALSE),IFERROR(VLOOKUP($D158,Sheet3!$H$2:$O$200,P$1,FALSE),VLOOKUP($E158,Sheet3!$H$2:$O$200,P$1,FALSE)))</f>
        <v>0</v>
      </c>
      <c r="Q158" s="15">
        <f>IFERROR(IF(ISBLANK(J158),IFERROR(VLOOKUP($D158,Sheet3!$H$2:$O$200,Q$1,FALSE),IFERROR(VLOOKUP($E158,Sheet3!$H$2:$O$200,Q$1,FALSE),VLOOKUP($F158,Sheet3!$H$2:$O$200,Q$1,FALSE))),$I$1),$I$1)</f>
        <v>0</v>
      </c>
      <c r="R158" s="15">
        <f>IFERROR(IF(ISBLANK(K158),IFERROR(VLOOKUP($D158,Sheet3!$H$2:$O$200,R$1,FALSE),IFERROR(VLOOKUP($E158,Sheet3!$H$2:$O$200,R$1,FALSE),VLOOKUP($F158,Sheet3!$H$2:$O$200,R$1,FALSE))),$I$1),$I$1)</f>
        <v>0</v>
      </c>
      <c r="S158" s="15">
        <f>IFERROR(IF(ISBLANK(L158),IFERROR(VLOOKUP($D158,Sheet3!$H$2:$O$200,S$1,FALSE),IFERROR(VLOOKUP($E158,Sheet3!$H$2:$O$200,S$1,FALSE),VLOOKUP($F158,Sheet3!$H$2:$O$200,S$1,FALSE))),$I$1),$I$1)</f>
        <v>0</v>
      </c>
      <c r="T158" s="15">
        <f>IFERROR(IF(ISBLANK(M158),IFERROR(VLOOKUP($D158,Sheet3!$H$2:$O$200,T$1,FALSE),IFERROR(VLOOKUP($E158,Sheet3!$H$2:$O$200,T$1,FALSE),VLOOKUP($F158,Sheet3!$H$2:$O$200,T$1,FALSE))),$I$1),$I$1)</f>
        <v>0</v>
      </c>
      <c r="U158" s="15">
        <f>IFERROR(IF(ISBLANK(N158),IFERROR(VLOOKUP($D158,Sheet3!$H$2:$O$200,U$1,FALSE),IFERROR(VLOOKUP($E158,Sheet3!$H$2:$O$200,U$1,FALSE),VLOOKUP($F158,Sheet3!$H$2:$O$200,U$1,FALSE))),$I$1),$I$1)</f>
        <v>0</v>
      </c>
      <c r="V158" s="15">
        <f>IFERROR(IF(ISBLANK(O158),IFERROR(VLOOKUP($D158,Sheet3!$H$2:$O$200,V$1,FALSE),IFERROR(VLOOKUP($E158,Sheet3!$H$2:$O$200,V$1,FALSE),VLOOKUP($F158,Sheet3!$H$2:$O$200,V$1,FALSE))),$I$1),$I$1)</f>
        <v>0</v>
      </c>
      <c r="W158" s="15">
        <f>IFERROR(IF(ISBLANK(P158),IFERROR(VLOOKUP($D158,Sheet3!$H$2:$O$200,W$1,FALSE),IFERROR(VLOOKUP($E158,Sheet3!$H$2:$O$200,W$1,FALSE),VLOOKUP($F158,Sheet3!$H$2:$O$200,W$1,FALSE))),$I$1),$I$1)</f>
        <v>0</v>
      </c>
      <c r="X158" s="15">
        <f>IFERROR(IF(ISBLANK(Q158),IFERROR(VLOOKUP($E158,Sheet3!$H$2:$O$200,X$1,FALSE),IFERROR(VLOOKUP($F158,Sheet3!$H$2:$O$200,X$1,FALSE),VLOOKUP($G158,Sheet3!$H$2:$O$200,X$1,FALSE))),$I$1),$I$1)</f>
        <v>0</v>
      </c>
      <c r="Y158" s="15">
        <f>IFERROR(IF(ISBLANK(R158),IFERROR(VLOOKUP($E158,Sheet3!$H$2:$O$200,Y$1,FALSE),IFERROR(VLOOKUP($F158,Sheet3!$H$2:$O$200,Y$1,FALSE),VLOOKUP($G158,Sheet3!$H$2:$O$200,Y$1,FALSE))),$I$1),$I$1)</f>
        <v>0</v>
      </c>
      <c r="Z158" s="15">
        <f>IFERROR(IF(ISBLANK(S158),IFERROR(VLOOKUP($E158,Sheet3!$H$2:$O$200,Z$1,FALSE),IFERROR(VLOOKUP($F158,Sheet3!$H$2:$O$200,Z$1,FALSE),VLOOKUP($G158,Sheet3!$H$2:$O$200,Z$1,FALSE))),$I$1),$I$1)</f>
        <v>0</v>
      </c>
      <c r="AA158" s="15">
        <f>IFERROR(IF(ISBLANK(T158),IFERROR(VLOOKUP($E158,Sheet3!$H$2:$O$200,AA$1,FALSE),IFERROR(VLOOKUP($F158,Sheet3!$H$2:$O$200,AA$1,FALSE),VLOOKUP($G158,Sheet3!$H$2:$O$200,AA$1,FALSE))),$I$1),$I$1)</f>
        <v>0</v>
      </c>
      <c r="AB158" s="15">
        <f>IFERROR(IF(ISBLANK(U158),IFERROR(VLOOKUP($E158,Sheet3!$H$2:$O$200,AB$1,FALSE),IFERROR(VLOOKUP($F158,Sheet3!$H$2:$O$200,AB$1,FALSE),VLOOKUP($G158,Sheet3!$H$2:$O$200,AB$1,FALSE))),$I$1),$I$1)</f>
        <v>0</v>
      </c>
      <c r="AC158" s="15">
        <f>IFERROR(IF(ISBLANK(V158),IFERROR(VLOOKUP($E158,Sheet3!$H$2:$O$200,AC$1,FALSE),IFERROR(VLOOKUP($F158,Sheet3!$H$2:$O$200,AC$1,FALSE),VLOOKUP($G158,Sheet3!$H$2:$O$200,AC$1,FALSE))),$I$1),$I$1)</f>
        <v>0</v>
      </c>
      <c r="AD158" s="15">
        <f>IFERROR(IF(ISBLANK(W158),IFERROR(VLOOKUP($E158,Sheet3!$H$2:$O$200,AD$1,FALSE),IFERROR(VLOOKUP($F158,Sheet3!$H$2:$O$200,AD$1,FALSE),VLOOKUP($G158,Sheet3!$H$2:$O$200,AD$1,FALSE))),$I$1),$I$1)</f>
        <v>0</v>
      </c>
      <c r="AE158" s="15">
        <f>IFERROR(IF(ISBLANK(X158),IFERROR(VLOOKUP($F158,Sheet3!$H$2:$O$200,AE$1,FALSE),VLOOKUP($G158,Sheet3!$H$2:$O$200,AE$1,FALSE)),$I$1),$I$1)</f>
        <v>0</v>
      </c>
      <c r="AF158" s="15">
        <f>IFERROR(IF(ISBLANK(Y158),IFERROR(VLOOKUP($F158,Sheet3!$H$2:$O$200,AF$1,FALSE),VLOOKUP($G158,Sheet3!$H$2:$O$200,AF$1,FALSE)),$I$1),$I$1)</f>
        <v>0</v>
      </c>
      <c r="AG158" s="15">
        <f>IFERROR(IF(ISBLANK(Z158),IFERROR(VLOOKUP($F158,Sheet3!$H$2:$O$200,AG$1,FALSE),VLOOKUP($G158,Sheet3!$H$2:$O$200,AG$1,FALSE)),$I$1),$I$1)</f>
        <v>0</v>
      </c>
      <c r="AH158" s="15">
        <f>IFERROR(IF(ISBLANK(AA158),IFERROR(VLOOKUP($F158,Sheet3!$H$2:$O$200,AH$1,FALSE),VLOOKUP($G158,Sheet3!$H$2:$O$200,AH$1,FALSE)),$I$1),$I$1)</f>
        <v>0</v>
      </c>
      <c r="AI158" s="15">
        <f>IFERROR(IF(ISBLANK(AB158),IFERROR(VLOOKUP($F158,Sheet3!$H$2:$O$200,AI$1,FALSE),VLOOKUP($G158,Sheet3!$H$2:$O$200,AI$1,FALSE)),$I$1),$I$1)</f>
        <v>0</v>
      </c>
      <c r="AJ158" s="15">
        <f>IFERROR(IF(ISBLANK(AC158),IFERROR(VLOOKUP($F158,Sheet3!$H$2:$O$200,AJ$1,FALSE),VLOOKUP($G158,Sheet3!$H$2:$O$200,AJ$1,FALSE)),$I$1),$I$1)</f>
        <v>0</v>
      </c>
      <c r="AK158" s="15">
        <f>IFERROR(IF(ISBLANK(AD158),IFERROR(VLOOKUP($F158,Sheet3!$H$2:$O$200,AK$1,FALSE),VLOOKUP($G158,Sheet3!$H$2:$O$200,AK$1,FALSE)),$I$1),$I$1)</f>
        <v>0</v>
      </c>
      <c r="AL158" s="15">
        <f>IFERROR(IF(ISBLANK(AE158),VLOOKUP($G158,Sheet3!$H$2:$O$200,AL$1,FALSE),$I$1),$I$1)</f>
        <v>0</v>
      </c>
      <c r="AM158" s="15">
        <f>IFERROR(IF(ISBLANK(AF158),VLOOKUP($G158,Sheet3!$H$2:$O$200,AM$1,FALSE),$I$1),$I$1)</f>
        <v>0</v>
      </c>
      <c r="AN158" s="15">
        <f>IFERROR(IF(ISBLANK(AG158),VLOOKUP($G158,Sheet3!$H$2:$O$200,AN$1,FALSE),$I$1),$I$1)</f>
        <v>0</v>
      </c>
      <c r="AO158" s="15">
        <f>IFERROR(IF(ISBLANK(AH158),VLOOKUP($G158,Sheet3!$H$2:$O$200,AO$1,FALSE),$I$1),$I$1)</f>
        <v>0</v>
      </c>
      <c r="AP158" s="15">
        <f>IFERROR(IF(ISBLANK(AI158),VLOOKUP($G158,Sheet3!$H$2:$O$200,AP$1,FALSE),$I$1),$I$1)</f>
        <v>0</v>
      </c>
      <c r="AQ158" s="15">
        <f>IFERROR(IF(ISBLANK(AJ158),VLOOKUP($G158,Sheet3!$H$2:$O$200,AQ$1,FALSE),$I$1),$I$1)</f>
        <v>0</v>
      </c>
      <c r="AR158" s="15">
        <f>IFERROR(IF(ISBLANK(AK158),VLOOKUP($G158,Sheet3!$H$2:$O$200,AR$1,FALSE),$I$1),$I$1)</f>
        <v>0</v>
      </c>
      <c r="AS158" s="15">
        <f t="shared" ref="AS158:AY158" si="165">IFERROR(IF(ISBLANK(J158),IF(ISBLANK(Q158),IF(ISBLANK(X158),IF(ISBLANK(AE158),IF(ISBLANK(AL158),$BB$1,AL158),AE158),X158),Q158),J158),$BB$1)</f>
        <v>0</v>
      </c>
      <c r="AT158" s="15">
        <f t="shared" si="165"/>
        <v>0</v>
      </c>
      <c r="AU158" s="15">
        <f t="shared" si="165"/>
        <v>0</v>
      </c>
      <c r="AV158" s="15" t="str">
        <f t="shared" si="165"/>
        <v>cherry brandy</v>
      </c>
      <c r="AW158" s="15">
        <f t="shared" si="165"/>
        <v>0</v>
      </c>
      <c r="AX158" s="15">
        <f t="shared" si="165"/>
        <v>0</v>
      </c>
      <c r="AY158" s="15">
        <f t="shared" si="165"/>
        <v>0</v>
      </c>
      <c r="BA158" s="13">
        <f t="shared" si="1"/>
        <v>35</v>
      </c>
      <c r="BB158" s="15" t="b">
        <f t="shared" si="2"/>
        <v>0</v>
      </c>
    </row>
    <row r="159" spans="1:54" x14ac:dyDescent="0.2">
      <c r="A159" s="19" t="s">
        <v>322</v>
      </c>
      <c r="B159" s="19" t="s">
        <v>317</v>
      </c>
      <c r="C159" s="19" t="s">
        <v>323</v>
      </c>
      <c r="D159" s="19"/>
      <c r="E159" s="19"/>
      <c r="F159" s="19"/>
      <c r="G159" s="19"/>
      <c r="H159" s="19" t="s">
        <v>322</v>
      </c>
      <c r="I159" s="15">
        <v>1</v>
      </c>
      <c r="J159" s="15">
        <f>IFERROR(VLOOKUP($C159,Sheet3!$H$2:$O$200,J$1,FALSE),IFERROR(VLOOKUP($D159,Sheet3!$H$2:$O$200,J$1,FALSE),VLOOKUP($E159,Sheet3!$H$2:$O$200,J$1,FALSE)))</f>
        <v>0</v>
      </c>
      <c r="K159" s="15">
        <f>IFERROR(VLOOKUP($C159,Sheet3!$H$2:$O$200,K$1,FALSE),IFERROR(VLOOKUP($D159,Sheet3!$H$2:$O$200,K$1,FALSE),VLOOKUP($E159,Sheet3!$H$2:$O$200,K$1,FALSE)))</f>
        <v>0</v>
      </c>
      <c r="L159" s="15">
        <f>IFERROR(VLOOKUP($C159,Sheet3!$H$2:$O$200,L$1,FALSE),IFERROR(VLOOKUP($D159,Sheet3!$H$2:$O$200,L$1,FALSE),VLOOKUP($E159,Sheet3!$H$2:$O$200,L$1,FALSE)))</f>
        <v>0</v>
      </c>
      <c r="M159" s="15" t="str">
        <f>IFERROR(VLOOKUP($C159,Sheet3!$H$2:$O$200,M$1,FALSE),IFERROR(VLOOKUP($D159,Sheet3!$H$2:$O$200,M$1,FALSE),VLOOKUP($E159,Sheet3!$H$2:$O$200,M$1,FALSE)))</f>
        <v>Drambuie</v>
      </c>
      <c r="N159" s="15">
        <f>IFERROR(VLOOKUP($C159,Sheet3!$H$2:$O$200,N$1,FALSE),IFERROR(VLOOKUP($D159,Sheet3!$H$2:$O$200,N$1,FALSE),VLOOKUP($E159,Sheet3!$H$2:$O$200,N$1,FALSE)))</f>
        <v>0</v>
      </c>
      <c r="O159" s="15">
        <f>IFERROR(VLOOKUP($C159,Sheet3!$H$2:$O$200,O$1,FALSE),IFERROR(VLOOKUP($D159,Sheet3!$H$2:$O$200,O$1,FALSE),VLOOKUP($E159,Sheet3!$H$2:$O$200,O$1,FALSE)))</f>
        <v>0</v>
      </c>
      <c r="P159" s="15">
        <f>IFERROR(VLOOKUP($C159,Sheet3!$H$2:$O$200,P$1,FALSE),IFERROR(VLOOKUP($D159,Sheet3!$H$2:$O$200,P$1,FALSE),VLOOKUP($E159,Sheet3!$H$2:$O$200,P$1,FALSE)))</f>
        <v>0</v>
      </c>
      <c r="Q159" s="15">
        <f>IFERROR(IF(ISBLANK(J159),IFERROR(VLOOKUP($D159,Sheet3!$H$2:$O$200,Q$1,FALSE),IFERROR(VLOOKUP($E159,Sheet3!$H$2:$O$200,Q$1,FALSE),VLOOKUP($F159,Sheet3!$H$2:$O$200,Q$1,FALSE))),$I$1),$I$1)</f>
        <v>0</v>
      </c>
      <c r="R159" s="15">
        <f>IFERROR(IF(ISBLANK(K159),IFERROR(VLOOKUP($D159,Sheet3!$H$2:$O$200,R$1,FALSE),IFERROR(VLOOKUP($E159,Sheet3!$H$2:$O$200,R$1,FALSE),VLOOKUP($F159,Sheet3!$H$2:$O$200,R$1,FALSE))),$I$1),$I$1)</f>
        <v>0</v>
      </c>
      <c r="S159" s="15">
        <f>IFERROR(IF(ISBLANK(L159),IFERROR(VLOOKUP($D159,Sheet3!$H$2:$O$200,S$1,FALSE),IFERROR(VLOOKUP($E159,Sheet3!$H$2:$O$200,S$1,FALSE),VLOOKUP($F159,Sheet3!$H$2:$O$200,S$1,FALSE))),$I$1),$I$1)</f>
        <v>0</v>
      </c>
      <c r="T159" s="15">
        <f>IFERROR(IF(ISBLANK(M159),IFERROR(VLOOKUP($D159,Sheet3!$H$2:$O$200,T$1,FALSE),IFERROR(VLOOKUP($E159,Sheet3!$H$2:$O$200,T$1,FALSE),VLOOKUP($F159,Sheet3!$H$2:$O$200,T$1,FALSE))),$I$1),$I$1)</f>
        <v>0</v>
      </c>
      <c r="U159" s="15">
        <f>IFERROR(IF(ISBLANK(N159),IFERROR(VLOOKUP($D159,Sheet3!$H$2:$O$200,U$1,FALSE),IFERROR(VLOOKUP($E159,Sheet3!$H$2:$O$200,U$1,FALSE),VLOOKUP($F159,Sheet3!$H$2:$O$200,U$1,FALSE))),$I$1),$I$1)</f>
        <v>0</v>
      </c>
      <c r="V159" s="15">
        <f>IFERROR(IF(ISBLANK(O159),IFERROR(VLOOKUP($D159,Sheet3!$H$2:$O$200,V$1,FALSE),IFERROR(VLOOKUP($E159,Sheet3!$H$2:$O$200,V$1,FALSE),VLOOKUP($F159,Sheet3!$H$2:$O$200,V$1,FALSE))),$I$1),$I$1)</f>
        <v>0</v>
      </c>
      <c r="W159" s="15">
        <f>IFERROR(IF(ISBLANK(P159),IFERROR(VLOOKUP($D159,Sheet3!$H$2:$O$200,W$1,FALSE),IFERROR(VLOOKUP($E159,Sheet3!$H$2:$O$200,W$1,FALSE),VLOOKUP($F159,Sheet3!$H$2:$O$200,W$1,FALSE))),$I$1),$I$1)</f>
        <v>0</v>
      </c>
      <c r="X159" s="15">
        <f>IFERROR(IF(ISBLANK(Q159),IFERROR(VLOOKUP($E159,Sheet3!$H$2:$O$200,X$1,FALSE),IFERROR(VLOOKUP($F159,Sheet3!$H$2:$O$200,X$1,FALSE),VLOOKUP($G159,Sheet3!$H$2:$O$200,X$1,FALSE))),$I$1),$I$1)</f>
        <v>0</v>
      </c>
      <c r="Y159" s="15">
        <f>IFERROR(IF(ISBLANK(R159),IFERROR(VLOOKUP($E159,Sheet3!$H$2:$O$200,Y$1,FALSE),IFERROR(VLOOKUP($F159,Sheet3!$H$2:$O$200,Y$1,FALSE),VLOOKUP($G159,Sheet3!$H$2:$O$200,Y$1,FALSE))),$I$1),$I$1)</f>
        <v>0</v>
      </c>
      <c r="Z159" s="15">
        <f>IFERROR(IF(ISBLANK(S159),IFERROR(VLOOKUP($E159,Sheet3!$H$2:$O$200,Z$1,FALSE),IFERROR(VLOOKUP($F159,Sheet3!$H$2:$O$200,Z$1,FALSE),VLOOKUP($G159,Sheet3!$H$2:$O$200,Z$1,FALSE))),$I$1),$I$1)</f>
        <v>0</v>
      </c>
      <c r="AA159" s="15">
        <f>IFERROR(IF(ISBLANK(T159),IFERROR(VLOOKUP($E159,Sheet3!$H$2:$O$200,AA$1,FALSE),IFERROR(VLOOKUP($F159,Sheet3!$H$2:$O$200,AA$1,FALSE),VLOOKUP($G159,Sheet3!$H$2:$O$200,AA$1,FALSE))),$I$1),$I$1)</f>
        <v>0</v>
      </c>
      <c r="AB159" s="15">
        <f>IFERROR(IF(ISBLANK(U159),IFERROR(VLOOKUP($E159,Sheet3!$H$2:$O$200,AB$1,FALSE),IFERROR(VLOOKUP($F159,Sheet3!$H$2:$O$200,AB$1,FALSE),VLOOKUP($G159,Sheet3!$H$2:$O$200,AB$1,FALSE))),$I$1),$I$1)</f>
        <v>0</v>
      </c>
      <c r="AC159" s="15">
        <f>IFERROR(IF(ISBLANK(V159),IFERROR(VLOOKUP($E159,Sheet3!$H$2:$O$200,AC$1,FALSE),IFERROR(VLOOKUP($F159,Sheet3!$H$2:$O$200,AC$1,FALSE),VLOOKUP($G159,Sheet3!$H$2:$O$200,AC$1,FALSE))),$I$1),$I$1)</f>
        <v>0</v>
      </c>
      <c r="AD159" s="15">
        <f>IFERROR(IF(ISBLANK(W159),IFERROR(VLOOKUP($E159,Sheet3!$H$2:$O$200,AD$1,FALSE),IFERROR(VLOOKUP($F159,Sheet3!$H$2:$O$200,AD$1,FALSE),VLOOKUP($G159,Sheet3!$H$2:$O$200,AD$1,FALSE))),$I$1),$I$1)</f>
        <v>0</v>
      </c>
      <c r="AE159" s="15">
        <f>IFERROR(IF(ISBLANK(X159),IFERROR(VLOOKUP($F159,Sheet3!$H$2:$O$200,AE$1,FALSE),VLOOKUP($G159,Sheet3!$H$2:$O$200,AE$1,FALSE)),$I$1),$I$1)</f>
        <v>0</v>
      </c>
      <c r="AF159" s="15">
        <f>IFERROR(IF(ISBLANK(Y159),IFERROR(VLOOKUP($F159,Sheet3!$H$2:$O$200,AF$1,FALSE),VLOOKUP($G159,Sheet3!$H$2:$O$200,AF$1,FALSE)),$I$1),$I$1)</f>
        <v>0</v>
      </c>
      <c r="AG159" s="15">
        <f>IFERROR(IF(ISBLANK(Z159),IFERROR(VLOOKUP($F159,Sheet3!$H$2:$O$200,AG$1,FALSE),VLOOKUP($G159,Sheet3!$H$2:$O$200,AG$1,FALSE)),$I$1),$I$1)</f>
        <v>0</v>
      </c>
      <c r="AH159" s="15">
        <f>IFERROR(IF(ISBLANK(AA159),IFERROR(VLOOKUP($F159,Sheet3!$H$2:$O$200,AH$1,FALSE),VLOOKUP($G159,Sheet3!$H$2:$O$200,AH$1,FALSE)),$I$1),$I$1)</f>
        <v>0</v>
      </c>
      <c r="AI159" s="15">
        <f>IFERROR(IF(ISBLANK(AB159),IFERROR(VLOOKUP($F159,Sheet3!$H$2:$O$200,AI$1,FALSE),VLOOKUP($G159,Sheet3!$H$2:$O$200,AI$1,FALSE)),$I$1),$I$1)</f>
        <v>0</v>
      </c>
      <c r="AJ159" s="15">
        <f>IFERROR(IF(ISBLANK(AC159),IFERROR(VLOOKUP($F159,Sheet3!$H$2:$O$200,AJ$1,FALSE),VLOOKUP($G159,Sheet3!$H$2:$O$200,AJ$1,FALSE)),$I$1),$I$1)</f>
        <v>0</v>
      </c>
      <c r="AK159" s="15">
        <f>IFERROR(IF(ISBLANK(AD159),IFERROR(VLOOKUP($F159,Sheet3!$H$2:$O$200,AK$1,FALSE),VLOOKUP($G159,Sheet3!$H$2:$O$200,AK$1,FALSE)),$I$1),$I$1)</f>
        <v>0</v>
      </c>
      <c r="AL159" s="15">
        <f>IFERROR(IF(ISBLANK(AE159),VLOOKUP($G159,Sheet3!$H$2:$O$200,AL$1,FALSE),$I$1),$I$1)</f>
        <v>0</v>
      </c>
      <c r="AM159" s="15">
        <f>IFERROR(IF(ISBLANK(AF159),VLOOKUP($G159,Sheet3!$H$2:$O$200,AM$1,FALSE),$I$1),$I$1)</f>
        <v>0</v>
      </c>
      <c r="AN159" s="15">
        <f>IFERROR(IF(ISBLANK(AG159),VLOOKUP($G159,Sheet3!$H$2:$O$200,AN$1,FALSE),$I$1),$I$1)</f>
        <v>0</v>
      </c>
      <c r="AO159" s="15">
        <f>IFERROR(IF(ISBLANK(AH159),VLOOKUP($G159,Sheet3!$H$2:$O$200,AO$1,FALSE),$I$1),$I$1)</f>
        <v>0</v>
      </c>
      <c r="AP159" s="15">
        <f>IFERROR(IF(ISBLANK(AI159),VLOOKUP($G159,Sheet3!$H$2:$O$200,AP$1,FALSE),$I$1),$I$1)</f>
        <v>0</v>
      </c>
      <c r="AQ159" s="15">
        <f>IFERROR(IF(ISBLANK(AJ159),VLOOKUP($G159,Sheet3!$H$2:$O$200,AQ$1,FALSE),$I$1),$I$1)</f>
        <v>0</v>
      </c>
      <c r="AR159" s="15">
        <f>IFERROR(IF(ISBLANK(AK159),VLOOKUP($G159,Sheet3!$H$2:$O$200,AR$1,FALSE),$I$1),$I$1)</f>
        <v>0</v>
      </c>
      <c r="AS159" s="15">
        <f t="shared" ref="AS159:AY159" si="166">IFERROR(IF(ISBLANK(J159),IF(ISBLANK(Q159),IF(ISBLANK(X159),IF(ISBLANK(AE159),IF(ISBLANK(AL159),$BB$1,AL159),AE159),X159),Q159),J159),$BB$1)</f>
        <v>0</v>
      </c>
      <c r="AT159" s="15">
        <f t="shared" si="166"/>
        <v>0</v>
      </c>
      <c r="AU159" s="15">
        <f t="shared" si="166"/>
        <v>0</v>
      </c>
      <c r="AV159" s="15" t="str">
        <f t="shared" si="166"/>
        <v>Drambuie</v>
      </c>
      <c r="AW159" s="15">
        <f t="shared" si="166"/>
        <v>0</v>
      </c>
      <c r="AX159" s="15">
        <f t="shared" si="166"/>
        <v>0</v>
      </c>
      <c r="AY159" s="15">
        <f t="shared" si="166"/>
        <v>0</v>
      </c>
      <c r="BA159" s="13">
        <f t="shared" si="1"/>
        <v>35</v>
      </c>
      <c r="BB159" s="15" t="b">
        <f t="shared" si="2"/>
        <v>0</v>
      </c>
    </row>
    <row r="160" spans="1:54" x14ac:dyDescent="0.2">
      <c r="A160" s="19" t="s">
        <v>324</v>
      </c>
      <c r="B160" s="19" t="s">
        <v>317</v>
      </c>
      <c r="C160" s="19" t="s">
        <v>48</v>
      </c>
      <c r="D160" s="19"/>
      <c r="E160" s="19" t="s">
        <v>263</v>
      </c>
      <c r="F160" s="19"/>
      <c r="G160" s="19"/>
      <c r="H160" s="19" t="s">
        <v>324</v>
      </c>
      <c r="I160" s="15">
        <v>2</v>
      </c>
      <c r="J160" s="15">
        <f>IFERROR(VLOOKUP($C160,Sheet3!$H$2:$O$200,J$1,FALSE),IFERROR(VLOOKUP($D160,Sheet3!$H$2:$O$200,J$1,FALSE),VLOOKUP($E160,Sheet3!$H$2:$O$200,J$1,FALSE)))</f>
        <v>0</v>
      </c>
      <c r="K160" s="15">
        <f>IFERROR(VLOOKUP($C160,Sheet3!$H$2:$O$200,K$1,FALSE),IFERROR(VLOOKUP($D160,Sheet3!$H$2:$O$200,K$1,FALSE),VLOOKUP($E160,Sheet3!$H$2:$O$200,K$1,FALSE)))</f>
        <v>0</v>
      </c>
      <c r="L160" s="15">
        <f>IFERROR(VLOOKUP($C160,Sheet3!$H$2:$O$200,L$1,FALSE),IFERROR(VLOOKUP($D160,Sheet3!$H$2:$O$200,L$1,FALSE),VLOOKUP($E160,Sheet3!$H$2:$O$200,L$1,FALSE)))</f>
        <v>0</v>
      </c>
      <c r="M160" s="15" t="str">
        <f>IFERROR(VLOOKUP($C160,Sheet3!$H$2:$O$200,M$1,FALSE),IFERROR(VLOOKUP($D160,Sheet3!$H$2:$O$200,M$1,FALSE),VLOOKUP($E160,Sheet3!$H$2:$O$200,M$1,FALSE)))</f>
        <v>sweet vermouth</v>
      </c>
      <c r="N160" s="15">
        <f>IFERROR(VLOOKUP($C160,Sheet3!$H$2:$O$200,N$1,FALSE),IFERROR(VLOOKUP($D160,Sheet3!$H$2:$O$200,N$1,FALSE),VLOOKUP($E160,Sheet3!$H$2:$O$200,N$1,FALSE)))</f>
        <v>0</v>
      </c>
      <c r="O160" s="15">
        <f>IFERROR(VLOOKUP($C160,Sheet3!$H$2:$O$200,O$1,FALSE),IFERROR(VLOOKUP($D160,Sheet3!$H$2:$O$200,O$1,FALSE),VLOOKUP($E160,Sheet3!$H$2:$O$200,O$1,FALSE)))</f>
        <v>0</v>
      </c>
      <c r="P160" s="15">
        <f>IFERROR(VLOOKUP($C160,Sheet3!$H$2:$O$200,P$1,FALSE),IFERROR(VLOOKUP($D160,Sheet3!$H$2:$O$200,P$1,FALSE),VLOOKUP($E160,Sheet3!$H$2:$O$200,P$1,FALSE)))</f>
        <v>0</v>
      </c>
      <c r="Q160" s="15">
        <f>IFERROR(IF(ISBLANK(J160),IFERROR(VLOOKUP($D160,Sheet3!$H$2:$O$200,Q$1,FALSE),IFERROR(VLOOKUP($E160,Sheet3!$H$2:$O$200,Q$1,FALSE),VLOOKUP($F160,Sheet3!$H$2:$O$200,Q$1,FALSE))),$I$1),$I$1)</f>
        <v>0</v>
      </c>
      <c r="R160" s="15">
        <f>IFERROR(IF(ISBLANK(K160),IFERROR(VLOOKUP($D160,Sheet3!$H$2:$O$200,R$1,FALSE),IFERROR(VLOOKUP($E160,Sheet3!$H$2:$O$200,R$1,FALSE),VLOOKUP($F160,Sheet3!$H$2:$O$200,R$1,FALSE))),$I$1),$I$1)</f>
        <v>0</v>
      </c>
      <c r="S160" s="15">
        <f>IFERROR(IF(ISBLANK(L160),IFERROR(VLOOKUP($D160,Sheet3!$H$2:$O$200,S$1,FALSE),IFERROR(VLOOKUP($E160,Sheet3!$H$2:$O$200,S$1,FALSE),VLOOKUP($F160,Sheet3!$H$2:$O$200,S$1,FALSE))),$I$1),$I$1)</f>
        <v>0</v>
      </c>
      <c r="T160" s="15">
        <f>IFERROR(IF(ISBLANK(M160),IFERROR(VLOOKUP($D160,Sheet3!$H$2:$O$200,T$1,FALSE),IFERROR(VLOOKUP($E160,Sheet3!$H$2:$O$200,T$1,FALSE),VLOOKUP($F160,Sheet3!$H$2:$O$200,T$1,FALSE))),$I$1),$I$1)</f>
        <v>0</v>
      </c>
      <c r="U160" s="15">
        <f>IFERROR(IF(ISBLANK(N160),IFERROR(VLOOKUP($D160,Sheet3!$H$2:$O$200,U$1,FALSE),IFERROR(VLOOKUP($E160,Sheet3!$H$2:$O$200,U$1,FALSE),VLOOKUP($F160,Sheet3!$H$2:$O$200,U$1,FALSE))),$I$1),$I$1)</f>
        <v>0</v>
      </c>
      <c r="V160" s="15">
        <f>IFERROR(IF(ISBLANK(O160),IFERROR(VLOOKUP($D160,Sheet3!$H$2:$O$200,V$1,FALSE),IFERROR(VLOOKUP($E160,Sheet3!$H$2:$O$200,V$1,FALSE),VLOOKUP($F160,Sheet3!$H$2:$O$200,V$1,FALSE))),$I$1),$I$1)</f>
        <v>0</v>
      </c>
      <c r="W160" s="15">
        <f>IFERROR(IF(ISBLANK(P160),IFERROR(VLOOKUP($D160,Sheet3!$H$2:$O$200,W$1,FALSE),IFERROR(VLOOKUP($E160,Sheet3!$H$2:$O$200,W$1,FALSE),VLOOKUP($F160,Sheet3!$H$2:$O$200,W$1,FALSE))),$I$1),$I$1)</f>
        <v>0</v>
      </c>
      <c r="X160" s="15">
        <f>IFERROR(IF(ISBLANK(Q160),IFERROR(VLOOKUP($E160,Sheet3!$H$2:$O$200,X$1,FALSE),IFERROR(VLOOKUP($F160,Sheet3!$H$2:$O$200,X$1,FALSE),VLOOKUP($G160,Sheet3!$H$2:$O$200,X$1,FALSE))),$I$1),$I$1)</f>
        <v>0</v>
      </c>
      <c r="Y160" s="15">
        <f>IFERROR(IF(ISBLANK(R160),IFERROR(VLOOKUP($E160,Sheet3!$H$2:$O$200,Y$1,FALSE),IFERROR(VLOOKUP($F160,Sheet3!$H$2:$O$200,Y$1,FALSE),VLOOKUP($G160,Sheet3!$H$2:$O$200,Y$1,FALSE))),$I$1),$I$1)</f>
        <v>0</v>
      </c>
      <c r="Z160" s="15">
        <f>IFERROR(IF(ISBLANK(S160),IFERROR(VLOOKUP($E160,Sheet3!$H$2:$O$200,Z$1,FALSE),IFERROR(VLOOKUP($F160,Sheet3!$H$2:$O$200,Z$1,FALSE),VLOOKUP($G160,Sheet3!$H$2:$O$200,Z$1,FALSE))),$I$1),$I$1)</f>
        <v>0</v>
      </c>
      <c r="AA160" s="15">
        <f>IFERROR(IF(ISBLANK(T160),IFERROR(VLOOKUP($E160,Sheet3!$H$2:$O$200,AA$1,FALSE),IFERROR(VLOOKUP($F160,Sheet3!$H$2:$O$200,AA$1,FALSE),VLOOKUP($G160,Sheet3!$H$2:$O$200,AA$1,FALSE))),$I$1),$I$1)</f>
        <v>0</v>
      </c>
      <c r="AB160" s="15">
        <f>IFERROR(IF(ISBLANK(U160),IFERROR(VLOOKUP($E160,Sheet3!$H$2:$O$200,AB$1,FALSE),IFERROR(VLOOKUP($F160,Sheet3!$H$2:$O$200,AB$1,FALSE),VLOOKUP($G160,Sheet3!$H$2:$O$200,AB$1,FALSE))),$I$1),$I$1)</f>
        <v>0</v>
      </c>
      <c r="AC160" s="15">
        <f>IFERROR(IF(ISBLANK(V160),IFERROR(VLOOKUP($E160,Sheet3!$H$2:$O$200,AC$1,FALSE),IFERROR(VLOOKUP($F160,Sheet3!$H$2:$O$200,AC$1,FALSE),VLOOKUP($G160,Sheet3!$H$2:$O$200,AC$1,FALSE))),$I$1),$I$1)</f>
        <v>0</v>
      </c>
      <c r="AD160" s="15">
        <f>IFERROR(IF(ISBLANK(W160),IFERROR(VLOOKUP($E160,Sheet3!$H$2:$O$200,AD$1,FALSE),IFERROR(VLOOKUP($F160,Sheet3!$H$2:$O$200,AD$1,FALSE),VLOOKUP($G160,Sheet3!$H$2:$O$200,AD$1,FALSE))),$I$1),$I$1)</f>
        <v>0</v>
      </c>
      <c r="AE160" s="15">
        <f>IFERROR(IF(ISBLANK(X160),IFERROR(VLOOKUP($F160,Sheet3!$H$2:$O$200,AE$1,FALSE),VLOOKUP($G160,Sheet3!$H$2:$O$200,AE$1,FALSE)),$I$1),$I$1)</f>
        <v>0</v>
      </c>
      <c r="AF160" s="15">
        <f>IFERROR(IF(ISBLANK(Y160),IFERROR(VLOOKUP($F160,Sheet3!$H$2:$O$200,AF$1,FALSE),VLOOKUP($G160,Sheet3!$H$2:$O$200,AF$1,FALSE)),$I$1),$I$1)</f>
        <v>0</v>
      </c>
      <c r="AG160" s="15">
        <f>IFERROR(IF(ISBLANK(Z160),IFERROR(VLOOKUP($F160,Sheet3!$H$2:$O$200,AG$1,FALSE),VLOOKUP($G160,Sheet3!$H$2:$O$200,AG$1,FALSE)),$I$1),$I$1)</f>
        <v>0</v>
      </c>
      <c r="AH160" s="15">
        <f>IFERROR(IF(ISBLANK(AA160),IFERROR(VLOOKUP($F160,Sheet3!$H$2:$O$200,AH$1,FALSE),VLOOKUP($G160,Sheet3!$H$2:$O$200,AH$1,FALSE)),$I$1),$I$1)</f>
        <v>0</v>
      </c>
      <c r="AI160" s="15">
        <f>IFERROR(IF(ISBLANK(AB160),IFERROR(VLOOKUP($F160,Sheet3!$H$2:$O$200,AI$1,FALSE),VLOOKUP($G160,Sheet3!$H$2:$O$200,AI$1,FALSE)),$I$1),$I$1)</f>
        <v>0</v>
      </c>
      <c r="AJ160" s="15">
        <f>IFERROR(IF(ISBLANK(AC160),IFERROR(VLOOKUP($F160,Sheet3!$H$2:$O$200,AJ$1,FALSE),VLOOKUP($G160,Sheet3!$H$2:$O$200,AJ$1,FALSE)),$I$1),$I$1)</f>
        <v>0</v>
      </c>
      <c r="AK160" s="15">
        <f>IFERROR(IF(ISBLANK(AD160),IFERROR(VLOOKUP($F160,Sheet3!$H$2:$O$200,AK$1,FALSE),VLOOKUP($G160,Sheet3!$H$2:$O$200,AK$1,FALSE)),$I$1),$I$1)</f>
        <v>0</v>
      </c>
      <c r="AL160" s="15">
        <f>IFERROR(IF(ISBLANK(AE160),VLOOKUP($G160,Sheet3!$H$2:$O$200,AL$1,FALSE),$I$1),$I$1)</f>
        <v>0</v>
      </c>
      <c r="AM160" s="15">
        <f>IFERROR(IF(ISBLANK(AF160),VLOOKUP($G160,Sheet3!$H$2:$O$200,AM$1,FALSE),$I$1),$I$1)</f>
        <v>0</v>
      </c>
      <c r="AN160" s="15">
        <f>IFERROR(IF(ISBLANK(AG160),VLOOKUP($G160,Sheet3!$H$2:$O$200,AN$1,FALSE),$I$1),$I$1)</f>
        <v>0</v>
      </c>
      <c r="AO160" s="15">
        <f>IFERROR(IF(ISBLANK(AH160),VLOOKUP($G160,Sheet3!$H$2:$O$200,AO$1,FALSE),$I$1),$I$1)</f>
        <v>0</v>
      </c>
      <c r="AP160" s="15">
        <f>IFERROR(IF(ISBLANK(AI160),VLOOKUP($G160,Sheet3!$H$2:$O$200,AP$1,FALSE),$I$1),$I$1)</f>
        <v>0</v>
      </c>
      <c r="AQ160" s="15">
        <f>IFERROR(IF(ISBLANK(AJ160),VLOOKUP($G160,Sheet3!$H$2:$O$200,AQ$1,FALSE),$I$1),$I$1)</f>
        <v>0</v>
      </c>
      <c r="AR160" s="15">
        <f>IFERROR(IF(ISBLANK(AK160),VLOOKUP($G160,Sheet3!$H$2:$O$200,AR$1,FALSE),$I$1),$I$1)</f>
        <v>0</v>
      </c>
      <c r="AS160" s="15">
        <f t="shared" ref="AS160:AY160" si="167">IFERROR(IF(ISBLANK(J160),IF(ISBLANK(Q160),IF(ISBLANK(X160),IF(ISBLANK(AE160),IF(ISBLANK(AL160),$BB$1,AL160),AE160),X160),Q160),J160),$BB$1)</f>
        <v>0</v>
      </c>
      <c r="AT160" s="15">
        <f t="shared" si="167"/>
        <v>0</v>
      </c>
      <c r="AU160" s="15">
        <f t="shared" si="167"/>
        <v>0</v>
      </c>
      <c r="AV160" s="15" t="str">
        <f t="shared" si="167"/>
        <v>sweet vermouth</v>
      </c>
      <c r="AW160" s="15">
        <f t="shared" si="167"/>
        <v>0</v>
      </c>
      <c r="AX160" s="15">
        <f t="shared" si="167"/>
        <v>0</v>
      </c>
      <c r="AY160" s="15">
        <f t="shared" si="167"/>
        <v>0</v>
      </c>
      <c r="BA160" s="13">
        <f t="shared" si="1"/>
        <v>35</v>
      </c>
      <c r="BB160" s="15" t="b">
        <f t="shared" si="2"/>
        <v>0</v>
      </c>
    </row>
    <row r="161" spans="1:54" x14ac:dyDescent="0.2">
      <c r="A161" s="19" t="s">
        <v>325</v>
      </c>
      <c r="B161" s="19" t="s">
        <v>317</v>
      </c>
      <c r="C161" s="19" t="s">
        <v>48</v>
      </c>
      <c r="D161" s="19"/>
      <c r="E161" s="19" t="s">
        <v>68</v>
      </c>
      <c r="F161" s="19"/>
      <c r="G161" s="19"/>
      <c r="H161" s="19" t="s">
        <v>325</v>
      </c>
      <c r="I161" s="15">
        <v>2</v>
      </c>
      <c r="J161" s="15">
        <f>IFERROR(VLOOKUP($C161,Sheet3!$H$2:$O$200,J$1,FALSE),IFERROR(VLOOKUP($D161,Sheet3!$H$2:$O$200,J$1,FALSE),VLOOKUP($E161,Sheet3!$H$2:$O$200,J$1,FALSE)))</f>
        <v>0</v>
      </c>
      <c r="K161" s="15">
        <f>IFERROR(VLOOKUP($C161,Sheet3!$H$2:$O$200,K$1,FALSE),IFERROR(VLOOKUP($D161,Sheet3!$H$2:$O$200,K$1,FALSE),VLOOKUP($E161,Sheet3!$H$2:$O$200,K$1,FALSE)))</f>
        <v>0</v>
      </c>
      <c r="L161" s="15">
        <f>IFERROR(VLOOKUP($C161,Sheet3!$H$2:$O$200,L$1,FALSE),IFERROR(VLOOKUP($D161,Sheet3!$H$2:$O$200,L$1,FALSE),VLOOKUP($E161,Sheet3!$H$2:$O$200,L$1,FALSE)))</f>
        <v>0</v>
      </c>
      <c r="M161" s="15" t="str">
        <f>IFERROR(VLOOKUP($C161,Sheet3!$H$2:$O$200,M$1,FALSE),IFERROR(VLOOKUP($D161,Sheet3!$H$2:$O$200,M$1,FALSE),VLOOKUP($E161,Sheet3!$H$2:$O$200,M$1,FALSE)))</f>
        <v>sweet vermouth</v>
      </c>
      <c r="N161" s="15">
        <f>IFERROR(VLOOKUP($C161,Sheet3!$H$2:$O$200,N$1,FALSE),IFERROR(VLOOKUP($D161,Sheet3!$H$2:$O$200,N$1,FALSE),VLOOKUP($E161,Sheet3!$H$2:$O$200,N$1,FALSE)))</f>
        <v>0</v>
      </c>
      <c r="O161" s="15">
        <f>IFERROR(VLOOKUP($C161,Sheet3!$H$2:$O$200,O$1,FALSE),IFERROR(VLOOKUP($D161,Sheet3!$H$2:$O$200,O$1,FALSE),VLOOKUP($E161,Sheet3!$H$2:$O$200,O$1,FALSE)))</f>
        <v>0</v>
      </c>
      <c r="P161" s="15">
        <f>IFERROR(VLOOKUP($C161,Sheet3!$H$2:$O$200,P$1,FALSE),IFERROR(VLOOKUP($D161,Sheet3!$H$2:$O$200,P$1,FALSE),VLOOKUP($E161,Sheet3!$H$2:$O$200,P$1,FALSE)))</f>
        <v>0</v>
      </c>
      <c r="Q161" s="15">
        <f>IFERROR(IF(ISBLANK(J161),IFERROR(VLOOKUP($D161,Sheet3!$H$2:$O$200,Q$1,FALSE),IFERROR(VLOOKUP($E161,Sheet3!$H$2:$O$200,Q$1,FALSE),VLOOKUP($F161,Sheet3!$H$2:$O$200,Q$1,FALSE))),$I$1),$I$1)</f>
        <v>0</v>
      </c>
      <c r="R161" s="15">
        <f>IFERROR(IF(ISBLANK(K161),IFERROR(VLOOKUP($D161,Sheet3!$H$2:$O$200,R$1,FALSE),IFERROR(VLOOKUP($E161,Sheet3!$H$2:$O$200,R$1,FALSE),VLOOKUP($F161,Sheet3!$H$2:$O$200,R$1,FALSE))),$I$1),$I$1)</f>
        <v>0</v>
      </c>
      <c r="S161" s="15">
        <f>IFERROR(IF(ISBLANK(L161),IFERROR(VLOOKUP($D161,Sheet3!$H$2:$O$200,S$1,FALSE),IFERROR(VLOOKUP($E161,Sheet3!$H$2:$O$200,S$1,FALSE),VLOOKUP($F161,Sheet3!$H$2:$O$200,S$1,FALSE))),$I$1),$I$1)</f>
        <v>0</v>
      </c>
      <c r="T161" s="15">
        <f>IFERROR(IF(ISBLANK(M161),IFERROR(VLOOKUP($D161,Sheet3!$H$2:$O$200,T$1,FALSE),IFERROR(VLOOKUP($E161,Sheet3!$H$2:$O$200,T$1,FALSE),VLOOKUP($F161,Sheet3!$H$2:$O$200,T$1,FALSE))),$I$1),$I$1)</f>
        <v>0</v>
      </c>
      <c r="U161" s="15">
        <f>IFERROR(IF(ISBLANK(N161),IFERROR(VLOOKUP($D161,Sheet3!$H$2:$O$200,U$1,FALSE),IFERROR(VLOOKUP($E161,Sheet3!$H$2:$O$200,U$1,FALSE),VLOOKUP($F161,Sheet3!$H$2:$O$200,U$1,FALSE))),$I$1),$I$1)</f>
        <v>0</v>
      </c>
      <c r="V161" s="15">
        <f>IFERROR(IF(ISBLANK(O161),IFERROR(VLOOKUP($D161,Sheet3!$H$2:$O$200,V$1,FALSE),IFERROR(VLOOKUP($E161,Sheet3!$H$2:$O$200,V$1,FALSE),VLOOKUP($F161,Sheet3!$H$2:$O$200,V$1,FALSE))),$I$1),$I$1)</f>
        <v>0</v>
      </c>
      <c r="W161" s="15">
        <f>IFERROR(IF(ISBLANK(P161),IFERROR(VLOOKUP($D161,Sheet3!$H$2:$O$200,W$1,FALSE),IFERROR(VLOOKUP($E161,Sheet3!$H$2:$O$200,W$1,FALSE),VLOOKUP($F161,Sheet3!$H$2:$O$200,W$1,FALSE))),$I$1),$I$1)</f>
        <v>0</v>
      </c>
      <c r="X161" s="15">
        <f>IFERROR(IF(ISBLANK(Q161),IFERROR(VLOOKUP($E161,Sheet3!$H$2:$O$200,X$1,FALSE),IFERROR(VLOOKUP($F161,Sheet3!$H$2:$O$200,X$1,FALSE),VLOOKUP($G161,Sheet3!$H$2:$O$200,X$1,FALSE))),$I$1),$I$1)</f>
        <v>0</v>
      </c>
      <c r="Y161" s="15">
        <f>IFERROR(IF(ISBLANK(R161),IFERROR(VLOOKUP($E161,Sheet3!$H$2:$O$200,Y$1,FALSE),IFERROR(VLOOKUP($F161,Sheet3!$H$2:$O$200,Y$1,FALSE),VLOOKUP($G161,Sheet3!$H$2:$O$200,Y$1,FALSE))),$I$1),$I$1)</f>
        <v>0</v>
      </c>
      <c r="Z161" s="15">
        <f>IFERROR(IF(ISBLANK(S161),IFERROR(VLOOKUP($E161,Sheet3!$H$2:$O$200,Z$1,FALSE),IFERROR(VLOOKUP($F161,Sheet3!$H$2:$O$200,Z$1,FALSE),VLOOKUP($G161,Sheet3!$H$2:$O$200,Z$1,FALSE))),$I$1),$I$1)</f>
        <v>0</v>
      </c>
      <c r="AA161" s="15">
        <f>IFERROR(IF(ISBLANK(T161),IFERROR(VLOOKUP($E161,Sheet3!$H$2:$O$200,AA$1,FALSE),IFERROR(VLOOKUP($F161,Sheet3!$H$2:$O$200,AA$1,FALSE),VLOOKUP($G161,Sheet3!$H$2:$O$200,AA$1,FALSE))),$I$1),$I$1)</f>
        <v>0</v>
      </c>
      <c r="AB161" s="15">
        <f>IFERROR(IF(ISBLANK(U161),IFERROR(VLOOKUP($E161,Sheet3!$H$2:$O$200,AB$1,FALSE),IFERROR(VLOOKUP($F161,Sheet3!$H$2:$O$200,AB$1,FALSE),VLOOKUP($G161,Sheet3!$H$2:$O$200,AB$1,FALSE))),$I$1),$I$1)</f>
        <v>0</v>
      </c>
      <c r="AC161" s="15">
        <f>IFERROR(IF(ISBLANK(V161),IFERROR(VLOOKUP($E161,Sheet3!$H$2:$O$200,AC$1,FALSE),IFERROR(VLOOKUP($F161,Sheet3!$H$2:$O$200,AC$1,FALSE),VLOOKUP($G161,Sheet3!$H$2:$O$200,AC$1,FALSE))),$I$1),$I$1)</f>
        <v>0</v>
      </c>
      <c r="AD161" s="15">
        <f>IFERROR(IF(ISBLANK(W161),IFERROR(VLOOKUP($E161,Sheet3!$H$2:$O$200,AD$1,FALSE),IFERROR(VLOOKUP($F161,Sheet3!$H$2:$O$200,AD$1,FALSE),VLOOKUP($G161,Sheet3!$H$2:$O$200,AD$1,FALSE))),$I$1),$I$1)</f>
        <v>0</v>
      </c>
      <c r="AE161" s="15">
        <f>IFERROR(IF(ISBLANK(X161),IFERROR(VLOOKUP($F161,Sheet3!$H$2:$O$200,AE$1,FALSE),VLOOKUP($G161,Sheet3!$H$2:$O$200,AE$1,FALSE)),$I$1),$I$1)</f>
        <v>0</v>
      </c>
      <c r="AF161" s="15">
        <f>IFERROR(IF(ISBLANK(Y161),IFERROR(VLOOKUP($F161,Sheet3!$H$2:$O$200,AF$1,FALSE),VLOOKUP($G161,Sheet3!$H$2:$O$200,AF$1,FALSE)),$I$1),$I$1)</f>
        <v>0</v>
      </c>
      <c r="AG161" s="15">
        <f>IFERROR(IF(ISBLANK(Z161),IFERROR(VLOOKUP($F161,Sheet3!$H$2:$O$200,AG$1,FALSE),VLOOKUP($G161,Sheet3!$H$2:$O$200,AG$1,FALSE)),$I$1),$I$1)</f>
        <v>0</v>
      </c>
      <c r="AH161" s="15">
        <f>IFERROR(IF(ISBLANK(AA161),IFERROR(VLOOKUP($F161,Sheet3!$H$2:$O$200,AH$1,FALSE),VLOOKUP($G161,Sheet3!$H$2:$O$200,AH$1,FALSE)),$I$1),$I$1)</f>
        <v>0</v>
      </c>
      <c r="AI161" s="15">
        <f>IFERROR(IF(ISBLANK(AB161),IFERROR(VLOOKUP($F161,Sheet3!$H$2:$O$200,AI$1,FALSE),VLOOKUP($G161,Sheet3!$H$2:$O$200,AI$1,FALSE)),$I$1),$I$1)</f>
        <v>0</v>
      </c>
      <c r="AJ161" s="15">
        <f>IFERROR(IF(ISBLANK(AC161),IFERROR(VLOOKUP($F161,Sheet3!$H$2:$O$200,AJ$1,FALSE),VLOOKUP($G161,Sheet3!$H$2:$O$200,AJ$1,FALSE)),$I$1),$I$1)</f>
        <v>0</v>
      </c>
      <c r="AK161" s="15">
        <f>IFERROR(IF(ISBLANK(AD161),IFERROR(VLOOKUP($F161,Sheet3!$H$2:$O$200,AK$1,FALSE),VLOOKUP($G161,Sheet3!$H$2:$O$200,AK$1,FALSE)),$I$1),$I$1)</f>
        <v>0</v>
      </c>
      <c r="AL161" s="15">
        <f>IFERROR(IF(ISBLANK(AE161),VLOOKUP($G161,Sheet3!$H$2:$O$200,AL$1,FALSE),$I$1),$I$1)</f>
        <v>0</v>
      </c>
      <c r="AM161" s="15">
        <f>IFERROR(IF(ISBLANK(AF161),VLOOKUP($G161,Sheet3!$H$2:$O$200,AM$1,FALSE),$I$1),$I$1)</f>
        <v>0</v>
      </c>
      <c r="AN161" s="15">
        <f>IFERROR(IF(ISBLANK(AG161),VLOOKUP($G161,Sheet3!$H$2:$O$200,AN$1,FALSE),$I$1),$I$1)</f>
        <v>0</v>
      </c>
      <c r="AO161" s="15">
        <f>IFERROR(IF(ISBLANK(AH161),VLOOKUP($G161,Sheet3!$H$2:$O$200,AO$1,FALSE),$I$1),$I$1)</f>
        <v>0</v>
      </c>
      <c r="AP161" s="15">
        <f>IFERROR(IF(ISBLANK(AI161),VLOOKUP($G161,Sheet3!$H$2:$O$200,AP$1,FALSE),$I$1),$I$1)</f>
        <v>0</v>
      </c>
      <c r="AQ161" s="15">
        <f>IFERROR(IF(ISBLANK(AJ161),VLOOKUP($G161,Sheet3!$H$2:$O$200,AQ$1,FALSE),$I$1),$I$1)</f>
        <v>0</v>
      </c>
      <c r="AR161" s="15">
        <f>IFERROR(IF(ISBLANK(AK161),VLOOKUP($G161,Sheet3!$H$2:$O$200,AR$1,FALSE),$I$1),$I$1)</f>
        <v>0</v>
      </c>
      <c r="AS161" s="15">
        <f t="shared" ref="AS161:AY161" si="168">IFERROR(IF(ISBLANK(J161),IF(ISBLANK(Q161),IF(ISBLANK(X161),IF(ISBLANK(AE161),IF(ISBLANK(AL161),$BB$1,AL161),AE161),X161),Q161),J161),$BB$1)</f>
        <v>0</v>
      </c>
      <c r="AT161" s="15">
        <f t="shared" si="168"/>
        <v>0</v>
      </c>
      <c r="AU161" s="15">
        <f t="shared" si="168"/>
        <v>0</v>
      </c>
      <c r="AV161" s="15" t="str">
        <f t="shared" si="168"/>
        <v>sweet vermouth</v>
      </c>
      <c r="AW161" s="15">
        <f t="shared" si="168"/>
        <v>0</v>
      </c>
      <c r="AX161" s="15">
        <f t="shared" si="168"/>
        <v>0</v>
      </c>
      <c r="AY161" s="15">
        <f t="shared" si="168"/>
        <v>0</v>
      </c>
      <c r="BA161" s="13">
        <f t="shared" si="1"/>
        <v>35</v>
      </c>
      <c r="BB161" s="15" t="b">
        <f t="shared" si="2"/>
        <v>0</v>
      </c>
    </row>
    <row r="162" spans="1:54" x14ac:dyDescent="0.2">
      <c r="A162" s="19" t="s">
        <v>326</v>
      </c>
      <c r="B162" s="19" t="s">
        <v>317</v>
      </c>
      <c r="C162" s="19" t="s">
        <v>48</v>
      </c>
      <c r="D162" s="19" t="s">
        <v>126</v>
      </c>
      <c r="E162" s="19" t="s">
        <v>70</v>
      </c>
      <c r="F162" s="19"/>
      <c r="G162" s="19"/>
      <c r="H162" s="19" t="s">
        <v>326</v>
      </c>
      <c r="I162" s="15">
        <v>3</v>
      </c>
      <c r="J162" s="15">
        <f>IFERROR(VLOOKUP($C162,Sheet3!$H$2:$O$200,J$1,FALSE),IFERROR(VLOOKUP($D162,Sheet3!$H$2:$O$200,J$1,FALSE),VLOOKUP($E162,Sheet3!$H$2:$O$200,J$1,FALSE)))</f>
        <v>0</v>
      </c>
      <c r="K162" s="15">
        <f>IFERROR(VLOOKUP($C162,Sheet3!$H$2:$O$200,K$1,FALSE),IFERROR(VLOOKUP($D162,Sheet3!$H$2:$O$200,K$1,FALSE),VLOOKUP($E162,Sheet3!$H$2:$O$200,K$1,FALSE)))</f>
        <v>0</v>
      </c>
      <c r="L162" s="15">
        <f>IFERROR(VLOOKUP($C162,Sheet3!$H$2:$O$200,L$1,FALSE),IFERROR(VLOOKUP($D162,Sheet3!$H$2:$O$200,L$1,FALSE),VLOOKUP($E162,Sheet3!$H$2:$O$200,L$1,FALSE)))</f>
        <v>0</v>
      </c>
      <c r="M162" s="15" t="str">
        <f>IFERROR(VLOOKUP($C162,Sheet3!$H$2:$O$200,M$1,FALSE),IFERROR(VLOOKUP($D162,Sheet3!$H$2:$O$200,M$1,FALSE),VLOOKUP($E162,Sheet3!$H$2:$O$200,M$1,FALSE)))</f>
        <v>sweet vermouth</v>
      </c>
      <c r="N162" s="15">
        <f>IFERROR(VLOOKUP($C162,Sheet3!$H$2:$O$200,N$1,FALSE),IFERROR(VLOOKUP($D162,Sheet3!$H$2:$O$200,N$1,FALSE),VLOOKUP($E162,Sheet3!$H$2:$O$200,N$1,FALSE)))</f>
        <v>0</v>
      </c>
      <c r="O162" s="15">
        <f>IFERROR(VLOOKUP($C162,Sheet3!$H$2:$O$200,O$1,FALSE),IFERROR(VLOOKUP($D162,Sheet3!$H$2:$O$200,O$1,FALSE),VLOOKUP($E162,Sheet3!$H$2:$O$200,O$1,FALSE)))</f>
        <v>0</v>
      </c>
      <c r="P162" s="15">
        <f>IFERROR(VLOOKUP($C162,Sheet3!$H$2:$O$200,P$1,FALSE),IFERROR(VLOOKUP($D162,Sheet3!$H$2:$O$200,P$1,FALSE),VLOOKUP($E162,Sheet3!$H$2:$O$200,P$1,FALSE)))</f>
        <v>0</v>
      </c>
      <c r="Q162" s="15">
        <f>IFERROR(IF(ISBLANK(J162),IFERROR(VLOOKUP($D162,Sheet3!$H$2:$O$200,Q$1,FALSE),IFERROR(VLOOKUP($E162,Sheet3!$H$2:$O$200,Q$1,FALSE),VLOOKUP($F162,Sheet3!$H$2:$O$200,Q$1,FALSE))),$I$1),$I$1)</f>
        <v>0</v>
      </c>
      <c r="R162" s="15">
        <f>IFERROR(IF(ISBLANK(K162),IFERROR(VLOOKUP($D162,Sheet3!$H$2:$O$200,R$1,FALSE),IFERROR(VLOOKUP($E162,Sheet3!$H$2:$O$200,R$1,FALSE),VLOOKUP($F162,Sheet3!$H$2:$O$200,R$1,FALSE))),$I$1),$I$1)</f>
        <v>0</v>
      </c>
      <c r="S162" s="15">
        <f>IFERROR(IF(ISBLANK(L162),IFERROR(VLOOKUP($D162,Sheet3!$H$2:$O$200,S$1,FALSE),IFERROR(VLOOKUP($E162,Sheet3!$H$2:$O$200,S$1,FALSE),VLOOKUP($F162,Sheet3!$H$2:$O$200,S$1,FALSE))),$I$1),$I$1)</f>
        <v>0</v>
      </c>
      <c r="T162" s="15">
        <f>IFERROR(IF(ISBLANK(M162),IFERROR(VLOOKUP($D162,Sheet3!$H$2:$O$200,T$1,FALSE),IFERROR(VLOOKUP($E162,Sheet3!$H$2:$O$200,T$1,FALSE),VLOOKUP($F162,Sheet3!$H$2:$O$200,T$1,FALSE))),$I$1),$I$1)</f>
        <v>0</v>
      </c>
      <c r="U162" s="15">
        <f>IFERROR(IF(ISBLANK(N162),IFERROR(VLOOKUP($D162,Sheet3!$H$2:$O$200,U$1,FALSE),IFERROR(VLOOKUP($E162,Sheet3!$H$2:$O$200,U$1,FALSE),VLOOKUP($F162,Sheet3!$H$2:$O$200,U$1,FALSE))),$I$1),$I$1)</f>
        <v>0</v>
      </c>
      <c r="V162" s="15">
        <f>IFERROR(IF(ISBLANK(O162),IFERROR(VLOOKUP($D162,Sheet3!$H$2:$O$200,V$1,FALSE),IFERROR(VLOOKUP($E162,Sheet3!$H$2:$O$200,V$1,FALSE),VLOOKUP($F162,Sheet3!$H$2:$O$200,V$1,FALSE))),$I$1),$I$1)</f>
        <v>0</v>
      </c>
      <c r="W162" s="15">
        <f>IFERROR(IF(ISBLANK(P162),IFERROR(VLOOKUP($D162,Sheet3!$H$2:$O$200,W$1,FALSE),IFERROR(VLOOKUP($E162,Sheet3!$H$2:$O$200,W$1,FALSE),VLOOKUP($F162,Sheet3!$H$2:$O$200,W$1,FALSE))),$I$1),$I$1)</f>
        <v>0</v>
      </c>
      <c r="X162" s="15">
        <f>IFERROR(IF(ISBLANK(Q162),IFERROR(VLOOKUP($E162,Sheet3!$H$2:$O$200,X$1,FALSE),IFERROR(VLOOKUP($F162,Sheet3!$H$2:$O$200,X$1,FALSE),VLOOKUP($G162,Sheet3!$H$2:$O$200,X$1,FALSE))),$I$1),$I$1)</f>
        <v>0</v>
      </c>
      <c r="Y162" s="15">
        <f>IFERROR(IF(ISBLANK(R162),IFERROR(VLOOKUP($E162,Sheet3!$H$2:$O$200,Y$1,FALSE),IFERROR(VLOOKUP($F162,Sheet3!$H$2:$O$200,Y$1,FALSE),VLOOKUP($G162,Sheet3!$H$2:$O$200,Y$1,FALSE))),$I$1),$I$1)</f>
        <v>0</v>
      </c>
      <c r="Z162" s="15">
        <f>IFERROR(IF(ISBLANK(S162),IFERROR(VLOOKUP($E162,Sheet3!$H$2:$O$200,Z$1,FALSE),IFERROR(VLOOKUP($F162,Sheet3!$H$2:$O$200,Z$1,FALSE),VLOOKUP($G162,Sheet3!$H$2:$O$200,Z$1,FALSE))),$I$1),$I$1)</f>
        <v>0</v>
      </c>
      <c r="AA162" s="15">
        <f>IFERROR(IF(ISBLANK(T162),IFERROR(VLOOKUP($E162,Sheet3!$H$2:$O$200,AA$1,FALSE),IFERROR(VLOOKUP($F162,Sheet3!$H$2:$O$200,AA$1,FALSE),VLOOKUP($G162,Sheet3!$H$2:$O$200,AA$1,FALSE))),$I$1),$I$1)</f>
        <v>0</v>
      </c>
      <c r="AB162" s="15">
        <f>IFERROR(IF(ISBLANK(U162),IFERROR(VLOOKUP($E162,Sheet3!$H$2:$O$200,AB$1,FALSE),IFERROR(VLOOKUP($F162,Sheet3!$H$2:$O$200,AB$1,FALSE),VLOOKUP($G162,Sheet3!$H$2:$O$200,AB$1,FALSE))),$I$1),$I$1)</f>
        <v>0</v>
      </c>
      <c r="AC162" s="15">
        <f>IFERROR(IF(ISBLANK(V162),IFERROR(VLOOKUP($E162,Sheet3!$H$2:$O$200,AC$1,FALSE),IFERROR(VLOOKUP($F162,Sheet3!$H$2:$O$200,AC$1,FALSE),VLOOKUP($G162,Sheet3!$H$2:$O$200,AC$1,FALSE))),$I$1),$I$1)</f>
        <v>0</v>
      </c>
      <c r="AD162" s="15">
        <f>IFERROR(IF(ISBLANK(W162),IFERROR(VLOOKUP($E162,Sheet3!$H$2:$O$200,AD$1,FALSE),IFERROR(VLOOKUP($F162,Sheet3!$H$2:$O$200,AD$1,FALSE),VLOOKUP($G162,Sheet3!$H$2:$O$200,AD$1,FALSE))),$I$1),$I$1)</f>
        <v>0</v>
      </c>
      <c r="AE162" s="15">
        <f>IFERROR(IF(ISBLANK(X162),IFERROR(VLOOKUP($F162,Sheet3!$H$2:$O$200,AE$1,FALSE),VLOOKUP($G162,Sheet3!$H$2:$O$200,AE$1,FALSE)),$I$1),$I$1)</f>
        <v>0</v>
      </c>
      <c r="AF162" s="15">
        <f>IFERROR(IF(ISBLANK(Y162),IFERROR(VLOOKUP($F162,Sheet3!$H$2:$O$200,AF$1,FALSE),VLOOKUP($G162,Sheet3!$H$2:$O$200,AF$1,FALSE)),$I$1),$I$1)</f>
        <v>0</v>
      </c>
      <c r="AG162" s="15">
        <f>IFERROR(IF(ISBLANK(Z162),IFERROR(VLOOKUP($F162,Sheet3!$H$2:$O$200,AG$1,FALSE),VLOOKUP($G162,Sheet3!$H$2:$O$200,AG$1,FALSE)),$I$1),$I$1)</f>
        <v>0</v>
      </c>
      <c r="AH162" s="15">
        <f>IFERROR(IF(ISBLANK(AA162),IFERROR(VLOOKUP($F162,Sheet3!$H$2:$O$200,AH$1,FALSE),VLOOKUP($G162,Sheet3!$H$2:$O$200,AH$1,FALSE)),$I$1),$I$1)</f>
        <v>0</v>
      </c>
      <c r="AI162" s="15">
        <f>IFERROR(IF(ISBLANK(AB162),IFERROR(VLOOKUP($F162,Sheet3!$H$2:$O$200,AI$1,FALSE),VLOOKUP($G162,Sheet3!$H$2:$O$200,AI$1,FALSE)),$I$1),$I$1)</f>
        <v>0</v>
      </c>
      <c r="AJ162" s="15">
        <f>IFERROR(IF(ISBLANK(AC162),IFERROR(VLOOKUP($F162,Sheet3!$H$2:$O$200,AJ$1,FALSE),VLOOKUP($G162,Sheet3!$H$2:$O$200,AJ$1,FALSE)),$I$1),$I$1)</f>
        <v>0</v>
      </c>
      <c r="AK162" s="15">
        <f>IFERROR(IF(ISBLANK(AD162),IFERROR(VLOOKUP($F162,Sheet3!$H$2:$O$200,AK$1,FALSE),VLOOKUP($G162,Sheet3!$H$2:$O$200,AK$1,FALSE)),$I$1),$I$1)</f>
        <v>0</v>
      </c>
      <c r="AL162" s="15">
        <f>IFERROR(IF(ISBLANK(AE162),VLOOKUP($G162,Sheet3!$H$2:$O$200,AL$1,FALSE),$I$1),$I$1)</f>
        <v>0</v>
      </c>
      <c r="AM162" s="15">
        <f>IFERROR(IF(ISBLANK(AF162),VLOOKUP($G162,Sheet3!$H$2:$O$200,AM$1,FALSE),$I$1),$I$1)</f>
        <v>0</v>
      </c>
      <c r="AN162" s="15">
        <f>IFERROR(IF(ISBLANK(AG162),VLOOKUP($G162,Sheet3!$H$2:$O$200,AN$1,FALSE),$I$1),$I$1)</f>
        <v>0</v>
      </c>
      <c r="AO162" s="15">
        <f>IFERROR(IF(ISBLANK(AH162),VLOOKUP($G162,Sheet3!$H$2:$O$200,AO$1,FALSE),$I$1),$I$1)</f>
        <v>0</v>
      </c>
      <c r="AP162" s="15">
        <f>IFERROR(IF(ISBLANK(AI162),VLOOKUP($G162,Sheet3!$H$2:$O$200,AP$1,FALSE),$I$1),$I$1)</f>
        <v>0</v>
      </c>
      <c r="AQ162" s="15">
        <f>IFERROR(IF(ISBLANK(AJ162),VLOOKUP($G162,Sheet3!$H$2:$O$200,AQ$1,FALSE),$I$1),$I$1)</f>
        <v>0</v>
      </c>
      <c r="AR162" s="15">
        <f>IFERROR(IF(ISBLANK(AK162),VLOOKUP($G162,Sheet3!$H$2:$O$200,AR$1,FALSE),$I$1),$I$1)</f>
        <v>0</v>
      </c>
      <c r="AS162" s="15">
        <f t="shared" ref="AS162:AY162" si="169">IFERROR(IF(ISBLANK(J162),IF(ISBLANK(Q162),IF(ISBLANK(X162),IF(ISBLANK(AE162),IF(ISBLANK(AL162),$BB$1,AL162),AE162),X162),Q162),J162),$BB$1)</f>
        <v>0</v>
      </c>
      <c r="AT162" s="15">
        <f t="shared" si="169"/>
        <v>0</v>
      </c>
      <c r="AU162" s="15">
        <f t="shared" si="169"/>
        <v>0</v>
      </c>
      <c r="AV162" s="15" t="str">
        <f t="shared" si="169"/>
        <v>sweet vermouth</v>
      </c>
      <c r="AW162" s="15">
        <f t="shared" si="169"/>
        <v>0</v>
      </c>
      <c r="AX162" s="15">
        <f t="shared" si="169"/>
        <v>0</v>
      </c>
      <c r="AY162" s="15">
        <f t="shared" si="169"/>
        <v>0</v>
      </c>
      <c r="BA162" s="13">
        <f t="shared" si="1"/>
        <v>35</v>
      </c>
      <c r="BB162" s="15" t="b">
        <f t="shared" si="2"/>
        <v>0</v>
      </c>
    </row>
    <row r="163" spans="1:54" x14ac:dyDescent="0.2">
      <c r="A163" s="19" t="s">
        <v>327</v>
      </c>
      <c r="B163" s="19" t="s">
        <v>317</v>
      </c>
      <c r="C163" s="19" t="s">
        <v>81</v>
      </c>
      <c r="D163" s="19"/>
      <c r="E163" s="19"/>
      <c r="F163" s="19"/>
      <c r="G163" s="19"/>
      <c r="H163" s="19" t="s">
        <v>327</v>
      </c>
      <c r="I163" s="15">
        <v>1</v>
      </c>
      <c r="J163" s="15">
        <f>IFERROR(VLOOKUP($C163,Sheet3!$H$2:$O$200,J$1,FALSE),IFERROR(VLOOKUP($D163,Sheet3!$H$2:$O$200,J$1,FALSE),VLOOKUP($E163,Sheet3!$H$2:$O$200,J$1,FALSE)))</f>
        <v>0</v>
      </c>
      <c r="K163" s="15" t="str">
        <f>IFERROR(VLOOKUP($C163,Sheet3!$H$2:$O$200,K$1,FALSE),IFERROR(VLOOKUP($D163,Sheet3!$H$2:$O$200,K$1,FALSE),VLOOKUP($E163,Sheet3!$H$2:$O$200,K$1,FALSE)))</f>
        <v>bottled water</v>
      </c>
      <c r="L163" s="15">
        <f>IFERROR(VLOOKUP($C163,Sheet3!$H$2:$O$200,L$1,FALSE),IFERROR(VLOOKUP($D163,Sheet3!$H$2:$O$200,L$1,FALSE),VLOOKUP($E163,Sheet3!$H$2:$O$200,L$1,FALSE)))</f>
        <v>0</v>
      </c>
      <c r="M163" s="15">
        <f>IFERROR(VLOOKUP($C163,Sheet3!$H$2:$O$200,M$1,FALSE),IFERROR(VLOOKUP($D163,Sheet3!$H$2:$O$200,M$1,FALSE),VLOOKUP($E163,Sheet3!$H$2:$O$200,M$1,FALSE)))</f>
        <v>0</v>
      </c>
      <c r="N163" s="15">
        <f>IFERROR(VLOOKUP($C163,Sheet3!$H$2:$O$200,N$1,FALSE),IFERROR(VLOOKUP($D163,Sheet3!$H$2:$O$200,N$1,FALSE),VLOOKUP($E163,Sheet3!$H$2:$O$200,N$1,FALSE)))</f>
        <v>0</v>
      </c>
      <c r="O163" s="15">
        <f>IFERROR(VLOOKUP($C163,Sheet3!$H$2:$O$200,O$1,FALSE),IFERROR(VLOOKUP($D163,Sheet3!$H$2:$O$200,O$1,FALSE),VLOOKUP($E163,Sheet3!$H$2:$O$200,O$1,FALSE)))</f>
        <v>0</v>
      </c>
      <c r="P163" s="15">
        <f>IFERROR(VLOOKUP($C163,Sheet3!$H$2:$O$200,P$1,FALSE),IFERROR(VLOOKUP($D163,Sheet3!$H$2:$O$200,P$1,FALSE),VLOOKUP($E163,Sheet3!$H$2:$O$200,P$1,FALSE)))</f>
        <v>0</v>
      </c>
      <c r="Q163" s="15">
        <f>IFERROR(IF(ISBLANK(J163),IFERROR(VLOOKUP($D163,Sheet3!$H$2:$O$200,Q$1,FALSE),IFERROR(VLOOKUP($E163,Sheet3!$H$2:$O$200,Q$1,FALSE),VLOOKUP($F163,Sheet3!$H$2:$O$200,Q$1,FALSE))),$I$1),$I$1)</f>
        <v>0</v>
      </c>
      <c r="R163" s="15">
        <f>IFERROR(IF(ISBLANK(K163),IFERROR(VLOOKUP($D163,Sheet3!$H$2:$O$200,R$1,FALSE),IFERROR(VLOOKUP($E163,Sheet3!$H$2:$O$200,R$1,FALSE),VLOOKUP($F163,Sheet3!$H$2:$O$200,R$1,FALSE))),$I$1),$I$1)</f>
        <v>0</v>
      </c>
      <c r="S163" s="15">
        <f>IFERROR(IF(ISBLANK(L163),IFERROR(VLOOKUP($D163,Sheet3!$H$2:$O$200,S$1,FALSE),IFERROR(VLOOKUP($E163,Sheet3!$H$2:$O$200,S$1,FALSE),VLOOKUP($F163,Sheet3!$H$2:$O$200,S$1,FALSE))),$I$1),$I$1)</f>
        <v>0</v>
      </c>
      <c r="T163" s="15">
        <f>IFERROR(IF(ISBLANK(M163),IFERROR(VLOOKUP($D163,Sheet3!$H$2:$O$200,T$1,FALSE),IFERROR(VLOOKUP($E163,Sheet3!$H$2:$O$200,T$1,FALSE),VLOOKUP($F163,Sheet3!$H$2:$O$200,T$1,FALSE))),$I$1),$I$1)</f>
        <v>0</v>
      </c>
      <c r="U163" s="15">
        <f>IFERROR(IF(ISBLANK(N163),IFERROR(VLOOKUP($D163,Sheet3!$H$2:$O$200,U$1,FALSE),IFERROR(VLOOKUP($E163,Sheet3!$H$2:$O$200,U$1,FALSE),VLOOKUP($F163,Sheet3!$H$2:$O$200,U$1,FALSE))),$I$1),$I$1)</f>
        <v>0</v>
      </c>
      <c r="V163" s="15">
        <f>IFERROR(IF(ISBLANK(O163),IFERROR(VLOOKUP($D163,Sheet3!$H$2:$O$200,V$1,FALSE),IFERROR(VLOOKUP($E163,Sheet3!$H$2:$O$200,V$1,FALSE),VLOOKUP($F163,Sheet3!$H$2:$O$200,V$1,FALSE))),$I$1),$I$1)</f>
        <v>0</v>
      </c>
      <c r="W163" s="15">
        <f>IFERROR(IF(ISBLANK(P163),IFERROR(VLOOKUP($D163,Sheet3!$H$2:$O$200,W$1,FALSE),IFERROR(VLOOKUP($E163,Sheet3!$H$2:$O$200,W$1,FALSE),VLOOKUP($F163,Sheet3!$H$2:$O$200,W$1,FALSE))),$I$1),$I$1)</f>
        <v>0</v>
      </c>
      <c r="X163" s="15">
        <f>IFERROR(IF(ISBLANK(Q163),IFERROR(VLOOKUP($E163,Sheet3!$H$2:$O$200,X$1,FALSE),IFERROR(VLOOKUP($F163,Sheet3!$H$2:$O$200,X$1,FALSE),VLOOKUP($G163,Sheet3!$H$2:$O$200,X$1,FALSE))),$I$1),$I$1)</f>
        <v>0</v>
      </c>
      <c r="Y163" s="15">
        <f>IFERROR(IF(ISBLANK(R163),IFERROR(VLOOKUP($E163,Sheet3!$H$2:$O$200,Y$1,FALSE),IFERROR(VLOOKUP($F163,Sheet3!$H$2:$O$200,Y$1,FALSE),VLOOKUP($G163,Sheet3!$H$2:$O$200,Y$1,FALSE))),$I$1),$I$1)</f>
        <v>0</v>
      </c>
      <c r="Z163" s="15">
        <f>IFERROR(IF(ISBLANK(S163),IFERROR(VLOOKUP($E163,Sheet3!$H$2:$O$200,Z$1,FALSE),IFERROR(VLOOKUP($F163,Sheet3!$H$2:$O$200,Z$1,FALSE),VLOOKUP($G163,Sheet3!$H$2:$O$200,Z$1,FALSE))),$I$1),$I$1)</f>
        <v>0</v>
      </c>
      <c r="AA163" s="15">
        <f>IFERROR(IF(ISBLANK(T163),IFERROR(VLOOKUP($E163,Sheet3!$H$2:$O$200,AA$1,FALSE),IFERROR(VLOOKUP($F163,Sheet3!$H$2:$O$200,AA$1,FALSE),VLOOKUP($G163,Sheet3!$H$2:$O$200,AA$1,FALSE))),$I$1),$I$1)</f>
        <v>0</v>
      </c>
      <c r="AB163" s="15">
        <f>IFERROR(IF(ISBLANK(U163),IFERROR(VLOOKUP($E163,Sheet3!$H$2:$O$200,AB$1,FALSE),IFERROR(VLOOKUP($F163,Sheet3!$H$2:$O$200,AB$1,FALSE),VLOOKUP($G163,Sheet3!$H$2:$O$200,AB$1,FALSE))),$I$1),$I$1)</f>
        <v>0</v>
      </c>
      <c r="AC163" s="15">
        <f>IFERROR(IF(ISBLANK(V163),IFERROR(VLOOKUP($E163,Sheet3!$H$2:$O$200,AC$1,FALSE),IFERROR(VLOOKUP($F163,Sheet3!$H$2:$O$200,AC$1,FALSE),VLOOKUP($G163,Sheet3!$H$2:$O$200,AC$1,FALSE))),$I$1),$I$1)</f>
        <v>0</v>
      </c>
      <c r="AD163" s="15">
        <f>IFERROR(IF(ISBLANK(W163),IFERROR(VLOOKUP($E163,Sheet3!$H$2:$O$200,AD$1,FALSE),IFERROR(VLOOKUP($F163,Sheet3!$H$2:$O$200,AD$1,FALSE),VLOOKUP($G163,Sheet3!$H$2:$O$200,AD$1,FALSE))),$I$1),$I$1)</f>
        <v>0</v>
      </c>
      <c r="AE163" s="15">
        <f>IFERROR(IF(ISBLANK(X163),IFERROR(VLOOKUP($F163,Sheet3!$H$2:$O$200,AE$1,FALSE),VLOOKUP($G163,Sheet3!$H$2:$O$200,AE$1,FALSE)),$I$1),$I$1)</f>
        <v>0</v>
      </c>
      <c r="AF163" s="15">
        <f>IFERROR(IF(ISBLANK(Y163),IFERROR(VLOOKUP($F163,Sheet3!$H$2:$O$200,AF$1,FALSE),VLOOKUP($G163,Sheet3!$H$2:$O$200,AF$1,FALSE)),$I$1),$I$1)</f>
        <v>0</v>
      </c>
      <c r="AG163" s="15">
        <f>IFERROR(IF(ISBLANK(Z163),IFERROR(VLOOKUP($F163,Sheet3!$H$2:$O$200,AG$1,FALSE),VLOOKUP($G163,Sheet3!$H$2:$O$200,AG$1,FALSE)),$I$1),$I$1)</f>
        <v>0</v>
      </c>
      <c r="AH163" s="15">
        <f>IFERROR(IF(ISBLANK(AA163),IFERROR(VLOOKUP($F163,Sheet3!$H$2:$O$200,AH$1,FALSE),VLOOKUP($G163,Sheet3!$H$2:$O$200,AH$1,FALSE)),$I$1),$I$1)</f>
        <v>0</v>
      </c>
      <c r="AI163" s="15">
        <f>IFERROR(IF(ISBLANK(AB163),IFERROR(VLOOKUP($F163,Sheet3!$H$2:$O$200,AI$1,FALSE),VLOOKUP($G163,Sheet3!$H$2:$O$200,AI$1,FALSE)),$I$1),$I$1)</f>
        <v>0</v>
      </c>
      <c r="AJ163" s="15">
        <f>IFERROR(IF(ISBLANK(AC163),IFERROR(VLOOKUP($F163,Sheet3!$H$2:$O$200,AJ$1,FALSE),VLOOKUP($G163,Sheet3!$H$2:$O$200,AJ$1,FALSE)),$I$1),$I$1)</f>
        <v>0</v>
      </c>
      <c r="AK163" s="15">
        <f>IFERROR(IF(ISBLANK(AD163),IFERROR(VLOOKUP($F163,Sheet3!$H$2:$O$200,AK$1,FALSE),VLOOKUP($G163,Sheet3!$H$2:$O$200,AK$1,FALSE)),$I$1),$I$1)</f>
        <v>0</v>
      </c>
      <c r="AL163" s="15">
        <f>IFERROR(IF(ISBLANK(AE163),VLOOKUP($G163,Sheet3!$H$2:$O$200,AL$1,FALSE),$I$1),$I$1)</f>
        <v>0</v>
      </c>
      <c r="AM163" s="15">
        <f>IFERROR(IF(ISBLANK(AF163),VLOOKUP($G163,Sheet3!$H$2:$O$200,AM$1,FALSE),$I$1),$I$1)</f>
        <v>0</v>
      </c>
      <c r="AN163" s="15">
        <f>IFERROR(IF(ISBLANK(AG163),VLOOKUP($G163,Sheet3!$H$2:$O$200,AN$1,FALSE),$I$1),$I$1)</f>
        <v>0</v>
      </c>
      <c r="AO163" s="15">
        <f>IFERROR(IF(ISBLANK(AH163),VLOOKUP($G163,Sheet3!$H$2:$O$200,AO$1,FALSE),$I$1),$I$1)</f>
        <v>0</v>
      </c>
      <c r="AP163" s="15">
        <f>IFERROR(IF(ISBLANK(AI163),VLOOKUP($G163,Sheet3!$H$2:$O$200,AP$1,FALSE),$I$1),$I$1)</f>
        <v>0</v>
      </c>
      <c r="AQ163" s="15">
        <f>IFERROR(IF(ISBLANK(AJ163),VLOOKUP($G163,Sheet3!$H$2:$O$200,AQ$1,FALSE),$I$1),$I$1)</f>
        <v>0</v>
      </c>
      <c r="AR163" s="15">
        <f>IFERROR(IF(ISBLANK(AK163),VLOOKUP($G163,Sheet3!$H$2:$O$200,AR$1,FALSE),$I$1),$I$1)</f>
        <v>0</v>
      </c>
      <c r="AS163" s="15">
        <f t="shared" ref="AS163:AY163" si="170">IFERROR(IF(ISBLANK(J163),IF(ISBLANK(Q163),IF(ISBLANK(X163),IF(ISBLANK(AE163),IF(ISBLANK(AL163),$BB$1,AL163),AE163),X163),Q163),J163),$BB$1)</f>
        <v>0</v>
      </c>
      <c r="AT163" s="15" t="str">
        <f t="shared" si="170"/>
        <v>bottled water</v>
      </c>
      <c r="AU163" s="15">
        <f t="shared" si="170"/>
        <v>0</v>
      </c>
      <c r="AV163" s="15">
        <f t="shared" si="170"/>
        <v>0</v>
      </c>
      <c r="AW163" s="15">
        <f t="shared" si="170"/>
        <v>0</v>
      </c>
      <c r="AX163" s="15">
        <f t="shared" si="170"/>
        <v>0</v>
      </c>
      <c r="AY163" s="15">
        <f t="shared" si="170"/>
        <v>0</v>
      </c>
      <c r="BA163" s="13">
        <f t="shared" si="1"/>
        <v>35</v>
      </c>
      <c r="BB163" s="15" t="b">
        <f t="shared" si="2"/>
        <v>0</v>
      </c>
    </row>
    <row r="164" spans="1:54" x14ac:dyDescent="0.2">
      <c r="A164" s="19" t="s">
        <v>328</v>
      </c>
      <c r="B164" s="19" t="s">
        <v>317</v>
      </c>
      <c r="C164" s="19" t="s">
        <v>62</v>
      </c>
      <c r="D164" s="19"/>
      <c r="E164" s="19"/>
      <c r="F164" s="19"/>
      <c r="G164" s="19"/>
      <c r="H164" s="19" t="s">
        <v>328</v>
      </c>
      <c r="I164" s="15">
        <v>1</v>
      </c>
      <c r="J164" s="15">
        <f>IFERROR(VLOOKUP($C164,Sheet3!$H$2:$O$200,J$1,FALSE),IFERROR(VLOOKUP($D164,Sheet3!$H$2:$O$200,J$1,FALSE),VLOOKUP($E164,Sheet3!$H$2:$O$200,J$1,FALSE)))</f>
        <v>0</v>
      </c>
      <c r="K164" s="15" t="str">
        <f>IFERROR(VLOOKUP($C164,Sheet3!$H$2:$O$200,K$1,FALSE),IFERROR(VLOOKUP($D164,Sheet3!$H$2:$O$200,K$1,FALSE),VLOOKUP($E164,Sheet3!$H$2:$O$200,K$1,FALSE)))</f>
        <v>club soda</v>
      </c>
      <c r="L164" s="15">
        <f>IFERROR(VLOOKUP($C164,Sheet3!$H$2:$O$200,L$1,FALSE),IFERROR(VLOOKUP($D164,Sheet3!$H$2:$O$200,L$1,FALSE),VLOOKUP($E164,Sheet3!$H$2:$O$200,L$1,FALSE)))</f>
        <v>0</v>
      </c>
      <c r="M164" s="15">
        <f>IFERROR(VLOOKUP($C164,Sheet3!$H$2:$O$200,M$1,FALSE),IFERROR(VLOOKUP($D164,Sheet3!$H$2:$O$200,M$1,FALSE),VLOOKUP($E164,Sheet3!$H$2:$O$200,M$1,FALSE)))</f>
        <v>0</v>
      </c>
      <c r="N164" s="15">
        <f>IFERROR(VLOOKUP($C164,Sheet3!$H$2:$O$200,N$1,FALSE),IFERROR(VLOOKUP($D164,Sheet3!$H$2:$O$200,N$1,FALSE),VLOOKUP($E164,Sheet3!$H$2:$O$200,N$1,FALSE)))</f>
        <v>0</v>
      </c>
      <c r="O164" s="15">
        <f>IFERROR(VLOOKUP($C164,Sheet3!$H$2:$O$200,O$1,FALSE),IFERROR(VLOOKUP($D164,Sheet3!$H$2:$O$200,O$1,FALSE),VLOOKUP($E164,Sheet3!$H$2:$O$200,O$1,FALSE)))</f>
        <v>0</v>
      </c>
      <c r="P164" s="15">
        <f>IFERROR(VLOOKUP($C164,Sheet3!$H$2:$O$200,P$1,FALSE),IFERROR(VLOOKUP($D164,Sheet3!$H$2:$O$200,P$1,FALSE),VLOOKUP($E164,Sheet3!$H$2:$O$200,P$1,FALSE)))</f>
        <v>0</v>
      </c>
      <c r="Q164" s="15">
        <f>IFERROR(IF(ISBLANK(J164),IFERROR(VLOOKUP($D164,Sheet3!$H$2:$O$200,Q$1,FALSE),IFERROR(VLOOKUP($E164,Sheet3!$H$2:$O$200,Q$1,FALSE),VLOOKUP($F164,Sheet3!$H$2:$O$200,Q$1,FALSE))),$I$1),$I$1)</f>
        <v>0</v>
      </c>
      <c r="R164" s="15">
        <f>IFERROR(IF(ISBLANK(K164),IFERROR(VLOOKUP($D164,Sheet3!$H$2:$O$200,R$1,FALSE),IFERROR(VLOOKUP($E164,Sheet3!$H$2:$O$200,R$1,FALSE),VLOOKUP($F164,Sheet3!$H$2:$O$200,R$1,FALSE))),$I$1),$I$1)</f>
        <v>0</v>
      </c>
      <c r="S164" s="15">
        <f>IFERROR(IF(ISBLANK(L164),IFERROR(VLOOKUP($D164,Sheet3!$H$2:$O$200,S$1,FALSE),IFERROR(VLOOKUP($E164,Sheet3!$H$2:$O$200,S$1,FALSE),VLOOKUP($F164,Sheet3!$H$2:$O$200,S$1,FALSE))),$I$1),$I$1)</f>
        <v>0</v>
      </c>
      <c r="T164" s="15">
        <f>IFERROR(IF(ISBLANK(M164),IFERROR(VLOOKUP($D164,Sheet3!$H$2:$O$200,T$1,FALSE),IFERROR(VLOOKUP($E164,Sheet3!$H$2:$O$200,T$1,FALSE),VLOOKUP($F164,Sheet3!$H$2:$O$200,T$1,FALSE))),$I$1),$I$1)</f>
        <v>0</v>
      </c>
      <c r="U164" s="15">
        <f>IFERROR(IF(ISBLANK(N164),IFERROR(VLOOKUP($D164,Sheet3!$H$2:$O$200,U$1,FALSE),IFERROR(VLOOKUP($E164,Sheet3!$H$2:$O$200,U$1,FALSE),VLOOKUP($F164,Sheet3!$H$2:$O$200,U$1,FALSE))),$I$1),$I$1)</f>
        <v>0</v>
      </c>
      <c r="V164" s="15">
        <f>IFERROR(IF(ISBLANK(O164),IFERROR(VLOOKUP($D164,Sheet3!$H$2:$O$200,V$1,FALSE),IFERROR(VLOOKUP($E164,Sheet3!$H$2:$O$200,V$1,FALSE),VLOOKUP($F164,Sheet3!$H$2:$O$200,V$1,FALSE))),$I$1),$I$1)</f>
        <v>0</v>
      </c>
      <c r="W164" s="15">
        <f>IFERROR(IF(ISBLANK(P164),IFERROR(VLOOKUP($D164,Sheet3!$H$2:$O$200,W$1,FALSE),IFERROR(VLOOKUP($E164,Sheet3!$H$2:$O$200,W$1,FALSE),VLOOKUP($F164,Sheet3!$H$2:$O$200,W$1,FALSE))),$I$1),$I$1)</f>
        <v>0</v>
      </c>
      <c r="X164" s="15">
        <f>IFERROR(IF(ISBLANK(Q164),IFERROR(VLOOKUP($E164,Sheet3!$H$2:$O$200,X$1,FALSE),IFERROR(VLOOKUP($F164,Sheet3!$H$2:$O$200,X$1,FALSE),VLOOKUP($G164,Sheet3!$H$2:$O$200,X$1,FALSE))),$I$1),$I$1)</f>
        <v>0</v>
      </c>
      <c r="Y164" s="15">
        <f>IFERROR(IF(ISBLANK(R164),IFERROR(VLOOKUP($E164,Sheet3!$H$2:$O$200,Y$1,FALSE),IFERROR(VLOOKUP($F164,Sheet3!$H$2:$O$200,Y$1,FALSE),VLOOKUP($G164,Sheet3!$H$2:$O$200,Y$1,FALSE))),$I$1),$I$1)</f>
        <v>0</v>
      </c>
      <c r="Z164" s="15">
        <f>IFERROR(IF(ISBLANK(S164),IFERROR(VLOOKUP($E164,Sheet3!$H$2:$O$200,Z$1,FALSE),IFERROR(VLOOKUP($F164,Sheet3!$H$2:$O$200,Z$1,FALSE),VLOOKUP($G164,Sheet3!$H$2:$O$200,Z$1,FALSE))),$I$1),$I$1)</f>
        <v>0</v>
      </c>
      <c r="AA164" s="15">
        <f>IFERROR(IF(ISBLANK(T164),IFERROR(VLOOKUP($E164,Sheet3!$H$2:$O$200,AA$1,FALSE),IFERROR(VLOOKUP($F164,Sheet3!$H$2:$O$200,AA$1,FALSE),VLOOKUP($G164,Sheet3!$H$2:$O$200,AA$1,FALSE))),$I$1),$I$1)</f>
        <v>0</v>
      </c>
      <c r="AB164" s="15">
        <f>IFERROR(IF(ISBLANK(U164),IFERROR(VLOOKUP($E164,Sheet3!$H$2:$O$200,AB$1,FALSE),IFERROR(VLOOKUP($F164,Sheet3!$H$2:$O$200,AB$1,FALSE),VLOOKUP($G164,Sheet3!$H$2:$O$200,AB$1,FALSE))),$I$1),$I$1)</f>
        <v>0</v>
      </c>
      <c r="AC164" s="15">
        <f>IFERROR(IF(ISBLANK(V164),IFERROR(VLOOKUP($E164,Sheet3!$H$2:$O$200,AC$1,FALSE),IFERROR(VLOOKUP($F164,Sheet3!$H$2:$O$200,AC$1,FALSE),VLOOKUP($G164,Sheet3!$H$2:$O$200,AC$1,FALSE))),$I$1),$I$1)</f>
        <v>0</v>
      </c>
      <c r="AD164" s="15">
        <f>IFERROR(IF(ISBLANK(W164),IFERROR(VLOOKUP($E164,Sheet3!$H$2:$O$200,AD$1,FALSE),IFERROR(VLOOKUP($F164,Sheet3!$H$2:$O$200,AD$1,FALSE),VLOOKUP($G164,Sheet3!$H$2:$O$200,AD$1,FALSE))),$I$1),$I$1)</f>
        <v>0</v>
      </c>
      <c r="AE164" s="15">
        <f>IFERROR(IF(ISBLANK(X164),IFERROR(VLOOKUP($F164,Sheet3!$H$2:$O$200,AE$1,FALSE),VLOOKUP($G164,Sheet3!$H$2:$O$200,AE$1,FALSE)),$I$1),$I$1)</f>
        <v>0</v>
      </c>
      <c r="AF164" s="15">
        <f>IFERROR(IF(ISBLANK(Y164),IFERROR(VLOOKUP($F164,Sheet3!$H$2:$O$200,AF$1,FALSE),VLOOKUP($G164,Sheet3!$H$2:$O$200,AF$1,FALSE)),$I$1),$I$1)</f>
        <v>0</v>
      </c>
      <c r="AG164" s="15">
        <f>IFERROR(IF(ISBLANK(Z164),IFERROR(VLOOKUP($F164,Sheet3!$H$2:$O$200,AG$1,FALSE),VLOOKUP($G164,Sheet3!$H$2:$O$200,AG$1,FALSE)),$I$1),$I$1)</f>
        <v>0</v>
      </c>
      <c r="AH164" s="15">
        <f>IFERROR(IF(ISBLANK(AA164),IFERROR(VLOOKUP($F164,Sheet3!$H$2:$O$200,AH$1,FALSE),VLOOKUP($G164,Sheet3!$H$2:$O$200,AH$1,FALSE)),$I$1),$I$1)</f>
        <v>0</v>
      </c>
      <c r="AI164" s="15">
        <f>IFERROR(IF(ISBLANK(AB164),IFERROR(VLOOKUP($F164,Sheet3!$H$2:$O$200,AI$1,FALSE),VLOOKUP($G164,Sheet3!$H$2:$O$200,AI$1,FALSE)),$I$1),$I$1)</f>
        <v>0</v>
      </c>
      <c r="AJ164" s="15">
        <f>IFERROR(IF(ISBLANK(AC164),IFERROR(VLOOKUP($F164,Sheet3!$H$2:$O$200,AJ$1,FALSE),VLOOKUP($G164,Sheet3!$H$2:$O$200,AJ$1,FALSE)),$I$1),$I$1)</f>
        <v>0</v>
      </c>
      <c r="AK164" s="15">
        <f>IFERROR(IF(ISBLANK(AD164),IFERROR(VLOOKUP($F164,Sheet3!$H$2:$O$200,AK$1,FALSE),VLOOKUP($G164,Sheet3!$H$2:$O$200,AK$1,FALSE)),$I$1),$I$1)</f>
        <v>0</v>
      </c>
      <c r="AL164" s="15">
        <f>IFERROR(IF(ISBLANK(AE164),VLOOKUP($G164,Sheet3!$H$2:$O$200,AL$1,FALSE),$I$1),$I$1)</f>
        <v>0</v>
      </c>
      <c r="AM164" s="15">
        <f>IFERROR(IF(ISBLANK(AF164),VLOOKUP($G164,Sheet3!$H$2:$O$200,AM$1,FALSE),$I$1),$I$1)</f>
        <v>0</v>
      </c>
      <c r="AN164" s="15">
        <f>IFERROR(IF(ISBLANK(AG164),VLOOKUP($G164,Sheet3!$H$2:$O$200,AN$1,FALSE),$I$1),$I$1)</f>
        <v>0</v>
      </c>
      <c r="AO164" s="15">
        <f>IFERROR(IF(ISBLANK(AH164),VLOOKUP($G164,Sheet3!$H$2:$O$200,AO$1,FALSE),$I$1),$I$1)</f>
        <v>0</v>
      </c>
      <c r="AP164" s="15">
        <f>IFERROR(IF(ISBLANK(AI164),VLOOKUP($G164,Sheet3!$H$2:$O$200,AP$1,FALSE),$I$1),$I$1)</f>
        <v>0</v>
      </c>
      <c r="AQ164" s="15">
        <f>IFERROR(IF(ISBLANK(AJ164),VLOOKUP($G164,Sheet3!$H$2:$O$200,AQ$1,FALSE),$I$1),$I$1)</f>
        <v>0</v>
      </c>
      <c r="AR164" s="15">
        <f>IFERROR(IF(ISBLANK(AK164),VLOOKUP($G164,Sheet3!$H$2:$O$200,AR$1,FALSE),$I$1),$I$1)</f>
        <v>0</v>
      </c>
      <c r="AS164" s="15">
        <f t="shared" ref="AS164:AY164" si="171">IFERROR(IF(ISBLANK(J164),IF(ISBLANK(Q164),IF(ISBLANK(X164),IF(ISBLANK(AE164),IF(ISBLANK(AL164),$BB$1,AL164),AE164),X164),Q164),J164),$BB$1)</f>
        <v>0</v>
      </c>
      <c r="AT164" s="15" t="str">
        <f t="shared" si="171"/>
        <v>club soda</v>
      </c>
      <c r="AU164" s="15">
        <f t="shared" si="171"/>
        <v>0</v>
      </c>
      <c r="AV164" s="15">
        <f t="shared" si="171"/>
        <v>0</v>
      </c>
      <c r="AW164" s="15">
        <f t="shared" si="171"/>
        <v>0</v>
      </c>
      <c r="AX164" s="15">
        <f t="shared" si="171"/>
        <v>0</v>
      </c>
      <c r="AY164" s="15">
        <f t="shared" si="171"/>
        <v>0</v>
      </c>
      <c r="BA164" s="13">
        <f t="shared" si="1"/>
        <v>35</v>
      </c>
      <c r="BB164" s="15" t="b">
        <f t="shared" si="2"/>
        <v>0</v>
      </c>
    </row>
    <row r="165" spans="1:54" x14ac:dyDescent="0.2">
      <c r="A165" s="19" t="s">
        <v>329</v>
      </c>
      <c r="B165" s="19" t="s">
        <v>317</v>
      </c>
      <c r="C165" s="19" t="s">
        <v>156</v>
      </c>
      <c r="D165" s="19"/>
      <c r="E165" s="19"/>
      <c r="F165" s="19"/>
      <c r="G165" s="19"/>
      <c r="H165" s="19" t="s">
        <v>329</v>
      </c>
      <c r="I165" s="15">
        <v>1</v>
      </c>
      <c r="J165" s="15">
        <f>IFERROR(VLOOKUP($C165,Sheet3!$H$2:$O$200,J$1,FALSE),IFERROR(VLOOKUP($D165,Sheet3!$H$2:$O$200,J$1,FALSE),VLOOKUP($E165,Sheet3!$H$2:$O$200,J$1,FALSE)))</f>
        <v>0</v>
      </c>
      <c r="K165" s="15" t="str">
        <f>IFERROR(VLOOKUP($C165,Sheet3!$H$2:$O$200,K$1,FALSE),IFERROR(VLOOKUP($D165,Sheet3!$H$2:$O$200,K$1,FALSE),VLOOKUP($E165,Sheet3!$H$2:$O$200,K$1,FALSE)))</f>
        <v>ginger ale</v>
      </c>
      <c r="L165" s="15">
        <f>IFERROR(VLOOKUP($C165,Sheet3!$H$2:$O$200,L$1,FALSE),IFERROR(VLOOKUP($D165,Sheet3!$H$2:$O$200,L$1,FALSE),VLOOKUP($E165,Sheet3!$H$2:$O$200,L$1,FALSE)))</f>
        <v>0</v>
      </c>
      <c r="M165" s="15">
        <f>IFERROR(VLOOKUP($C165,Sheet3!$H$2:$O$200,M$1,FALSE),IFERROR(VLOOKUP($D165,Sheet3!$H$2:$O$200,M$1,FALSE),VLOOKUP($E165,Sheet3!$H$2:$O$200,M$1,FALSE)))</f>
        <v>0</v>
      </c>
      <c r="N165" s="15">
        <f>IFERROR(VLOOKUP($C165,Sheet3!$H$2:$O$200,N$1,FALSE),IFERROR(VLOOKUP($D165,Sheet3!$H$2:$O$200,N$1,FALSE),VLOOKUP($E165,Sheet3!$H$2:$O$200,N$1,FALSE)))</f>
        <v>0</v>
      </c>
      <c r="O165" s="15">
        <f>IFERROR(VLOOKUP($C165,Sheet3!$H$2:$O$200,O$1,FALSE),IFERROR(VLOOKUP($D165,Sheet3!$H$2:$O$200,O$1,FALSE),VLOOKUP($E165,Sheet3!$H$2:$O$200,O$1,FALSE)))</f>
        <v>0</v>
      </c>
      <c r="P165" s="15">
        <f>IFERROR(VLOOKUP($C165,Sheet3!$H$2:$O$200,P$1,FALSE),IFERROR(VLOOKUP($D165,Sheet3!$H$2:$O$200,P$1,FALSE),VLOOKUP($E165,Sheet3!$H$2:$O$200,P$1,FALSE)))</f>
        <v>0</v>
      </c>
      <c r="Q165" s="15">
        <f>IFERROR(IF(ISBLANK(J165),IFERROR(VLOOKUP($D165,Sheet3!$H$2:$O$200,Q$1,FALSE),IFERROR(VLOOKUP($E165,Sheet3!$H$2:$O$200,Q$1,FALSE),VLOOKUP($F165,Sheet3!$H$2:$O$200,Q$1,FALSE))),$I$1),$I$1)</f>
        <v>0</v>
      </c>
      <c r="R165" s="15">
        <f>IFERROR(IF(ISBLANK(K165),IFERROR(VLOOKUP($D165,Sheet3!$H$2:$O$200,R$1,FALSE),IFERROR(VLOOKUP($E165,Sheet3!$H$2:$O$200,R$1,FALSE),VLOOKUP($F165,Sheet3!$H$2:$O$200,R$1,FALSE))),$I$1),$I$1)</f>
        <v>0</v>
      </c>
      <c r="S165" s="15">
        <f>IFERROR(IF(ISBLANK(L165),IFERROR(VLOOKUP($D165,Sheet3!$H$2:$O$200,S$1,FALSE),IFERROR(VLOOKUP($E165,Sheet3!$H$2:$O$200,S$1,FALSE),VLOOKUP($F165,Sheet3!$H$2:$O$200,S$1,FALSE))),$I$1),$I$1)</f>
        <v>0</v>
      </c>
      <c r="T165" s="15">
        <f>IFERROR(IF(ISBLANK(M165),IFERROR(VLOOKUP($D165,Sheet3!$H$2:$O$200,T$1,FALSE),IFERROR(VLOOKUP($E165,Sheet3!$H$2:$O$200,T$1,FALSE),VLOOKUP($F165,Sheet3!$H$2:$O$200,T$1,FALSE))),$I$1),$I$1)</f>
        <v>0</v>
      </c>
      <c r="U165" s="15">
        <f>IFERROR(IF(ISBLANK(N165),IFERROR(VLOOKUP($D165,Sheet3!$H$2:$O$200,U$1,FALSE),IFERROR(VLOOKUP($E165,Sheet3!$H$2:$O$200,U$1,FALSE),VLOOKUP($F165,Sheet3!$H$2:$O$200,U$1,FALSE))),$I$1),$I$1)</f>
        <v>0</v>
      </c>
      <c r="V165" s="15">
        <f>IFERROR(IF(ISBLANK(O165),IFERROR(VLOOKUP($D165,Sheet3!$H$2:$O$200,V$1,FALSE),IFERROR(VLOOKUP($E165,Sheet3!$H$2:$O$200,V$1,FALSE),VLOOKUP($F165,Sheet3!$H$2:$O$200,V$1,FALSE))),$I$1),$I$1)</f>
        <v>0</v>
      </c>
      <c r="W165" s="15">
        <f>IFERROR(IF(ISBLANK(P165),IFERROR(VLOOKUP($D165,Sheet3!$H$2:$O$200,W$1,FALSE),IFERROR(VLOOKUP($E165,Sheet3!$H$2:$O$200,W$1,FALSE),VLOOKUP($F165,Sheet3!$H$2:$O$200,W$1,FALSE))),$I$1),$I$1)</f>
        <v>0</v>
      </c>
      <c r="X165" s="15">
        <f>IFERROR(IF(ISBLANK(Q165),IFERROR(VLOOKUP($E165,Sheet3!$H$2:$O$200,X$1,FALSE),IFERROR(VLOOKUP($F165,Sheet3!$H$2:$O$200,X$1,FALSE),VLOOKUP($G165,Sheet3!$H$2:$O$200,X$1,FALSE))),$I$1),$I$1)</f>
        <v>0</v>
      </c>
      <c r="Y165" s="15">
        <f>IFERROR(IF(ISBLANK(R165),IFERROR(VLOOKUP($E165,Sheet3!$H$2:$O$200,Y$1,FALSE),IFERROR(VLOOKUP($F165,Sheet3!$H$2:$O$200,Y$1,FALSE),VLOOKUP($G165,Sheet3!$H$2:$O$200,Y$1,FALSE))),$I$1),$I$1)</f>
        <v>0</v>
      </c>
      <c r="Z165" s="15">
        <f>IFERROR(IF(ISBLANK(S165),IFERROR(VLOOKUP($E165,Sheet3!$H$2:$O$200,Z$1,FALSE),IFERROR(VLOOKUP($F165,Sheet3!$H$2:$O$200,Z$1,FALSE),VLOOKUP($G165,Sheet3!$H$2:$O$200,Z$1,FALSE))),$I$1),$I$1)</f>
        <v>0</v>
      </c>
      <c r="AA165" s="15">
        <f>IFERROR(IF(ISBLANK(T165),IFERROR(VLOOKUP($E165,Sheet3!$H$2:$O$200,AA$1,FALSE),IFERROR(VLOOKUP($F165,Sheet3!$H$2:$O$200,AA$1,FALSE),VLOOKUP($G165,Sheet3!$H$2:$O$200,AA$1,FALSE))),$I$1),$I$1)</f>
        <v>0</v>
      </c>
      <c r="AB165" s="15">
        <f>IFERROR(IF(ISBLANK(U165),IFERROR(VLOOKUP($E165,Sheet3!$H$2:$O$200,AB$1,FALSE),IFERROR(VLOOKUP($F165,Sheet3!$H$2:$O$200,AB$1,FALSE),VLOOKUP($G165,Sheet3!$H$2:$O$200,AB$1,FALSE))),$I$1),$I$1)</f>
        <v>0</v>
      </c>
      <c r="AC165" s="15">
        <f>IFERROR(IF(ISBLANK(V165),IFERROR(VLOOKUP($E165,Sheet3!$H$2:$O$200,AC$1,FALSE),IFERROR(VLOOKUP($F165,Sheet3!$H$2:$O$200,AC$1,FALSE),VLOOKUP($G165,Sheet3!$H$2:$O$200,AC$1,FALSE))),$I$1),$I$1)</f>
        <v>0</v>
      </c>
      <c r="AD165" s="15">
        <f>IFERROR(IF(ISBLANK(W165),IFERROR(VLOOKUP($E165,Sheet3!$H$2:$O$200,AD$1,FALSE),IFERROR(VLOOKUP($F165,Sheet3!$H$2:$O$200,AD$1,FALSE),VLOOKUP($G165,Sheet3!$H$2:$O$200,AD$1,FALSE))),$I$1),$I$1)</f>
        <v>0</v>
      </c>
      <c r="AE165" s="15">
        <f>IFERROR(IF(ISBLANK(X165),IFERROR(VLOOKUP($F165,Sheet3!$H$2:$O$200,AE$1,FALSE),VLOOKUP($G165,Sheet3!$H$2:$O$200,AE$1,FALSE)),$I$1),$I$1)</f>
        <v>0</v>
      </c>
      <c r="AF165" s="15">
        <f>IFERROR(IF(ISBLANK(Y165),IFERROR(VLOOKUP($F165,Sheet3!$H$2:$O$200,AF$1,FALSE),VLOOKUP($G165,Sheet3!$H$2:$O$200,AF$1,FALSE)),$I$1),$I$1)</f>
        <v>0</v>
      </c>
      <c r="AG165" s="15">
        <f>IFERROR(IF(ISBLANK(Z165),IFERROR(VLOOKUP($F165,Sheet3!$H$2:$O$200,AG$1,FALSE),VLOOKUP($G165,Sheet3!$H$2:$O$200,AG$1,FALSE)),$I$1),$I$1)</f>
        <v>0</v>
      </c>
      <c r="AH165" s="15">
        <f>IFERROR(IF(ISBLANK(AA165),IFERROR(VLOOKUP($F165,Sheet3!$H$2:$O$200,AH$1,FALSE),VLOOKUP($G165,Sheet3!$H$2:$O$200,AH$1,FALSE)),$I$1),$I$1)</f>
        <v>0</v>
      </c>
      <c r="AI165" s="15">
        <f>IFERROR(IF(ISBLANK(AB165),IFERROR(VLOOKUP($F165,Sheet3!$H$2:$O$200,AI$1,FALSE),VLOOKUP($G165,Sheet3!$H$2:$O$200,AI$1,FALSE)),$I$1),$I$1)</f>
        <v>0</v>
      </c>
      <c r="AJ165" s="15">
        <f>IFERROR(IF(ISBLANK(AC165),IFERROR(VLOOKUP($F165,Sheet3!$H$2:$O$200,AJ$1,FALSE),VLOOKUP($G165,Sheet3!$H$2:$O$200,AJ$1,FALSE)),$I$1),$I$1)</f>
        <v>0</v>
      </c>
      <c r="AK165" s="15">
        <f>IFERROR(IF(ISBLANK(AD165),IFERROR(VLOOKUP($F165,Sheet3!$H$2:$O$200,AK$1,FALSE),VLOOKUP($G165,Sheet3!$H$2:$O$200,AK$1,FALSE)),$I$1),$I$1)</f>
        <v>0</v>
      </c>
      <c r="AL165" s="15">
        <f>IFERROR(IF(ISBLANK(AE165),VLOOKUP($G165,Sheet3!$H$2:$O$200,AL$1,FALSE),$I$1),$I$1)</f>
        <v>0</v>
      </c>
      <c r="AM165" s="15">
        <f>IFERROR(IF(ISBLANK(AF165),VLOOKUP($G165,Sheet3!$H$2:$O$200,AM$1,FALSE),$I$1),$I$1)</f>
        <v>0</v>
      </c>
      <c r="AN165" s="15">
        <f>IFERROR(IF(ISBLANK(AG165),VLOOKUP($G165,Sheet3!$H$2:$O$200,AN$1,FALSE),$I$1),$I$1)</f>
        <v>0</v>
      </c>
      <c r="AO165" s="15">
        <f>IFERROR(IF(ISBLANK(AH165),VLOOKUP($G165,Sheet3!$H$2:$O$200,AO$1,FALSE),$I$1),$I$1)</f>
        <v>0</v>
      </c>
      <c r="AP165" s="15">
        <f>IFERROR(IF(ISBLANK(AI165),VLOOKUP($G165,Sheet3!$H$2:$O$200,AP$1,FALSE),$I$1),$I$1)</f>
        <v>0</v>
      </c>
      <c r="AQ165" s="15">
        <f>IFERROR(IF(ISBLANK(AJ165),VLOOKUP($G165,Sheet3!$H$2:$O$200,AQ$1,FALSE),$I$1),$I$1)</f>
        <v>0</v>
      </c>
      <c r="AR165" s="15">
        <f>IFERROR(IF(ISBLANK(AK165),VLOOKUP($G165,Sheet3!$H$2:$O$200,AR$1,FALSE),$I$1),$I$1)</f>
        <v>0</v>
      </c>
      <c r="AS165" s="15">
        <f t="shared" ref="AS165:AY165" si="172">IFERROR(IF(ISBLANK(J165),IF(ISBLANK(Q165),IF(ISBLANK(X165),IF(ISBLANK(AE165),IF(ISBLANK(AL165),$BB$1,AL165),AE165),X165),Q165),J165),$BB$1)</f>
        <v>0</v>
      </c>
      <c r="AT165" s="15" t="str">
        <f t="shared" si="172"/>
        <v>ginger ale</v>
      </c>
      <c r="AU165" s="15">
        <f t="shared" si="172"/>
        <v>0</v>
      </c>
      <c r="AV165" s="15">
        <f t="shared" si="172"/>
        <v>0</v>
      </c>
      <c r="AW165" s="15">
        <f t="shared" si="172"/>
        <v>0</v>
      </c>
      <c r="AX165" s="15">
        <f t="shared" si="172"/>
        <v>0</v>
      </c>
      <c r="AY165" s="15">
        <f t="shared" si="172"/>
        <v>0</v>
      </c>
      <c r="BA165" s="13">
        <f t="shared" si="1"/>
        <v>35</v>
      </c>
      <c r="BB165" s="15" t="b">
        <f t="shared" si="2"/>
        <v>0</v>
      </c>
    </row>
    <row r="166" spans="1:54" x14ac:dyDescent="0.2">
      <c r="A166" s="19" t="s">
        <v>330</v>
      </c>
      <c r="B166" s="19" t="s">
        <v>317</v>
      </c>
      <c r="C166" s="19" t="s">
        <v>57</v>
      </c>
      <c r="D166" s="19" t="s">
        <v>38</v>
      </c>
      <c r="E166" s="19"/>
      <c r="F166" s="19"/>
      <c r="G166" s="19"/>
      <c r="H166" s="19" t="s">
        <v>330</v>
      </c>
      <c r="I166" s="15">
        <v>2</v>
      </c>
      <c r="J166" s="15">
        <f>IFERROR(VLOOKUP($C166,Sheet3!$H$2:$O$200,J$1,FALSE),IFERROR(VLOOKUP($D166,Sheet3!$H$2:$O$200,J$1,FALSE),VLOOKUP($E166,Sheet3!$H$2:$O$200,J$1,FALSE)))</f>
        <v>0</v>
      </c>
      <c r="K166" s="15">
        <f>IFERROR(VLOOKUP($C166,Sheet3!$H$2:$O$200,K$1,FALSE),IFERROR(VLOOKUP($D166,Sheet3!$H$2:$O$200,K$1,FALSE),VLOOKUP($E166,Sheet3!$H$2:$O$200,K$1,FALSE)))</f>
        <v>0</v>
      </c>
      <c r="L166" s="15">
        <f>IFERROR(VLOOKUP($C166,Sheet3!$H$2:$O$200,L$1,FALSE),IFERROR(VLOOKUP($D166,Sheet3!$H$2:$O$200,L$1,FALSE),VLOOKUP($E166,Sheet3!$H$2:$O$200,L$1,FALSE)))</f>
        <v>0</v>
      </c>
      <c r="M166" s="15" t="str">
        <f>IFERROR(VLOOKUP($C166,Sheet3!$H$2:$O$200,M$1,FALSE),IFERROR(VLOOKUP($D166,Sheet3!$H$2:$O$200,M$1,FALSE),VLOOKUP($E166,Sheet3!$H$2:$O$200,M$1,FALSE)))</f>
        <v>crème de noyau</v>
      </c>
      <c r="N166" s="15">
        <f>IFERROR(VLOOKUP($C166,Sheet3!$H$2:$O$200,N$1,FALSE),IFERROR(VLOOKUP($D166,Sheet3!$H$2:$O$200,N$1,FALSE),VLOOKUP($E166,Sheet3!$H$2:$O$200,N$1,FALSE)))</f>
        <v>0</v>
      </c>
      <c r="O166" s="15">
        <f>IFERROR(VLOOKUP($C166,Sheet3!$H$2:$O$200,O$1,FALSE),IFERROR(VLOOKUP($D166,Sheet3!$H$2:$O$200,O$1,FALSE),VLOOKUP($E166,Sheet3!$H$2:$O$200,O$1,FALSE)))</f>
        <v>0</v>
      </c>
      <c r="P166" s="15">
        <f>IFERROR(VLOOKUP($C166,Sheet3!$H$2:$O$200,P$1,FALSE),IFERROR(VLOOKUP($D166,Sheet3!$H$2:$O$200,P$1,FALSE),VLOOKUP($E166,Sheet3!$H$2:$O$200,P$1,FALSE)))</f>
        <v>0</v>
      </c>
      <c r="Q166" s="15">
        <f>IFERROR(IF(ISBLANK(J166),IFERROR(VLOOKUP($D166,Sheet3!$H$2:$O$200,Q$1,FALSE),IFERROR(VLOOKUP($E166,Sheet3!$H$2:$O$200,Q$1,FALSE),VLOOKUP($F166,Sheet3!$H$2:$O$200,Q$1,FALSE))),$I$1),$I$1)</f>
        <v>0</v>
      </c>
      <c r="R166" s="15">
        <f>IFERROR(IF(ISBLANK(K166),IFERROR(VLOOKUP($D166,Sheet3!$H$2:$O$200,R$1,FALSE),IFERROR(VLOOKUP($E166,Sheet3!$H$2:$O$200,R$1,FALSE),VLOOKUP($F166,Sheet3!$H$2:$O$200,R$1,FALSE))),$I$1),$I$1)</f>
        <v>0</v>
      </c>
      <c r="S166" s="15">
        <f>IFERROR(IF(ISBLANK(L166),IFERROR(VLOOKUP($D166,Sheet3!$H$2:$O$200,S$1,FALSE),IFERROR(VLOOKUP($E166,Sheet3!$H$2:$O$200,S$1,FALSE),VLOOKUP($F166,Sheet3!$H$2:$O$200,S$1,FALSE))),$I$1),$I$1)</f>
        <v>0</v>
      </c>
      <c r="T166" s="15">
        <f>IFERROR(IF(ISBLANK(M166),IFERROR(VLOOKUP($D166,Sheet3!$H$2:$O$200,T$1,FALSE),IFERROR(VLOOKUP($E166,Sheet3!$H$2:$O$200,T$1,FALSE),VLOOKUP($F166,Sheet3!$H$2:$O$200,T$1,FALSE))),$I$1),$I$1)</f>
        <v>0</v>
      </c>
      <c r="U166" s="15">
        <f>IFERROR(IF(ISBLANK(N166),IFERROR(VLOOKUP($D166,Sheet3!$H$2:$O$200,U$1,FALSE),IFERROR(VLOOKUP($E166,Sheet3!$H$2:$O$200,U$1,FALSE),VLOOKUP($F166,Sheet3!$H$2:$O$200,U$1,FALSE))),$I$1),$I$1)</f>
        <v>0</v>
      </c>
      <c r="V166" s="15">
        <f>IFERROR(IF(ISBLANK(O166),IFERROR(VLOOKUP($D166,Sheet3!$H$2:$O$200,V$1,FALSE),IFERROR(VLOOKUP($E166,Sheet3!$H$2:$O$200,V$1,FALSE),VLOOKUP($F166,Sheet3!$H$2:$O$200,V$1,FALSE))),$I$1),$I$1)</f>
        <v>0</v>
      </c>
      <c r="W166" s="15">
        <f>IFERROR(IF(ISBLANK(P166),IFERROR(VLOOKUP($D166,Sheet3!$H$2:$O$200,W$1,FALSE),IFERROR(VLOOKUP($E166,Sheet3!$H$2:$O$200,W$1,FALSE),VLOOKUP($F166,Sheet3!$H$2:$O$200,W$1,FALSE))),$I$1),$I$1)</f>
        <v>0</v>
      </c>
      <c r="X166" s="15">
        <f>IFERROR(IF(ISBLANK(Q166),IFERROR(VLOOKUP($E166,Sheet3!$H$2:$O$200,X$1,FALSE),IFERROR(VLOOKUP($F166,Sheet3!$H$2:$O$200,X$1,FALSE),VLOOKUP($G166,Sheet3!$H$2:$O$200,X$1,FALSE))),$I$1),$I$1)</f>
        <v>0</v>
      </c>
      <c r="Y166" s="15">
        <f>IFERROR(IF(ISBLANK(R166),IFERROR(VLOOKUP($E166,Sheet3!$H$2:$O$200,Y$1,FALSE),IFERROR(VLOOKUP($F166,Sheet3!$H$2:$O$200,Y$1,FALSE),VLOOKUP($G166,Sheet3!$H$2:$O$200,Y$1,FALSE))),$I$1),$I$1)</f>
        <v>0</v>
      </c>
      <c r="Z166" s="15">
        <f>IFERROR(IF(ISBLANK(S166),IFERROR(VLOOKUP($E166,Sheet3!$H$2:$O$200,Z$1,FALSE),IFERROR(VLOOKUP($F166,Sheet3!$H$2:$O$200,Z$1,FALSE),VLOOKUP($G166,Sheet3!$H$2:$O$200,Z$1,FALSE))),$I$1),$I$1)</f>
        <v>0</v>
      </c>
      <c r="AA166" s="15">
        <f>IFERROR(IF(ISBLANK(T166),IFERROR(VLOOKUP($E166,Sheet3!$H$2:$O$200,AA$1,FALSE),IFERROR(VLOOKUP($F166,Sheet3!$H$2:$O$200,AA$1,FALSE),VLOOKUP($G166,Sheet3!$H$2:$O$200,AA$1,FALSE))),$I$1),$I$1)</f>
        <v>0</v>
      </c>
      <c r="AB166" s="15">
        <f>IFERROR(IF(ISBLANK(U166),IFERROR(VLOOKUP($E166,Sheet3!$H$2:$O$200,AB$1,FALSE),IFERROR(VLOOKUP($F166,Sheet3!$H$2:$O$200,AB$1,FALSE),VLOOKUP($G166,Sheet3!$H$2:$O$200,AB$1,FALSE))),$I$1),$I$1)</f>
        <v>0</v>
      </c>
      <c r="AC166" s="15">
        <f>IFERROR(IF(ISBLANK(V166),IFERROR(VLOOKUP($E166,Sheet3!$H$2:$O$200,AC$1,FALSE),IFERROR(VLOOKUP($F166,Sheet3!$H$2:$O$200,AC$1,FALSE),VLOOKUP($G166,Sheet3!$H$2:$O$200,AC$1,FALSE))),$I$1),$I$1)</f>
        <v>0</v>
      </c>
      <c r="AD166" s="15">
        <f>IFERROR(IF(ISBLANK(W166),IFERROR(VLOOKUP($E166,Sheet3!$H$2:$O$200,AD$1,FALSE),IFERROR(VLOOKUP($F166,Sheet3!$H$2:$O$200,AD$1,FALSE),VLOOKUP($G166,Sheet3!$H$2:$O$200,AD$1,FALSE))),$I$1),$I$1)</f>
        <v>0</v>
      </c>
      <c r="AE166" s="15">
        <f>IFERROR(IF(ISBLANK(X166),IFERROR(VLOOKUP($F166,Sheet3!$H$2:$O$200,AE$1,FALSE),VLOOKUP($G166,Sheet3!$H$2:$O$200,AE$1,FALSE)),$I$1),$I$1)</f>
        <v>0</v>
      </c>
      <c r="AF166" s="15">
        <f>IFERROR(IF(ISBLANK(Y166),IFERROR(VLOOKUP($F166,Sheet3!$H$2:$O$200,AF$1,FALSE),VLOOKUP($G166,Sheet3!$H$2:$O$200,AF$1,FALSE)),$I$1),$I$1)</f>
        <v>0</v>
      </c>
      <c r="AG166" s="15">
        <f>IFERROR(IF(ISBLANK(Z166),IFERROR(VLOOKUP($F166,Sheet3!$H$2:$O$200,AG$1,FALSE),VLOOKUP($G166,Sheet3!$H$2:$O$200,AG$1,FALSE)),$I$1),$I$1)</f>
        <v>0</v>
      </c>
      <c r="AH166" s="15">
        <f>IFERROR(IF(ISBLANK(AA166),IFERROR(VLOOKUP($F166,Sheet3!$H$2:$O$200,AH$1,FALSE),VLOOKUP($G166,Sheet3!$H$2:$O$200,AH$1,FALSE)),$I$1),$I$1)</f>
        <v>0</v>
      </c>
      <c r="AI166" s="15">
        <f>IFERROR(IF(ISBLANK(AB166),IFERROR(VLOOKUP($F166,Sheet3!$H$2:$O$200,AI$1,FALSE),VLOOKUP($G166,Sheet3!$H$2:$O$200,AI$1,FALSE)),$I$1),$I$1)</f>
        <v>0</v>
      </c>
      <c r="AJ166" s="15">
        <f>IFERROR(IF(ISBLANK(AC166),IFERROR(VLOOKUP($F166,Sheet3!$H$2:$O$200,AJ$1,FALSE),VLOOKUP($G166,Sheet3!$H$2:$O$200,AJ$1,FALSE)),$I$1),$I$1)</f>
        <v>0</v>
      </c>
      <c r="AK166" s="15">
        <f>IFERROR(IF(ISBLANK(AD166),IFERROR(VLOOKUP($F166,Sheet3!$H$2:$O$200,AK$1,FALSE),VLOOKUP($G166,Sheet3!$H$2:$O$200,AK$1,FALSE)),$I$1),$I$1)</f>
        <v>0</v>
      </c>
      <c r="AL166" s="15">
        <f>IFERROR(IF(ISBLANK(AE166),VLOOKUP($G166,Sheet3!$H$2:$O$200,AL$1,FALSE),$I$1),$I$1)</f>
        <v>0</v>
      </c>
      <c r="AM166" s="15">
        <f>IFERROR(IF(ISBLANK(AF166),VLOOKUP($G166,Sheet3!$H$2:$O$200,AM$1,FALSE),$I$1),$I$1)</f>
        <v>0</v>
      </c>
      <c r="AN166" s="15">
        <f>IFERROR(IF(ISBLANK(AG166),VLOOKUP($G166,Sheet3!$H$2:$O$200,AN$1,FALSE),$I$1),$I$1)</f>
        <v>0</v>
      </c>
      <c r="AO166" s="15">
        <f>IFERROR(IF(ISBLANK(AH166),VLOOKUP($G166,Sheet3!$H$2:$O$200,AO$1,FALSE),$I$1),$I$1)</f>
        <v>0</v>
      </c>
      <c r="AP166" s="15">
        <f>IFERROR(IF(ISBLANK(AI166),VLOOKUP($G166,Sheet3!$H$2:$O$200,AP$1,FALSE),$I$1),$I$1)</f>
        <v>0</v>
      </c>
      <c r="AQ166" s="15">
        <f>IFERROR(IF(ISBLANK(AJ166),VLOOKUP($G166,Sheet3!$H$2:$O$200,AQ$1,FALSE),$I$1),$I$1)</f>
        <v>0</v>
      </c>
      <c r="AR166" s="15">
        <f>IFERROR(IF(ISBLANK(AK166),VLOOKUP($G166,Sheet3!$H$2:$O$200,AR$1,FALSE),$I$1),$I$1)</f>
        <v>0</v>
      </c>
      <c r="AS166" s="15">
        <f t="shared" ref="AS166:AY166" si="173">IFERROR(IF(ISBLANK(J166),IF(ISBLANK(Q166),IF(ISBLANK(X166),IF(ISBLANK(AE166),IF(ISBLANK(AL166),$BB$1,AL166),AE166),X166),Q166),J166),$BB$1)</f>
        <v>0</v>
      </c>
      <c r="AT166" s="15">
        <f t="shared" si="173"/>
        <v>0</v>
      </c>
      <c r="AU166" s="15">
        <f t="shared" si="173"/>
        <v>0</v>
      </c>
      <c r="AV166" s="15" t="str">
        <f t="shared" si="173"/>
        <v>crème de noyau</v>
      </c>
      <c r="AW166" s="15">
        <f t="shared" si="173"/>
        <v>0</v>
      </c>
      <c r="AX166" s="15">
        <f t="shared" si="173"/>
        <v>0</v>
      </c>
      <c r="AY166" s="15">
        <f t="shared" si="173"/>
        <v>0</v>
      </c>
      <c r="BA166" s="13">
        <f t="shared" si="1"/>
        <v>35</v>
      </c>
      <c r="BB166" s="15" t="b">
        <f t="shared" si="2"/>
        <v>0</v>
      </c>
    </row>
    <row r="167" spans="1:54" x14ac:dyDescent="0.2">
      <c r="A167" s="19" t="s">
        <v>331</v>
      </c>
      <c r="B167" s="19" t="s">
        <v>332</v>
      </c>
      <c r="C167" s="19" t="s">
        <v>104</v>
      </c>
      <c r="D167" s="19" t="s">
        <v>38</v>
      </c>
      <c r="E167" s="19" t="s">
        <v>74</v>
      </c>
      <c r="F167" s="19"/>
      <c r="G167" s="19"/>
      <c r="H167" s="19" t="s">
        <v>331</v>
      </c>
      <c r="I167" s="15">
        <v>3</v>
      </c>
      <c r="J167" s="15">
        <f>IFERROR(VLOOKUP($C167,Sheet3!$H$2:$O$200,J$1,FALSE),IFERROR(VLOOKUP($D167,Sheet3!$H$2:$O$200,J$1,FALSE),VLOOKUP($E167,Sheet3!$H$2:$O$200,J$1,FALSE)))</f>
        <v>0</v>
      </c>
      <c r="K167" s="15">
        <f>IFERROR(VLOOKUP($C167,Sheet3!$H$2:$O$200,K$1,FALSE),IFERROR(VLOOKUP($D167,Sheet3!$H$2:$O$200,K$1,FALSE),VLOOKUP($E167,Sheet3!$H$2:$O$200,K$1,FALSE)))</f>
        <v>0</v>
      </c>
      <c r="L167" s="15">
        <f>IFERROR(VLOOKUP($C167,Sheet3!$H$2:$O$200,L$1,FALSE),IFERROR(VLOOKUP($D167,Sheet3!$H$2:$O$200,L$1,FALSE),VLOOKUP($E167,Sheet3!$H$2:$O$200,L$1,FALSE)))</f>
        <v>0</v>
      </c>
      <c r="M167" s="15" t="str">
        <f>IFERROR(VLOOKUP($C167,Sheet3!$H$2:$O$200,M$1,FALSE),IFERROR(VLOOKUP($D167,Sheet3!$H$2:$O$200,M$1,FALSE),VLOOKUP($E167,Sheet3!$H$2:$O$200,M$1,FALSE)))</f>
        <v>absinthe</v>
      </c>
      <c r="N167" s="15">
        <f>IFERROR(VLOOKUP($C167,Sheet3!$H$2:$O$200,N$1,FALSE),IFERROR(VLOOKUP($D167,Sheet3!$H$2:$O$200,N$1,FALSE),VLOOKUP($E167,Sheet3!$H$2:$O$200,N$1,FALSE)))</f>
        <v>0</v>
      </c>
      <c r="O167" s="15">
        <f>IFERROR(VLOOKUP($C167,Sheet3!$H$2:$O$200,O$1,FALSE),IFERROR(VLOOKUP($D167,Sheet3!$H$2:$O$200,O$1,FALSE),VLOOKUP($E167,Sheet3!$H$2:$O$200,O$1,FALSE)))</f>
        <v>0</v>
      </c>
      <c r="P167" s="15">
        <f>IFERROR(VLOOKUP($C167,Sheet3!$H$2:$O$200,P$1,FALSE),IFERROR(VLOOKUP($D167,Sheet3!$H$2:$O$200,P$1,FALSE),VLOOKUP($E167,Sheet3!$H$2:$O$200,P$1,FALSE)))</f>
        <v>0</v>
      </c>
      <c r="Q167" s="15">
        <f>IFERROR(IF(ISBLANK(J167),IFERROR(VLOOKUP($D167,Sheet3!$H$2:$O$200,Q$1,FALSE),IFERROR(VLOOKUP($E167,Sheet3!$H$2:$O$200,Q$1,FALSE),VLOOKUP($F167,Sheet3!$H$2:$O$200,Q$1,FALSE))),$I$1),$I$1)</f>
        <v>0</v>
      </c>
      <c r="R167" s="15">
        <f>IFERROR(IF(ISBLANK(K167),IFERROR(VLOOKUP($D167,Sheet3!$H$2:$O$200,R$1,FALSE),IFERROR(VLOOKUP($E167,Sheet3!$H$2:$O$200,R$1,FALSE),VLOOKUP($F167,Sheet3!$H$2:$O$200,R$1,FALSE))),$I$1),$I$1)</f>
        <v>0</v>
      </c>
      <c r="S167" s="15">
        <f>IFERROR(IF(ISBLANK(L167),IFERROR(VLOOKUP($D167,Sheet3!$H$2:$O$200,S$1,FALSE),IFERROR(VLOOKUP($E167,Sheet3!$H$2:$O$200,S$1,FALSE),VLOOKUP($F167,Sheet3!$H$2:$O$200,S$1,FALSE))),$I$1),$I$1)</f>
        <v>0</v>
      </c>
      <c r="T167" s="15">
        <f>IFERROR(IF(ISBLANK(M167),IFERROR(VLOOKUP($D167,Sheet3!$H$2:$O$200,T$1,FALSE),IFERROR(VLOOKUP($E167,Sheet3!$H$2:$O$200,T$1,FALSE),VLOOKUP($F167,Sheet3!$H$2:$O$200,T$1,FALSE))),$I$1),$I$1)</f>
        <v>0</v>
      </c>
      <c r="U167" s="15">
        <f>IFERROR(IF(ISBLANK(N167),IFERROR(VLOOKUP($D167,Sheet3!$H$2:$O$200,U$1,FALSE),IFERROR(VLOOKUP($E167,Sheet3!$H$2:$O$200,U$1,FALSE),VLOOKUP($F167,Sheet3!$H$2:$O$200,U$1,FALSE))),$I$1),$I$1)</f>
        <v>0</v>
      </c>
      <c r="V167" s="15">
        <f>IFERROR(IF(ISBLANK(O167),IFERROR(VLOOKUP($D167,Sheet3!$H$2:$O$200,V$1,FALSE),IFERROR(VLOOKUP($E167,Sheet3!$H$2:$O$200,V$1,FALSE),VLOOKUP($F167,Sheet3!$H$2:$O$200,V$1,FALSE))),$I$1),$I$1)</f>
        <v>0</v>
      </c>
      <c r="W167" s="15">
        <f>IFERROR(IF(ISBLANK(P167),IFERROR(VLOOKUP($D167,Sheet3!$H$2:$O$200,W$1,FALSE),IFERROR(VLOOKUP($E167,Sheet3!$H$2:$O$200,W$1,FALSE),VLOOKUP($F167,Sheet3!$H$2:$O$200,W$1,FALSE))),$I$1),$I$1)</f>
        <v>0</v>
      </c>
      <c r="X167" s="15">
        <f>IFERROR(IF(ISBLANK(Q167),IFERROR(VLOOKUP($E167,Sheet3!$H$2:$O$200,X$1,FALSE),IFERROR(VLOOKUP($F167,Sheet3!$H$2:$O$200,X$1,FALSE),VLOOKUP($G167,Sheet3!$H$2:$O$200,X$1,FALSE))),$I$1),$I$1)</f>
        <v>0</v>
      </c>
      <c r="Y167" s="15">
        <f>IFERROR(IF(ISBLANK(R167),IFERROR(VLOOKUP($E167,Sheet3!$H$2:$O$200,Y$1,FALSE),IFERROR(VLOOKUP($F167,Sheet3!$H$2:$O$200,Y$1,FALSE),VLOOKUP($G167,Sheet3!$H$2:$O$200,Y$1,FALSE))),$I$1),$I$1)</f>
        <v>0</v>
      </c>
      <c r="Z167" s="15">
        <f>IFERROR(IF(ISBLANK(S167),IFERROR(VLOOKUP($E167,Sheet3!$H$2:$O$200,Z$1,FALSE),IFERROR(VLOOKUP($F167,Sheet3!$H$2:$O$200,Z$1,FALSE),VLOOKUP($G167,Sheet3!$H$2:$O$200,Z$1,FALSE))),$I$1),$I$1)</f>
        <v>0</v>
      </c>
      <c r="AA167" s="15">
        <f>IFERROR(IF(ISBLANK(T167),IFERROR(VLOOKUP($E167,Sheet3!$H$2:$O$200,AA$1,FALSE),IFERROR(VLOOKUP($F167,Sheet3!$H$2:$O$200,AA$1,FALSE),VLOOKUP($G167,Sheet3!$H$2:$O$200,AA$1,FALSE))),$I$1),$I$1)</f>
        <v>0</v>
      </c>
      <c r="AB167" s="15">
        <f>IFERROR(IF(ISBLANK(U167),IFERROR(VLOOKUP($E167,Sheet3!$H$2:$O$200,AB$1,FALSE),IFERROR(VLOOKUP($F167,Sheet3!$H$2:$O$200,AB$1,FALSE),VLOOKUP($G167,Sheet3!$H$2:$O$200,AB$1,FALSE))),$I$1),$I$1)</f>
        <v>0</v>
      </c>
      <c r="AC167" s="15">
        <f>IFERROR(IF(ISBLANK(V167),IFERROR(VLOOKUP($E167,Sheet3!$H$2:$O$200,AC$1,FALSE),IFERROR(VLOOKUP($F167,Sheet3!$H$2:$O$200,AC$1,FALSE),VLOOKUP($G167,Sheet3!$H$2:$O$200,AC$1,FALSE))),$I$1),$I$1)</f>
        <v>0</v>
      </c>
      <c r="AD167" s="15">
        <f>IFERROR(IF(ISBLANK(W167),IFERROR(VLOOKUP($E167,Sheet3!$H$2:$O$200,AD$1,FALSE),IFERROR(VLOOKUP($F167,Sheet3!$H$2:$O$200,AD$1,FALSE),VLOOKUP($G167,Sheet3!$H$2:$O$200,AD$1,FALSE))),$I$1),$I$1)</f>
        <v>0</v>
      </c>
      <c r="AE167" s="15">
        <f>IFERROR(IF(ISBLANK(X167),IFERROR(VLOOKUP($F167,Sheet3!$H$2:$O$200,AE$1,FALSE),VLOOKUP($G167,Sheet3!$H$2:$O$200,AE$1,FALSE)),$I$1),$I$1)</f>
        <v>0</v>
      </c>
      <c r="AF167" s="15">
        <f>IFERROR(IF(ISBLANK(Y167),IFERROR(VLOOKUP($F167,Sheet3!$H$2:$O$200,AF$1,FALSE),VLOOKUP($G167,Sheet3!$H$2:$O$200,AF$1,FALSE)),$I$1),$I$1)</f>
        <v>0</v>
      </c>
      <c r="AG167" s="15">
        <f>IFERROR(IF(ISBLANK(Z167),IFERROR(VLOOKUP($F167,Sheet3!$H$2:$O$200,AG$1,FALSE),VLOOKUP($G167,Sheet3!$H$2:$O$200,AG$1,FALSE)),$I$1),$I$1)</f>
        <v>0</v>
      </c>
      <c r="AH167" s="15">
        <f>IFERROR(IF(ISBLANK(AA167),IFERROR(VLOOKUP($F167,Sheet3!$H$2:$O$200,AH$1,FALSE),VLOOKUP($G167,Sheet3!$H$2:$O$200,AH$1,FALSE)),$I$1),$I$1)</f>
        <v>0</v>
      </c>
      <c r="AI167" s="15">
        <f>IFERROR(IF(ISBLANK(AB167),IFERROR(VLOOKUP($F167,Sheet3!$H$2:$O$200,AI$1,FALSE),VLOOKUP($G167,Sheet3!$H$2:$O$200,AI$1,FALSE)),$I$1),$I$1)</f>
        <v>0</v>
      </c>
      <c r="AJ167" s="15">
        <f>IFERROR(IF(ISBLANK(AC167),IFERROR(VLOOKUP($F167,Sheet3!$H$2:$O$200,AJ$1,FALSE),VLOOKUP($G167,Sheet3!$H$2:$O$200,AJ$1,FALSE)),$I$1),$I$1)</f>
        <v>0</v>
      </c>
      <c r="AK167" s="15">
        <f>IFERROR(IF(ISBLANK(AD167),IFERROR(VLOOKUP($F167,Sheet3!$H$2:$O$200,AK$1,FALSE),VLOOKUP($G167,Sheet3!$H$2:$O$200,AK$1,FALSE)),$I$1),$I$1)</f>
        <v>0</v>
      </c>
      <c r="AL167" s="15">
        <f>IFERROR(IF(ISBLANK(AE167),VLOOKUP($G167,Sheet3!$H$2:$O$200,AL$1,FALSE),$I$1),$I$1)</f>
        <v>0</v>
      </c>
      <c r="AM167" s="15">
        <f>IFERROR(IF(ISBLANK(AF167),VLOOKUP($G167,Sheet3!$H$2:$O$200,AM$1,FALSE),$I$1),$I$1)</f>
        <v>0</v>
      </c>
      <c r="AN167" s="15">
        <f>IFERROR(IF(ISBLANK(AG167),VLOOKUP($G167,Sheet3!$H$2:$O$200,AN$1,FALSE),$I$1),$I$1)</f>
        <v>0</v>
      </c>
      <c r="AO167" s="15">
        <f>IFERROR(IF(ISBLANK(AH167),VLOOKUP($G167,Sheet3!$H$2:$O$200,AO$1,FALSE),$I$1),$I$1)</f>
        <v>0</v>
      </c>
      <c r="AP167" s="15">
        <f>IFERROR(IF(ISBLANK(AI167),VLOOKUP($G167,Sheet3!$H$2:$O$200,AP$1,FALSE),$I$1),$I$1)</f>
        <v>0</v>
      </c>
      <c r="AQ167" s="15">
        <f>IFERROR(IF(ISBLANK(AJ167),VLOOKUP($G167,Sheet3!$H$2:$O$200,AQ$1,FALSE),$I$1),$I$1)</f>
        <v>0</v>
      </c>
      <c r="AR167" s="15">
        <f>IFERROR(IF(ISBLANK(AK167),VLOOKUP($G167,Sheet3!$H$2:$O$200,AR$1,FALSE),$I$1),$I$1)</f>
        <v>0</v>
      </c>
      <c r="AS167" s="15">
        <f t="shared" ref="AS167:AY167" si="174">IFERROR(IF(ISBLANK(J167),IF(ISBLANK(Q167),IF(ISBLANK(X167),IF(ISBLANK(AE167),IF(ISBLANK(AL167),$BB$1,AL167),AE167),X167),Q167),J167),$BB$1)</f>
        <v>0</v>
      </c>
      <c r="AT167" s="15">
        <f t="shared" si="174"/>
        <v>0</v>
      </c>
      <c r="AU167" s="15">
        <f t="shared" si="174"/>
        <v>0</v>
      </c>
      <c r="AV167" s="15" t="str">
        <f t="shared" si="174"/>
        <v>absinthe</v>
      </c>
      <c r="AW167" s="15">
        <f t="shared" si="174"/>
        <v>0</v>
      </c>
      <c r="AX167" s="15">
        <f t="shared" si="174"/>
        <v>0</v>
      </c>
      <c r="AY167" s="15">
        <f t="shared" si="174"/>
        <v>0</v>
      </c>
      <c r="BA167" s="13">
        <f t="shared" si="1"/>
        <v>35</v>
      </c>
      <c r="BB167" s="15" t="b">
        <f t="shared" si="2"/>
        <v>0</v>
      </c>
    </row>
    <row r="168" spans="1:54" x14ac:dyDescent="0.2">
      <c r="A168" s="19" t="s">
        <v>333</v>
      </c>
      <c r="B168" s="19" t="s">
        <v>334</v>
      </c>
      <c r="C168" s="19" t="s">
        <v>335</v>
      </c>
      <c r="D168" s="19"/>
      <c r="E168" s="19"/>
      <c r="F168" s="19"/>
      <c r="G168" s="19"/>
      <c r="H168" s="19" t="s">
        <v>333</v>
      </c>
      <c r="I168" s="15">
        <v>1</v>
      </c>
      <c r="J168" s="15">
        <f>IFERROR(VLOOKUP($C168,Sheet3!$H$2:$O$200,J$1,FALSE),IFERROR(VLOOKUP($D168,Sheet3!$H$2:$O$200,J$1,FALSE),VLOOKUP($E168,Sheet3!$H$2:$O$200,J$1,FALSE)))</f>
        <v>0</v>
      </c>
      <c r="K168" s="15" t="str">
        <f>IFERROR(VLOOKUP($C168,Sheet3!$H$2:$O$200,K$1,FALSE),IFERROR(VLOOKUP($D168,Sheet3!$H$2:$O$200,K$1,FALSE),VLOOKUP($E168,Sheet3!$H$2:$O$200,K$1,FALSE)))</f>
        <v>7UP</v>
      </c>
      <c r="L168" s="15">
        <f>IFERROR(VLOOKUP($C168,Sheet3!$H$2:$O$200,L$1,FALSE),IFERROR(VLOOKUP($D168,Sheet3!$H$2:$O$200,L$1,FALSE),VLOOKUP($E168,Sheet3!$H$2:$O$200,L$1,FALSE)))</f>
        <v>0</v>
      </c>
      <c r="M168" s="15">
        <f>IFERROR(VLOOKUP($C168,Sheet3!$H$2:$O$200,M$1,FALSE),IFERROR(VLOOKUP($D168,Sheet3!$H$2:$O$200,M$1,FALSE),VLOOKUP($E168,Sheet3!$H$2:$O$200,M$1,FALSE)))</f>
        <v>0</v>
      </c>
      <c r="N168" s="15">
        <f>IFERROR(VLOOKUP($C168,Sheet3!$H$2:$O$200,N$1,FALSE),IFERROR(VLOOKUP($D168,Sheet3!$H$2:$O$200,N$1,FALSE),VLOOKUP($E168,Sheet3!$H$2:$O$200,N$1,FALSE)))</f>
        <v>0</v>
      </c>
      <c r="O168" s="15">
        <f>IFERROR(VLOOKUP($C168,Sheet3!$H$2:$O$200,O$1,FALSE),IFERROR(VLOOKUP($D168,Sheet3!$H$2:$O$200,O$1,FALSE),VLOOKUP($E168,Sheet3!$H$2:$O$200,O$1,FALSE)))</f>
        <v>0</v>
      </c>
      <c r="P168" s="15">
        <f>IFERROR(VLOOKUP($C168,Sheet3!$H$2:$O$200,P$1,FALSE),IFERROR(VLOOKUP($D168,Sheet3!$H$2:$O$200,P$1,FALSE),VLOOKUP($E168,Sheet3!$H$2:$O$200,P$1,FALSE)))</f>
        <v>0</v>
      </c>
      <c r="Q168" s="15">
        <f>IFERROR(IF(ISBLANK(J168),IFERROR(VLOOKUP($D168,Sheet3!$H$2:$O$200,Q$1,FALSE),IFERROR(VLOOKUP($E168,Sheet3!$H$2:$O$200,Q$1,FALSE),VLOOKUP($F168,Sheet3!$H$2:$O$200,Q$1,FALSE))),$I$1),$I$1)</f>
        <v>0</v>
      </c>
      <c r="R168" s="15">
        <f>IFERROR(IF(ISBLANK(K168),IFERROR(VLOOKUP($D168,Sheet3!$H$2:$O$200,R$1,FALSE),IFERROR(VLOOKUP($E168,Sheet3!$H$2:$O$200,R$1,FALSE),VLOOKUP($F168,Sheet3!$H$2:$O$200,R$1,FALSE))),$I$1),$I$1)</f>
        <v>0</v>
      </c>
      <c r="S168" s="15">
        <f>IFERROR(IF(ISBLANK(L168),IFERROR(VLOOKUP($D168,Sheet3!$H$2:$O$200,S$1,FALSE),IFERROR(VLOOKUP($E168,Sheet3!$H$2:$O$200,S$1,FALSE),VLOOKUP($F168,Sheet3!$H$2:$O$200,S$1,FALSE))),$I$1),$I$1)</f>
        <v>0</v>
      </c>
      <c r="T168" s="15">
        <f>IFERROR(IF(ISBLANK(M168),IFERROR(VLOOKUP($D168,Sheet3!$H$2:$O$200,T$1,FALSE),IFERROR(VLOOKUP($E168,Sheet3!$H$2:$O$200,T$1,FALSE),VLOOKUP($F168,Sheet3!$H$2:$O$200,T$1,FALSE))),$I$1),$I$1)</f>
        <v>0</v>
      </c>
      <c r="U168" s="15">
        <f>IFERROR(IF(ISBLANK(N168),IFERROR(VLOOKUP($D168,Sheet3!$H$2:$O$200,U$1,FALSE),IFERROR(VLOOKUP($E168,Sheet3!$H$2:$O$200,U$1,FALSE),VLOOKUP($F168,Sheet3!$H$2:$O$200,U$1,FALSE))),$I$1),$I$1)</f>
        <v>0</v>
      </c>
      <c r="V168" s="15">
        <f>IFERROR(IF(ISBLANK(O168),IFERROR(VLOOKUP($D168,Sheet3!$H$2:$O$200,V$1,FALSE),IFERROR(VLOOKUP($E168,Sheet3!$H$2:$O$200,V$1,FALSE),VLOOKUP($F168,Sheet3!$H$2:$O$200,V$1,FALSE))),$I$1),$I$1)</f>
        <v>0</v>
      </c>
      <c r="W168" s="15">
        <f>IFERROR(IF(ISBLANK(P168),IFERROR(VLOOKUP($D168,Sheet3!$H$2:$O$200,W$1,FALSE),IFERROR(VLOOKUP($E168,Sheet3!$H$2:$O$200,W$1,FALSE),VLOOKUP($F168,Sheet3!$H$2:$O$200,W$1,FALSE))),$I$1),$I$1)</f>
        <v>0</v>
      </c>
      <c r="X168" s="15">
        <f>IFERROR(IF(ISBLANK(Q168),IFERROR(VLOOKUP($E168,Sheet3!$H$2:$O$200,X$1,FALSE),IFERROR(VLOOKUP($F168,Sheet3!$H$2:$O$200,X$1,FALSE),VLOOKUP($G168,Sheet3!$H$2:$O$200,X$1,FALSE))),$I$1),$I$1)</f>
        <v>0</v>
      </c>
      <c r="Y168" s="15">
        <f>IFERROR(IF(ISBLANK(R168),IFERROR(VLOOKUP($E168,Sheet3!$H$2:$O$200,Y$1,FALSE),IFERROR(VLOOKUP($F168,Sheet3!$H$2:$O$200,Y$1,FALSE),VLOOKUP($G168,Sheet3!$H$2:$O$200,Y$1,FALSE))),$I$1),$I$1)</f>
        <v>0</v>
      </c>
      <c r="Z168" s="15">
        <f>IFERROR(IF(ISBLANK(S168),IFERROR(VLOOKUP($E168,Sheet3!$H$2:$O$200,Z$1,FALSE),IFERROR(VLOOKUP($F168,Sheet3!$H$2:$O$200,Z$1,FALSE),VLOOKUP($G168,Sheet3!$H$2:$O$200,Z$1,FALSE))),$I$1),$I$1)</f>
        <v>0</v>
      </c>
      <c r="AA168" s="15">
        <f>IFERROR(IF(ISBLANK(T168),IFERROR(VLOOKUP($E168,Sheet3!$H$2:$O$200,AA$1,FALSE),IFERROR(VLOOKUP($F168,Sheet3!$H$2:$O$200,AA$1,FALSE),VLOOKUP($G168,Sheet3!$H$2:$O$200,AA$1,FALSE))),$I$1),$I$1)</f>
        <v>0</v>
      </c>
      <c r="AB168" s="15">
        <f>IFERROR(IF(ISBLANK(U168),IFERROR(VLOOKUP($E168,Sheet3!$H$2:$O$200,AB$1,FALSE),IFERROR(VLOOKUP($F168,Sheet3!$H$2:$O$200,AB$1,FALSE),VLOOKUP($G168,Sheet3!$H$2:$O$200,AB$1,FALSE))),$I$1),$I$1)</f>
        <v>0</v>
      </c>
      <c r="AC168" s="15">
        <f>IFERROR(IF(ISBLANK(V168),IFERROR(VLOOKUP($E168,Sheet3!$H$2:$O$200,AC$1,FALSE),IFERROR(VLOOKUP($F168,Sheet3!$H$2:$O$200,AC$1,FALSE),VLOOKUP($G168,Sheet3!$H$2:$O$200,AC$1,FALSE))),$I$1),$I$1)</f>
        <v>0</v>
      </c>
      <c r="AD168" s="15">
        <f>IFERROR(IF(ISBLANK(W168),IFERROR(VLOOKUP($E168,Sheet3!$H$2:$O$200,AD$1,FALSE),IFERROR(VLOOKUP($F168,Sheet3!$H$2:$O$200,AD$1,FALSE),VLOOKUP($G168,Sheet3!$H$2:$O$200,AD$1,FALSE))),$I$1),$I$1)</f>
        <v>0</v>
      </c>
      <c r="AE168" s="15">
        <f>IFERROR(IF(ISBLANK(X168),IFERROR(VLOOKUP($F168,Sheet3!$H$2:$O$200,AE$1,FALSE),VLOOKUP($G168,Sheet3!$H$2:$O$200,AE$1,FALSE)),$I$1),$I$1)</f>
        <v>0</v>
      </c>
      <c r="AF168" s="15">
        <f>IFERROR(IF(ISBLANK(Y168),IFERROR(VLOOKUP($F168,Sheet3!$H$2:$O$200,AF$1,FALSE),VLOOKUP($G168,Sheet3!$H$2:$O$200,AF$1,FALSE)),$I$1),$I$1)</f>
        <v>0</v>
      </c>
      <c r="AG168" s="15">
        <f>IFERROR(IF(ISBLANK(Z168),IFERROR(VLOOKUP($F168,Sheet3!$H$2:$O$200,AG$1,FALSE),VLOOKUP($G168,Sheet3!$H$2:$O$200,AG$1,FALSE)),$I$1),$I$1)</f>
        <v>0</v>
      </c>
      <c r="AH168" s="15">
        <f>IFERROR(IF(ISBLANK(AA168),IFERROR(VLOOKUP($F168,Sheet3!$H$2:$O$200,AH$1,FALSE),VLOOKUP($G168,Sheet3!$H$2:$O$200,AH$1,FALSE)),$I$1),$I$1)</f>
        <v>0</v>
      </c>
      <c r="AI168" s="15">
        <f>IFERROR(IF(ISBLANK(AB168),IFERROR(VLOOKUP($F168,Sheet3!$H$2:$O$200,AI$1,FALSE),VLOOKUP($G168,Sheet3!$H$2:$O$200,AI$1,FALSE)),$I$1),$I$1)</f>
        <v>0</v>
      </c>
      <c r="AJ168" s="15">
        <f>IFERROR(IF(ISBLANK(AC168),IFERROR(VLOOKUP($F168,Sheet3!$H$2:$O$200,AJ$1,FALSE),VLOOKUP($G168,Sheet3!$H$2:$O$200,AJ$1,FALSE)),$I$1),$I$1)</f>
        <v>0</v>
      </c>
      <c r="AK168" s="15">
        <f>IFERROR(IF(ISBLANK(AD168),IFERROR(VLOOKUP($F168,Sheet3!$H$2:$O$200,AK$1,FALSE),VLOOKUP($G168,Sheet3!$H$2:$O$200,AK$1,FALSE)),$I$1),$I$1)</f>
        <v>0</v>
      </c>
      <c r="AL168" s="15">
        <f>IFERROR(IF(ISBLANK(AE168),VLOOKUP($G168,Sheet3!$H$2:$O$200,AL$1,FALSE),$I$1),$I$1)</f>
        <v>0</v>
      </c>
      <c r="AM168" s="15">
        <f>IFERROR(IF(ISBLANK(AF168),VLOOKUP($G168,Sheet3!$H$2:$O$200,AM$1,FALSE),$I$1),$I$1)</f>
        <v>0</v>
      </c>
      <c r="AN168" s="15">
        <f>IFERROR(IF(ISBLANK(AG168),VLOOKUP($G168,Sheet3!$H$2:$O$200,AN$1,FALSE),$I$1),$I$1)</f>
        <v>0</v>
      </c>
      <c r="AO168" s="15">
        <f>IFERROR(IF(ISBLANK(AH168),VLOOKUP($G168,Sheet3!$H$2:$O$200,AO$1,FALSE),$I$1),$I$1)</f>
        <v>0</v>
      </c>
      <c r="AP168" s="15">
        <f>IFERROR(IF(ISBLANK(AI168),VLOOKUP($G168,Sheet3!$H$2:$O$200,AP$1,FALSE),$I$1),$I$1)</f>
        <v>0</v>
      </c>
      <c r="AQ168" s="15">
        <f>IFERROR(IF(ISBLANK(AJ168),VLOOKUP($G168,Sheet3!$H$2:$O$200,AQ$1,FALSE),$I$1),$I$1)</f>
        <v>0</v>
      </c>
      <c r="AR168" s="15">
        <f>IFERROR(IF(ISBLANK(AK168),VLOOKUP($G168,Sheet3!$H$2:$O$200,AR$1,FALSE),$I$1),$I$1)</f>
        <v>0</v>
      </c>
      <c r="AS168" s="15">
        <f t="shared" ref="AS168:AY168" si="175">IFERROR(IF(ISBLANK(J168),IF(ISBLANK(Q168),IF(ISBLANK(X168),IF(ISBLANK(AE168),IF(ISBLANK(AL168),$BB$1,AL168),AE168),X168),Q168),J168),$BB$1)</f>
        <v>0</v>
      </c>
      <c r="AT168" s="15" t="str">
        <f t="shared" si="175"/>
        <v>7UP</v>
      </c>
      <c r="AU168" s="15">
        <f t="shared" si="175"/>
        <v>0</v>
      </c>
      <c r="AV168" s="15">
        <f t="shared" si="175"/>
        <v>0</v>
      </c>
      <c r="AW168" s="15">
        <f t="shared" si="175"/>
        <v>0</v>
      </c>
      <c r="AX168" s="15">
        <f t="shared" si="175"/>
        <v>0</v>
      </c>
      <c r="AY168" s="15">
        <f t="shared" si="175"/>
        <v>0</v>
      </c>
      <c r="BA168" s="13">
        <f t="shared" si="1"/>
        <v>35</v>
      </c>
      <c r="BB168" s="15" t="b">
        <f t="shared" si="2"/>
        <v>0</v>
      </c>
    </row>
    <row r="169" spans="1:54" x14ac:dyDescent="0.2">
      <c r="A169" s="19" t="s">
        <v>336</v>
      </c>
      <c r="B169" s="19" t="s">
        <v>282</v>
      </c>
      <c r="C169" s="19" t="s">
        <v>86</v>
      </c>
      <c r="D169" s="19" t="s">
        <v>38</v>
      </c>
      <c r="E169" s="19" t="s">
        <v>62</v>
      </c>
      <c r="F169" s="19"/>
      <c r="G169" s="19"/>
      <c r="H169" s="19" t="s">
        <v>336</v>
      </c>
      <c r="I169" s="15">
        <v>3</v>
      </c>
      <c r="J169" s="15">
        <f>IFERROR(VLOOKUP($C169,Sheet3!$H$2:$O$200,J$1,FALSE),IFERROR(VLOOKUP($D169,Sheet3!$H$2:$O$200,J$1,FALSE),VLOOKUP($E169,Sheet3!$H$2:$O$200,J$1,FALSE)))</f>
        <v>0</v>
      </c>
      <c r="K169" s="15" t="str">
        <f>IFERROR(VLOOKUP($C169,Sheet3!$H$2:$O$200,K$1,FALSE),IFERROR(VLOOKUP($D169,Sheet3!$H$2:$O$200,K$1,FALSE),VLOOKUP($E169,Sheet3!$H$2:$O$200,K$1,FALSE)))</f>
        <v>simple syrup</v>
      </c>
      <c r="L169" s="15">
        <f>IFERROR(VLOOKUP($C169,Sheet3!$H$2:$O$200,L$1,FALSE),IFERROR(VLOOKUP($D169,Sheet3!$H$2:$O$200,L$1,FALSE),VLOOKUP($E169,Sheet3!$H$2:$O$200,L$1,FALSE)))</f>
        <v>0</v>
      </c>
      <c r="M169" s="15">
        <f>IFERROR(VLOOKUP($C169,Sheet3!$H$2:$O$200,M$1,FALSE),IFERROR(VLOOKUP($D169,Sheet3!$H$2:$O$200,M$1,FALSE),VLOOKUP($E169,Sheet3!$H$2:$O$200,M$1,FALSE)))</f>
        <v>0</v>
      </c>
      <c r="N169" s="15">
        <f>IFERROR(VLOOKUP($C169,Sheet3!$H$2:$O$200,N$1,FALSE),IFERROR(VLOOKUP($D169,Sheet3!$H$2:$O$200,N$1,FALSE),VLOOKUP($E169,Sheet3!$H$2:$O$200,N$1,FALSE)))</f>
        <v>0</v>
      </c>
      <c r="O169" s="15">
        <f>IFERROR(VLOOKUP($C169,Sheet3!$H$2:$O$200,O$1,FALSE),IFERROR(VLOOKUP($D169,Sheet3!$H$2:$O$200,O$1,FALSE),VLOOKUP($E169,Sheet3!$H$2:$O$200,O$1,FALSE)))</f>
        <v>0</v>
      </c>
      <c r="P169" s="15">
        <f>IFERROR(VLOOKUP($C169,Sheet3!$H$2:$O$200,P$1,FALSE),IFERROR(VLOOKUP($D169,Sheet3!$H$2:$O$200,P$1,FALSE),VLOOKUP($E169,Sheet3!$H$2:$O$200,P$1,FALSE)))</f>
        <v>0</v>
      </c>
      <c r="Q169" s="15">
        <f>IFERROR(IF(ISBLANK(J169),IFERROR(VLOOKUP($D169,Sheet3!$H$2:$O$200,Q$1,FALSE),IFERROR(VLOOKUP($E169,Sheet3!$H$2:$O$200,Q$1,FALSE),VLOOKUP($F169,Sheet3!$H$2:$O$200,Q$1,FALSE))),$I$1),$I$1)</f>
        <v>0</v>
      </c>
      <c r="R169" s="15">
        <f>IFERROR(IF(ISBLANK(K169),IFERROR(VLOOKUP($D169,Sheet3!$H$2:$O$200,R$1,FALSE),IFERROR(VLOOKUP($E169,Sheet3!$H$2:$O$200,R$1,FALSE),VLOOKUP($F169,Sheet3!$H$2:$O$200,R$1,FALSE))),$I$1),$I$1)</f>
        <v>0</v>
      </c>
      <c r="S169" s="15">
        <f>IFERROR(IF(ISBLANK(L169),IFERROR(VLOOKUP($D169,Sheet3!$H$2:$O$200,S$1,FALSE),IFERROR(VLOOKUP($E169,Sheet3!$H$2:$O$200,S$1,FALSE),VLOOKUP($F169,Sheet3!$H$2:$O$200,S$1,FALSE))),$I$1),$I$1)</f>
        <v>0</v>
      </c>
      <c r="T169" s="15">
        <f>IFERROR(IF(ISBLANK(M169),IFERROR(VLOOKUP($D169,Sheet3!$H$2:$O$200,T$1,FALSE),IFERROR(VLOOKUP($E169,Sheet3!$H$2:$O$200,T$1,FALSE),VLOOKUP($F169,Sheet3!$H$2:$O$200,T$1,FALSE))),$I$1),$I$1)</f>
        <v>0</v>
      </c>
      <c r="U169" s="15">
        <f>IFERROR(IF(ISBLANK(N169),IFERROR(VLOOKUP($D169,Sheet3!$H$2:$O$200,U$1,FALSE),IFERROR(VLOOKUP($E169,Sheet3!$H$2:$O$200,U$1,FALSE),VLOOKUP($F169,Sheet3!$H$2:$O$200,U$1,FALSE))),$I$1),$I$1)</f>
        <v>0</v>
      </c>
      <c r="V169" s="15">
        <f>IFERROR(IF(ISBLANK(O169),IFERROR(VLOOKUP($D169,Sheet3!$H$2:$O$200,V$1,FALSE),IFERROR(VLOOKUP($E169,Sheet3!$H$2:$O$200,V$1,FALSE),VLOOKUP($F169,Sheet3!$H$2:$O$200,V$1,FALSE))),$I$1),$I$1)</f>
        <v>0</v>
      </c>
      <c r="W169" s="15">
        <f>IFERROR(IF(ISBLANK(P169),IFERROR(VLOOKUP($D169,Sheet3!$H$2:$O$200,W$1,FALSE),IFERROR(VLOOKUP($E169,Sheet3!$H$2:$O$200,W$1,FALSE),VLOOKUP($F169,Sheet3!$H$2:$O$200,W$1,FALSE))),$I$1),$I$1)</f>
        <v>0</v>
      </c>
      <c r="X169" s="15">
        <f>IFERROR(IF(ISBLANK(Q169),IFERROR(VLOOKUP($E169,Sheet3!$H$2:$O$200,X$1,FALSE),IFERROR(VLOOKUP($F169,Sheet3!$H$2:$O$200,X$1,FALSE),VLOOKUP($G169,Sheet3!$H$2:$O$200,X$1,FALSE))),$I$1),$I$1)</f>
        <v>0</v>
      </c>
      <c r="Y169" s="15">
        <f>IFERROR(IF(ISBLANK(R169),IFERROR(VLOOKUP($E169,Sheet3!$H$2:$O$200,Y$1,FALSE),IFERROR(VLOOKUP($F169,Sheet3!$H$2:$O$200,Y$1,FALSE),VLOOKUP($G169,Sheet3!$H$2:$O$200,Y$1,FALSE))),$I$1),$I$1)</f>
        <v>0</v>
      </c>
      <c r="Z169" s="15">
        <f>IFERROR(IF(ISBLANK(S169),IFERROR(VLOOKUP($E169,Sheet3!$H$2:$O$200,Z$1,FALSE),IFERROR(VLOOKUP($F169,Sheet3!$H$2:$O$200,Z$1,FALSE),VLOOKUP($G169,Sheet3!$H$2:$O$200,Z$1,FALSE))),$I$1),$I$1)</f>
        <v>0</v>
      </c>
      <c r="AA169" s="15">
        <f>IFERROR(IF(ISBLANK(T169),IFERROR(VLOOKUP($E169,Sheet3!$H$2:$O$200,AA$1,FALSE),IFERROR(VLOOKUP($F169,Sheet3!$H$2:$O$200,AA$1,FALSE),VLOOKUP($G169,Sheet3!$H$2:$O$200,AA$1,FALSE))),$I$1),$I$1)</f>
        <v>0</v>
      </c>
      <c r="AB169" s="15">
        <f>IFERROR(IF(ISBLANK(U169),IFERROR(VLOOKUP($E169,Sheet3!$H$2:$O$200,AB$1,FALSE),IFERROR(VLOOKUP($F169,Sheet3!$H$2:$O$200,AB$1,FALSE),VLOOKUP($G169,Sheet3!$H$2:$O$200,AB$1,FALSE))),$I$1),$I$1)</f>
        <v>0</v>
      </c>
      <c r="AC169" s="15">
        <f>IFERROR(IF(ISBLANK(V169),IFERROR(VLOOKUP($E169,Sheet3!$H$2:$O$200,AC$1,FALSE),IFERROR(VLOOKUP($F169,Sheet3!$H$2:$O$200,AC$1,FALSE),VLOOKUP($G169,Sheet3!$H$2:$O$200,AC$1,FALSE))),$I$1),$I$1)</f>
        <v>0</v>
      </c>
      <c r="AD169" s="15">
        <f>IFERROR(IF(ISBLANK(W169),IFERROR(VLOOKUP($E169,Sheet3!$H$2:$O$200,AD$1,FALSE),IFERROR(VLOOKUP($F169,Sheet3!$H$2:$O$200,AD$1,FALSE),VLOOKUP($G169,Sheet3!$H$2:$O$200,AD$1,FALSE))),$I$1),$I$1)</f>
        <v>0</v>
      </c>
      <c r="AE169" s="15">
        <f>IFERROR(IF(ISBLANK(X169),IFERROR(VLOOKUP($F169,Sheet3!$H$2:$O$200,AE$1,FALSE),VLOOKUP($G169,Sheet3!$H$2:$O$200,AE$1,FALSE)),$I$1),$I$1)</f>
        <v>0</v>
      </c>
      <c r="AF169" s="15">
        <f>IFERROR(IF(ISBLANK(Y169),IFERROR(VLOOKUP($F169,Sheet3!$H$2:$O$200,AF$1,FALSE),VLOOKUP($G169,Sheet3!$H$2:$O$200,AF$1,FALSE)),$I$1),$I$1)</f>
        <v>0</v>
      </c>
      <c r="AG169" s="15">
        <f>IFERROR(IF(ISBLANK(Z169),IFERROR(VLOOKUP($F169,Sheet3!$H$2:$O$200,AG$1,FALSE),VLOOKUP($G169,Sheet3!$H$2:$O$200,AG$1,FALSE)),$I$1),$I$1)</f>
        <v>0</v>
      </c>
      <c r="AH169" s="15">
        <f>IFERROR(IF(ISBLANK(AA169),IFERROR(VLOOKUP($F169,Sheet3!$H$2:$O$200,AH$1,FALSE),VLOOKUP($G169,Sheet3!$H$2:$O$200,AH$1,FALSE)),$I$1),$I$1)</f>
        <v>0</v>
      </c>
      <c r="AI169" s="15">
        <f>IFERROR(IF(ISBLANK(AB169),IFERROR(VLOOKUP($F169,Sheet3!$H$2:$O$200,AI$1,FALSE),VLOOKUP($G169,Sheet3!$H$2:$O$200,AI$1,FALSE)),$I$1),$I$1)</f>
        <v>0</v>
      </c>
      <c r="AJ169" s="15">
        <f>IFERROR(IF(ISBLANK(AC169),IFERROR(VLOOKUP($F169,Sheet3!$H$2:$O$200,AJ$1,FALSE),VLOOKUP($G169,Sheet3!$H$2:$O$200,AJ$1,FALSE)),$I$1),$I$1)</f>
        <v>0</v>
      </c>
      <c r="AK169" s="15">
        <f>IFERROR(IF(ISBLANK(AD169),IFERROR(VLOOKUP($F169,Sheet3!$H$2:$O$200,AK$1,FALSE),VLOOKUP($G169,Sheet3!$H$2:$O$200,AK$1,FALSE)),$I$1),$I$1)</f>
        <v>0</v>
      </c>
      <c r="AL169" s="15">
        <f>IFERROR(IF(ISBLANK(AE169),VLOOKUP($G169,Sheet3!$H$2:$O$200,AL$1,FALSE),$I$1),$I$1)</f>
        <v>0</v>
      </c>
      <c r="AM169" s="15">
        <f>IFERROR(IF(ISBLANK(AF169),VLOOKUP($G169,Sheet3!$H$2:$O$200,AM$1,FALSE),$I$1),$I$1)</f>
        <v>0</v>
      </c>
      <c r="AN169" s="15">
        <f>IFERROR(IF(ISBLANK(AG169),VLOOKUP($G169,Sheet3!$H$2:$O$200,AN$1,FALSE),$I$1),$I$1)</f>
        <v>0</v>
      </c>
      <c r="AO169" s="15">
        <f>IFERROR(IF(ISBLANK(AH169),VLOOKUP($G169,Sheet3!$H$2:$O$200,AO$1,FALSE),$I$1),$I$1)</f>
        <v>0</v>
      </c>
      <c r="AP169" s="15">
        <f>IFERROR(IF(ISBLANK(AI169),VLOOKUP($G169,Sheet3!$H$2:$O$200,AP$1,FALSE),$I$1),$I$1)</f>
        <v>0</v>
      </c>
      <c r="AQ169" s="15">
        <f>IFERROR(IF(ISBLANK(AJ169),VLOOKUP($G169,Sheet3!$H$2:$O$200,AQ$1,FALSE),$I$1),$I$1)</f>
        <v>0</v>
      </c>
      <c r="AR169" s="15">
        <f>IFERROR(IF(ISBLANK(AK169),VLOOKUP($G169,Sheet3!$H$2:$O$200,AR$1,FALSE),$I$1),$I$1)</f>
        <v>0</v>
      </c>
      <c r="AS169" s="15">
        <f t="shared" ref="AS169:AY169" si="176">IFERROR(IF(ISBLANK(J169),IF(ISBLANK(Q169),IF(ISBLANK(X169),IF(ISBLANK(AE169),IF(ISBLANK(AL169),$BB$1,AL169),AE169),X169),Q169),J169),$BB$1)</f>
        <v>0</v>
      </c>
      <c r="AT169" s="15" t="str">
        <f t="shared" si="176"/>
        <v>simple syrup</v>
      </c>
      <c r="AU169" s="15">
        <f t="shared" si="176"/>
        <v>0</v>
      </c>
      <c r="AV169" s="15">
        <f t="shared" si="176"/>
        <v>0</v>
      </c>
      <c r="AW169" s="15">
        <f t="shared" si="176"/>
        <v>0</v>
      </c>
      <c r="AX169" s="15">
        <f t="shared" si="176"/>
        <v>0</v>
      </c>
      <c r="AY169" s="15">
        <f t="shared" si="176"/>
        <v>0</v>
      </c>
      <c r="BA169" s="13">
        <f t="shared" si="1"/>
        <v>35</v>
      </c>
      <c r="BB169" s="15" t="b">
        <f t="shared" si="2"/>
        <v>0</v>
      </c>
    </row>
    <row r="170" spans="1:54" x14ac:dyDescent="0.2">
      <c r="A170" s="19" t="s">
        <v>337</v>
      </c>
      <c r="B170" s="19" t="s">
        <v>280</v>
      </c>
      <c r="C170" s="19" t="s">
        <v>282</v>
      </c>
      <c r="D170" s="19" t="s">
        <v>126</v>
      </c>
      <c r="E170" s="19" t="s">
        <v>30</v>
      </c>
      <c r="F170" s="19"/>
      <c r="G170" s="19"/>
      <c r="H170" s="19" t="s">
        <v>337</v>
      </c>
      <c r="I170" s="15">
        <v>3</v>
      </c>
      <c r="J170" s="15" t="str">
        <f>IFERROR(VLOOKUP($C170,Sheet3!$H$2:$O$200,J$1,FALSE),IFERROR(VLOOKUP($D170,Sheet3!$H$2:$O$200,J$1,FALSE),VLOOKUP($E170,Sheet3!$H$2:$O$200,J$1,FALSE)))</f>
        <v>sloe gin</v>
      </c>
      <c r="K170" s="15">
        <f>IFERROR(VLOOKUP($C170,Sheet3!$H$2:$O$200,K$1,FALSE),IFERROR(VLOOKUP($D170,Sheet3!$H$2:$O$200,K$1,FALSE),VLOOKUP($E170,Sheet3!$H$2:$O$200,K$1,FALSE)))</f>
        <v>0</v>
      </c>
      <c r="L170" s="15">
        <f>IFERROR(VLOOKUP($C170,Sheet3!$H$2:$O$200,L$1,FALSE),IFERROR(VLOOKUP($D170,Sheet3!$H$2:$O$200,L$1,FALSE),VLOOKUP($E170,Sheet3!$H$2:$O$200,L$1,FALSE)))</f>
        <v>0</v>
      </c>
      <c r="M170" s="15">
        <f>IFERROR(VLOOKUP($C170,Sheet3!$H$2:$O$200,M$1,FALSE),IFERROR(VLOOKUP($D170,Sheet3!$H$2:$O$200,M$1,FALSE),VLOOKUP($E170,Sheet3!$H$2:$O$200,M$1,FALSE)))</f>
        <v>0</v>
      </c>
      <c r="N170" s="15">
        <f>IFERROR(VLOOKUP($C170,Sheet3!$H$2:$O$200,N$1,FALSE),IFERROR(VLOOKUP($D170,Sheet3!$H$2:$O$200,N$1,FALSE),VLOOKUP($E170,Sheet3!$H$2:$O$200,N$1,FALSE)))</f>
        <v>0</v>
      </c>
      <c r="O170" s="15">
        <f>IFERROR(VLOOKUP($C170,Sheet3!$H$2:$O$200,O$1,FALSE),IFERROR(VLOOKUP($D170,Sheet3!$H$2:$O$200,O$1,FALSE),VLOOKUP($E170,Sheet3!$H$2:$O$200,O$1,FALSE)))</f>
        <v>0</v>
      </c>
      <c r="P170" s="15">
        <f>IFERROR(VLOOKUP($C170,Sheet3!$H$2:$O$200,P$1,FALSE),IFERROR(VLOOKUP($D170,Sheet3!$H$2:$O$200,P$1,FALSE),VLOOKUP($E170,Sheet3!$H$2:$O$200,P$1,FALSE)))</f>
        <v>0</v>
      </c>
      <c r="Q170" s="15">
        <f>IFERROR(IF(ISBLANK(J170),IFERROR(VLOOKUP($D170,Sheet3!$H$2:$O$200,Q$1,FALSE),IFERROR(VLOOKUP($E170,Sheet3!$H$2:$O$200,Q$1,FALSE),VLOOKUP($F170,Sheet3!$H$2:$O$200,Q$1,FALSE))),$I$1),$I$1)</f>
        <v>0</v>
      </c>
      <c r="R170" s="15">
        <f>IFERROR(IF(ISBLANK(K170),IFERROR(VLOOKUP($D170,Sheet3!$H$2:$O$200,R$1,FALSE),IFERROR(VLOOKUP($E170,Sheet3!$H$2:$O$200,R$1,FALSE),VLOOKUP($F170,Sheet3!$H$2:$O$200,R$1,FALSE))),$I$1),$I$1)</f>
        <v>0</v>
      </c>
      <c r="S170" s="15">
        <f>IFERROR(IF(ISBLANK(L170),IFERROR(VLOOKUP($D170,Sheet3!$H$2:$O$200,S$1,FALSE),IFERROR(VLOOKUP($E170,Sheet3!$H$2:$O$200,S$1,FALSE),VLOOKUP($F170,Sheet3!$H$2:$O$200,S$1,FALSE))),$I$1),$I$1)</f>
        <v>0</v>
      </c>
      <c r="T170" s="15">
        <f>IFERROR(IF(ISBLANK(M170),IFERROR(VLOOKUP($D170,Sheet3!$H$2:$O$200,T$1,FALSE),IFERROR(VLOOKUP($E170,Sheet3!$H$2:$O$200,T$1,FALSE),VLOOKUP($F170,Sheet3!$H$2:$O$200,T$1,FALSE))),$I$1),$I$1)</f>
        <v>0</v>
      </c>
      <c r="U170" s="15">
        <f>IFERROR(IF(ISBLANK(N170),IFERROR(VLOOKUP($D170,Sheet3!$H$2:$O$200,U$1,FALSE),IFERROR(VLOOKUP($E170,Sheet3!$H$2:$O$200,U$1,FALSE),VLOOKUP($F170,Sheet3!$H$2:$O$200,U$1,FALSE))),$I$1),$I$1)</f>
        <v>0</v>
      </c>
      <c r="V170" s="15">
        <f>IFERROR(IF(ISBLANK(O170),IFERROR(VLOOKUP($D170,Sheet3!$H$2:$O$200,V$1,FALSE),IFERROR(VLOOKUP($E170,Sheet3!$H$2:$O$200,V$1,FALSE),VLOOKUP($F170,Sheet3!$H$2:$O$200,V$1,FALSE))),$I$1),$I$1)</f>
        <v>0</v>
      </c>
      <c r="W170" s="15">
        <f>IFERROR(IF(ISBLANK(P170),IFERROR(VLOOKUP($D170,Sheet3!$H$2:$O$200,W$1,FALSE),IFERROR(VLOOKUP($E170,Sheet3!$H$2:$O$200,W$1,FALSE),VLOOKUP($F170,Sheet3!$H$2:$O$200,W$1,FALSE))),$I$1),$I$1)</f>
        <v>0</v>
      </c>
      <c r="X170" s="15">
        <f>IFERROR(IF(ISBLANK(Q170),IFERROR(VLOOKUP($E170,Sheet3!$H$2:$O$200,X$1,FALSE),IFERROR(VLOOKUP($F170,Sheet3!$H$2:$O$200,X$1,FALSE),VLOOKUP($G170,Sheet3!$H$2:$O$200,X$1,FALSE))),$I$1),$I$1)</f>
        <v>0</v>
      </c>
      <c r="Y170" s="15">
        <f>IFERROR(IF(ISBLANK(R170),IFERROR(VLOOKUP($E170,Sheet3!$H$2:$O$200,Y$1,FALSE),IFERROR(VLOOKUP($F170,Sheet3!$H$2:$O$200,Y$1,FALSE),VLOOKUP($G170,Sheet3!$H$2:$O$200,Y$1,FALSE))),$I$1),$I$1)</f>
        <v>0</v>
      </c>
      <c r="Z170" s="15">
        <f>IFERROR(IF(ISBLANK(S170),IFERROR(VLOOKUP($E170,Sheet3!$H$2:$O$200,Z$1,FALSE),IFERROR(VLOOKUP($F170,Sheet3!$H$2:$O$200,Z$1,FALSE),VLOOKUP($G170,Sheet3!$H$2:$O$200,Z$1,FALSE))),$I$1),$I$1)</f>
        <v>0</v>
      </c>
      <c r="AA170" s="15">
        <f>IFERROR(IF(ISBLANK(T170),IFERROR(VLOOKUP($E170,Sheet3!$H$2:$O$200,AA$1,FALSE),IFERROR(VLOOKUP($F170,Sheet3!$H$2:$O$200,AA$1,FALSE),VLOOKUP($G170,Sheet3!$H$2:$O$200,AA$1,FALSE))),$I$1),$I$1)</f>
        <v>0</v>
      </c>
      <c r="AB170" s="15">
        <f>IFERROR(IF(ISBLANK(U170),IFERROR(VLOOKUP($E170,Sheet3!$H$2:$O$200,AB$1,FALSE),IFERROR(VLOOKUP($F170,Sheet3!$H$2:$O$200,AB$1,FALSE),VLOOKUP($G170,Sheet3!$H$2:$O$200,AB$1,FALSE))),$I$1),$I$1)</f>
        <v>0</v>
      </c>
      <c r="AC170" s="15">
        <f>IFERROR(IF(ISBLANK(V170),IFERROR(VLOOKUP($E170,Sheet3!$H$2:$O$200,AC$1,FALSE),IFERROR(VLOOKUP($F170,Sheet3!$H$2:$O$200,AC$1,FALSE),VLOOKUP($G170,Sheet3!$H$2:$O$200,AC$1,FALSE))),$I$1),$I$1)</f>
        <v>0</v>
      </c>
      <c r="AD170" s="15">
        <f>IFERROR(IF(ISBLANK(W170),IFERROR(VLOOKUP($E170,Sheet3!$H$2:$O$200,AD$1,FALSE),IFERROR(VLOOKUP($F170,Sheet3!$H$2:$O$200,AD$1,FALSE),VLOOKUP($G170,Sheet3!$H$2:$O$200,AD$1,FALSE))),$I$1),$I$1)</f>
        <v>0</v>
      </c>
      <c r="AE170" s="15">
        <f>IFERROR(IF(ISBLANK(X170),IFERROR(VLOOKUP($F170,Sheet3!$H$2:$O$200,AE$1,FALSE),VLOOKUP($G170,Sheet3!$H$2:$O$200,AE$1,FALSE)),$I$1),$I$1)</f>
        <v>0</v>
      </c>
      <c r="AF170" s="15">
        <f>IFERROR(IF(ISBLANK(Y170),IFERROR(VLOOKUP($F170,Sheet3!$H$2:$O$200,AF$1,FALSE),VLOOKUP($G170,Sheet3!$H$2:$O$200,AF$1,FALSE)),$I$1),$I$1)</f>
        <v>0</v>
      </c>
      <c r="AG170" s="15">
        <f>IFERROR(IF(ISBLANK(Z170),IFERROR(VLOOKUP($F170,Sheet3!$H$2:$O$200,AG$1,FALSE),VLOOKUP($G170,Sheet3!$H$2:$O$200,AG$1,FALSE)),$I$1),$I$1)</f>
        <v>0</v>
      </c>
      <c r="AH170" s="15">
        <f>IFERROR(IF(ISBLANK(AA170),IFERROR(VLOOKUP($F170,Sheet3!$H$2:$O$200,AH$1,FALSE),VLOOKUP($G170,Sheet3!$H$2:$O$200,AH$1,FALSE)),$I$1),$I$1)</f>
        <v>0</v>
      </c>
      <c r="AI170" s="15">
        <f>IFERROR(IF(ISBLANK(AB170),IFERROR(VLOOKUP($F170,Sheet3!$H$2:$O$200,AI$1,FALSE),VLOOKUP($G170,Sheet3!$H$2:$O$200,AI$1,FALSE)),$I$1),$I$1)</f>
        <v>0</v>
      </c>
      <c r="AJ170" s="15">
        <f>IFERROR(IF(ISBLANK(AC170),IFERROR(VLOOKUP($F170,Sheet3!$H$2:$O$200,AJ$1,FALSE),VLOOKUP($G170,Sheet3!$H$2:$O$200,AJ$1,FALSE)),$I$1),$I$1)</f>
        <v>0</v>
      </c>
      <c r="AK170" s="15">
        <f>IFERROR(IF(ISBLANK(AD170),IFERROR(VLOOKUP($F170,Sheet3!$H$2:$O$200,AK$1,FALSE),VLOOKUP($G170,Sheet3!$H$2:$O$200,AK$1,FALSE)),$I$1),$I$1)</f>
        <v>0</v>
      </c>
      <c r="AL170" s="15">
        <f>IFERROR(IF(ISBLANK(AE170),VLOOKUP($G170,Sheet3!$H$2:$O$200,AL$1,FALSE),$I$1),$I$1)</f>
        <v>0</v>
      </c>
      <c r="AM170" s="15">
        <f>IFERROR(IF(ISBLANK(AF170),VLOOKUP($G170,Sheet3!$H$2:$O$200,AM$1,FALSE),$I$1),$I$1)</f>
        <v>0</v>
      </c>
      <c r="AN170" s="15">
        <f>IFERROR(IF(ISBLANK(AG170),VLOOKUP($G170,Sheet3!$H$2:$O$200,AN$1,FALSE),$I$1),$I$1)</f>
        <v>0</v>
      </c>
      <c r="AO170" s="15">
        <f>IFERROR(IF(ISBLANK(AH170),VLOOKUP($G170,Sheet3!$H$2:$O$200,AO$1,FALSE),$I$1),$I$1)</f>
        <v>0</v>
      </c>
      <c r="AP170" s="15">
        <f>IFERROR(IF(ISBLANK(AI170),VLOOKUP($G170,Sheet3!$H$2:$O$200,AP$1,FALSE),$I$1),$I$1)</f>
        <v>0</v>
      </c>
      <c r="AQ170" s="15">
        <f>IFERROR(IF(ISBLANK(AJ170),VLOOKUP($G170,Sheet3!$H$2:$O$200,AQ$1,FALSE),$I$1),$I$1)</f>
        <v>0</v>
      </c>
      <c r="AR170" s="15">
        <f>IFERROR(IF(ISBLANK(AK170),VLOOKUP($G170,Sheet3!$H$2:$O$200,AR$1,FALSE),$I$1),$I$1)</f>
        <v>0</v>
      </c>
      <c r="AS170" s="15" t="str">
        <f t="shared" ref="AS170:AY170" si="177">IFERROR(IF(ISBLANK(J170),IF(ISBLANK(Q170),IF(ISBLANK(X170),IF(ISBLANK(AE170),IF(ISBLANK(AL170),$BB$1,AL170),AE170),X170),Q170),J170),$BB$1)</f>
        <v>sloe gin</v>
      </c>
      <c r="AT170" s="15">
        <f t="shared" si="177"/>
        <v>0</v>
      </c>
      <c r="AU170" s="15">
        <f t="shared" si="177"/>
        <v>0</v>
      </c>
      <c r="AV170" s="15">
        <f t="shared" si="177"/>
        <v>0</v>
      </c>
      <c r="AW170" s="15">
        <f t="shared" si="177"/>
        <v>0</v>
      </c>
      <c r="AX170" s="15">
        <f t="shared" si="177"/>
        <v>0</v>
      </c>
      <c r="AY170" s="15">
        <f t="shared" si="177"/>
        <v>0</v>
      </c>
      <c r="BA170" s="13">
        <f t="shared" si="1"/>
        <v>35</v>
      </c>
      <c r="BB170" s="15" t="b">
        <f t="shared" si="2"/>
        <v>0</v>
      </c>
    </row>
    <row r="171" spans="1:54" x14ac:dyDescent="0.2">
      <c r="A171" s="19" t="s">
        <v>338</v>
      </c>
      <c r="B171" s="19" t="s">
        <v>339</v>
      </c>
      <c r="C171" s="19" t="s">
        <v>340</v>
      </c>
      <c r="D171" s="19" t="s">
        <v>341</v>
      </c>
      <c r="E171" s="19"/>
      <c r="F171" s="19"/>
      <c r="G171" s="19"/>
      <c r="H171" s="19" t="s">
        <v>338</v>
      </c>
      <c r="I171" s="15">
        <v>2</v>
      </c>
      <c r="J171" s="15">
        <f>IFERROR(VLOOKUP($C171,Sheet3!$H$2:$O$200,J$1,FALSE),IFERROR(VLOOKUP($D171,Sheet3!$H$2:$O$200,J$1,FALSE),VLOOKUP($E171,Sheet3!$H$2:$O$200,J$1,FALSE)))</f>
        <v>0</v>
      </c>
      <c r="K171" s="15">
        <f>IFERROR(VLOOKUP($C171,Sheet3!$H$2:$O$200,K$1,FALSE),IFERROR(VLOOKUP($D171,Sheet3!$H$2:$O$200,K$1,FALSE),VLOOKUP($E171,Sheet3!$H$2:$O$200,K$1,FALSE)))</f>
        <v>0</v>
      </c>
      <c r="L171" s="15">
        <f>IFERROR(VLOOKUP($C171,Sheet3!$H$2:$O$200,L$1,FALSE),IFERROR(VLOOKUP($D171,Sheet3!$H$2:$O$200,L$1,FALSE),VLOOKUP($E171,Sheet3!$H$2:$O$200,L$1,FALSE)))</f>
        <v>0</v>
      </c>
      <c r="M171" s="15" t="str">
        <f>IFERROR(VLOOKUP($C171,Sheet3!$H$2:$O$200,M$1,FALSE),IFERROR(VLOOKUP($D171,Sheet3!$H$2:$O$200,M$1,FALSE),VLOOKUP($E171,Sheet3!$H$2:$O$200,M$1,FALSE)))</f>
        <v>Chambord</v>
      </c>
      <c r="N171" s="15">
        <f>IFERROR(VLOOKUP($C171,Sheet3!$H$2:$O$200,N$1,FALSE),IFERROR(VLOOKUP($D171,Sheet3!$H$2:$O$200,N$1,FALSE),VLOOKUP($E171,Sheet3!$H$2:$O$200,N$1,FALSE)))</f>
        <v>0</v>
      </c>
      <c r="O171" s="15">
        <f>IFERROR(VLOOKUP($C171,Sheet3!$H$2:$O$200,O$1,FALSE),IFERROR(VLOOKUP($D171,Sheet3!$H$2:$O$200,O$1,FALSE),VLOOKUP($E171,Sheet3!$H$2:$O$200,O$1,FALSE)))</f>
        <v>0</v>
      </c>
      <c r="P171" s="15">
        <f>IFERROR(VLOOKUP($C171,Sheet3!$H$2:$O$200,P$1,FALSE),IFERROR(VLOOKUP($D171,Sheet3!$H$2:$O$200,P$1,FALSE),VLOOKUP($E171,Sheet3!$H$2:$O$200,P$1,FALSE)))</f>
        <v>0</v>
      </c>
      <c r="Q171" s="15">
        <f>IFERROR(IF(ISBLANK(J171),IFERROR(VLOOKUP($D171,Sheet3!$H$2:$O$200,Q$1,FALSE),IFERROR(VLOOKUP($E171,Sheet3!$H$2:$O$200,Q$1,FALSE),VLOOKUP($F171,Sheet3!$H$2:$O$200,Q$1,FALSE))),$I$1),$I$1)</f>
        <v>0</v>
      </c>
      <c r="R171" s="15">
        <f>IFERROR(IF(ISBLANK(K171),IFERROR(VLOOKUP($D171,Sheet3!$H$2:$O$200,R$1,FALSE),IFERROR(VLOOKUP($E171,Sheet3!$H$2:$O$200,R$1,FALSE),VLOOKUP($F171,Sheet3!$H$2:$O$200,R$1,FALSE))),$I$1),$I$1)</f>
        <v>0</v>
      </c>
      <c r="S171" s="15">
        <f>IFERROR(IF(ISBLANK(L171),IFERROR(VLOOKUP($D171,Sheet3!$H$2:$O$200,S$1,FALSE),IFERROR(VLOOKUP($E171,Sheet3!$H$2:$O$200,S$1,FALSE),VLOOKUP($F171,Sheet3!$H$2:$O$200,S$1,FALSE))),$I$1),$I$1)</f>
        <v>0</v>
      </c>
      <c r="T171" s="15">
        <f>IFERROR(IF(ISBLANK(M171),IFERROR(VLOOKUP($D171,Sheet3!$H$2:$O$200,T$1,FALSE),IFERROR(VLOOKUP($E171,Sheet3!$H$2:$O$200,T$1,FALSE),VLOOKUP($F171,Sheet3!$H$2:$O$200,T$1,FALSE))),$I$1),$I$1)</f>
        <v>0</v>
      </c>
      <c r="U171" s="15">
        <f>IFERROR(IF(ISBLANK(N171),IFERROR(VLOOKUP($D171,Sheet3!$H$2:$O$200,U$1,FALSE),IFERROR(VLOOKUP($E171,Sheet3!$H$2:$O$200,U$1,FALSE),VLOOKUP($F171,Sheet3!$H$2:$O$200,U$1,FALSE))),$I$1),$I$1)</f>
        <v>0</v>
      </c>
      <c r="V171" s="15">
        <f>IFERROR(IF(ISBLANK(O171),IFERROR(VLOOKUP($D171,Sheet3!$H$2:$O$200,V$1,FALSE),IFERROR(VLOOKUP($E171,Sheet3!$H$2:$O$200,V$1,FALSE),VLOOKUP($F171,Sheet3!$H$2:$O$200,V$1,FALSE))),$I$1),$I$1)</f>
        <v>0</v>
      </c>
      <c r="W171" s="15">
        <f>IFERROR(IF(ISBLANK(P171),IFERROR(VLOOKUP($D171,Sheet3!$H$2:$O$200,W$1,FALSE),IFERROR(VLOOKUP($E171,Sheet3!$H$2:$O$200,W$1,FALSE),VLOOKUP($F171,Sheet3!$H$2:$O$200,W$1,FALSE))),$I$1),$I$1)</f>
        <v>0</v>
      </c>
      <c r="X171" s="15">
        <f>IFERROR(IF(ISBLANK(Q171),IFERROR(VLOOKUP($E171,Sheet3!$H$2:$O$200,X$1,FALSE),IFERROR(VLOOKUP($F171,Sheet3!$H$2:$O$200,X$1,FALSE),VLOOKUP($G171,Sheet3!$H$2:$O$200,X$1,FALSE))),$I$1),$I$1)</f>
        <v>0</v>
      </c>
      <c r="Y171" s="15">
        <f>IFERROR(IF(ISBLANK(R171),IFERROR(VLOOKUP($E171,Sheet3!$H$2:$O$200,Y$1,FALSE),IFERROR(VLOOKUP($F171,Sheet3!$H$2:$O$200,Y$1,FALSE),VLOOKUP($G171,Sheet3!$H$2:$O$200,Y$1,FALSE))),$I$1),$I$1)</f>
        <v>0</v>
      </c>
      <c r="Z171" s="15">
        <f>IFERROR(IF(ISBLANK(S171),IFERROR(VLOOKUP($E171,Sheet3!$H$2:$O$200,Z$1,FALSE),IFERROR(VLOOKUP($F171,Sheet3!$H$2:$O$200,Z$1,FALSE),VLOOKUP($G171,Sheet3!$H$2:$O$200,Z$1,FALSE))),$I$1),$I$1)</f>
        <v>0</v>
      </c>
      <c r="AA171" s="15">
        <f>IFERROR(IF(ISBLANK(T171),IFERROR(VLOOKUP($E171,Sheet3!$H$2:$O$200,AA$1,FALSE),IFERROR(VLOOKUP($F171,Sheet3!$H$2:$O$200,AA$1,FALSE),VLOOKUP($G171,Sheet3!$H$2:$O$200,AA$1,FALSE))),$I$1),$I$1)</f>
        <v>0</v>
      </c>
      <c r="AB171" s="15">
        <f>IFERROR(IF(ISBLANK(U171),IFERROR(VLOOKUP($E171,Sheet3!$H$2:$O$200,AB$1,FALSE),IFERROR(VLOOKUP($F171,Sheet3!$H$2:$O$200,AB$1,FALSE),VLOOKUP($G171,Sheet3!$H$2:$O$200,AB$1,FALSE))),$I$1),$I$1)</f>
        <v>0</v>
      </c>
      <c r="AC171" s="15">
        <f>IFERROR(IF(ISBLANK(V171),IFERROR(VLOOKUP($E171,Sheet3!$H$2:$O$200,AC$1,FALSE),IFERROR(VLOOKUP($F171,Sheet3!$H$2:$O$200,AC$1,FALSE),VLOOKUP($G171,Sheet3!$H$2:$O$200,AC$1,FALSE))),$I$1),$I$1)</f>
        <v>0</v>
      </c>
      <c r="AD171" s="15">
        <f>IFERROR(IF(ISBLANK(W171),IFERROR(VLOOKUP($E171,Sheet3!$H$2:$O$200,AD$1,FALSE),IFERROR(VLOOKUP($F171,Sheet3!$H$2:$O$200,AD$1,FALSE),VLOOKUP($G171,Sheet3!$H$2:$O$200,AD$1,FALSE))),$I$1),$I$1)</f>
        <v>0</v>
      </c>
      <c r="AE171" s="15">
        <f>IFERROR(IF(ISBLANK(X171),IFERROR(VLOOKUP($F171,Sheet3!$H$2:$O$200,AE$1,FALSE),VLOOKUP($G171,Sheet3!$H$2:$O$200,AE$1,FALSE)),$I$1),$I$1)</f>
        <v>0</v>
      </c>
      <c r="AF171" s="15">
        <f>IFERROR(IF(ISBLANK(Y171),IFERROR(VLOOKUP($F171,Sheet3!$H$2:$O$200,AF$1,FALSE),VLOOKUP($G171,Sheet3!$H$2:$O$200,AF$1,FALSE)),$I$1),$I$1)</f>
        <v>0</v>
      </c>
      <c r="AG171" s="15">
        <f>IFERROR(IF(ISBLANK(Z171),IFERROR(VLOOKUP($F171,Sheet3!$H$2:$O$200,AG$1,FALSE),VLOOKUP($G171,Sheet3!$H$2:$O$200,AG$1,FALSE)),$I$1),$I$1)</f>
        <v>0</v>
      </c>
      <c r="AH171" s="15">
        <f>IFERROR(IF(ISBLANK(AA171),IFERROR(VLOOKUP($F171,Sheet3!$H$2:$O$200,AH$1,FALSE),VLOOKUP($G171,Sheet3!$H$2:$O$200,AH$1,FALSE)),$I$1),$I$1)</f>
        <v>0</v>
      </c>
      <c r="AI171" s="15">
        <f>IFERROR(IF(ISBLANK(AB171),IFERROR(VLOOKUP($F171,Sheet3!$H$2:$O$200,AI$1,FALSE),VLOOKUP($G171,Sheet3!$H$2:$O$200,AI$1,FALSE)),$I$1),$I$1)</f>
        <v>0</v>
      </c>
      <c r="AJ171" s="15">
        <f>IFERROR(IF(ISBLANK(AC171),IFERROR(VLOOKUP($F171,Sheet3!$H$2:$O$200,AJ$1,FALSE),VLOOKUP($G171,Sheet3!$H$2:$O$200,AJ$1,FALSE)),$I$1),$I$1)</f>
        <v>0</v>
      </c>
      <c r="AK171" s="15">
        <f>IFERROR(IF(ISBLANK(AD171),IFERROR(VLOOKUP($F171,Sheet3!$H$2:$O$200,AK$1,FALSE),VLOOKUP($G171,Sheet3!$H$2:$O$200,AK$1,FALSE)),$I$1),$I$1)</f>
        <v>0</v>
      </c>
      <c r="AL171" s="15">
        <f>IFERROR(IF(ISBLANK(AE171),VLOOKUP($G171,Sheet3!$H$2:$O$200,AL$1,FALSE),$I$1),$I$1)</f>
        <v>0</v>
      </c>
      <c r="AM171" s="15">
        <f>IFERROR(IF(ISBLANK(AF171),VLOOKUP($G171,Sheet3!$H$2:$O$200,AM$1,FALSE),$I$1),$I$1)</f>
        <v>0</v>
      </c>
      <c r="AN171" s="15">
        <f>IFERROR(IF(ISBLANK(AG171),VLOOKUP($G171,Sheet3!$H$2:$O$200,AN$1,FALSE),$I$1),$I$1)</f>
        <v>0</v>
      </c>
      <c r="AO171" s="15">
        <f>IFERROR(IF(ISBLANK(AH171),VLOOKUP($G171,Sheet3!$H$2:$O$200,AO$1,FALSE),$I$1),$I$1)</f>
        <v>0</v>
      </c>
      <c r="AP171" s="15">
        <f>IFERROR(IF(ISBLANK(AI171),VLOOKUP($G171,Sheet3!$H$2:$O$200,AP$1,FALSE),$I$1),$I$1)</f>
        <v>0</v>
      </c>
      <c r="AQ171" s="15">
        <f>IFERROR(IF(ISBLANK(AJ171),VLOOKUP($G171,Sheet3!$H$2:$O$200,AQ$1,FALSE),$I$1),$I$1)</f>
        <v>0</v>
      </c>
      <c r="AR171" s="15">
        <f>IFERROR(IF(ISBLANK(AK171),VLOOKUP($G171,Sheet3!$H$2:$O$200,AR$1,FALSE),$I$1),$I$1)</f>
        <v>0</v>
      </c>
      <c r="AS171" s="15">
        <f t="shared" ref="AS171:AY171" si="178">IFERROR(IF(ISBLANK(J171),IF(ISBLANK(Q171),IF(ISBLANK(X171),IF(ISBLANK(AE171),IF(ISBLANK(AL171),$BB$1,AL171),AE171),X171),Q171),J171),$BB$1)</f>
        <v>0</v>
      </c>
      <c r="AT171" s="15">
        <f t="shared" si="178"/>
        <v>0</v>
      </c>
      <c r="AU171" s="15">
        <f t="shared" si="178"/>
        <v>0</v>
      </c>
      <c r="AV171" s="15" t="str">
        <f t="shared" si="178"/>
        <v>Chambord</v>
      </c>
      <c r="AW171" s="15">
        <f t="shared" si="178"/>
        <v>0</v>
      </c>
      <c r="AX171" s="15">
        <f t="shared" si="178"/>
        <v>0</v>
      </c>
      <c r="AY171" s="15">
        <f t="shared" si="178"/>
        <v>0</v>
      </c>
      <c r="BA171" s="13">
        <f t="shared" si="1"/>
        <v>35</v>
      </c>
      <c r="BB171" s="15" t="b">
        <f t="shared" si="2"/>
        <v>0</v>
      </c>
    </row>
    <row r="172" spans="1:54" x14ac:dyDescent="0.2">
      <c r="A172" s="19" t="s">
        <v>342</v>
      </c>
      <c r="B172" s="19" t="s">
        <v>343</v>
      </c>
      <c r="C172" s="19" t="s">
        <v>36</v>
      </c>
      <c r="D172" s="19"/>
      <c r="E172" s="19"/>
      <c r="F172" s="19"/>
      <c r="G172" s="19"/>
      <c r="H172" s="19" t="s">
        <v>342</v>
      </c>
      <c r="I172" s="15">
        <v>1</v>
      </c>
      <c r="J172" s="15">
        <f>IFERROR(VLOOKUP($C172,Sheet3!$H$2:$O$200,J$1,FALSE),IFERROR(VLOOKUP($D172,Sheet3!$H$2:$O$200,J$1,FALSE),VLOOKUP($E172,Sheet3!$H$2:$O$200,J$1,FALSE)))</f>
        <v>0</v>
      </c>
      <c r="K172" s="15">
        <f>IFERROR(VLOOKUP($C172,Sheet3!$H$2:$O$200,K$1,FALSE),IFERROR(VLOOKUP($D172,Sheet3!$H$2:$O$200,K$1,FALSE),VLOOKUP($E172,Sheet3!$H$2:$O$200,K$1,FALSE)))</f>
        <v>0</v>
      </c>
      <c r="L172" s="15">
        <f>IFERROR(VLOOKUP($C172,Sheet3!$H$2:$O$200,L$1,FALSE),IFERROR(VLOOKUP($D172,Sheet3!$H$2:$O$200,L$1,FALSE),VLOOKUP($E172,Sheet3!$H$2:$O$200,L$1,FALSE)))</f>
        <v>0</v>
      </c>
      <c r="M172" s="15" t="str">
        <f>IFERROR(VLOOKUP($C172,Sheet3!$H$2:$O$200,M$1,FALSE),IFERROR(VLOOKUP($D172,Sheet3!$H$2:$O$200,M$1,FALSE),VLOOKUP($E172,Sheet3!$H$2:$O$200,M$1,FALSE)))</f>
        <v>Kahlua</v>
      </c>
      <c r="N172" s="15">
        <f>IFERROR(VLOOKUP($C172,Sheet3!$H$2:$O$200,N$1,FALSE),IFERROR(VLOOKUP($D172,Sheet3!$H$2:$O$200,N$1,FALSE),VLOOKUP($E172,Sheet3!$H$2:$O$200,N$1,FALSE)))</f>
        <v>0</v>
      </c>
      <c r="O172" s="15">
        <f>IFERROR(VLOOKUP($C172,Sheet3!$H$2:$O$200,O$1,FALSE),IFERROR(VLOOKUP($D172,Sheet3!$H$2:$O$200,O$1,FALSE),VLOOKUP($E172,Sheet3!$H$2:$O$200,O$1,FALSE)))</f>
        <v>0</v>
      </c>
      <c r="P172" s="15">
        <f>IFERROR(VLOOKUP($C172,Sheet3!$H$2:$O$200,P$1,FALSE),IFERROR(VLOOKUP($D172,Sheet3!$H$2:$O$200,P$1,FALSE),VLOOKUP($E172,Sheet3!$H$2:$O$200,P$1,FALSE)))</f>
        <v>0</v>
      </c>
      <c r="Q172" s="15">
        <f>IFERROR(IF(ISBLANK(J172),IFERROR(VLOOKUP($D172,Sheet3!$H$2:$O$200,Q$1,FALSE),IFERROR(VLOOKUP($E172,Sheet3!$H$2:$O$200,Q$1,FALSE),VLOOKUP($F172,Sheet3!$H$2:$O$200,Q$1,FALSE))),$I$1),$I$1)</f>
        <v>0</v>
      </c>
      <c r="R172" s="15">
        <f>IFERROR(IF(ISBLANK(K172),IFERROR(VLOOKUP($D172,Sheet3!$H$2:$O$200,R$1,FALSE),IFERROR(VLOOKUP($E172,Sheet3!$H$2:$O$200,R$1,FALSE),VLOOKUP($F172,Sheet3!$H$2:$O$200,R$1,FALSE))),$I$1),$I$1)</f>
        <v>0</v>
      </c>
      <c r="S172" s="15">
        <f>IFERROR(IF(ISBLANK(L172),IFERROR(VLOOKUP($D172,Sheet3!$H$2:$O$200,S$1,FALSE),IFERROR(VLOOKUP($E172,Sheet3!$H$2:$O$200,S$1,FALSE),VLOOKUP($F172,Sheet3!$H$2:$O$200,S$1,FALSE))),$I$1),$I$1)</f>
        <v>0</v>
      </c>
      <c r="T172" s="15">
        <f>IFERROR(IF(ISBLANK(M172),IFERROR(VLOOKUP($D172,Sheet3!$H$2:$O$200,T$1,FALSE),IFERROR(VLOOKUP($E172,Sheet3!$H$2:$O$200,T$1,FALSE),VLOOKUP($F172,Sheet3!$H$2:$O$200,T$1,FALSE))),$I$1),$I$1)</f>
        <v>0</v>
      </c>
      <c r="U172" s="15">
        <f>IFERROR(IF(ISBLANK(N172),IFERROR(VLOOKUP($D172,Sheet3!$H$2:$O$200,U$1,FALSE),IFERROR(VLOOKUP($E172,Sheet3!$H$2:$O$200,U$1,FALSE),VLOOKUP($F172,Sheet3!$H$2:$O$200,U$1,FALSE))),$I$1),$I$1)</f>
        <v>0</v>
      </c>
      <c r="V172" s="15">
        <f>IFERROR(IF(ISBLANK(O172),IFERROR(VLOOKUP($D172,Sheet3!$H$2:$O$200,V$1,FALSE),IFERROR(VLOOKUP($E172,Sheet3!$H$2:$O$200,V$1,FALSE),VLOOKUP($F172,Sheet3!$H$2:$O$200,V$1,FALSE))),$I$1),$I$1)</f>
        <v>0</v>
      </c>
      <c r="W172" s="15">
        <f>IFERROR(IF(ISBLANK(P172),IFERROR(VLOOKUP($D172,Sheet3!$H$2:$O$200,W$1,FALSE),IFERROR(VLOOKUP($E172,Sheet3!$H$2:$O$200,W$1,FALSE),VLOOKUP($F172,Sheet3!$H$2:$O$200,W$1,FALSE))),$I$1),$I$1)</f>
        <v>0</v>
      </c>
      <c r="X172" s="15">
        <f>IFERROR(IF(ISBLANK(Q172),IFERROR(VLOOKUP($E172,Sheet3!$H$2:$O$200,X$1,FALSE),IFERROR(VLOOKUP($F172,Sheet3!$H$2:$O$200,X$1,FALSE),VLOOKUP($G172,Sheet3!$H$2:$O$200,X$1,FALSE))),$I$1),$I$1)</f>
        <v>0</v>
      </c>
      <c r="Y172" s="15">
        <f>IFERROR(IF(ISBLANK(R172),IFERROR(VLOOKUP($E172,Sheet3!$H$2:$O$200,Y$1,FALSE),IFERROR(VLOOKUP($F172,Sheet3!$H$2:$O$200,Y$1,FALSE),VLOOKUP($G172,Sheet3!$H$2:$O$200,Y$1,FALSE))),$I$1),$I$1)</f>
        <v>0</v>
      </c>
      <c r="Z172" s="15">
        <f>IFERROR(IF(ISBLANK(S172),IFERROR(VLOOKUP($E172,Sheet3!$H$2:$O$200,Z$1,FALSE),IFERROR(VLOOKUP($F172,Sheet3!$H$2:$O$200,Z$1,FALSE),VLOOKUP($G172,Sheet3!$H$2:$O$200,Z$1,FALSE))),$I$1),$I$1)</f>
        <v>0</v>
      </c>
      <c r="AA172" s="15">
        <f>IFERROR(IF(ISBLANK(T172),IFERROR(VLOOKUP($E172,Sheet3!$H$2:$O$200,AA$1,FALSE),IFERROR(VLOOKUP($F172,Sheet3!$H$2:$O$200,AA$1,FALSE),VLOOKUP($G172,Sheet3!$H$2:$O$200,AA$1,FALSE))),$I$1),$I$1)</f>
        <v>0</v>
      </c>
      <c r="AB172" s="15">
        <f>IFERROR(IF(ISBLANK(U172),IFERROR(VLOOKUP($E172,Sheet3!$H$2:$O$200,AB$1,FALSE),IFERROR(VLOOKUP($F172,Sheet3!$H$2:$O$200,AB$1,FALSE),VLOOKUP($G172,Sheet3!$H$2:$O$200,AB$1,FALSE))),$I$1),$I$1)</f>
        <v>0</v>
      </c>
      <c r="AC172" s="15">
        <f>IFERROR(IF(ISBLANK(V172),IFERROR(VLOOKUP($E172,Sheet3!$H$2:$O$200,AC$1,FALSE),IFERROR(VLOOKUP($F172,Sheet3!$H$2:$O$200,AC$1,FALSE),VLOOKUP($G172,Sheet3!$H$2:$O$200,AC$1,FALSE))),$I$1),$I$1)</f>
        <v>0</v>
      </c>
      <c r="AD172" s="15">
        <f>IFERROR(IF(ISBLANK(W172),IFERROR(VLOOKUP($E172,Sheet3!$H$2:$O$200,AD$1,FALSE),IFERROR(VLOOKUP($F172,Sheet3!$H$2:$O$200,AD$1,FALSE),VLOOKUP($G172,Sheet3!$H$2:$O$200,AD$1,FALSE))),$I$1),$I$1)</f>
        <v>0</v>
      </c>
      <c r="AE172" s="15">
        <f>IFERROR(IF(ISBLANK(X172),IFERROR(VLOOKUP($F172,Sheet3!$H$2:$O$200,AE$1,FALSE),VLOOKUP($G172,Sheet3!$H$2:$O$200,AE$1,FALSE)),$I$1),$I$1)</f>
        <v>0</v>
      </c>
      <c r="AF172" s="15">
        <f>IFERROR(IF(ISBLANK(Y172),IFERROR(VLOOKUP($F172,Sheet3!$H$2:$O$200,AF$1,FALSE),VLOOKUP($G172,Sheet3!$H$2:$O$200,AF$1,FALSE)),$I$1),$I$1)</f>
        <v>0</v>
      </c>
      <c r="AG172" s="15">
        <f>IFERROR(IF(ISBLANK(Z172),IFERROR(VLOOKUP($F172,Sheet3!$H$2:$O$200,AG$1,FALSE),VLOOKUP($G172,Sheet3!$H$2:$O$200,AG$1,FALSE)),$I$1),$I$1)</f>
        <v>0</v>
      </c>
      <c r="AH172" s="15">
        <f>IFERROR(IF(ISBLANK(AA172),IFERROR(VLOOKUP($F172,Sheet3!$H$2:$O$200,AH$1,FALSE),VLOOKUP($G172,Sheet3!$H$2:$O$200,AH$1,FALSE)),$I$1),$I$1)</f>
        <v>0</v>
      </c>
      <c r="AI172" s="15">
        <f>IFERROR(IF(ISBLANK(AB172),IFERROR(VLOOKUP($F172,Sheet3!$H$2:$O$200,AI$1,FALSE),VLOOKUP($G172,Sheet3!$H$2:$O$200,AI$1,FALSE)),$I$1),$I$1)</f>
        <v>0</v>
      </c>
      <c r="AJ172" s="15">
        <f>IFERROR(IF(ISBLANK(AC172),IFERROR(VLOOKUP($F172,Sheet3!$H$2:$O$200,AJ$1,FALSE),VLOOKUP($G172,Sheet3!$H$2:$O$200,AJ$1,FALSE)),$I$1),$I$1)</f>
        <v>0</v>
      </c>
      <c r="AK172" s="15">
        <f>IFERROR(IF(ISBLANK(AD172),IFERROR(VLOOKUP($F172,Sheet3!$H$2:$O$200,AK$1,FALSE),VLOOKUP($G172,Sheet3!$H$2:$O$200,AK$1,FALSE)),$I$1),$I$1)</f>
        <v>0</v>
      </c>
      <c r="AL172" s="15">
        <f>IFERROR(IF(ISBLANK(AE172),VLOOKUP($G172,Sheet3!$H$2:$O$200,AL$1,FALSE),$I$1),$I$1)</f>
        <v>0</v>
      </c>
      <c r="AM172" s="15">
        <f>IFERROR(IF(ISBLANK(AF172),VLOOKUP($G172,Sheet3!$H$2:$O$200,AM$1,FALSE),$I$1),$I$1)</f>
        <v>0</v>
      </c>
      <c r="AN172" s="15">
        <f>IFERROR(IF(ISBLANK(AG172),VLOOKUP($G172,Sheet3!$H$2:$O$200,AN$1,FALSE),$I$1),$I$1)</f>
        <v>0</v>
      </c>
      <c r="AO172" s="15">
        <f>IFERROR(IF(ISBLANK(AH172),VLOOKUP($G172,Sheet3!$H$2:$O$200,AO$1,FALSE),$I$1),$I$1)</f>
        <v>0</v>
      </c>
      <c r="AP172" s="15">
        <f>IFERROR(IF(ISBLANK(AI172),VLOOKUP($G172,Sheet3!$H$2:$O$200,AP$1,FALSE),$I$1),$I$1)</f>
        <v>0</v>
      </c>
      <c r="AQ172" s="15">
        <f>IFERROR(IF(ISBLANK(AJ172),VLOOKUP($G172,Sheet3!$H$2:$O$200,AQ$1,FALSE),$I$1),$I$1)</f>
        <v>0</v>
      </c>
      <c r="AR172" s="15">
        <f>IFERROR(IF(ISBLANK(AK172),VLOOKUP($G172,Sheet3!$H$2:$O$200,AR$1,FALSE),$I$1),$I$1)</f>
        <v>0</v>
      </c>
      <c r="AS172" s="15">
        <f t="shared" ref="AS172:AY172" si="179">IFERROR(IF(ISBLANK(J172),IF(ISBLANK(Q172),IF(ISBLANK(X172),IF(ISBLANK(AE172),IF(ISBLANK(AL172),$BB$1,AL172),AE172),X172),Q172),J172),$BB$1)</f>
        <v>0</v>
      </c>
      <c r="AT172" s="15">
        <f t="shared" si="179"/>
        <v>0</v>
      </c>
      <c r="AU172" s="15">
        <f t="shared" si="179"/>
        <v>0</v>
      </c>
      <c r="AV172" s="15" t="str">
        <f t="shared" si="179"/>
        <v>Kahlua</v>
      </c>
      <c r="AW172" s="15">
        <f t="shared" si="179"/>
        <v>0</v>
      </c>
      <c r="AX172" s="15">
        <f t="shared" si="179"/>
        <v>0</v>
      </c>
      <c r="AY172" s="15">
        <f t="shared" si="179"/>
        <v>0</v>
      </c>
      <c r="BA172" s="13">
        <f t="shared" si="1"/>
        <v>35</v>
      </c>
      <c r="BB172" s="15" t="b">
        <f t="shared" si="2"/>
        <v>0</v>
      </c>
    </row>
    <row r="173" spans="1:54" x14ac:dyDescent="0.2">
      <c r="A173" s="19" t="s">
        <v>344</v>
      </c>
      <c r="B173" s="19" t="s">
        <v>343</v>
      </c>
      <c r="C173" s="19" t="s">
        <v>345</v>
      </c>
      <c r="D173" s="19" t="s">
        <v>126</v>
      </c>
      <c r="E173" s="19"/>
      <c r="F173" s="19"/>
      <c r="G173" s="19"/>
      <c r="H173" s="19" t="s">
        <v>344</v>
      </c>
      <c r="I173" s="15">
        <v>2</v>
      </c>
      <c r="J173" s="15">
        <f>IFERROR(VLOOKUP($C173,Sheet3!$H$2:$O$200,J$1,FALSE),IFERROR(VLOOKUP($D173,Sheet3!$H$2:$O$200,J$1,FALSE),VLOOKUP($E173,Sheet3!$H$2:$O$200,J$1,FALSE)))</f>
        <v>0</v>
      </c>
      <c r="K173" s="15">
        <f>IFERROR(VLOOKUP($C173,Sheet3!$H$2:$O$200,K$1,FALSE),IFERROR(VLOOKUP($D173,Sheet3!$H$2:$O$200,K$1,FALSE),VLOOKUP($E173,Sheet3!$H$2:$O$200,K$1,FALSE)))</f>
        <v>0</v>
      </c>
      <c r="L173" s="15">
        <f>IFERROR(VLOOKUP($C173,Sheet3!$H$2:$O$200,L$1,FALSE),IFERROR(VLOOKUP($D173,Sheet3!$H$2:$O$200,L$1,FALSE),VLOOKUP($E173,Sheet3!$H$2:$O$200,L$1,FALSE)))</f>
        <v>0</v>
      </c>
      <c r="M173" s="15" t="str">
        <f>IFERROR(VLOOKUP($C173,Sheet3!$H$2:$O$200,M$1,FALSE),IFERROR(VLOOKUP($D173,Sheet3!$H$2:$O$200,M$1,FALSE),VLOOKUP($E173,Sheet3!$H$2:$O$200,M$1,FALSE)))</f>
        <v>galliano</v>
      </c>
      <c r="N173" s="15">
        <f>IFERROR(VLOOKUP($C173,Sheet3!$H$2:$O$200,N$1,FALSE),IFERROR(VLOOKUP($D173,Sheet3!$H$2:$O$200,N$1,FALSE),VLOOKUP($E173,Sheet3!$H$2:$O$200,N$1,FALSE)))</f>
        <v>0</v>
      </c>
      <c r="O173" s="15">
        <f>IFERROR(VLOOKUP($C173,Sheet3!$H$2:$O$200,O$1,FALSE),IFERROR(VLOOKUP($D173,Sheet3!$H$2:$O$200,O$1,FALSE),VLOOKUP($E173,Sheet3!$H$2:$O$200,O$1,FALSE)))</f>
        <v>0</v>
      </c>
      <c r="P173" s="15">
        <f>IFERROR(VLOOKUP($C173,Sheet3!$H$2:$O$200,P$1,FALSE),IFERROR(VLOOKUP($D173,Sheet3!$H$2:$O$200,P$1,FALSE),VLOOKUP($E173,Sheet3!$H$2:$O$200,P$1,FALSE)))</f>
        <v>0</v>
      </c>
      <c r="Q173" s="15">
        <f>IFERROR(IF(ISBLANK(J173),IFERROR(VLOOKUP($D173,Sheet3!$H$2:$O$200,Q$1,FALSE),IFERROR(VLOOKUP($E173,Sheet3!$H$2:$O$200,Q$1,FALSE),VLOOKUP($F173,Sheet3!$H$2:$O$200,Q$1,FALSE))),$I$1),$I$1)</f>
        <v>0</v>
      </c>
      <c r="R173" s="15">
        <f>IFERROR(IF(ISBLANK(K173),IFERROR(VLOOKUP($D173,Sheet3!$H$2:$O$200,R$1,FALSE),IFERROR(VLOOKUP($E173,Sheet3!$H$2:$O$200,R$1,FALSE),VLOOKUP($F173,Sheet3!$H$2:$O$200,R$1,FALSE))),$I$1),$I$1)</f>
        <v>0</v>
      </c>
      <c r="S173" s="15">
        <f>IFERROR(IF(ISBLANK(L173),IFERROR(VLOOKUP($D173,Sheet3!$H$2:$O$200,S$1,FALSE),IFERROR(VLOOKUP($E173,Sheet3!$H$2:$O$200,S$1,FALSE),VLOOKUP($F173,Sheet3!$H$2:$O$200,S$1,FALSE))),$I$1),$I$1)</f>
        <v>0</v>
      </c>
      <c r="T173" s="15">
        <f>IFERROR(IF(ISBLANK(M173),IFERROR(VLOOKUP($D173,Sheet3!$H$2:$O$200,T$1,FALSE),IFERROR(VLOOKUP($E173,Sheet3!$H$2:$O$200,T$1,FALSE),VLOOKUP($F173,Sheet3!$H$2:$O$200,T$1,FALSE))),$I$1),$I$1)</f>
        <v>0</v>
      </c>
      <c r="U173" s="15">
        <f>IFERROR(IF(ISBLANK(N173),IFERROR(VLOOKUP($D173,Sheet3!$H$2:$O$200,U$1,FALSE),IFERROR(VLOOKUP($E173,Sheet3!$H$2:$O$200,U$1,FALSE),VLOOKUP($F173,Sheet3!$H$2:$O$200,U$1,FALSE))),$I$1),$I$1)</f>
        <v>0</v>
      </c>
      <c r="V173" s="15">
        <f>IFERROR(IF(ISBLANK(O173),IFERROR(VLOOKUP($D173,Sheet3!$H$2:$O$200,V$1,FALSE),IFERROR(VLOOKUP($E173,Sheet3!$H$2:$O$200,V$1,FALSE),VLOOKUP($F173,Sheet3!$H$2:$O$200,V$1,FALSE))),$I$1),$I$1)</f>
        <v>0</v>
      </c>
      <c r="W173" s="15">
        <f>IFERROR(IF(ISBLANK(P173),IFERROR(VLOOKUP($D173,Sheet3!$H$2:$O$200,W$1,FALSE),IFERROR(VLOOKUP($E173,Sheet3!$H$2:$O$200,W$1,FALSE),VLOOKUP($F173,Sheet3!$H$2:$O$200,W$1,FALSE))),$I$1),$I$1)</f>
        <v>0</v>
      </c>
      <c r="X173" s="15">
        <f>IFERROR(IF(ISBLANK(Q173),IFERROR(VLOOKUP($E173,Sheet3!$H$2:$O$200,X$1,FALSE),IFERROR(VLOOKUP($F173,Sheet3!$H$2:$O$200,X$1,FALSE),VLOOKUP($G173,Sheet3!$H$2:$O$200,X$1,FALSE))),$I$1),$I$1)</f>
        <v>0</v>
      </c>
      <c r="Y173" s="15">
        <f>IFERROR(IF(ISBLANK(R173),IFERROR(VLOOKUP($E173,Sheet3!$H$2:$O$200,Y$1,FALSE),IFERROR(VLOOKUP($F173,Sheet3!$H$2:$O$200,Y$1,FALSE),VLOOKUP($G173,Sheet3!$H$2:$O$200,Y$1,FALSE))),$I$1),$I$1)</f>
        <v>0</v>
      </c>
      <c r="Z173" s="15">
        <f>IFERROR(IF(ISBLANK(S173),IFERROR(VLOOKUP($E173,Sheet3!$H$2:$O$200,Z$1,FALSE),IFERROR(VLOOKUP($F173,Sheet3!$H$2:$O$200,Z$1,FALSE),VLOOKUP($G173,Sheet3!$H$2:$O$200,Z$1,FALSE))),$I$1),$I$1)</f>
        <v>0</v>
      </c>
      <c r="AA173" s="15">
        <f>IFERROR(IF(ISBLANK(T173),IFERROR(VLOOKUP($E173,Sheet3!$H$2:$O$200,AA$1,FALSE),IFERROR(VLOOKUP($F173,Sheet3!$H$2:$O$200,AA$1,FALSE),VLOOKUP($G173,Sheet3!$H$2:$O$200,AA$1,FALSE))),$I$1),$I$1)</f>
        <v>0</v>
      </c>
      <c r="AB173" s="15">
        <f>IFERROR(IF(ISBLANK(U173),IFERROR(VLOOKUP($E173,Sheet3!$H$2:$O$200,AB$1,FALSE),IFERROR(VLOOKUP($F173,Sheet3!$H$2:$O$200,AB$1,FALSE),VLOOKUP($G173,Sheet3!$H$2:$O$200,AB$1,FALSE))),$I$1),$I$1)</f>
        <v>0</v>
      </c>
      <c r="AC173" s="15">
        <f>IFERROR(IF(ISBLANK(V173),IFERROR(VLOOKUP($E173,Sheet3!$H$2:$O$200,AC$1,FALSE),IFERROR(VLOOKUP($F173,Sheet3!$H$2:$O$200,AC$1,FALSE),VLOOKUP($G173,Sheet3!$H$2:$O$200,AC$1,FALSE))),$I$1),$I$1)</f>
        <v>0</v>
      </c>
      <c r="AD173" s="15">
        <f>IFERROR(IF(ISBLANK(W173),IFERROR(VLOOKUP($E173,Sheet3!$H$2:$O$200,AD$1,FALSE),IFERROR(VLOOKUP($F173,Sheet3!$H$2:$O$200,AD$1,FALSE),VLOOKUP($G173,Sheet3!$H$2:$O$200,AD$1,FALSE))),$I$1),$I$1)</f>
        <v>0</v>
      </c>
      <c r="AE173" s="15">
        <f>IFERROR(IF(ISBLANK(X173),IFERROR(VLOOKUP($F173,Sheet3!$H$2:$O$200,AE$1,FALSE),VLOOKUP($G173,Sheet3!$H$2:$O$200,AE$1,FALSE)),$I$1),$I$1)</f>
        <v>0</v>
      </c>
      <c r="AF173" s="15">
        <f>IFERROR(IF(ISBLANK(Y173),IFERROR(VLOOKUP($F173,Sheet3!$H$2:$O$200,AF$1,FALSE),VLOOKUP($G173,Sheet3!$H$2:$O$200,AF$1,FALSE)),$I$1),$I$1)</f>
        <v>0</v>
      </c>
      <c r="AG173" s="15">
        <f>IFERROR(IF(ISBLANK(Z173),IFERROR(VLOOKUP($F173,Sheet3!$H$2:$O$200,AG$1,FALSE),VLOOKUP($G173,Sheet3!$H$2:$O$200,AG$1,FALSE)),$I$1),$I$1)</f>
        <v>0</v>
      </c>
      <c r="AH173" s="15">
        <f>IFERROR(IF(ISBLANK(AA173),IFERROR(VLOOKUP($F173,Sheet3!$H$2:$O$200,AH$1,FALSE),VLOOKUP($G173,Sheet3!$H$2:$O$200,AH$1,FALSE)),$I$1),$I$1)</f>
        <v>0</v>
      </c>
      <c r="AI173" s="15">
        <f>IFERROR(IF(ISBLANK(AB173),IFERROR(VLOOKUP($F173,Sheet3!$H$2:$O$200,AI$1,FALSE),VLOOKUP($G173,Sheet3!$H$2:$O$200,AI$1,FALSE)),$I$1),$I$1)</f>
        <v>0</v>
      </c>
      <c r="AJ173" s="15">
        <f>IFERROR(IF(ISBLANK(AC173),IFERROR(VLOOKUP($F173,Sheet3!$H$2:$O$200,AJ$1,FALSE),VLOOKUP($G173,Sheet3!$H$2:$O$200,AJ$1,FALSE)),$I$1),$I$1)</f>
        <v>0</v>
      </c>
      <c r="AK173" s="15">
        <f>IFERROR(IF(ISBLANK(AD173),IFERROR(VLOOKUP($F173,Sheet3!$H$2:$O$200,AK$1,FALSE),VLOOKUP($G173,Sheet3!$H$2:$O$200,AK$1,FALSE)),$I$1),$I$1)</f>
        <v>0</v>
      </c>
      <c r="AL173" s="15">
        <f>IFERROR(IF(ISBLANK(AE173),VLOOKUP($G173,Sheet3!$H$2:$O$200,AL$1,FALSE),$I$1),$I$1)</f>
        <v>0</v>
      </c>
      <c r="AM173" s="15">
        <f>IFERROR(IF(ISBLANK(AF173),VLOOKUP($G173,Sheet3!$H$2:$O$200,AM$1,FALSE),$I$1),$I$1)</f>
        <v>0</v>
      </c>
      <c r="AN173" s="15">
        <f>IFERROR(IF(ISBLANK(AG173),VLOOKUP($G173,Sheet3!$H$2:$O$200,AN$1,FALSE),$I$1),$I$1)</f>
        <v>0</v>
      </c>
      <c r="AO173" s="15">
        <f>IFERROR(IF(ISBLANK(AH173),VLOOKUP($G173,Sheet3!$H$2:$O$200,AO$1,FALSE),$I$1),$I$1)</f>
        <v>0</v>
      </c>
      <c r="AP173" s="15">
        <f>IFERROR(IF(ISBLANK(AI173),VLOOKUP($G173,Sheet3!$H$2:$O$200,AP$1,FALSE),$I$1),$I$1)</f>
        <v>0</v>
      </c>
      <c r="AQ173" s="15">
        <f>IFERROR(IF(ISBLANK(AJ173),VLOOKUP($G173,Sheet3!$H$2:$O$200,AQ$1,FALSE),$I$1),$I$1)</f>
        <v>0</v>
      </c>
      <c r="AR173" s="15">
        <f>IFERROR(IF(ISBLANK(AK173),VLOOKUP($G173,Sheet3!$H$2:$O$200,AR$1,FALSE),$I$1),$I$1)</f>
        <v>0</v>
      </c>
      <c r="AS173" s="15">
        <f t="shared" ref="AS173:AY173" si="180">IFERROR(IF(ISBLANK(J173),IF(ISBLANK(Q173),IF(ISBLANK(X173),IF(ISBLANK(AE173),IF(ISBLANK(AL173),$BB$1,AL173),AE173),X173),Q173),J173),$BB$1)</f>
        <v>0</v>
      </c>
      <c r="AT173" s="15">
        <f t="shared" si="180"/>
        <v>0</v>
      </c>
      <c r="AU173" s="15">
        <f t="shared" si="180"/>
        <v>0</v>
      </c>
      <c r="AV173" s="15" t="str">
        <f t="shared" si="180"/>
        <v>galliano</v>
      </c>
      <c r="AW173" s="15">
        <f t="shared" si="180"/>
        <v>0</v>
      </c>
      <c r="AX173" s="15">
        <f t="shared" si="180"/>
        <v>0</v>
      </c>
      <c r="AY173" s="15">
        <f t="shared" si="180"/>
        <v>0</v>
      </c>
      <c r="BA173" s="13">
        <f t="shared" si="1"/>
        <v>35</v>
      </c>
      <c r="BB173" s="15" t="b">
        <f t="shared" si="2"/>
        <v>0</v>
      </c>
    </row>
    <row r="174" spans="1:54" x14ac:dyDescent="0.2">
      <c r="A174" s="19" t="s">
        <v>346</v>
      </c>
      <c r="B174" s="19" t="s">
        <v>343</v>
      </c>
      <c r="C174" s="19" t="s">
        <v>55</v>
      </c>
      <c r="D174" s="19" t="s">
        <v>126</v>
      </c>
      <c r="E174" s="19"/>
      <c r="F174" s="19"/>
      <c r="G174" s="19"/>
      <c r="H174" s="19" t="s">
        <v>346</v>
      </c>
      <c r="I174" s="15">
        <v>2</v>
      </c>
      <c r="J174" s="15">
        <f>IFERROR(VLOOKUP($C174,Sheet3!$H$2:$O$200,J$1,FALSE),IFERROR(VLOOKUP($D174,Sheet3!$H$2:$O$200,J$1,FALSE),VLOOKUP($E174,Sheet3!$H$2:$O$200,J$1,FALSE)))</f>
        <v>0</v>
      </c>
      <c r="K174" s="15" t="str">
        <f>IFERROR(VLOOKUP($C174,Sheet3!$H$2:$O$200,K$1,FALSE),IFERROR(VLOOKUP($D174,Sheet3!$H$2:$O$200,K$1,FALSE),VLOOKUP($E174,Sheet3!$H$2:$O$200,K$1,FALSE)))</f>
        <v>grenadine</v>
      </c>
      <c r="L174" s="15">
        <f>IFERROR(VLOOKUP($C174,Sheet3!$H$2:$O$200,L$1,FALSE),IFERROR(VLOOKUP($D174,Sheet3!$H$2:$O$200,L$1,FALSE),VLOOKUP($E174,Sheet3!$H$2:$O$200,L$1,FALSE)))</f>
        <v>0</v>
      </c>
      <c r="M174" s="15">
        <f>IFERROR(VLOOKUP($C174,Sheet3!$H$2:$O$200,M$1,FALSE),IFERROR(VLOOKUP($D174,Sheet3!$H$2:$O$200,M$1,FALSE),VLOOKUP($E174,Sheet3!$H$2:$O$200,M$1,FALSE)))</f>
        <v>0</v>
      </c>
      <c r="N174" s="15">
        <f>IFERROR(VLOOKUP($C174,Sheet3!$H$2:$O$200,N$1,FALSE),IFERROR(VLOOKUP($D174,Sheet3!$H$2:$O$200,N$1,FALSE),VLOOKUP($E174,Sheet3!$H$2:$O$200,N$1,FALSE)))</f>
        <v>0</v>
      </c>
      <c r="O174" s="15">
        <f>IFERROR(VLOOKUP($C174,Sheet3!$H$2:$O$200,O$1,FALSE),IFERROR(VLOOKUP($D174,Sheet3!$H$2:$O$200,O$1,FALSE),VLOOKUP($E174,Sheet3!$H$2:$O$200,O$1,FALSE)))</f>
        <v>0</v>
      </c>
      <c r="P174" s="15">
        <f>IFERROR(VLOOKUP($C174,Sheet3!$H$2:$O$200,P$1,FALSE),IFERROR(VLOOKUP($D174,Sheet3!$H$2:$O$200,P$1,FALSE),VLOOKUP($E174,Sheet3!$H$2:$O$200,P$1,FALSE)))</f>
        <v>0</v>
      </c>
      <c r="Q174" s="15">
        <f>IFERROR(IF(ISBLANK(J174),IFERROR(VLOOKUP($D174,Sheet3!$H$2:$O$200,Q$1,FALSE),IFERROR(VLOOKUP($E174,Sheet3!$H$2:$O$200,Q$1,FALSE),VLOOKUP($F174,Sheet3!$H$2:$O$200,Q$1,FALSE))),$I$1),$I$1)</f>
        <v>0</v>
      </c>
      <c r="R174" s="15">
        <f>IFERROR(IF(ISBLANK(K174),IFERROR(VLOOKUP($D174,Sheet3!$H$2:$O$200,R$1,FALSE),IFERROR(VLOOKUP($E174,Sheet3!$H$2:$O$200,R$1,FALSE),VLOOKUP($F174,Sheet3!$H$2:$O$200,R$1,FALSE))),$I$1),$I$1)</f>
        <v>0</v>
      </c>
      <c r="S174" s="15">
        <f>IFERROR(IF(ISBLANK(L174),IFERROR(VLOOKUP($D174,Sheet3!$H$2:$O$200,S$1,FALSE),IFERROR(VLOOKUP($E174,Sheet3!$H$2:$O$200,S$1,FALSE),VLOOKUP($F174,Sheet3!$H$2:$O$200,S$1,FALSE))),$I$1),$I$1)</f>
        <v>0</v>
      </c>
      <c r="T174" s="15">
        <f>IFERROR(IF(ISBLANK(M174),IFERROR(VLOOKUP($D174,Sheet3!$H$2:$O$200,T$1,FALSE),IFERROR(VLOOKUP($E174,Sheet3!$H$2:$O$200,T$1,FALSE),VLOOKUP($F174,Sheet3!$H$2:$O$200,T$1,FALSE))),$I$1),$I$1)</f>
        <v>0</v>
      </c>
      <c r="U174" s="15">
        <f>IFERROR(IF(ISBLANK(N174),IFERROR(VLOOKUP($D174,Sheet3!$H$2:$O$200,U$1,FALSE),IFERROR(VLOOKUP($E174,Sheet3!$H$2:$O$200,U$1,FALSE),VLOOKUP($F174,Sheet3!$H$2:$O$200,U$1,FALSE))),$I$1),$I$1)</f>
        <v>0</v>
      </c>
      <c r="V174" s="15">
        <f>IFERROR(IF(ISBLANK(O174),IFERROR(VLOOKUP($D174,Sheet3!$H$2:$O$200,V$1,FALSE),IFERROR(VLOOKUP($E174,Sheet3!$H$2:$O$200,V$1,FALSE),VLOOKUP($F174,Sheet3!$H$2:$O$200,V$1,FALSE))),$I$1),$I$1)</f>
        <v>0</v>
      </c>
      <c r="W174" s="15">
        <f>IFERROR(IF(ISBLANK(P174),IFERROR(VLOOKUP($D174,Sheet3!$H$2:$O$200,W$1,FALSE),IFERROR(VLOOKUP($E174,Sheet3!$H$2:$O$200,W$1,FALSE),VLOOKUP($F174,Sheet3!$H$2:$O$200,W$1,FALSE))),$I$1),$I$1)</f>
        <v>0</v>
      </c>
      <c r="X174" s="15">
        <f>IFERROR(IF(ISBLANK(Q174),IFERROR(VLOOKUP($E174,Sheet3!$H$2:$O$200,X$1,FALSE),IFERROR(VLOOKUP($F174,Sheet3!$H$2:$O$200,X$1,FALSE),VLOOKUP($G174,Sheet3!$H$2:$O$200,X$1,FALSE))),$I$1),$I$1)</f>
        <v>0</v>
      </c>
      <c r="Y174" s="15">
        <f>IFERROR(IF(ISBLANK(R174),IFERROR(VLOOKUP($E174,Sheet3!$H$2:$O$200,Y$1,FALSE),IFERROR(VLOOKUP($F174,Sheet3!$H$2:$O$200,Y$1,FALSE),VLOOKUP($G174,Sheet3!$H$2:$O$200,Y$1,FALSE))),$I$1),$I$1)</f>
        <v>0</v>
      </c>
      <c r="Z174" s="15">
        <f>IFERROR(IF(ISBLANK(S174),IFERROR(VLOOKUP($E174,Sheet3!$H$2:$O$200,Z$1,FALSE),IFERROR(VLOOKUP($F174,Sheet3!$H$2:$O$200,Z$1,FALSE),VLOOKUP($G174,Sheet3!$H$2:$O$200,Z$1,FALSE))),$I$1),$I$1)</f>
        <v>0</v>
      </c>
      <c r="AA174" s="15">
        <f>IFERROR(IF(ISBLANK(T174),IFERROR(VLOOKUP($E174,Sheet3!$H$2:$O$200,AA$1,FALSE),IFERROR(VLOOKUP($F174,Sheet3!$H$2:$O$200,AA$1,FALSE),VLOOKUP($G174,Sheet3!$H$2:$O$200,AA$1,FALSE))),$I$1),$I$1)</f>
        <v>0</v>
      </c>
      <c r="AB174" s="15">
        <f>IFERROR(IF(ISBLANK(U174),IFERROR(VLOOKUP($E174,Sheet3!$H$2:$O$200,AB$1,FALSE),IFERROR(VLOOKUP($F174,Sheet3!$H$2:$O$200,AB$1,FALSE),VLOOKUP($G174,Sheet3!$H$2:$O$200,AB$1,FALSE))),$I$1),$I$1)</f>
        <v>0</v>
      </c>
      <c r="AC174" s="15">
        <f>IFERROR(IF(ISBLANK(V174),IFERROR(VLOOKUP($E174,Sheet3!$H$2:$O$200,AC$1,FALSE),IFERROR(VLOOKUP($F174,Sheet3!$H$2:$O$200,AC$1,FALSE),VLOOKUP($G174,Sheet3!$H$2:$O$200,AC$1,FALSE))),$I$1),$I$1)</f>
        <v>0</v>
      </c>
      <c r="AD174" s="15">
        <f>IFERROR(IF(ISBLANK(W174),IFERROR(VLOOKUP($E174,Sheet3!$H$2:$O$200,AD$1,FALSE),IFERROR(VLOOKUP($F174,Sheet3!$H$2:$O$200,AD$1,FALSE),VLOOKUP($G174,Sheet3!$H$2:$O$200,AD$1,FALSE))),$I$1),$I$1)</f>
        <v>0</v>
      </c>
      <c r="AE174" s="15">
        <f>IFERROR(IF(ISBLANK(X174),IFERROR(VLOOKUP($F174,Sheet3!$H$2:$O$200,AE$1,FALSE),VLOOKUP($G174,Sheet3!$H$2:$O$200,AE$1,FALSE)),$I$1),$I$1)</f>
        <v>0</v>
      </c>
      <c r="AF174" s="15">
        <f>IFERROR(IF(ISBLANK(Y174),IFERROR(VLOOKUP($F174,Sheet3!$H$2:$O$200,AF$1,FALSE),VLOOKUP($G174,Sheet3!$H$2:$O$200,AF$1,FALSE)),$I$1),$I$1)</f>
        <v>0</v>
      </c>
      <c r="AG174" s="15">
        <f>IFERROR(IF(ISBLANK(Z174),IFERROR(VLOOKUP($F174,Sheet3!$H$2:$O$200,AG$1,FALSE),VLOOKUP($G174,Sheet3!$H$2:$O$200,AG$1,FALSE)),$I$1),$I$1)</f>
        <v>0</v>
      </c>
      <c r="AH174" s="15">
        <f>IFERROR(IF(ISBLANK(AA174),IFERROR(VLOOKUP($F174,Sheet3!$H$2:$O$200,AH$1,FALSE),VLOOKUP($G174,Sheet3!$H$2:$O$200,AH$1,FALSE)),$I$1),$I$1)</f>
        <v>0</v>
      </c>
      <c r="AI174" s="15">
        <f>IFERROR(IF(ISBLANK(AB174),IFERROR(VLOOKUP($F174,Sheet3!$H$2:$O$200,AI$1,FALSE),VLOOKUP($G174,Sheet3!$H$2:$O$200,AI$1,FALSE)),$I$1),$I$1)</f>
        <v>0</v>
      </c>
      <c r="AJ174" s="15">
        <f>IFERROR(IF(ISBLANK(AC174),IFERROR(VLOOKUP($F174,Sheet3!$H$2:$O$200,AJ$1,FALSE),VLOOKUP($G174,Sheet3!$H$2:$O$200,AJ$1,FALSE)),$I$1),$I$1)</f>
        <v>0</v>
      </c>
      <c r="AK174" s="15">
        <f>IFERROR(IF(ISBLANK(AD174),IFERROR(VLOOKUP($F174,Sheet3!$H$2:$O$200,AK$1,FALSE),VLOOKUP($G174,Sheet3!$H$2:$O$200,AK$1,FALSE)),$I$1),$I$1)</f>
        <v>0</v>
      </c>
      <c r="AL174" s="15">
        <f>IFERROR(IF(ISBLANK(AE174),VLOOKUP($G174,Sheet3!$H$2:$O$200,AL$1,FALSE),$I$1),$I$1)</f>
        <v>0</v>
      </c>
      <c r="AM174" s="15">
        <f>IFERROR(IF(ISBLANK(AF174),VLOOKUP($G174,Sheet3!$H$2:$O$200,AM$1,FALSE),$I$1),$I$1)</f>
        <v>0</v>
      </c>
      <c r="AN174" s="15">
        <f>IFERROR(IF(ISBLANK(AG174),VLOOKUP($G174,Sheet3!$H$2:$O$200,AN$1,FALSE),$I$1),$I$1)</f>
        <v>0</v>
      </c>
      <c r="AO174" s="15">
        <f>IFERROR(IF(ISBLANK(AH174),VLOOKUP($G174,Sheet3!$H$2:$O$200,AO$1,FALSE),$I$1),$I$1)</f>
        <v>0</v>
      </c>
      <c r="AP174" s="15">
        <f>IFERROR(IF(ISBLANK(AI174),VLOOKUP($G174,Sheet3!$H$2:$O$200,AP$1,FALSE),$I$1),$I$1)</f>
        <v>0</v>
      </c>
      <c r="AQ174" s="15">
        <f>IFERROR(IF(ISBLANK(AJ174),VLOOKUP($G174,Sheet3!$H$2:$O$200,AQ$1,FALSE),$I$1),$I$1)</f>
        <v>0</v>
      </c>
      <c r="AR174" s="15">
        <f>IFERROR(IF(ISBLANK(AK174),VLOOKUP($G174,Sheet3!$H$2:$O$200,AR$1,FALSE),$I$1),$I$1)</f>
        <v>0</v>
      </c>
      <c r="AS174" s="15">
        <f t="shared" ref="AS174:AY174" si="181">IFERROR(IF(ISBLANK(J174),IF(ISBLANK(Q174),IF(ISBLANK(X174),IF(ISBLANK(AE174),IF(ISBLANK(AL174),$BB$1,AL174),AE174),X174),Q174),J174),$BB$1)</f>
        <v>0</v>
      </c>
      <c r="AT174" s="15" t="str">
        <f t="shared" si="181"/>
        <v>grenadine</v>
      </c>
      <c r="AU174" s="15">
        <f t="shared" si="181"/>
        <v>0</v>
      </c>
      <c r="AV174" s="15">
        <f t="shared" si="181"/>
        <v>0</v>
      </c>
      <c r="AW174" s="15">
        <f t="shared" si="181"/>
        <v>0</v>
      </c>
      <c r="AX174" s="15">
        <f t="shared" si="181"/>
        <v>0</v>
      </c>
      <c r="AY174" s="15">
        <f t="shared" si="181"/>
        <v>0</v>
      </c>
      <c r="BA174" s="13">
        <f t="shared" si="1"/>
        <v>35</v>
      </c>
      <c r="BB174" s="15" t="b">
        <f t="shared" si="2"/>
        <v>0</v>
      </c>
    </row>
    <row r="175" spans="1:54" x14ac:dyDescent="0.2">
      <c r="A175" s="19" t="s">
        <v>347</v>
      </c>
      <c r="B175" s="19" t="s">
        <v>343</v>
      </c>
      <c r="C175" s="19"/>
      <c r="D175" s="19" t="s">
        <v>134</v>
      </c>
      <c r="E175" s="19" t="s">
        <v>348</v>
      </c>
      <c r="F175" s="19"/>
      <c r="G175" s="19"/>
      <c r="H175" s="19" t="s">
        <v>347</v>
      </c>
      <c r="I175" s="15">
        <v>2</v>
      </c>
      <c r="J175" s="15">
        <f>IFERROR(VLOOKUP($C175,Sheet3!$H$2:$O$200,J$1,FALSE),IFERROR(VLOOKUP($D175,Sheet3!$H$2:$O$200,J$1,FALSE),VLOOKUP($E175,Sheet3!$H$2:$O$200,J$1,FALSE)))</f>
        <v>0</v>
      </c>
      <c r="K175" s="15">
        <f>IFERROR(VLOOKUP($C175,Sheet3!$H$2:$O$200,K$1,FALSE),IFERROR(VLOOKUP($D175,Sheet3!$H$2:$O$200,K$1,FALSE),VLOOKUP($E175,Sheet3!$H$2:$O$200,K$1,FALSE)))</f>
        <v>0</v>
      </c>
      <c r="L175" s="15" t="str">
        <f>IFERROR(VLOOKUP($C175,Sheet3!$H$2:$O$200,L$1,FALSE),IFERROR(VLOOKUP($D175,Sheet3!$H$2:$O$200,L$1,FALSE),VLOOKUP($E175,Sheet3!$H$2:$O$200,L$1,FALSE)))</f>
        <v>grapefruit juice</v>
      </c>
      <c r="M175" s="15">
        <f>IFERROR(VLOOKUP($C175,Sheet3!$H$2:$O$200,M$1,FALSE),IFERROR(VLOOKUP($D175,Sheet3!$H$2:$O$200,M$1,FALSE),VLOOKUP($E175,Sheet3!$H$2:$O$200,M$1,FALSE)))</f>
        <v>0</v>
      </c>
      <c r="N175" s="15">
        <f>IFERROR(VLOOKUP($C175,Sheet3!$H$2:$O$200,N$1,FALSE),IFERROR(VLOOKUP($D175,Sheet3!$H$2:$O$200,N$1,FALSE),VLOOKUP($E175,Sheet3!$H$2:$O$200,N$1,FALSE)))</f>
        <v>0</v>
      </c>
      <c r="O175" s="15">
        <f>IFERROR(VLOOKUP($C175,Sheet3!$H$2:$O$200,O$1,FALSE),IFERROR(VLOOKUP($D175,Sheet3!$H$2:$O$200,O$1,FALSE),VLOOKUP($E175,Sheet3!$H$2:$O$200,O$1,FALSE)))</f>
        <v>0</v>
      </c>
      <c r="P175" s="15">
        <f>IFERROR(VLOOKUP($C175,Sheet3!$H$2:$O$200,P$1,FALSE),IFERROR(VLOOKUP($D175,Sheet3!$H$2:$O$200,P$1,FALSE),VLOOKUP($E175,Sheet3!$H$2:$O$200,P$1,FALSE)))</f>
        <v>0</v>
      </c>
      <c r="Q175" s="15">
        <f>IFERROR(IF(ISBLANK(J175),IFERROR(VLOOKUP($D175,Sheet3!$H$2:$O$200,Q$1,FALSE),IFERROR(VLOOKUP($E175,Sheet3!$H$2:$O$200,Q$1,FALSE),VLOOKUP($F175,Sheet3!$H$2:$O$200,Q$1,FALSE))),$I$1),$I$1)</f>
        <v>0</v>
      </c>
      <c r="R175" s="15">
        <f>IFERROR(IF(ISBLANK(K175),IFERROR(VLOOKUP($D175,Sheet3!$H$2:$O$200,R$1,FALSE),IFERROR(VLOOKUP($E175,Sheet3!$H$2:$O$200,R$1,FALSE),VLOOKUP($F175,Sheet3!$H$2:$O$200,R$1,FALSE))),$I$1),$I$1)</f>
        <v>0</v>
      </c>
      <c r="S175" s="15">
        <f>IFERROR(IF(ISBLANK(L175),IFERROR(VLOOKUP($D175,Sheet3!$H$2:$O$200,S$1,FALSE),IFERROR(VLOOKUP($E175,Sheet3!$H$2:$O$200,S$1,FALSE),VLOOKUP($F175,Sheet3!$H$2:$O$200,S$1,FALSE))),$I$1),$I$1)</f>
        <v>0</v>
      </c>
      <c r="T175" s="15">
        <f>IFERROR(IF(ISBLANK(M175),IFERROR(VLOOKUP($D175,Sheet3!$H$2:$O$200,T$1,FALSE),IFERROR(VLOOKUP($E175,Sheet3!$H$2:$O$200,T$1,FALSE),VLOOKUP($F175,Sheet3!$H$2:$O$200,T$1,FALSE))),$I$1),$I$1)</f>
        <v>0</v>
      </c>
      <c r="U175" s="15">
        <f>IFERROR(IF(ISBLANK(N175),IFERROR(VLOOKUP($D175,Sheet3!$H$2:$O$200,U$1,FALSE),IFERROR(VLOOKUP($E175,Sheet3!$H$2:$O$200,U$1,FALSE),VLOOKUP($F175,Sheet3!$H$2:$O$200,U$1,FALSE))),$I$1),$I$1)</f>
        <v>0</v>
      </c>
      <c r="V175" s="15">
        <f>IFERROR(IF(ISBLANK(O175),IFERROR(VLOOKUP($D175,Sheet3!$H$2:$O$200,V$1,FALSE),IFERROR(VLOOKUP($E175,Sheet3!$H$2:$O$200,V$1,FALSE),VLOOKUP($F175,Sheet3!$H$2:$O$200,V$1,FALSE))),$I$1),$I$1)</f>
        <v>0</v>
      </c>
      <c r="W175" s="15">
        <f>IFERROR(IF(ISBLANK(P175),IFERROR(VLOOKUP($D175,Sheet3!$H$2:$O$200,W$1,FALSE),IFERROR(VLOOKUP($E175,Sheet3!$H$2:$O$200,W$1,FALSE),VLOOKUP($F175,Sheet3!$H$2:$O$200,W$1,FALSE))),$I$1),$I$1)</f>
        <v>0</v>
      </c>
      <c r="X175" s="15">
        <f>IFERROR(IF(ISBLANK(Q175),IFERROR(VLOOKUP($E175,Sheet3!$H$2:$O$200,X$1,FALSE),IFERROR(VLOOKUP($F175,Sheet3!$H$2:$O$200,X$1,FALSE),VLOOKUP($G175,Sheet3!$H$2:$O$200,X$1,FALSE))),$I$1),$I$1)</f>
        <v>0</v>
      </c>
      <c r="Y175" s="15">
        <f>IFERROR(IF(ISBLANK(R175),IFERROR(VLOOKUP($E175,Sheet3!$H$2:$O$200,Y$1,FALSE),IFERROR(VLOOKUP($F175,Sheet3!$H$2:$O$200,Y$1,FALSE),VLOOKUP($G175,Sheet3!$H$2:$O$200,Y$1,FALSE))),$I$1),$I$1)</f>
        <v>0</v>
      </c>
      <c r="Z175" s="15">
        <f>IFERROR(IF(ISBLANK(S175),IFERROR(VLOOKUP($E175,Sheet3!$H$2:$O$200,Z$1,FALSE),IFERROR(VLOOKUP($F175,Sheet3!$H$2:$O$200,Z$1,FALSE),VLOOKUP($G175,Sheet3!$H$2:$O$200,Z$1,FALSE))),$I$1),$I$1)</f>
        <v>0</v>
      </c>
      <c r="AA175" s="15">
        <f>IFERROR(IF(ISBLANK(T175),IFERROR(VLOOKUP($E175,Sheet3!$H$2:$O$200,AA$1,FALSE),IFERROR(VLOOKUP($F175,Sheet3!$H$2:$O$200,AA$1,FALSE),VLOOKUP($G175,Sheet3!$H$2:$O$200,AA$1,FALSE))),$I$1),$I$1)</f>
        <v>0</v>
      </c>
      <c r="AB175" s="15">
        <f>IFERROR(IF(ISBLANK(U175),IFERROR(VLOOKUP($E175,Sheet3!$H$2:$O$200,AB$1,FALSE),IFERROR(VLOOKUP($F175,Sheet3!$H$2:$O$200,AB$1,FALSE),VLOOKUP($G175,Sheet3!$H$2:$O$200,AB$1,FALSE))),$I$1),$I$1)</f>
        <v>0</v>
      </c>
      <c r="AC175" s="15">
        <f>IFERROR(IF(ISBLANK(V175),IFERROR(VLOOKUP($E175,Sheet3!$H$2:$O$200,AC$1,FALSE),IFERROR(VLOOKUP($F175,Sheet3!$H$2:$O$200,AC$1,FALSE),VLOOKUP($G175,Sheet3!$H$2:$O$200,AC$1,FALSE))),$I$1),$I$1)</f>
        <v>0</v>
      </c>
      <c r="AD175" s="15">
        <f>IFERROR(IF(ISBLANK(W175),IFERROR(VLOOKUP($E175,Sheet3!$H$2:$O$200,AD$1,FALSE),IFERROR(VLOOKUP($F175,Sheet3!$H$2:$O$200,AD$1,FALSE),VLOOKUP($G175,Sheet3!$H$2:$O$200,AD$1,FALSE))),$I$1),$I$1)</f>
        <v>0</v>
      </c>
      <c r="AE175" s="15">
        <f>IFERROR(IF(ISBLANK(X175),IFERROR(VLOOKUP($F175,Sheet3!$H$2:$O$200,AE$1,FALSE),VLOOKUP($G175,Sheet3!$H$2:$O$200,AE$1,FALSE)),$I$1),$I$1)</f>
        <v>0</v>
      </c>
      <c r="AF175" s="15">
        <f>IFERROR(IF(ISBLANK(Y175),IFERROR(VLOOKUP($F175,Sheet3!$H$2:$O$200,AF$1,FALSE),VLOOKUP($G175,Sheet3!$H$2:$O$200,AF$1,FALSE)),$I$1),$I$1)</f>
        <v>0</v>
      </c>
      <c r="AG175" s="15">
        <f>IFERROR(IF(ISBLANK(Z175),IFERROR(VLOOKUP($F175,Sheet3!$H$2:$O$200,AG$1,FALSE),VLOOKUP($G175,Sheet3!$H$2:$O$200,AG$1,FALSE)),$I$1),$I$1)</f>
        <v>0</v>
      </c>
      <c r="AH175" s="15">
        <f>IFERROR(IF(ISBLANK(AA175),IFERROR(VLOOKUP($F175,Sheet3!$H$2:$O$200,AH$1,FALSE),VLOOKUP($G175,Sheet3!$H$2:$O$200,AH$1,FALSE)),$I$1),$I$1)</f>
        <v>0</v>
      </c>
      <c r="AI175" s="15">
        <f>IFERROR(IF(ISBLANK(AB175),IFERROR(VLOOKUP($F175,Sheet3!$H$2:$O$200,AI$1,FALSE),VLOOKUP($G175,Sheet3!$H$2:$O$200,AI$1,FALSE)),$I$1),$I$1)</f>
        <v>0</v>
      </c>
      <c r="AJ175" s="15">
        <f>IFERROR(IF(ISBLANK(AC175),IFERROR(VLOOKUP($F175,Sheet3!$H$2:$O$200,AJ$1,FALSE),VLOOKUP($G175,Sheet3!$H$2:$O$200,AJ$1,FALSE)),$I$1),$I$1)</f>
        <v>0</v>
      </c>
      <c r="AK175" s="15">
        <f>IFERROR(IF(ISBLANK(AD175),IFERROR(VLOOKUP($F175,Sheet3!$H$2:$O$200,AK$1,FALSE),VLOOKUP($G175,Sheet3!$H$2:$O$200,AK$1,FALSE)),$I$1),$I$1)</f>
        <v>0</v>
      </c>
      <c r="AL175" s="15">
        <f>IFERROR(IF(ISBLANK(AE175),VLOOKUP($G175,Sheet3!$H$2:$O$200,AL$1,FALSE),$I$1),$I$1)</f>
        <v>0</v>
      </c>
      <c r="AM175" s="15">
        <f>IFERROR(IF(ISBLANK(AF175),VLOOKUP($G175,Sheet3!$H$2:$O$200,AM$1,FALSE),$I$1),$I$1)</f>
        <v>0</v>
      </c>
      <c r="AN175" s="15">
        <f>IFERROR(IF(ISBLANK(AG175),VLOOKUP($G175,Sheet3!$H$2:$O$200,AN$1,FALSE),$I$1),$I$1)</f>
        <v>0</v>
      </c>
      <c r="AO175" s="15">
        <f>IFERROR(IF(ISBLANK(AH175),VLOOKUP($G175,Sheet3!$H$2:$O$200,AO$1,FALSE),$I$1),$I$1)</f>
        <v>0</v>
      </c>
      <c r="AP175" s="15">
        <f>IFERROR(IF(ISBLANK(AI175),VLOOKUP($G175,Sheet3!$H$2:$O$200,AP$1,FALSE),$I$1),$I$1)</f>
        <v>0</v>
      </c>
      <c r="AQ175" s="15">
        <f>IFERROR(IF(ISBLANK(AJ175),VLOOKUP($G175,Sheet3!$H$2:$O$200,AQ$1,FALSE),$I$1),$I$1)</f>
        <v>0</v>
      </c>
      <c r="AR175" s="15">
        <f>IFERROR(IF(ISBLANK(AK175),VLOOKUP($G175,Sheet3!$H$2:$O$200,AR$1,FALSE),$I$1),$I$1)</f>
        <v>0</v>
      </c>
      <c r="AS175" s="15">
        <f t="shared" ref="AS175:AY175" si="182">IFERROR(IF(ISBLANK(J175),IF(ISBLANK(Q175),IF(ISBLANK(X175),IF(ISBLANK(AE175),IF(ISBLANK(AL175),$BB$1,AL175),AE175),X175),Q175),J175),$BB$1)</f>
        <v>0</v>
      </c>
      <c r="AT175" s="15">
        <f t="shared" si="182"/>
        <v>0</v>
      </c>
      <c r="AU175" s="15" t="str">
        <f t="shared" si="182"/>
        <v>grapefruit juice</v>
      </c>
      <c r="AV175" s="15">
        <f t="shared" si="182"/>
        <v>0</v>
      </c>
      <c r="AW175" s="15">
        <f t="shared" si="182"/>
        <v>0</v>
      </c>
      <c r="AX175" s="15">
        <f t="shared" si="182"/>
        <v>0</v>
      </c>
      <c r="AY175" s="15">
        <f t="shared" si="182"/>
        <v>0</v>
      </c>
      <c r="BA175" s="13">
        <f t="shared" si="1"/>
        <v>35</v>
      </c>
      <c r="BB175" s="15" t="b">
        <f t="shared" si="2"/>
        <v>0</v>
      </c>
    </row>
    <row r="176" spans="1:54" x14ac:dyDescent="0.2">
      <c r="A176" s="19" t="s">
        <v>349</v>
      </c>
      <c r="B176" s="19" t="s">
        <v>343</v>
      </c>
      <c r="C176" s="19" t="s">
        <v>30</v>
      </c>
      <c r="D176" s="19" t="s">
        <v>90</v>
      </c>
      <c r="E176" s="19"/>
      <c r="F176" s="19"/>
      <c r="G176" s="19"/>
      <c r="H176" s="19" t="s">
        <v>349</v>
      </c>
      <c r="I176" s="15">
        <v>2</v>
      </c>
      <c r="J176" s="15">
        <f>IFERROR(VLOOKUP($C176,Sheet3!$H$2:$O$200,J$1,FALSE),IFERROR(VLOOKUP($D176,Sheet3!$H$2:$O$200,J$1,FALSE),VLOOKUP($E176,Sheet3!$H$2:$O$200,J$1,FALSE)))</f>
        <v>0</v>
      </c>
      <c r="K176" s="15">
        <f>IFERROR(VLOOKUP($C176,Sheet3!$H$2:$O$200,K$1,FALSE),IFERROR(VLOOKUP($D176,Sheet3!$H$2:$O$200,K$1,FALSE),VLOOKUP($E176,Sheet3!$H$2:$O$200,K$1,FALSE)))</f>
        <v>0</v>
      </c>
      <c r="L176" s="15">
        <f>IFERROR(VLOOKUP($C176,Sheet3!$H$2:$O$200,L$1,FALSE),IFERROR(VLOOKUP($D176,Sheet3!$H$2:$O$200,L$1,FALSE),VLOOKUP($E176,Sheet3!$H$2:$O$200,L$1,FALSE)))</f>
        <v>0</v>
      </c>
      <c r="M176" s="15" t="str">
        <f>IFERROR(VLOOKUP($C176,Sheet3!$H$2:$O$200,M$1,FALSE),IFERROR(VLOOKUP($D176,Sheet3!$H$2:$O$200,M$1,FALSE),VLOOKUP($E176,Sheet3!$H$2:$O$200,M$1,FALSE)))</f>
        <v>amaretto</v>
      </c>
      <c r="N176" s="15">
        <f>IFERROR(VLOOKUP($C176,Sheet3!$H$2:$O$200,N$1,FALSE),IFERROR(VLOOKUP($D176,Sheet3!$H$2:$O$200,N$1,FALSE),VLOOKUP($E176,Sheet3!$H$2:$O$200,N$1,FALSE)))</f>
        <v>0</v>
      </c>
      <c r="O176" s="15">
        <f>IFERROR(VLOOKUP($C176,Sheet3!$H$2:$O$200,O$1,FALSE),IFERROR(VLOOKUP($D176,Sheet3!$H$2:$O$200,O$1,FALSE),VLOOKUP($E176,Sheet3!$H$2:$O$200,O$1,FALSE)))</f>
        <v>0</v>
      </c>
      <c r="P176" s="15">
        <f>IFERROR(VLOOKUP($C176,Sheet3!$H$2:$O$200,P$1,FALSE),IFERROR(VLOOKUP($D176,Sheet3!$H$2:$O$200,P$1,FALSE),VLOOKUP($E176,Sheet3!$H$2:$O$200,P$1,FALSE)))</f>
        <v>0</v>
      </c>
      <c r="Q176" s="15">
        <f>IFERROR(IF(ISBLANK(J176),IFERROR(VLOOKUP($D176,Sheet3!$H$2:$O$200,Q$1,FALSE),IFERROR(VLOOKUP($E176,Sheet3!$H$2:$O$200,Q$1,FALSE),VLOOKUP($F176,Sheet3!$H$2:$O$200,Q$1,FALSE))),$I$1),$I$1)</f>
        <v>0</v>
      </c>
      <c r="R176" s="15">
        <f>IFERROR(IF(ISBLANK(K176),IFERROR(VLOOKUP($D176,Sheet3!$H$2:$O$200,R$1,FALSE),IFERROR(VLOOKUP($E176,Sheet3!$H$2:$O$200,R$1,FALSE),VLOOKUP($F176,Sheet3!$H$2:$O$200,R$1,FALSE))),$I$1),$I$1)</f>
        <v>0</v>
      </c>
      <c r="S176" s="15">
        <f>IFERROR(IF(ISBLANK(L176),IFERROR(VLOOKUP($D176,Sheet3!$H$2:$O$200,S$1,FALSE),IFERROR(VLOOKUP($E176,Sheet3!$H$2:$O$200,S$1,FALSE),VLOOKUP($F176,Sheet3!$H$2:$O$200,S$1,FALSE))),$I$1),$I$1)</f>
        <v>0</v>
      </c>
      <c r="T176" s="15">
        <f>IFERROR(IF(ISBLANK(M176),IFERROR(VLOOKUP($D176,Sheet3!$H$2:$O$200,T$1,FALSE),IFERROR(VLOOKUP($E176,Sheet3!$H$2:$O$200,T$1,FALSE),VLOOKUP($F176,Sheet3!$H$2:$O$200,T$1,FALSE))),$I$1),$I$1)</f>
        <v>0</v>
      </c>
      <c r="U176" s="15">
        <f>IFERROR(IF(ISBLANK(N176),IFERROR(VLOOKUP($D176,Sheet3!$H$2:$O$200,U$1,FALSE),IFERROR(VLOOKUP($E176,Sheet3!$H$2:$O$200,U$1,FALSE),VLOOKUP($F176,Sheet3!$H$2:$O$200,U$1,FALSE))),$I$1),$I$1)</f>
        <v>0</v>
      </c>
      <c r="V176" s="15">
        <f>IFERROR(IF(ISBLANK(O176),IFERROR(VLOOKUP($D176,Sheet3!$H$2:$O$200,V$1,FALSE),IFERROR(VLOOKUP($E176,Sheet3!$H$2:$O$200,V$1,FALSE),VLOOKUP($F176,Sheet3!$H$2:$O$200,V$1,FALSE))),$I$1),$I$1)</f>
        <v>0</v>
      </c>
      <c r="W176" s="15">
        <f>IFERROR(IF(ISBLANK(P176),IFERROR(VLOOKUP($D176,Sheet3!$H$2:$O$200,W$1,FALSE),IFERROR(VLOOKUP($E176,Sheet3!$H$2:$O$200,W$1,FALSE),VLOOKUP($F176,Sheet3!$H$2:$O$200,W$1,FALSE))),$I$1),$I$1)</f>
        <v>0</v>
      </c>
      <c r="X176" s="15">
        <f>IFERROR(IF(ISBLANK(Q176),IFERROR(VLOOKUP($E176,Sheet3!$H$2:$O$200,X$1,FALSE),IFERROR(VLOOKUP($F176,Sheet3!$H$2:$O$200,X$1,FALSE),VLOOKUP($G176,Sheet3!$H$2:$O$200,X$1,FALSE))),$I$1),$I$1)</f>
        <v>0</v>
      </c>
      <c r="Y176" s="15">
        <f>IFERROR(IF(ISBLANK(R176),IFERROR(VLOOKUP($E176,Sheet3!$H$2:$O$200,Y$1,FALSE),IFERROR(VLOOKUP($F176,Sheet3!$H$2:$O$200,Y$1,FALSE),VLOOKUP($G176,Sheet3!$H$2:$O$200,Y$1,FALSE))),$I$1),$I$1)</f>
        <v>0</v>
      </c>
      <c r="Z176" s="15">
        <f>IFERROR(IF(ISBLANK(S176),IFERROR(VLOOKUP($E176,Sheet3!$H$2:$O$200,Z$1,FALSE),IFERROR(VLOOKUP($F176,Sheet3!$H$2:$O$200,Z$1,FALSE),VLOOKUP($G176,Sheet3!$H$2:$O$200,Z$1,FALSE))),$I$1),$I$1)</f>
        <v>0</v>
      </c>
      <c r="AA176" s="15">
        <f>IFERROR(IF(ISBLANK(T176),IFERROR(VLOOKUP($E176,Sheet3!$H$2:$O$200,AA$1,FALSE),IFERROR(VLOOKUP($F176,Sheet3!$H$2:$O$200,AA$1,FALSE),VLOOKUP($G176,Sheet3!$H$2:$O$200,AA$1,FALSE))),$I$1),$I$1)</f>
        <v>0</v>
      </c>
      <c r="AB176" s="15">
        <f>IFERROR(IF(ISBLANK(U176),IFERROR(VLOOKUP($E176,Sheet3!$H$2:$O$200,AB$1,FALSE),IFERROR(VLOOKUP($F176,Sheet3!$H$2:$O$200,AB$1,FALSE),VLOOKUP($G176,Sheet3!$H$2:$O$200,AB$1,FALSE))),$I$1),$I$1)</f>
        <v>0</v>
      </c>
      <c r="AC176" s="15">
        <f>IFERROR(IF(ISBLANK(V176),IFERROR(VLOOKUP($E176,Sheet3!$H$2:$O$200,AC$1,FALSE),IFERROR(VLOOKUP($F176,Sheet3!$H$2:$O$200,AC$1,FALSE),VLOOKUP($G176,Sheet3!$H$2:$O$200,AC$1,FALSE))),$I$1),$I$1)</f>
        <v>0</v>
      </c>
      <c r="AD176" s="15">
        <f>IFERROR(IF(ISBLANK(W176),IFERROR(VLOOKUP($E176,Sheet3!$H$2:$O$200,AD$1,FALSE),IFERROR(VLOOKUP($F176,Sheet3!$H$2:$O$200,AD$1,FALSE),VLOOKUP($G176,Sheet3!$H$2:$O$200,AD$1,FALSE))),$I$1),$I$1)</f>
        <v>0</v>
      </c>
      <c r="AE176" s="15">
        <f>IFERROR(IF(ISBLANK(X176),IFERROR(VLOOKUP($F176,Sheet3!$H$2:$O$200,AE$1,FALSE),VLOOKUP($G176,Sheet3!$H$2:$O$200,AE$1,FALSE)),$I$1),$I$1)</f>
        <v>0</v>
      </c>
      <c r="AF176" s="15">
        <f>IFERROR(IF(ISBLANK(Y176),IFERROR(VLOOKUP($F176,Sheet3!$H$2:$O$200,AF$1,FALSE),VLOOKUP($G176,Sheet3!$H$2:$O$200,AF$1,FALSE)),$I$1),$I$1)</f>
        <v>0</v>
      </c>
      <c r="AG176" s="15">
        <f>IFERROR(IF(ISBLANK(Z176),IFERROR(VLOOKUP($F176,Sheet3!$H$2:$O$200,AG$1,FALSE),VLOOKUP($G176,Sheet3!$H$2:$O$200,AG$1,FALSE)),$I$1),$I$1)</f>
        <v>0</v>
      </c>
      <c r="AH176" s="15">
        <f>IFERROR(IF(ISBLANK(AA176),IFERROR(VLOOKUP($F176,Sheet3!$H$2:$O$200,AH$1,FALSE),VLOOKUP($G176,Sheet3!$H$2:$O$200,AH$1,FALSE)),$I$1),$I$1)</f>
        <v>0</v>
      </c>
      <c r="AI176" s="15">
        <f>IFERROR(IF(ISBLANK(AB176),IFERROR(VLOOKUP($F176,Sheet3!$H$2:$O$200,AI$1,FALSE),VLOOKUP($G176,Sheet3!$H$2:$O$200,AI$1,FALSE)),$I$1),$I$1)</f>
        <v>0</v>
      </c>
      <c r="AJ176" s="15">
        <f>IFERROR(IF(ISBLANK(AC176),IFERROR(VLOOKUP($F176,Sheet3!$H$2:$O$200,AJ$1,FALSE),VLOOKUP($G176,Sheet3!$H$2:$O$200,AJ$1,FALSE)),$I$1),$I$1)</f>
        <v>0</v>
      </c>
      <c r="AK176" s="15">
        <f>IFERROR(IF(ISBLANK(AD176),IFERROR(VLOOKUP($F176,Sheet3!$H$2:$O$200,AK$1,FALSE),VLOOKUP($G176,Sheet3!$H$2:$O$200,AK$1,FALSE)),$I$1),$I$1)</f>
        <v>0</v>
      </c>
      <c r="AL176" s="15">
        <f>IFERROR(IF(ISBLANK(AE176),VLOOKUP($G176,Sheet3!$H$2:$O$200,AL$1,FALSE),$I$1),$I$1)</f>
        <v>0</v>
      </c>
      <c r="AM176" s="15">
        <f>IFERROR(IF(ISBLANK(AF176),VLOOKUP($G176,Sheet3!$H$2:$O$200,AM$1,FALSE),$I$1),$I$1)</f>
        <v>0</v>
      </c>
      <c r="AN176" s="15">
        <f>IFERROR(IF(ISBLANK(AG176),VLOOKUP($G176,Sheet3!$H$2:$O$200,AN$1,FALSE),$I$1),$I$1)</f>
        <v>0</v>
      </c>
      <c r="AO176" s="15">
        <f>IFERROR(IF(ISBLANK(AH176),VLOOKUP($G176,Sheet3!$H$2:$O$200,AO$1,FALSE),$I$1),$I$1)</f>
        <v>0</v>
      </c>
      <c r="AP176" s="15">
        <f>IFERROR(IF(ISBLANK(AI176),VLOOKUP($G176,Sheet3!$H$2:$O$200,AP$1,FALSE),$I$1),$I$1)</f>
        <v>0</v>
      </c>
      <c r="AQ176" s="15">
        <f>IFERROR(IF(ISBLANK(AJ176),VLOOKUP($G176,Sheet3!$H$2:$O$200,AQ$1,FALSE),$I$1),$I$1)</f>
        <v>0</v>
      </c>
      <c r="AR176" s="15">
        <f>IFERROR(IF(ISBLANK(AK176),VLOOKUP($G176,Sheet3!$H$2:$O$200,AR$1,FALSE),$I$1),$I$1)</f>
        <v>0</v>
      </c>
      <c r="AS176" s="15">
        <f t="shared" ref="AS176:AY176" si="183">IFERROR(IF(ISBLANK(J176),IF(ISBLANK(Q176),IF(ISBLANK(X176),IF(ISBLANK(AE176),IF(ISBLANK(AL176),$BB$1,AL176),AE176),X176),Q176),J176),$BB$1)</f>
        <v>0</v>
      </c>
      <c r="AT176" s="15">
        <f t="shared" si="183"/>
        <v>0</v>
      </c>
      <c r="AU176" s="15">
        <f t="shared" si="183"/>
        <v>0</v>
      </c>
      <c r="AV176" s="15" t="str">
        <f t="shared" si="183"/>
        <v>amaretto</v>
      </c>
      <c r="AW176" s="15">
        <f t="shared" si="183"/>
        <v>0</v>
      </c>
      <c r="AX176" s="15">
        <f t="shared" si="183"/>
        <v>0</v>
      </c>
      <c r="AY176" s="15">
        <f t="shared" si="183"/>
        <v>0</v>
      </c>
      <c r="BA176" s="13">
        <f t="shared" si="1"/>
        <v>35</v>
      </c>
      <c r="BB176" s="15" t="b">
        <f t="shared" si="2"/>
        <v>0</v>
      </c>
    </row>
    <row r="177" spans="1:54" x14ac:dyDescent="0.2">
      <c r="A177" s="19" t="s">
        <v>350</v>
      </c>
      <c r="B177" s="19" t="s">
        <v>343</v>
      </c>
      <c r="C177" s="19" t="s">
        <v>139</v>
      </c>
      <c r="D177" s="19" t="s">
        <v>90</v>
      </c>
      <c r="E177" s="19"/>
      <c r="F177" s="19"/>
      <c r="G177" s="19"/>
      <c r="H177" s="19" t="s">
        <v>350</v>
      </c>
      <c r="I177" s="15">
        <v>2</v>
      </c>
      <c r="J177" s="15">
        <f>IFERROR(VLOOKUP($C177,Sheet3!$H$2:$O$200,J$1,FALSE),IFERROR(VLOOKUP($D177,Sheet3!$H$2:$O$200,J$1,FALSE),VLOOKUP($E177,Sheet3!$H$2:$O$200,J$1,FALSE)))</f>
        <v>0</v>
      </c>
      <c r="K177" s="15">
        <f>IFERROR(VLOOKUP($C177,Sheet3!$H$2:$O$200,K$1,FALSE),IFERROR(VLOOKUP($D177,Sheet3!$H$2:$O$200,K$1,FALSE),VLOOKUP($E177,Sheet3!$H$2:$O$200,K$1,FALSE)))</f>
        <v>0</v>
      </c>
      <c r="L177" s="15">
        <f>IFERROR(VLOOKUP($C177,Sheet3!$H$2:$O$200,L$1,FALSE),IFERROR(VLOOKUP($D177,Sheet3!$H$2:$O$200,L$1,FALSE),VLOOKUP($E177,Sheet3!$H$2:$O$200,L$1,FALSE)))</f>
        <v>0</v>
      </c>
      <c r="M177" s="15" t="str">
        <f>IFERROR(VLOOKUP($C177,Sheet3!$H$2:$O$200,M$1,FALSE),IFERROR(VLOOKUP($D177,Sheet3!$H$2:$O$200,M$1,FALSE),VLOOKUP($E177,Sheet3!$H$2:$O$200,M$1,FALSE)))</f>
        <v>Grand Marnier</v>
      </c>
      <c r="N177" s="15">
        <f>IFERROR(VLOOKUP($C177,Sheet3!$H$2:$O$200,N$1,FALSE),IFERROR(VLOOKUP($D177,Sheet3!$H$2:$O$200,N$1,FALSE),VLOOKUP($E177,Sheet3!$H$2:$O$200,N$1,FALSE)))</f>
        <v>0</v>
      </c>
      <c r="O177" s="15">
        <f>IFERROR(VLOOKUP($C177,Sheet3!$H$2:$O$200,O$1,FALSE),IFERROR(VLOOKUP($D177,Sheet3!$H$2:$O$200,O$1,FALSE),VLOOKUP($E177,Sheet3!$H$2:$O$200,O$1,FALSE)))</f>
        <v>0</v>
      </c>
      <c r="P177" s="15">
        <f>IFERROR(VLOOKUP($C177,Sheet3!$H$2:$O$200,P$1,FALSE),IFERROR(VLOOKUP($D177,Sheet3!$H$2:$O$200,P$1,FALSE),VLOOKUP($E177,Sheet3!$H$2:$O$200,P$1,FALSE)))</f>
        <v>0</v>
      </c>
      <c r="Q177" s="15">
        <f>IFERROR(IF(ISBLANK(J177),IFERROR(VLOOKUP($D177,Sheet3!$H$2:$O$200,Q$1,FALSE),IFERROR(VLOOKUP($E177,Sheet3!$H$2:$O$200,Q$1,FALSE),VLOOKUP($F177,Sheet3!$H$2:$O$200,Q$1,FALSE))),$I$1),$I$1)</f>
        <v>0</v>
      </c>
      <c r="R177" s="15">
        <f>IFERROR(IF(ISBLANK(K177),IFERROR(VLOOKUP($D177,Sheet3!$H$2:$O$200,R$1,FALSE),IFERROR(VLOOKUP($E177,Sheet3!$H$2:$O$200,R$1,FALSE),VLOOKUP($F177,Sheet3!$H$2:$O$200,R$1,FALSE))),$I$1),$I$1)</f>
        <v>0</v>
      </c>
      <c r="S177" s="15">
        <f>IFERROR(IF(ISBLANK(L177),IFERROR(VLOOKUP($D177,Sheet3!$H$2:$O$200,S$1,FALSE),IFERROR(VLOOKUP($E177,Sheet3!$H$2:$O$200,S$1,FALSE),VLOOKUP($F177,Sheet3!$H$2:$O$200,S$1,FALSE))),$I$1),$I$1)</f>
        <v>0</v>
      </c>
      <c r="T177" s="15">
        <f>IFERROR(IF(ISBLANK(M177),IFERROR(VLOOKUP($D177,Sheet3!$H$2:$O$200,T$1,FALSE),IFERROR(VLOOKUP($E177,Sheet3!$H$2:$O$200,T$1,FALSE),VLOOKUP($F177,Sheet3!$H$2:$O$200,T$1,FALSE))),$I$1),$I$1)</f>
        <v>0</v>
      </c>
      <c r="U177" s="15">
        <f>IFERROR(IF(ISBLANK(N177),IFERROR(VLOOKUP($D177,Sheet3!$H$2:$O$200,U$1,FALSE),IFERROR(VLOOKUP($E177,Sheet3!$H$2:$O$200,U$1,FALSE),VLOOKUP($F177,Sheet3!$H$2:$O$200,U$1,FALSE))),$I$1),$I$1)</f>
        <v>0</v>
      </c>
      <c r="V177" s="15">
        <f>IFERROR(IF(ISBLANK(O177),IFERROR(VLOOKUP($D177,Sheet3!$H$2:$O$200,V$1,FALSE),IFERROR(VLOOKUP($E177,Sheet3!$H$2:$O$200,V$1,FALSE),VLOOKUP($F177,Sheet3!$H$2:$O$200,V$1,FALSE))),$I$1),$I$1)</f>
        <v>0</v>
      </c>
      <c r="W177" s="15">
        <f>IFERROR(IF(ISBLANK(P177),IFERROR(VLOOKUP($D177,Sheet3!$H$2:$O$200,W$1,FALSE),IFERROR(VLOOKUP($E177,Sheet3!$H$2:$O$200,W$1,FALSE),VLOOKUP($F177,Sheet3!$H$2:$O$200,W$1,FALSE))),$I$1),$I$1)</f>
        <v>0</v>
      </c>
      <c r="X177" s="15">
        <f>IFERROR(IF(ISBLANK(Q177),IFERROR(VLOOKUP($E177,Sheet3!$H$2:$O$200,X$1,FALSE),IFERROR(VLOOKUP($F177,Sheet3!$H$2:$O$200,X$1,FALSE),VLOOKUP($G177,Sheet3!$H$2:$O$200,X$1,FALSE))),$I$1),$I$1)</f>
        <v>0</v>
      </c>
      <c r="Y177" s="15">
        <f>IFERROR(IF(ISBLANK(R177),IFERROR(VLOOKUP($E177,Sheet3!$H$2:$O$200,Y$1,FALSE),IFERROR(VLOOKUP($F177,Sheet3!$H$2:$O$200,Y$1,FALSE),VLOOKUP($G177,Sheet3!$H$2:$O$200,Y$1,FALSE))),$I$1),$I$1)</f>
        <v>0</v>
      </c>
      <c r="Z177" s="15">
        <f>IFERROR(IF(ISBLANK(S177),IFERROR(VLOOKUP($E177,Sheet3!$H$2:$O$200,Z$1,FALSE),IFERROR(VLOOKUP($F177,Sheet3!$H$2:$O$200,Z$1,FALSE),VLOOKUP($G177,Sheet3!$H$2:$O$200,Z$1,FALSE))),$I$1),$I$1)</f>
        <v>0</v>
      </c>
      <c r="AA177" s="15">
        <f>IFERROR(IF(ISBLANK(T177),IFERROR(VLOOKUP($E177,Sheet3!$H$2:$O$200,AA$1,FALSE),IFERROR(VLOOKUP($F177,Sheet3!$H$2:$O$200,AA$1,FALSE),VLOOKUP($G177,Sheet3!$H$2:$O$200,AA$1,FALSE))),$I$1),$I$1)</f>
        <v>0</v>
      </c>
      <c r="AB177" s="15">
        <f>IFERROR(IF(ISBLANK(U177),IFERROR(VLOOKUP($E177,Sheet3!$H$2:$O$200,AB$1,FALSE),IFERROR(VLOOKUP($F177,Sheet3!$H$2:$O$200,AB$1,FALSE),VLOOKUP($G177,Sheet3!$H$2:$O$200,AB$1,FALSE))),$I$1),$I$1)</f>
        <v>0</v>
      </c>
      <c r="AC177" s="15">
        <f>IFERROR(IF(ISBLANK(V177),IFERROR(VLOOKUP($E177,Sheet3!$H$2:$O$200,AC$1,FALSE),IFERROR(VLOOKUP($F177,Sheet3!$H$2:$O$200,AC$1,FALSE),VLOOKUP($G177,Sheet3!$H$2:$O$200,AC$1,FALSE))),$I$1),$I$1)</f>
        <v>0</v>
      </c>
      <c r="AD177" s="15">
        <f>IFERROR(IF(ISBLANK(W177),IFERROR(VLOOKUP($E177,Sheet3!$H$2:$O$200,AD$1,FALSE),IFERROR(VLOOKUP($F177,Sheet3!$H$2:$O$200,AD$1,FALSE),VLOOKUP($G177,Sheet3!$H$2:$O$200,AD$1,FALSE))),$I$1),$I$1)</f>
        <v>0</v>
      </c>
      <c r="AE177" s="15">
        <f>IFERROR(IF(ISBLANK(X177),IFERROR(VLOOKUP($F177,Sheet3!$H$2:$O$200,AE$1,FALSE),VLOOKUP($G177,Sheet3!$H$2:$O$200,AE$1,FALSE)),$I$1),$I$1)</f>
        <v>0</v>
      </c>
      <c r="AF177" s="15">
        <f>IFERROR(IF(ISBLANK(Y177),IFERROR(VLOOKUP($F177,Sheet3!$H$2:$O$200,AF$1,FALSE),VLOOKUP($G177,Sheet3!$H$2:$O$200,AF$1,FALSE)),$I$1),$I$1)</f>
        <v>0</v>
      </c>
      <c r="AG177" s="15">
        <f>IFERROR(IF(ISBLANK(Z177),IFERROR(VLOOKUP($F177,Sheet3!$H$2:$O$200,AG$1,FALSE),VLOOKUP($G177,Sheet3!$H$2:$O$200,AG$1,FALSE)),$I$1),$I$1)</f>
        <v>0</v>
      </c>
      <c r="AH177" s="15">
        <f>IFERROR(IF(ISBLANK(AA177),IFERROR(VLOOKUP($F177,Sheet3!$H$2:$O$200,AH$1,FALSE),VLOOKUP($G177,Sheet3!$H$2:$O$200,AH$1,FALSE)),$I$1),$I$1)</f>
        <v>0</v>
      </c>
      <c r="AI177" s="15">
        <f>IFERROR(IF(ISBLANK(AB177),IFERROR(VLOOKUP($F177,Sheet3!$H$2:$O$200,AI$1,FALSE),VLOOKUP($G177,Sheet3!$H$2:$O$200,AI$1,FALSE)),$I$1),$I$1)</f>
        <v>0</v>
      </c>
      <c r="AJ177" s="15">
        <f>IFERROR(IF(ISBLANK(AC177),IFERROR(VLOOKUP($F177,Sheet3!$H$2:$O$200,AJ$1,FALSE),VLOOKUP($G177,Sheet3!$H$2:$O$200,AJ$1,FALSE)),$I$1),$I$1)</f>
        <v>0</v>
      </c>
      <c r="AK177" s="15">
        <f>IFERROR(IF(ISBLANK(AD177),IFERROR(VLOOKUP($F177,Sheet3!$H$2:$O$200,AK$1,FALSE),VLOOKUP($G177,Sheet3!$H$2:$O$200,AK$1,FALSE)),$I$1),$I$1)</f>
        <v>0</v>
      </c>
      <c r="AL177" s="15">
        <f>IFERROR(IF(ISBLANK(AE177),VLOOKUP($G177,Sheet3!$H$2:$O$200,AL$1,FALSE),$I$1),$I$1)</f>
        <v>0</v>
      </c>
      <c r="AM177" s="15">
        <f>IFERROR(IF(ISBLANK(AF177),VLOOKUP($G177,Sheet3!$H$2:$O$200,AM$1,FALSE),$I$1),$I$1)</f>
        <v>0</v>
      </c>
      <c r="AN177" s="15">
        <f>IFERROR(IF(ISBLANK(AG177),VLOOKUP($G177,Sheet3!$H$2:$O$200,AN$1,FALSE),$I$1),$I$1)</f>
        <v>0</v>
      </c>
      <c r="AO177" s="15">
        <f>IFERROR(IF(ISBLANK(AH177),VLOOKUP($G177,Sheet3!$H$2:$O$200,AO$1,FALSE),$I$1),$I$1)</f>
        <v>0</v>
      </c>
      <c r="AP177" s="15">
        <f>IFERROR(IF(ISBLANK(AI177),VLOOKUP($G177,Sheet3!$H$2:$O$200,AP$1,FALSE),$I$1),$I$1)</f>
        <v>0</v>
      </c>
      <c r="AQ177" s="15">
        <f>IFERROR(IF(ISBLANK(AJ177),VLOOKUP($G177,Sheet3!$H$2:$O$200,AQ$1,FALSE),$I$1),$I$1)</f>
        <v>0</v>
      </c>
      <c r="AR177" s="15">
        <f>IFERROR(IF(ISBLANK(AK177),VLOOKUP($G177,Sheet3!$H$2:$O$200,AR$1,FALSE),$I$1),$I$1)</f>
        <v>0</v>
      </c>
      <c r="AS177" s="15">
        <f t="shared" ref="AS177:AY177" si="184">IFERROR(IF(ISBLANK(J177),IF(ISBLANK(Q177),IF(ISBLANK(X177),IF(ISBLANK(AE177),IF(ISBLANK(AL177),$BB$1,AL177),AE177),X177),Q177),J177),$BB$1)</f>
        <v>0</v>
      </c>
      <c r="AT177" s="15">
        <f t="shared" si="184"/>
        <v>0</v>
      </c>
      <c r="AU177" s="15">
        <f t="shared" si="184"/>
        <v>0</v>
      </c>
      <c r="AV177" s="15" t="str">
        <f t="shared" si="184"/>
        <v>Grand Marnier</v>
      </c>
      <c r="AW177" s="15">
        <f t="shared" si="184"/>
        <v>0</v>
      </c>
      <c r="AX177" s="15">
        <f t="shared" si="184"/>
        <v>0</v>
      </c>
      <c r="AY177" s="15">
        <f t="shared" si="184"/>
        <v>0</v>
      </c>
      <c r="BA177" s="13">
        <f t="shared" si="1"/>
        <v>35</v>
      </c>
      <c r="BB177" s="15" t="b">
        <f t="shared" si="2"/>
        <v>0</v>
      </c>
    </row>
    <row r="178" spans="1:54" x14ac:dyDescent="0.2">
      <c r="A178" s="19" t="s">
        <v>351</v>
      </c>
      <c r="B178" s="19" t="s">
        <v>343</v>
      </c>
      <c r="C178" s="19" t="s">
        <v>100</v>
      </c>
      <c r="D178" s="19" t="s">
        <v>90</v>
      </c>
      <c r="E178" s="19"/>
      <c r="F178" s="19"/>
      <c r="G178" s="19"/>
      <c r="H178" s="19" t="s">
        <v>351</v>
      </c>
      <c r="I178" s="15">
        <v>2</v>
      </c>
      <c r="J178" s="15">
        <f>IFERROR(VLOOKUP($C178,Sheet3!$H$2:$O$200,J$1,FALSE),IFERROR(VLOOKUP($D178,Sheet3!$H$2:$O$200,J$1,FALSE),VLOOKUP($E178,Sheet3!$H$2:$O$200,J$1,FALSE)))</f>
        <v>0</v>
      </c>
      <c r="K178" s="15">
        <f>IFERROR(VLOOKUP($C178,Sheet3!$H$2:$O$200,K$1,FALSE),IFERROR(VLOOKUP($D178,Sheet3!$H$2:$O$200,K$1,FALSE),VLOOKUP($E178,Sheet3!$H$2:$O$200,K$1,FALSE)))</f>
        <v>0</v>
      </c>
      <c r="L178" s="15">
        <f>IFERROR(VLOOKUP($C178,Sheet3!$H$2:$O$200,L$1,FALSE),IFERROR(VLOOKUP($D178,Sheet3!$H$2:$O$200,L$1,FALSE),VLOOKUP($E178,Sheet3!$H$2:$O$200,L$1,FALSE)))</f>
        <v>0</v>
      </c>
      <c r="M178" s="15" t="str">
        <f>IFERROR(VLOOKUP($C178,Sheet3!$H$2:$O$200,M$1,FALSE),IFERROR(VLOOKUP($D178,Sheet3!$H$2:$O$200,M$1,FALSE),VLOOKUP($E178,Sheet3!$H$2:$O$200,M$1,FALSE)))</f>
        <v>triple sec</v>
      </c>
      <c r="N178" s="15">
        <f>IFERROR(VLOOKUP($C178,Sheet3!$H$2:$O$200,N$1,FALSE),IFERROR(VLOOKUP($D178,Sheet3!$H$2:$O$200,N$1,FALSE),VLOOKUP($E178,Sheet3!$H$2:$O$200,N$1,FALSE)))</f>
        <v>0</v>
      </c>
      <c r="O178" s="15">
        <f>IFERROR(VLOOKUP($C178,Sheet3!$H$2:$O$200,O$1,FALSE),IFERROR(VLOOKUP($D178,Sheet3!$H$2:$O$200,O$1,FALSE),VLOOKUP($E178,Sheet3!$H$2:$O$200,O$1,FALSE)))</f>
        <v>0</v>
      </c>
      <c r="P178" s="15">
        <f>IFERROR(VLOOKUP($C178,Sheet3!$H$2:$O$200,P$1,FALSE),IFERROR(VLOOKUP($D178,Sheet3!$H$2:$O$200,P$1,FALSE),VLOOKUP($E178,Sheet3!$H$2:$O$200,P$1,FALSE)))</f>
        <v>0</v>
      </c>
      <c r="Q178" s="15">
        <f>IFERROR(IF(ISBLANK(J178),IFERROR(VLOOKUP($D178,Sheet3!$H$2:$O$200,Q$1,FALSE),IFERROR(VLOOKUP($E178,Sheet3!$H$2:$O$200,Q$1,FALSE),VLOOKUP($F178,Sheet3!$H$2:$O$200,Q$1,FALSE))),$I$1),$I$1)</f>
        <v>0</v>
      </c>
      <c r="R178" s="15">
        <f>IFERROR(IF(ISBLANK(K178),IFERROR(VLOOKUP($D178,Sheet3!$H$2:$O$200,R$1,FALSE),IFERROR(VLOOKUP($E178,Sheet3!$H$2:$O$200,R$1,FALSE),VLOOKUP($F178,Sheet3!$H$2:$O$200,R$1,FALSE))),$I$1),$I$1)</f>
        <v>0</v>
      </c>
      <c r="S178" s="15">
        <f>IFERROR(IF(ISBLANK(L178),IFERROR(VLOOKUP($D178,Sheet3!$H$2:$O$200,S$1,FALSE),IFERROR(VLOOKUP($E178,Sheet3!$H$2:$O$200,S$1,FALSE),VLOOKUP($F178,Sheet3!$H$2:$O$200,S$1,FALSE))),$I$1),$I$1)</f>
        <v>0</v>
      </c>
      <c r="T178" s="15">
        <f>IFERROR(IF(ISBLANK(M178),IFERROR(VLOOKUP($D178,Sheet3!$H$2:$O$200,T$1,FALSE),IFERROR(VLOOKUP($E178,Sheet3!$H$2:$O$200,T$1,FALSE),VLOOKUP($F178,Sheet3!$H$2:$O$200,T$1,FALSE))),$I$1),$I$1)</f>
        <v>0</v>
      </c>
      <c r="U178" s="15">
        <f>IFERROR(IF(ISBLANK(N178),IFERROR(VLOOKUP($D178,Sheet3!$H$2:$O$200,U$1,FALSE),IFERROR(VLOOKUP($E178,Sheet3!$H$2:$O$200,U$1,FALSE),VLOOKUP($F178,Sheet3!$H$2:$O$200,U$1,FALSE))),$I$1),$I$1)</f>
        <v>0</v>
      </c>
      <c r="V178" s="15">
        <f>IFERROR(IF(ISBLANK(O178),IFERROR(VLOOKUP($D178,Sheet3!$H$2:$O$200,V$1,FALSE),IFERROR(VLOOKUP($E178,Sheet3!$H$2:$O$200,V$1,FALSE),VLOOKUP($F178,Sheet3!$H$2:$O$200,V$1,FALSE))),$I$1),$I$1)</f>
        <v>0</v>
      </c>
      <c r="W178" s="15">
        <f>IFERROR(IF(ISBLANK(P178),IFERROR(VLOOKUP($D178,Sheet3!$H$2:$O$200,W$1,FALSE),IFERROR(VLOOKUP($E178,Sheet3!$H$2:$O$200,W$1,FALSE),VLOOKUP($F178,Sheet3!$H$2:$O$200,W$1,FALSE))),$I$1),$I$1)</f>
        <v>0</v>
      </c>
      <c r="X178" s="15">
        <f>IFERROR(IF(ISBLANK(Q178),IFERROR(VLOOKUP($E178,Sheet3!$H$2:$O$200,X$1,FALSE),IFERROR(VLOOKUP($F178,Sheet3!$H$2:$O$200,X$1,FALSE),VLOOKUP($G178,Sheet3!$H$2:$O$200,X$1,FALSE))),$I$1),$I$1)</f>
        <v>0</v>
      </c>
      <c r="Y178" s="15">
        <f>IFERROR(IF(ISBLANK(R178),IFERROR(VLOOKUP($E178,Sheet3!$H$2:$O$200,Y$1,FALSE),IFERROR(VLOOKUP($F178,Sheet3!$H$2:$O$200,Y$1,FALSE),VLOOKUP($G178,Sheet3!$H$2:$O$200,Y$1,FALSE))),$I$1),$I$1)</f>
        <v>0</v>
      </c>
      <c r="Z178" s="15">
        <f>IFERROR(IF(ISBLANK(S178),IFERROR(VLOOKUP($E178,Sheet3!$H$2:$O$200,Z$1,FALSE),IFERROR(VLOOKUP($F178,Sheet3!$H$2:$O$200,Z$1,FALSE),VLOOKUP($G178,Sheet3!$H$2:$O$200,Z$1,FALSE))),$I$1),$I$1)</f>
        <v>0</v>
      </c>
      <c r="AA178" s="15">
        <f>IFERROR(IF(ISBLANK(T178),IFERROR(VLOOKUP($E178,Sheet3!$H$2:$O$200,AA$1,FALSE),IFERROR(VLOOKUP($F178,Sheet3!$H$2:$O$200,AA$1,FALSE),VLOOKUP($G178,Sheet3!$H$2:$O$200,AA$1,FALSE))),$I$1),$I$1)</f>
        <v>0</v>
      </c>
      <c r="AB178" s="15">
        <f>IFERROR(IF(ISBLANK(U178),IFERROR(VLOOKUP($E178,Sheet3!$H$2:$O$200,AB$1,FALSE),IFERROR(VLOOKUP($F178,Sheet3!$H$2:$O$200,AB$1,FALSE),VLOOKUP($G178,Sheet3!$H$2:$O$200,AB$1,FALSE))),$I$1),$I$1)</f>
        <v>0</v>
      </c>
      <c r="AC178" s="15">
        <f>IFERROR(IF(ISBLANK(V178),IFERROR(VLOOKUP($E178,Sheet3!$H$2:$O$200,AC$1,FALSE),IFERROR(VLOOKUP($F178,Sheet3!$H$2:$O$200,AC$1,FALSE),VLOOKUP($G178,Sheet3!$H$2:$O$200,AC$1,FALSE))),$I$1),$I$1)</f>
        <v>0</v>
      </c>
      <c r="AD178" s="15">
        <f>IFERROR(IF(ISBLANK(W178),IFERROR(VLOOKUP($E178,Sheet3!$H$2:$O$200,AD$1,FALSE),IFERROR(VLOOKUP($F178,Sheet3!$H$2:$O$200,AD$1,FALSE),VLOOKUP($G178,Sheet3!$H$2:$O$200,AD$1,FALSE))),$I$1),$I$1)</f>
        <v>0</v>
      </c>
      <c r="AE178" s="15">
        <f>IFERROR(IF(ISBLANK(X178),IFERROR(VLOOKUP($F178,Sheet3!$H$2:$O$200,AE$1,FALSE),VLOOKUP($G178,Sheet3!$H$2:$O$200,AE$1,FALSE)),$I$1),$I$1)</f>
        <v>0</v>
      </c>
      <c r="AF178" s="15">
        <f>IFERROR(IF(ISBLANK(Y178),IFERROR(VLOOKUP($F178,Sheet3!$H$2:$O$200,AF$1,FALSE),VLOOKUP($G178,Sheet3!$H$2:$O$200,AF$1,FALSE)),$I$1),$I$1)</f>
        <v>0</v>
      </c>
      <c r="AG178" s="15">
        <f>IFERROR(IF(ISBLANK(Z178),IFERROR(VLOOKUP($F178,Sheet3!$H$2:$O$200,AG$1,FALSE),VLOOKUP($G178,Sheet3!$H$2:$O$200,AG$1,FALSE)),$I$1),$I$1)</f>
        <v>0</v>
      </c>
      <c r="AH178" s="15">
        <f>IFERROR(IF(ISBLANK(AA178),IFERROR(VLOOKUP($F178,Sheet3!$H$2:$O$200,AH$1,FALSE),VLOOKUP($G178,Sheet3!$H$2:$O$200,AH$1,FALSE)),$I$1),$I$1)</f>
        <v>0</v>
      </c>
      <c r="AI178" s="15">
        <f>IFERROR(IF(ISBLANK(AB178),IFERROR(VLOOKUP($F178,Sheet3!$H$2:$O$200,AI$1,FALSE),VLOOKUP($G178,Sheet3!$H$2:$O$200,AI$1,FALSE)),$I$1),$I$1)</f>
        <v>0</v>
      </c>
      <c r="AJ178" s="15">
        <f>IFERROR(IF(ISBLANK(AC178),IFERROR(VLOOKUP($F178,Sheet3!$H$2:$O$200,AJ$1,FALSE),VLOOKUP($G178,Sheet3!$H$2:$O$200,AJ$1,FALSE)),$I$1),$I$1)</f>
        <v>0</v>
      </c>
      <c r="AK178" s="15">
        <f>IFERROR(IF(ISBLANK(AD178),IFERROR(VLOOKUP($F178,Sheet3!$H$2:$O$200,AK$1,FALSE),VLOOKUP($G178,Sheet3!$H$2:$O$200,AK$1,FALSE)),$I$1),$I$1)</f>
        <v>0</v>
      </c>
      <c r="AL178" s="15">
        <f>IFERROR(IF(ISBLANK(AE178),VLOOKUP($G178,Sheet3!$H$2:$O$200,AL$1,FALSE),$I$1),$I$1)</f>
        <v>0</v>
      </c>
      <c r="AM178" s="15">
        <f>IFERROR(IF(ISBLANK(AF178),VLOOKUP($G178,Sheet3!$H$2:$O$200,AM$1,FALSE),$I$1),$I$1)</f>
        <v>0</v>
      </c>
      <c r="AN178" s="15">
        <f>IFERROR(IF(ISBLANK(AG178),VLOOKUP($G178,Sheet3!$H$2:$O$200,AN$1,FALSE),$I$1),$I$1)</f>
        <v>0</v>
      </c>
      <c r="AO178" s="15">
        <f>IFERROR(IF(ISBLANK(AH178),VLOOKUP($G178,Sheet3!$H$2:$O$200,AO$1,FALSE),$I$1),$I$1)</f>
        <v>0</v>
      </c>
      <c r="AP178" s="15">
        <f>IFERROR(IF(ISBLANK(AI178),VLOOKUP($G178,Sheet3!$H$2:$O$200,AP$1,FALSE),$I$1),$I$1)</f>
        <v>0</v>
      </c>
      <c r="AQ178" s="15">
        <f>IFERROR(IF(ISBLANK(AJ178),VLOOKUP($G178,Sheet3!$H$2:$O$200,AQ$1,FALSE),$I$1),$I$1)</f>
        <v>0</v>
      </c>
      <c r="AR178" s="15">
        <f>IFERROR(IF(ISBLANK(AK178),VLOOKUP($G178,Sheet3!$H$2:$O$200,AR$1,FALSE),$I$1),$I$1)</f>
        <v>0</v>
      </c>
      <c r="AS178" s="15">
        <f t="shared" ref="AS178:AY178" si="185">IFERROR(IF(ISBLANK(J178),IF(ISBLANK(Q178),IF(ISBLANK(X178),IF(ISBLANK(AE178),IF(ISBLANK(AL178),$BB$1,AL178),AE178),X178),Q178),J178),$BB$1)</f>
        <v>0</v>
      </c>
      <c r="AT178" s="15">
        <f t="shared" si="185"/>
        <v>0</v>
      </c>
      <c r="AU178" s="15">
        <f t="shared" si="185"/>
        <v>0</v>
      </c>
      <c r="AV178" s="15" t="str">
        <f t="shared" si="185"/>
        <v>triple sec</v>
      </c>
      <c r="AW178" s="15">
        <f t="shared" si="185"/>
        <v>0</v>
      </c>
      <c r="AX178" s="15">
        <f t="shared" si="185"/>
        <v>0</v>
      </c>
      <c r="AY178" s="15">
        <f t="shared" si="185"/>
        <v>0</v>
      </c>
      <c r="BA178" s="13">
        <f t="shared" si="1"/>
        <v>35</v>
      </c>
      <c r="BB178" s="15" t="b">
        <f t="shared" si="2"/>
        <v>0</v>
      </c>
    </row>
    <row r="179" spans="1:54" x14ac:dyDescent="0.2">
      <c r="A179" s="19" t="s">
        <v>352</v>
      </c>
      <c r="B179" s="19" t="s">
        <v>343</v>
      </c>
      <c r="C179" s="19" t="s">
        <v>57</v>
      </c>
      <c r="D179" s="19" t="s">
        <v>90</v>
      </c>
      <c r="E179" s="19"/>
      <c r="F179" s="19"/>
      <c r="G179" s="19"/>
      <c r="H179" s="19" t="s">
        <v>352</v>
      </c>
      <c r="I179" s="15">
        <v>2</v>
      </c>
      <c r="J179" s="15">
        <f>IFERROR(VLOOKUP($C179,Sheet3!$H$2:$O$200,J$1,FALSE),IFERROR(VLOOKUP($D179,Sheet3!$H$2:$O$200,J$1,FALSE),VLOOKUP($E179,Sheet3!$H$2:$O$200,J$1,FALSE)))</f>
        <v>0</v>
      </c>
      <c r="K179" s="15">
        <f>IFERROR(VLOOKUP($C179,Sheet3!$H$2:$O$200,K$1,FALSE),IFERROR(VLOOKUP($D179,Sheet3!$H$2:$O$200,K$1,FALSE),VLOOKUP($E179,Sheet3!$H$2:$O$200,K$1,FALSE)))</f>
        <v>0</v>
      </c>
      <c r="L179" s="15">
        <f>IFERROR(VLOOKUP($C179,Sheet3!$H$2:$O$200,L$1,FALSE),IFERROR(VLOOKUP($D179,Sheet3!$H$2:$O$200,L$1,FALSE),VLOOKUP($E179,Sheet3!$H$2:$O$200,L$1,FALSE)))</f>
        <v>0</v>
      </c>
      <c r="M179" s="15" t="str">
        <f>IFERROR(VLOOKUP($C179,Sheet3!$H$2:$O$200,M$1,FALSE),IFERROR(VLOOKUP($D179,Sheet3!$H$2:$O$200,M$1,FALSE),VLOOKUP($E179,Sheet3!$H$2:$O$200,M$1,FALSE)))</f>
        <v>crème de noyau</v>
      </c>
      <c r="N179" s="15">
        <f>IFERROR(VLOOKUP($C179,Sheet3!$H$2:$O$200,N$1,FALSE),IFERROR(VLOOKUP($D179,Sheet3!$H$2:$O$200,N$1,FALSE),VLOOKUP($E179,Sheet3!$H$2:$O$200,N$1,FALSE)))</f>
        <v>0</v>
      </c>
      <c r="O179" s="15">
        <f>IFERROR(VLOOKUP($C179,Sheet3!$H$2:$O$200,O$1,FALSE),IFERROR(VLOOKUP($D179,Sheet3!$H$2:$O$200,O$1,FALSE),VLOOKUP($E179,Sheet3!$H$2:$O$200,O$1,FALSE)))</f>
        <v>0</v>
      </c>
      <c r="P179" s="15">
        <f>IFERROR(VLOOKUP($C179,Sheet3!$H$2:$O$200,P$1,FALSE),IFERROR(VLOOKUP($D179,Sheet3!$H$2:$O$200,P$1,FALSE),VLOOKUP($E179,Sheet3!$H$2:$O$200,P$1,FALSE)))</f>
        <v>0</v>
      </c>
      <c r="Q179" s="15">
        <f>IFERROR(IF(ISBLANK(J179),IFERROR(VLOOKUP($D179,Sheet3!$H$2:$O$200,Q$1,FALSE),IFERROR(VLOOKUP($E179,Sheet3!$H$2:$O$200,Q$1,FALSE),VLOOKUP($F179,Sheet3!$H$2:$O$200,Q$1,FALSE))),$I$1),$I$1)</f>
        <v>0</v>
      </c>
      <c r="R179" s="15">
        <f>IFERROR(IF(ISBLANK(K179),IFERROR(VLOOKUP($D179,Sheet3!$H$2:$O$200,R$1,FALSE),IFERROR(VLOOKUP($E179,Sheet3!$H$2:$O$200,R$1,FALSE),VLOOKUP($F179,Sheet3!$H$2:$O$200,R$1,FALSE))),$I$1),$I$1)</f>
        <v>0</v>
      </c>
      <c r="S179" s="15">
        <f>IFERROR(IF(ISBLANK(L179),IFERROR(VLOOKUP($D179,Sheet3!$H$2:$O$200,S$1,FALSE),IFERROR(VLOOKUP($E179,Sheet3!$H$2:$O$200,S$1,FALSE),VLOOKUP($F179,Sheet3!$H$2:$O$200,S$1,FALSE))),$I$1),$I$1)</f>
        <v>0</v>
      </c>
      <c r="T179" s="15">
        <f>IFERROR(IF(ISBLANK(M179),IFERROR(VLOOKUP($D179,Sheet3!$H$2:$O$200,T$1,FALSE),IFERROR(VLOOKUP($E179,Sheet3!$H$2:$O$200,T$1,FALSE),VLOOKUP($F179,Sheet3!$H$2:$O$200,T$1,FALSE))),$I$1),$I$1)</f>
        <v>0</v>
      </c>
      <c r="U179" s="15">
        <f>IFERROR(IF(ISBLANK(N179),IFERROR(VLOOKUP($D179,Sheet3!$H$2:$O$200,U$1,FALSE),IFERROR(VLOOKUP($E179,Sheet3!$H$2:$O$200,U$1,FALSE),VLOOKUP($F179,Sheet3!$H$2:$O$200,U$1,FALSE))),$I$1),$I$1)</f>
        <v>0</v>
      </c>
      <c r="V179" s="15">
        <f>IFERROR(IF(ISBLANK(O179),IFERROR(VLOOKUP($D179,Sheet3!$H$2:$O$200,V$1,FALSE),IFERROR(VLOOKUP($E179,Sheet3!$H$2:$O$200,V$1,FALSE),VLOOKUP($F179,Sheet3!$H$2:$O$200,V$1,FALSE))),$I$1),$I$1)</f>
        <v>0</v>
      </c>
      <c r="W179" s="15">
        <f>IFERROR(IF(ISBLANK(P179),IFERROR(VLOOKUP($D179,Sheet3!$H$2:$O$200,W$1,FALSE),IFERROR(VLOOKUP($E179,Sheet3!$H$2:$O$200,W$1,FALSE),VLOOKUP($F179,Sheet3!$H$2:$O$200,W$1,FALSE))),$I$1),$I$1)</f>
        <v>0</v>
      </c>
      <c r="X179" s="15">
        <f>IFERROR(IF(ISBLANK(Q179),IFERROR(VLOOKUP($E179,Sheet3!$H$2:$O$200,X$1,FALSE),IFERROR(VLOOKUP($F179,Sheet3!$H$2:$O$200,X$1,FALSE),VLOOKUP($G179,Sheet3!$H$2:$O$200,X$1,FALSE))),$I$1),$I$1)</f>
        <v>0</v>
      </c>
      <c r="Y179" s="15">
        <f>IFERROR(IF(ISBLANK(R179),IFERROR(VLOOKUP($E179,Sheet3!$H$2:$O$200,Y$1,FALSE),IFERROR(VLOOKUP($F179,Sheet3!$H$2:$O$200,Y$1,FALSE),VLOOKUP($G179,Sheet3!$H$2:$O$200,Y$1,FALSE))),$I$1),$I$1)</f>
        <v>0</v>
      </c>
      <c r="Z179" s="15">
        <f>IFERROR(IF(ISBLANK(S179),IFERROR(VLOOKUP($E179,Sheet3!$H$2:$O$200,Z$1,FALSE),IFERROR(VLOOKUP($F179,Sheet3!$H$2:$O$200,Z$1,FALSE),VLOOKUP($G179,Sheet3!$H$2:$O$200,Z$1,FALSE))),$I$1),$I$1)</f>
        <v>0</v>
      </c>
      <c r="AA179" s="15">
        <f>IFERROR(IF(ISBLANK(T179),IFERROR(VLOOKUP($E179,Sheet3!$H$2:$O$200,AA$1,FALSE),IFERROR(VLOOKUP($F179,Sheet3!$H$2:$O$200,AA$1,FALSE),VLOOKUP($G179,Sheet3!$H$2:$O$200,AA$1,FALSE))),$I$1),$I$1)</f>
        <v>0</v>
      </c>
      <c r="AB179" s="15">
        <f>IFERROR(IF(ISBLANK(U179),IFERROR(VLOOKUP($E179,Sheet3!$H$2:$O$200,AB$1,FALSE),IFERROR(VLOOKUP($F179,Sheet3!$H$2:$O$200,AB$1,FALSE),VLOOKUP($G179,Sheet3!$H$2:$O$200,AB$1,FALSE))),$I$1),$I$1)</f>
        <v>0</v>
      </c>
      <c r="AC179" s="15">
        <f>IFERROR(IF(ISBLANK(V179),IFERROR(VLOOKUP($E179,Sheet3!$H$2:$O$200,AC$1,FALSE),IFERROR(VLOOKUP($F179,Sheet3!$H$2:$O$200,AC$1,FALSE),VLOOKUP($G179,Sheet3!$H$2:$O$200,AC$1,FALSE))),$I$1),$I$1)</f>
        <v>0</v>
      </c>
      <c r="AD179" s="15">
        <f>IFERROR(IF(ISBLANK(W179),IFERROR(VLOOKUP($E179,Sheet3!$H$2:$O$200,AD$1,FALSE),IFERROR(VLOOKUP($F179,Sheet3!$H$2:$O$200,AD$1,FALSE),VLOOKUP($G179,Sheet3!$H$2:$O$200,AD$1,FALSE))),$I$1),$I$1)</f>
        <v>0</v>
      </c>
      <c r="AE179" s="15">
        <f>IFERROR(IF(ISBLANK(X179),IFERROR(VLOOKUP($F179,Sheet3!$H$2:$O$200,AE$1,FALSE),VLOOKUP($G179,Sheet3!$H$2:$O$200,AE$1,FALSE)),$I$1),$I$1)</f>
        <v>0</v>
      </c>
      <c r="AF179" s="15">
        <f>IFERROR(IF(ISBLANK(Y179),IFERROR(VLOOKUP($F179,Sheet3!$H$2:$O$200,AF$1,FALSE),VLOOKUP($G179,Sheet3!$H$2:$O$200,AF$1,FALSE)),$I$1),$I$1)</f>
        <v>0</v>
      </c>
      <c r="AG179" s="15">
        <f>IFERROR(IF(ISBLANK(Z179),IFERROR(VLOOKUP($F179,Sheet3!$H$2:$O$200,AG$1,FALSE),VLOOKUP($G179,Sheet3!$H$2:$O$200,AG$1,FALSE)),$I$1),$I$1)</f>
        <v>0</v>
      </c>
      <c r="AH179" s="15">
        <f>IFERROR(IF(ISBLANK(AA179),IFERROR(VLOOKUP($F179,Sheet3!$H$2:$O$200,AH$1,FALSE),VLOOKUP($G179,Sheet3!$H$2:$O$200,AH$1,FALSE)),$I$1),$I$1)</f>
        <v>0</v>
      </c>
      <c r="AI179" s="15">
        <f>IFERROR(IF(ISBLANK(AB179),IFERROR(VLOOKUP($F179,Sheet3!$H$2:$O$200,AI$1,FALSE),VLOOKUP($G179,Sheet3!$H$2:$O$200,AI$1,FALSE)),$I$1),$I$1)</f>
        <v>0</v>
      </c>
      <c r="AJ179" s="15">
        <f>IFERROR(IF(ISBLANK(AC179),IFERROR(VLOOKUP($F179,Sheet3!$H$2:$O$200,AJ$1,FALSE),VLOOKUP($G179,Sheet3!$H$2:$O$200,AJ$1,FALSE)),$I$1),$I$1)</f>
        <v>0</v>
      </c>
      <c r="AK179" s="15">
        <f>IFERROR(IF(ISBLANK(AD179),IFERROR(VLOOKUP($F179,Sheet3!$H$2:$O$200,AK$1,FALSE),VLOOKUP($G179,Sheet3!$H$2:$O$200,AK$1,FALSE)),$I$1),$I$1)</f>
        <v>0</v>
      </c>
      <c r="AL179" s="15">
        <f>IFERROR(IF(ISBLANK(AE179),VLOOKUP($G179,Sheet3!$H$2:$O$200,AL$1,FALSE),$I$1),$I$1)</f>
        <v>0</v>
      </c>
      <c r="AM179" s="15">
        <f>IFERROR(IF(ISBLANK(AF179),VLOOKUP($G179,Sheet3!$H$2:$O$200,AM$1,FALSE),$I$1),$I$1)</f>
        <v>0</v>
      </c>
      <c r="AN179" s="15">
        <f>IFERROR(IF(ISBLANK(AG179),VLOOKUP($G179,Sheet3!$H$2:$O$200,AN$1,FALSE),$I$1),$I$1)</f>
        <v>0</v>
      </c>
      <c r="AO179" s="15">
        <f>IFERROR(IF(ISBLANK(AH179),VLOOKUP($G179,Sheet3!$H$2:$O$200,AO$1,FALSE),$I$1),$I$1)</f>
        <v>0</v>
      </c>
      <c r="AP179" s="15">
        <f>IFERROR(IF(ISBLANK(AI179),VLOOKUP($G179,Sheet3!$H$2:$O$200,AP$1,FALSE),$I$1),$I$1)</f>
        <v>0</v>
      </c>
      <c r="AQ179" s="15">
        <f>IFERROR(IF(ISBLANK(AJ179),VLOOKUP($G179,Sheet3!$H$2:$O$200,AQ$1,FALSE),$I$1),$I$1)</f>
        <v>0</v>
      </c>
      <c r="AR179" s="15">
        <f>IFERROR(IF(ISBLANK(AK179),VLOOKUP($G179,Sheet3!$H$2:$O$200,AR$1,FALSE),$I$1),$I$1)</f>
        <v>0</v>
      </c>
      <c r="AS179" s="15">
        <f t="shared" ref="AS179:AY179" si="186">IFERROR(IF(ISBLANK(J179),IF(ISBLANK(Q179),IF(ISBLANK(X179),IF(ISBLANK(AE179),IF(ISBLANK(AL179),$BB$1,AL179),AE179),X179),Q179),J179),$BB$1)</f>
        <v>0</v>
      </c>
      <c r="AT179" s="15">
        <f t="shared" si="186"/>
        <v>0</v>
      </c>
      <c r="AU179" s="15">
        <f t="shared" si="186"/>
        <v>0</v>
      </c>
      <c r="AV179" s="15" t="str">
        <f t="shared" si="186"/>
        <v>crème de noyau</v>
      </c>
      <c r="AW179" s="15">
        <f t="shared" si="186"/>
        <v>0</v>
      </c>
      <c r="AX179" s="15">
        <f t="shared" si="186"/>
        <v>0</v>
      </c>
      <c r="AY179" s="15">
        <f t="shared" si="186"/>
        <v>0</v>
      </c>
      <c r="BA179" s="13">
        <f t="shared" si="1"/>
        <v>35</v>
      </c>
      <c r="BB179" s="15" t="b">
        <f t="shared" si="2"/>
        <v>0</v>
      </c>
    </row>
    <row r="180" spans="1:54" x14ac:dyDescent="0.2">
      <c r="A180" s="19" t="s">
        <v>353</v>
      </c>
      <c r="B180" s="19" t="s">
        <v>354</v>
      </c>
      <c r="C180" s="19" t="s">
        <v>57</v>
      </c>
      <c r="D180" s="19" t="s">
        <v>38</v>
      </c>
      <c r="E180" s="19" t="s">
        <v>62</v>
      </c>
      <c r="F180" s="19"/>
      <c r="G180" s="19"/>
      <c r="H180" s="19" t="s">
        <v>353</v>
      </c>
      <c r="I180" s="15">
        <v>3</v>
      </c>
      <c r="J180" s="15">
        <f>IFERROR(VLOOKUP($C180,Sheet3!$H$2:$O$200,J$1,FALSE),IFERROR(VLOOKUP($D180,Sheet3!$H$2:$O$200,J$1,FALSE),VLOOKUP($E180,Sheet3!$H$2:$O$200,J$1,FALSE)))</f>
        <v>0</v>
      </c>
      <c r="K180" s="15">
        <f>IFERROR(VLOOKUP($C180,Sheet3!$H$2:$O$200,K$1,FALSE),IFERROR(VLOOKUP($D180,Sheet3!$H$2:$O$200,K$1,FALSE),VLOOKUP($E180,Sheet3!$H$2:$O$200,K$1,FALSE)))</f>
        <v>0</v>
      </c>
      <c r="L180" s="15">
        <f>IFERROR(VLOOKUP($C180,Sheet3!$H$2:$O$200,L$1,FALSE),IFERROR(VLOOKUP($D180,Sheet3!$H$2:$O$200,L$1,FALSE),VLOOKUP($E180,Sheet3!$H$2:$O$200,L$1,FALSE)))</f>
        <v>0</v>
      </c>
      <c r="M180" s="15" t="str">
        <f>IFERROR(VLOOKUP($C180,Sheet3!$H$2:$O$200,M$1,FALSE),IFERROR(VLOOKUP($D180,Sheet3!$H$2:$O$200,M$1,FALSE),VLOOKUP($E180,Sheet3!$H$2:$O$200,M$1,FALSE)))</f>
        <v>crème de noyau</v>
      </c>
      <c r="N180" s="15">
        <f>IFERROR(VLOOKUP($C180,Sheet3!$H$2:$O$200,N$1,FALSE),IFERROR(VLOOKUP($D180,Sheet3!$H$2:$O$200,N$1,FALSE),VLOOKUP($E180,Sheet3!$H$2:$O$200,N$1,FALSE)))</f>
        <v>0</v>
      </c>
      <c r="O180" s="15">
        <f>IFERROR(VLOOKUP($C180,Sheet3!$H$2:$O$200,O$1,FALSE),IFERROR(VLOOKUP($D180,Sheet3!$H$2:$O$200,O$1,FALSE),VLOOKUP($E180,Sheet3!$H$2:$O$200,O$1,FALSE)))</f>
        <v>0</v>
      </c>
      <c r="P180" s="15">
        <f>IFERROR(VLOOKUP($C180,Sheet3!$H$2:$O$200,P$1,FALSE),IFERROR(VLOOKUP($D180,Sheet3!$H$2:$O$200,P$1,FALSE),VLOOKUP($E180,Sheet3!$H$2:$O$200,P$1,FALSE)))</f>
        <v>0</v>
      </c>
      <c r="Q180" s="15">
        <f>IFERROR(IF(ISBLANK(J180),IFERROR(VLOOKUP($D180,Sheet3!$H$2:$O$200,Q$1,FALSE),IFERROR(VLOOKUP($E180,Sheet3!$H$2:$O$200,Q$1,FALSE),VLOOKUP($F180,Sheet3!$H$2:$O$200,Q$1,FALSE))),$I$1),$I$1)</f>
        <v>0</v>
      </c>
      <c r="R180" s="15">
        <f>IFERROR(IF(ISBLANK(K180),IFERROR(VLOOKUP($D180,Sheet3!$H$2:$O$200,R$1,FALSE),IFERROR(VLOOKUP($E180,Sheet3!$H$2:$O$200,R$1,FALSE),VLOOKUP($F180,Sheet3!$H$2:$O$200,R$1,FALSE))),$I$1),$I$1)</f>
        <v>0</v>
      </c>
      <c r="S180" s="15">
        <f>IFERROR(IF(ISBLANK(L180),IFERROR(VLOOKUP($D180,Sheet3!$H$2:$O$200,S$1,FALSE),IFERROR(VLOOKUP($E180,Sheet3!$H$2:$O$200,S$1,FALSE),VLOOKUP($F180,Sheet3!$H$2:$O$200,S$1,FALSE))),$I$1),$I$1)</f>
        <v>0</v>
      </c>
      <c r="T180" s="15">
        <f>IFERROR(IF(ISBLANK(M180),IFERROR(VLOOKUP($D180,Sheet3!$H$2:$O$200,T$1,FALSE),IFERROR(VLOOKUP($E180,Sheet3!$H$2:$O$200,T$1,FALSE),VLOOKUP($F180,Sheet3!$H$2:$O$200,T$1,FALSE))),$I$1),$I$1)</f>
        <v>0</v>
      </c>
      <c r="U180" s="15">
        <f>IFERROR(IF(ISBLANK(N180),IFERROR(VLOOKUP($D180,Sheet3!$H$2:$O$200,U$1,FALSE),IFERROR(VLOOKUP($E180,Sheet3!$H$2:$O$200,U$1,FALSE),VLOOKUP($F180,Sheet3!$H$2:$O$200,U$1,FALSE))),$I$1),$I$1)</f>
        <v>0</v>
      </c>
      <c r="V180" s="15">
        <f>IFERROR(IF(ISBLANK(O180),IFERROR(VLOOKUP($D180,Sheet3!$H$2:$O$200,V$1,FALSE),IFERROR(VLOOKUP($E180,Sheet3!$H$2:$O$200,V$1,FALSE),VLOOKUP($F180,Sheet3!$H$2:$O$200,V$1,FALSE))),$I$1),$I$1)</f>
        <v>0</v>
      </c>
      <c r="W180" s="15">
        <f>IFERROR(IF(ISBLANK(P180),IFERROR(VLOOKUP($D180,Sheet3!$H$2:$O$200,W$1,FALSE),IFERROR(VLOOKUP($E180,Sheet3!$H$2:$O$200,W$1,FALSE),VLOOKUP($F180,Sheet3!$H$2:$O$200,W$1,FALSE))),$I$1),$I$1)</f>
        <v>0</v>
      </c>
      <c r="X180" s="15">
        <f>IFERROR(IF(ISBLANK(Q180),IFERROR(VLOOKUP($E180,Sheet3!$H$2:$O$200,X$1,FALSE),IFERROR(VLOOKUP($F180,Sheet3!$H$2:$O$200,X$1,FALSE),VLOOKUP($G180,Sheet3!$H$2:$O$200,X$1,FALSE))),$I$1),$I$1)</f>
        <v>0</v>
      </c>
      <c r="Y180" s="15">
        <f>IFERROR(IF(ISBLANK(R180),IFERROR(VLOOKUP($E180,Sheet3!$H$2:$O$200,Y$1,FALSE),IFERROR(VLOOKUP($F180,Sheet3!$H$2:$O$200,Y$1,FALSE),VLOOKUP($G180,Sheet3!$H$2:$O$200,Y$1,FALSE))),$I$1),$I$1)</f>
        <v>0</v>
      </c>
      <c r="Z180" s="15">
        <f>IFERROR(IF(ISBLANK(S180),IFERROR(VLOOKUP($E180,Sheet3!$H$2:$O$200,Z$1,FALSE),IFERROR(VLOOKUP($F180,Sheet3!$H$2:$O$200,Z$1,FALSE),VLOOKUP($G180,Sheet3!$H$2:$O$200,Z$1,FALSE))),$I$1),$I$1)</f>
        <v>0</v>
      </c>
      <c r="AA180" s="15">
        <f>IFERROR(IF(ISBLANK(T180),IFERROR(VLOOKUP($E180,Sheet3!$H$2:$O$200,AA$1,FALSE),IFERROR(VLOOKUP($F180,Sheet3!$H$2:$O$200,AA$1,FALSE),VLOOKUP($G180,Sheet3!$H$2:$O$200,AA$1,FALSE))),$I$1),$I$1)</f>
        <v>0</v>
      </c>
      <c r="AB180" s="15">
        <f>IFERROR(IF(ISBLANK(U180),IFERROR(VLOOKUP($E180,Sheet3!$H$2:$O$200,AB$1,FALSE),IFERROR(VLOOKUP($F180,Sheet3!$H$2:$O$200,AB$1,FALSE),VLOOKUP($G180,Sheet3!$H$2:$O$200,AB$1,FALSE))),$I$1),$I$1)</f>
        <v>0</v>
      </c>
      <c r="AC180" s="15">
        <f>IFERROR(IF(ISBLANK(V180),IFERROR(VLOOKUP($E180,Sheet3!$H$2:$O$200,AC$1,FALSE),IFERROR(VLOOKUP($F180,Sheet3!$H$2:$O$200,AC$1,FALSE),VLOOKUP($G180,Sheet3!$H$2:$O$200,AC$1,FALSE))),$I$1),$I$1)</f>
        <v>0</v>
      </c>
      <c r="AD180" s="15">
        <f>IFERROR(IF(ISBLANK(W180),IFERROR(VLOOKUP($E180,Sheet3!$H$2:$O$200,AD$1,FALSE),IFERROR(VLOOKUP($F180,Sheet3!$H$2:$O$200,AD$1,FALSE),VLOOKUP($G180,Sheet3!$H$2:$O$200,AD$1,FALSE))),$I$1),$I$1)</f>
        <v>0</v>
      </c>
      <c r="AE180" s="15">
        <f>IFERROR(IF(ISBLANK(X180),IFERROR(VLOOKUP($F180,Sheet3!$H$2:$O$200,AE$1,FALSE),VLOOKUP($G180,Sheet3!$H$2:$O$200,AE$1,FALSE)),$I$1),$I$1)</f>
        <v>0</v>
      </c>
      <c r="AF180" s="15">
        <f>IFERROR(IF(ISBLANK(Y180),IFERROR(VLOOKUP($F180,Sheet3!$H$2:$O$200,AF$1,FALSE),VLOOKUP($G180,Sheet3!$H$2:$O$200,AF$1,FALSE)),$I$1),$I$1)</f>
        <v>0</v>
      </c>
      <c r="AG180" s="15">
        <f>IFERROR(IF(ISBLANK(Z180),IFERROR(VLOOKUP($F180,Sheet3!$H$2:$O$200,AG$1,FALSE),VLOOKUP($G180,Sheet3!$H$2:$O$200,AG$1,FALSE)),$I$1),$I$1)</f>
        <v>0</v>
      </c>
      <c r="AH180" s="15">
        <f>IFERROR(IF(ISBLANK(AA180),IFERROR(VLOOKUP($F180,Sheet3!$H$2:$O$200,AH$1,FALSE),VLOOKUP($G180,Sheet3!$H$2:$O$200,AH$1,FALSE)),$I$1),$I$1)</f>
        <v>0</v>
      </c>
      <c r="AI180" s="15">
        <f>IFERROR(IF(ISBLANK(AB180),IFERROR(VLOOKUP($F180,Sheet3!$H$2:$O$200,AI$1,FALSE),VLOOKUP($G180,Sheet3!$H$2:$O$200,AI$1,FALSE)),$I$1),$I$1)</f>
        <v>0</v>
      </c>
      <c r="AJ180" s="15">
        <f>IFERROR(IF(ISBLANK(AC180),IFERROR(VLOOKUP($F180,Sheet3!$H$2:$O$200,AJ$1,FALSE),VLOOKUP($G180,Sheet3!$H$2:$O$200,AJ$1,FALSE)),$I$1),$I$1)</f>
        <v>0</v>
      </c>
      <c r="AK180" s="15">
        <f>IFERROR(IF(ISBLANK(AD180),IFERROR(VLOOKUP($F180,Sheet3!$H$2:$O$200,AK$1,FALSE),VLOOKUP($G180,Sheet3!$H$2:$O$200,AK$1,FALSE)),$I$1),$I$1)</f>
        <v>0</v>
      </c>
      <c r="AL180" s="15">
        <f>IFERROR(IF(ISBLANK(AE180),VLOOKUP($G180,Sheet3!$H$2:$O$200,AL$1,FALSE),$I$1),$I$1)</f>
        <v>0</v>
      </c>
      <c r="AM180" s="15">
        <f>IFERROR(IF(ISBLANK(AF180),VLOOKUP($G180,Sheet3!$H$2:$O$200,AM$1,FALSE),$I$1),$I$1)</f>
        <v>0</v>
      </c>
      <c r="AN180" s="15">
        <f>IFERROR(IF(ISBLANK(AG180),VLOOKUP($G180,Sheet3!$H$2:$O$200,AN$1,FALSE),$I$1),$I$1)</f>
        <v>0</v>
      </c>
      <c r="AO180" s="15">
        <f>IFERROR(IF(ISBLANK(AH180),VLOOKUP($G180,Sheet3!$H$2:$O$200,AO$1,FALSE),$I$1),$I$1)</f>
        <v>0</v>
      </c>
      <c r="AP180" s="15">
        <f>IFERROR(IF(ISBLANK(AI180),VLOOKUP($G180,Sheet3!$H$2:$O$200,AP$1,FALSE),$I$1),$I$1)</f>
        <v>0</v>
      </c>
      <c r="AQ180" s="15">
        <f>IFERROR(IF(ISBLANK(AJ180),VLOOKUP($G180,Sheet3!$H$2:$O$200,AQ$1,FALSE),$I$1),$I$1)</f>
        <v>0</v>
      </c>
      <c r="AR180" s="15">
        <f>IFERROR(IF(ISBLANK(AK180),VLOOKUP($G180,Sheet3!$H$2:$O$200,AR$1,FALSE),$I$1),$I$1)</f>
        <v>0</v>
      </c>
      <c r="AS180" s="15">
        <f t="shared" ref="AS180:AY180" si="187">IFERROR(IF(ISBLANK(J180),IF(ISBLANK(Q180),IF(ISBLANK(X180),IF(ISBLANK(AE180),IF(ISBLANK(AL180),$BB$1,AL180),AE180),X180),Q180),J180),$BB$1)</f>
        <v>0</v>
      </c>
      <c r="AT180" s="15">
        <f t="shared" si="187"/>
        <v>0</v>
      </c>
      <c r="AU180" s="15">
        <f t="shared" si="187"/>
        <v>0</v>
      </c>
      <c r="AV180" s="15" t="str">
        <f t="shared" si="187"/>
        <v>crème de noyau</v>
      </c>
      <c r="AW180" s="15">
        <f t="shared" si="187"/>
        <v>0</v>
      </c>
      <c r="AX180" s="15">
        <f t="shared" si="187"/>
        <v>0</v>
      </c>
      <c r="AY180" s="15">
        <f t="shared" si="187"/>
        <v>0</v>
      </c>
      <c r="BA180" s="13">
        <f t="shared" si="1"/>
        <v>35</v>
      </c>
      <c r="BB180" s="15" t="b">
        <f t="shared" si="2"/>
        <v>0</v>
      </c>
    </row>
    <row r="181" spans="1:54" x14ac:dyDescent="0.2">
      <c r="A181" s="19" t="s">
        <v>355</v>
      </c>
      <c r="B181" s="19" t="s">
        <v>354</v>
      </c>
      <c r="C181" s="19" t="s">
        <v>57</v>
      </c>
      <c r="D181" s="19" t="s">
        <v>38</v>
      </c>
      <c r="E181" s="19"/>
      <c r="F181" s="19"/>
      <c r="G181" s="19"/>
      <c r="H181" s="19" t="s">
        <v>355</v>
      </c>
      <c r="I181" s="15">
        <v>2</v>
      </c>
      <c r="J181" s="15">
        <f>IFERROR(VLOOKUP($C181,Sheet3!$H$2:$O$200,J$1,FALSE),IFERROR(VLOOKUP($D181,Sheet3!$H$2:$O$200,J$1,FALSE),VLOOKUP($E181,Sheet3!$H$2:$O$200,J$1,FALSE)))</f>
        <v>0</v>
      </c>
      <c r="K181" s="15">
        <f>IFERROR(VLOOKUP($C181,Sheet3!$H$2:$O$200,K$1,FALSE),IFERROR(VLOOKUP($D181,Sheet3!$H$2:$O$200,K$1,FALSE),VLOOKUP($E181,Sheet3!$H$2:$O$200,K$1,FALSE)))</f>
        <v>0</v>
      </c>
      <c r="L181" s="15">
        <f>IFERROR(VLOOKUP($C181,Sheet3!$H$2:$O$200,L$1,FALSE),IFERROR(VLOOKUP($D181,Sheet3!$H$2:$O$200,L$1,FALSE),VLOOKUP($E181,Sheet3!$H$2:$O$200,L$1,FALSE)))</f>
        <v>0</v>
      </c>
      <c r="M181" s="15" t="str">
        <f>IFERROR(VLOOKUP($C181,Sheet3!$H$2:$O$200,M$1,FALSE),IFERROR(VLOOKUP($D181,Sheet3!$H$2:$O$200,M$1,FALSE),VLOOKUP($E181,Sheet3!$H$2:$O$200,M$1,FALSE)))</f>
        <v>crème de noyau</v>
      </c>
      <c r="N181" s="15">
        <f>IFERROR(VLOOKUP($C181,Sheet3!$H$2:$O$200,N$1,FALSE),IFERROR(VLOOKUP($D181,Sheet3!$H$2:$O$200,N$1,FALSE),VLOOKUP($E181,Sheet3!$H$2:$O$200,N$1,FALSE)))</f>
        <v>0</v>
      </c>
      <c r="O181" s="15">
        <f>IFERROR(VLOOKUP($C181,Sheet3!$H$2:$O$200,O$1,FALSE),IFERROR(VLOOKUP($D181,Sheet3!$H$2:$O$200,O$1,FALSE),VLOOKUP($E181,Sheet3!$H$2:$O$200,O$1,FALSE)))</f>
        <v>0</v>
      </c>
      <c r="P181" s="15">
        <f>IFERROR(VLOOKUP($C181,Sheet3!$H$2:$O$200,P$1,FALSE),IFERROR(VLOOKUP($D181,Sheet3!$H$2:$O$200,P$1,FALSE),VLOOKUP($E181,Sheet3!$H$2:$O$200,P$1,FALSE)))</f>
        <v>0</v>
      </c>
      <c r="Q181" s="15">
        <f>IFERROR(IF(ISBLANK(J181),IFERROR(VLOOKUP($D181,Sheet3!$H$2:$O$200,Q$1,FALSE),IFERROR(VLOOKUP($E181,Sheet3!$H$2:$O$200,Q$1,FALSE),VLOOKUP($F181,Sheet3!$H$2:$O$200,Q$1,FALSE))),$I$1),$I$1)</f>
        <v>0</v>
      </c>
      <c r="R181" s="15">
        <f>IFERROR(IF(ISBLANK(K181),IFERROR(VLOOKUP($D181,Sheet3!$H$2:$O$200,R$1,FALSE),IFERROR(VLOOKUP($E181,Sheet3!$H$2:$O$200,R$1,FALSE),VLOOKUP($F181,Sheet3!$H$2:$O$200,R$1,FALSE))),$I$1),$I$1)</f>
        <v>0</v>
      </c>
      <c r="S181" s="15">
        <f>IFERROR(IF(ISBLANK(L181),IFERROR(VLOOKUP($D181,Sheet3!$H$2:$O$200,S$1,FALSE),IFERROR(VLOOKUP($E181,Sheet3!$H$2:$O$200,S$1,FALSE),VLOOKUP($F181,Sheet3!$H$2:$O$200,S$1,FALSE))),$I$1),$I$1)</f>
        <v>0</v>
      </c>
      <c r="T181" s="15">
        <f>IFERROR(IF(ISBLANK(M181),IFERROR(VLOOKUP($D181,Sheet3!$H$2:$O$200,T$1,FALSE),IFERROR(VLOOKUP($E181,Sheet3!$H$2:$O$200,T$1,FALSE),VLOOKUP($F181,Sheet3!$H$2:$O$200,T$1,FALSE))),$I$1),$I$1)</f>
        <v>0</v>
      </c>
      <c r="U181" s="15">
        <f>IFERROR(IF(ISBLANK(N181),IFERROR(VLOOKUP($D181,Sheet3!$H$2:$O$200,U$1,FALSE),IFERROR(VLOOKUP($E181,Sheet3!$H$2:$O$200,U$1,FALSE),VLOOKUP($F181,Sheet3!$H$2:$O$200,U$1,FALSE))),$I$1),$I$1)</f>
        <v>0</v>
      </c>
      <c r="V181" s="15">
        <f>IFERROR(IF(ISBLANK(O181),IFERROR(VLOOKUP($D181,Sheet3!$H$2:$O$200,V$1,FALSE),IFERROR(VLOOKUP($E181,Sheet3!$H$2:$O$200,V$1,FALSE),VLOOKUP($F181,Sheet3!$H$2:$O$200,V$1,FALSE))),$I$1),$I$1)</f>
        <v>0</v>
      </c>
      <c r="W181" s="15">
        <f>IFERROR(IF(ISBLANK(P181),IFERROR(VLOOKUP($D181,Sheet3!$H$2:$O$200,W$1,FALSE),IFERROR(VLOOKUP($E181,Sheet3!$H$2:$O$200,W$1,FALSE),VLOOKUP($F181,Sheet3!$H$2:$O$200,W$1,FALSE))),$I$1),$I$1)</f>
        <v>0</v>
      </c>
      <c r="X181" s="15">
        <f>IFERROR(IF(ISBLANK(Q181),IFERROR(VLOOKUP($E181,Sheet3!$H$2:$O$200,X$1,FALSE),IFERROR(VLOOKUP($F181,Sheet3!$H$2:$O$200,X$1,FALSE),VLOOKUP($G181,Sheet3!$H$2:$O$200,X$1,FALSE))),$I$1),$I$1)</f>
        <v>0</v>
      </c>
      <c r="Y181" s="15">
        <f>IFERROR(IF(ISBLANK(R181),IFERROR(VLOOKUP($E181,Sheet3!$H$2:$O$200,Y$1,FALSE),IFERROR(VLOOKUP($F181,Sheet3!$H$2:$O$200,Y$1,FALSE),VLOOKUP($G181,Sheet3!$H$2:$O$200,Y$1,FALSE))),$I$1),$I$1)</f>
        <v>0</v>
      </c>
      <c r="Z181" s="15">
        <f>IFERROR(IF(ISBLANK(S181),IFERROR(VLOOKUP($E181,Sheet3!$H$2:$O$200,Z$1,FALSE),IFERROR(VLOOKUP($F181,Sheet3!$H$2:$O$200,Z$1,FALSE),VLOOKUP($G181,Sheet3!$H$2:$O$200,Z$1,FALSE))),$I$1),$I$1)</f>
        <v>0</v>
      </c>
      <c r="AA181" s="15">
        <f>IFERROR(IF(ISBLANK(T181),IFERROR(VLOOKUP($E181,Sheet3!$H$2:$O$200,AA$1,FALSE),IFERROR(VLOOKUP($F181,Sheet3!$H$2:$O$200,AA$1,FALSE),VLOOKUP($G181,Sheet3!$H$2:$O$200,AA$1,FALSE))),$I$1),$I$1)</f>
        <v>0</v>
      </c>
      <c r="AB181" s="15">
        <f>IFERROR(IF(ISBLANK(U181),IFERROR(VLOOKUP($E181,Sheet3!$H$2:$O$200,AB$1,FALSE),IFERROR(VLOOKUP($F181,Sheet3!$H$2:$O$200,AB$1,FALSE),VLOOKUP($G181,Sheet3!$H$2:$O$200,AB$1,FALSE))),$I$1),$I$1)</f>
        <v>0</v>
      </c>
      <c r="AC181" s="15">
        <f>IFERROR(IF(ISBLANK(V181),IFERROR(VLOOKUP($E181,Sheet3!$H$2:$O$200,AC$1,FALSE),IFERROR(VLOOKUP($F181,Sheet3!$H$2:$O$200,AC$1,FALSE),VLOOKUP($G181,Sheet3!$H$2:$O$200,AC$1,FALSE))),$I$1),$I$1)</f>
        <v>0</v>
      </c>
      <c r="AD181" s="15">
        <f>IFERROR(IF(ISBLANK(W181),IFERROR(VLOOKUP($E181,Sheet3!$H$2:$O$200,AD$1,FALSE),IFERROR(VLOOKUP($F181,Sheet3!$H$2:$O$200,AD$1,FALSE),VLOOKUP($G181,Sheet3!$H$2:$O$200,AD$1,FALSE))),$I$1),$I$1)</f>
        <v>0</v>
      </c>
      <c r="AE181" s="15">
        <f>IFERROR(IF(ISBLANK(X181),IFERROR(VLOOKUP($F181,Sheet3!$H$2:$O$200,AE$1,FALSE),VLOOKUP($G181,Sheet3!$H$2:$O$200,AE$1,FALSE)),$I$1),$I$1)</f>
        <v>0</v>
      </c>
      <c r="AF181" s="15">
        <f>IFERROR(IF(ISBLANK(Y181),IFERROR(VLOOKUP($F181,Sheet3!$H$2:$O$200,AF$1,FALSE),VLOOKUP($G181,Sheet3!$H$2:$O$200,AF$1,FALSE)),$I$1),$I$1)</f>
        <v>0</v>
      </c>
      <c r="AG181" s="15">
        <f>IFERROR(IF(ISBLANK(Z181),IFERROR(VLOOKUP($F181,Sheet3!$H$2:$O$200,AG$1,FALSE),VLOOKUP($G181,Sheet3!$H$2:$O$200,AG$1,FALSE)),$I$1),$I$1)</f>
        <v>0</v>
      </c>
      <c r="AH181" s="15">
        <f>IFERROR(IF(ISBLANK(AA181),IFERROR(VLOOKUP($F181,Sheet3!$H$2:$O$200,AH$1,FALSE),VLOOKUP($G181,Sheet3!$H$2:$O$200,AH$1,FALSE)),$I$1),$I$1)</f>
        <v>0</v>
      </c>
      <c r="AI181" s="15">
        <f>IFERROR(IF(ISBLANK(AB181),IFERROR(VLOOKUP($F181,Sheet3!$H$2:$O$200,AI$1,FALSE),VLOOKUP($G181,Sheet3!$H$2:$O$200,AI$1,FALSE)),$I$1),$I$1)</f>
        <v>0</v>
      </c>
      <c r="AJ181" s="15">
        <f>IFERROR(IF(ISBLANK(AC181),IFERROR(VLOOKUP($F181,Sheet3!$H$2:$O$200,AJ$1,FALSE),VLOOKUP($G181,Sheet3!$H$2:$O$200,AJ$1,FALSE)),$I$1),$I$1)</f>
        <v>0</v>
      </c>
      <c r="AK181" s="15">
        <f>IFERROR(IF(ISBLANK(AD181),IFERROR(VLOOKUP($F181,Sheet3!$H$2:$O$200,AK$1,FALSE),VLOOKUP($G181,Sheet3!$H$2:$O$200,AK$1,FALSE)),$I$1),$I$1)</f>
        <v>0</v>
      </c>
      <c r="AL181" s="15">
        <f>IFERROR(IF(ISBLANK(AE181),VLOOKUP($G181,Sheet3!$H$2:$O$200,AL$1,FALSE),$I$1),$I$1)</f>
        <v>0</v>
      </c>
      <c r="AM181" s="15">
        <f>IFERROR(IF(ISBLANK(AF181),VLOOKUP($G181,Sheet3!$H$2:$O$200,AM$1,FALSE),$I$1),$I$1)</f>
        <v>0</v>
      </c>
      <c r="AN181" s="15">
        <f>IFERROR(IF(ISBLANK(AG181),VLOOKUP($G181,Sheet3!$H$2:$O$200,AN$1,FALSE),$I$1),$I$1)</f>
        <v>0</v>
      </c>
      <c r="AO181" s="15">
        <f>IFERROR(IF(ISBLANK(AH181),VLOOKUP($G181,Sheet3!$H$2:$O$200,AO$1,FALSE),$I$1),$I$1)</f>
        <v>0</v>
      </c>
      <c r="AP181" s="15">
        <f>IFERROR(IF(ISBLANK(AI181),VLOOKUP($G181,Sheet3!$H$2:$O$200,AP$1,FALSE),$I$1),$I$1)</f>
        <v>0</v>
      </c>
      <c r="AQ181" s="15">
        <f>IFERROR(IF(ISBLANK(AJ181),VLOOKUP($G181,Sheet3!$H$2:$O$200,AQ$1,FALSE),$I$1),$I$1)</f>
        <v>0</v>
      </c>
      <c r="AR181" s="15">
        <f>IFERROR(IF(ISBLANK(AK181),VLOOKUP($G181,Sheet3!$H$2:$O$200,AR$1,FALSE),$I$1),$I$1)</f>
        <v>0</v>
      </c>
      <c r="AS181" s="15">
        <f t="shared" ref="AS181:AY181" si="188">IFERROR(IF(ISBLANK(J181),IF(ISBLANK(Q181),IF(ISBLANK(X181),IF(ISBLANK(AE181),IF(ISBLANK(AL181),$BB$1,AL181),AE181),X181),Q181),J181),$BB$1)</f>
        <v>0</v>
      </c>
      <c r="AT181" s="15">
        <f t="shared" si="188"/>
        <v>0</v>
      </c>
      <c r="AU181" s="15">
        <f t="shared" si="188"/>
        <v>0</v>
      </c>
      <c r="AV181" s="15" t="str">
        <f t="shared" si="188"/>
        <v>crème de noyau</v>
      </c>
      <c r="AW181" s="15">
        <f t="shared" si="188"/>
        <v>0</v>
      </c>
      <c r="AX181" s="15">
        <f t="shared" si="188"/>
        <v>0</v>
      </c>
      <c r="AY181" s="15">
        <f t="shared" si="188"/>
        <v>0</v>
      </c>
      <c r="BA181" s="13">
        <f t="shared" si="1"/>
        <v>35</v>
      </c>
      <c r="BB181" s="15" t="b">
        <f t="shared" si="2"/>
        <v>0</v>
      </c>
    </row>
    <row r="182" spans="1:54" x14ac:dyDescent="0.2">
      <c r="A182" s="19" t="s">
        <v>356</v>
      </c>
      <c r="B182" s="19" t="s">
        <v>357</v>
      </c>
      <c r="C182" s="19" t="s">
        <v>30</v>
      </c>
      <c r="D182" s="19"/>
      <c r="E182" s="19"/>
      <c r="F182" s="19"/>
      <c r="G182" s="19"/>
      <c r="H182" s="19" t="s">
        <v>356</v>
      </c>
      <c r="I182" s="15">
        <v>1</v>
      </c>
      <c r="J182" s="15">
        <f>IFERROR(VLOOKUP($C182,Sheet3!$H$2:$O$200,J$1,FALSE),IFERROR(VLOOKUP($D182,Sheet3!$H$2:$O$200,J$1,FALSE),VLOOKUP($E182,Sheet3!$H$2:$O$200,J$1,FALSE)))</f>
        <v>0</v>
      </c>
      <c r="K182" s="15">
        <f>IFERROR(VLOOKUP($C182,Sheet3!$H$2:$O$200,K$1,FALSE),IFERROR(VLOOKUP($D182,Sheet3!$H$2:$O$200,K$1,FALSE),VLOOKUP($E182,Sheet3!$H$2:$O$200,K$1,FALSE)))</f>
        <v>0</v>
      </c>
      <c r="L182" s="15">
        <f>IFERROR(VLOOKUP($C182,Sheet3!$H$2:$O$200,L$1,FALSE),IFERROR(VLOOKUP($D182,Sheet3!$H$2:$O$200,L$1,FALSE),VLOOKUP($E182,Sheet3!$H$2:$O$200,L$1,FALSE)))</f>
        <v>0</v>
      </c>
      <c r="M182" s="15" t="str">
        <f>IFERROR(VLOOKUP($C182,Sheet3!$H$2:$O$200,M$1,FALSE),IFERROR(VLOOKUP($D182,Sheet3!$H$2:$O$200,M$1,FALSE),VLOOKUP($E182,Sheet3!$H$2:$O$200,M$1,FALSE)))</f>
        <v>amaretto</v>
      </c>
      <c r="N182" s="15">
        <f>IFERROR(VLOOKUP($C182,Sheet3!$H$2:$O$200,N$1,FALSE),IFERROR(VLOOKUP($D182,Sheet3!$H$2:$O$200,N$1,FALSE),VLOOKUP($E182,Sheet3!$H$2:$O$200,N$1,FALSE)))</f>
        <v>0</v>
      </c>
      <c r="O182" s="15">
        <f>IFERROR(VLOOKUP($C182,Sheet3!$H$2:$O$200,O$1,FALSE),IFERROR(VLOOKUP($D182,Sheet3!$H$2:$O$200,O$1,FALSE),VLOOKUP($E182,Sheet3!$H$2:$O$200,O$1,FALSE)))</f>
        <v>0</v>
      </c>
      <c r="P182" s="15">
        <f>IFERROR(VLOOKUP($C182,Sheet3!$H$2:$O$200,P$1,FALSE),IFERROR(VLOOKUP($D182,Sheet3!$H$2:$O$200,P$1,FALSE),VLOOKUP($E182,Sheet3!$H$2:$O$200,P$1,FALSE)))</f>
        <v>0</v>
      </c>
      <c r="Q182" s="15">
        <f>IFERROR(IF(ISBLANK(J182),IFERROR(VLOOKUP($D182,Sheet3!$H$2:$O$200,Q$1,FALSE),IFERROR(VLOOKUP($E182,Sheet3!$H$2:$O$200,Q$1,FALSE),VLOOKUP($F182,Sheet3!$H$2:$O$200,Q$1,FALSE))),$I$1),$I$1)</f>
        <v>0</v>
      </c>
      <c r="R182" s="15">
        <f>IFERROR(IF(ISBLANK(K182),IFERROR(VLOOKUP($D182,Sheet3!$H$2:$O$200,R$1,FALSE),IFERROR(VLOOKUP($E182,Sheet3!$H$2:$O$200,R$1,FALSE),VLOOKUP($F182,Sheet3!$H$2:$O$200,R$1,FALSE))),$I$1),$I$1)</f>
        <v>0</v>
      </c>
      <c r="S182" s="15">
        <f>IFERROR(IF(ISBLANK(L182),IFERROR(VLOOKUP($D182,Sheet3!$H$2:$O$200,S$1,FALSE),IFERROR(VLOOKUP($E182,Sheet3!$H$2:$O$200,S$1,FALSE),VLOOKUP($F182,Sheet3!$H$2:$O$200,S$1,FALSE))),$I$1),$I$1)</f>
        <v>0</v>
      </c>
      <c r="T182" s="15">
        <f>IFERROR(IF(ISBLANK(M182),IFERROR(VLOOKUP($D182,Sheet3!$H$2:$O$200,T$1,FALSE),IFERROR(VLOOKUP($E182,Sheet3!$H$2:$O$200,T$1,FALSE),VLOOKUP($F182,Sheet3!$H$2:$O$200,T$1,FALSE))),$I$1),$I$1)</f>
        <v>0</v>
      </c>
      <c r="U182" s="15">
        <f>IFERROR(IF(ISBLANK(N182),IFERROR(VLOOKUP($D182,Sheet3!$H$2:$O$200,U$1,FALSE),IFERROR(VLOOKUP($E182,Sheet3!$H$2:$O$200,U$1,FALSE),VLOOKUP($F182,Sheet3!$H$2:$O$200,U$1,FALSE))),$I$1),$I$1)</f>
        <v>0</v>
      </c>
      <c r="V182" s="15">
        <f>IFERROR(IF(ISBLANK(O182),IFERROR(VLOOKUP($D182,Sheet3!$H$2:$O$200,V$1,FALSE),IFERROR(VLOOKUP($E182,Sheet3!$H$2:$O$200,V$1,FALSE),VLOOKUP($F182,Sheet3!$H$2:$O$200,V$1,FALSE))),$I$1),$I$1)</f>
        <v>0</v>
      </c>
      <c r="W182" s="15">
        <f>IFERROR(IF(ISBLANK(P182),IFERROR(VLOOKUP($D182,Sheet3!$H$2:$O$200,W$1,FALSE),IFERROR(VLOOKUP($E182,Sheet3!$H$2:$O$200,W$1,FALSE),VLOOKUP($F182,Sheet3!$H$2:$O$200,W$1,FALSE))),$I$1),$I$1)</f>
        <v>0</v>
      </c>
      <c r="X182" s="15">
        <f>IFERROR(IF(ISBLANK(Q182),IFERROR(VLOOKUP($E182,Sheet3!$H$2:$O$200,X$1,FALSE),IFERROR(VLOOKUP($F182,Sheet3!$H$2:$O$200,X$1,FALSE),VLOOKUP($G182,Sheet3!$H$2:$O$200,X$1,FALSE))),$I$1),$I$1)</f>
        <v>0</v>
      </c>
      <c r="Y182" s="15">
        <f>IFERROR(IF(ISBLANK(R182),IFERROR(VLOOKUP($E182,Sheet3!$H$2:$O$200,Y$1,FALSE),IFERROR(VLOOKUP($F182,Sheet3!$H$2:$O$200,Y$1,FALSE),VLOOKUP($G182,Sheet3!$H$2:$O$200,Y$1,FALSE))),$I$1),$I$1)</f>
        <v>0</v>
      </c>
      <c r="Z182" s="15">
        <f>IFERROR(IF(ISBLANK(S182),IFERROR(VLOOKUP($E182,Sheet3!$H$2:$O$200,Z$1,FALSE),IFERROR(VLOOKUP($F182,Sheet3!$H$2:$O$200,Z$1,FALSE),VLOOKUP($G182,Sheet3!$H$2:$O$200,Z$1,FALSE))),$I$1),$I$1)</f>
        <v>0</v>
      </c>
      <c r="AA182" s="15">
        <f>IFERROR(IF(ISBLANK(T182),IFERROR(VLOOKUP($E182,Sheet3!$H$2:$O$200,AA$1,FALSE),IFERROR(VLOOKUP($F182,Sheet3!$H$2:$O$200,AA$1,FALSE),VLOOKUP($G182,Sheet3!$H$2:$O$200,AA$1,FALSE))),$I$1),$I$1)</f>
        <v>0</v>
      </c>
      <c r="AB182" s="15">
        <f>IFERROR(IF(ISBLANK(U182),IFERROR(VLOOKUP($E182,Sheet3!$H$2:$O$200,AB$1,FALSE),IFERROR(VLOOKUP($F182,Sheet3!$H$2:$O$200,AB$1,FALSE),VLOOKUP($G182,Sheet3!$H$2:$O$200,AB$1,FALSE))),$I$1),$I$1)</f>
        <v>0</v>
      </c>
      <c r="AC182" s="15">
        <f>IFERROR(IF(ISBLANK(V182),IFERROR(VLOOKUP($E182,Sheet3!$H$2:$O$200,AC$1,FALSE),IFERROR(VLOOKUP($F182,Sheet3!$H$2:$O$200,AC$1,FALSE),VLOOKUP($G182,Sheet3!$H$2:$O$200,AC$1,FALSE))),$I$1),$I$1)</f>
        <v>0</v>
      </c>
      <c r="AD182" s="15">
        <f>IFERROR(IF(ISBLANK(W182),IFERROR(VLOOKUP($E182,Sheet3!$H$2:$O$200,AD$1,FALSE),IFERROR(VLOOKUP($F182,Sheet3!$H$2:$O$200,AD$1,FALSE),VLOOKUP($G182,Sheet3!$H$2:$O$200,AD$1,FALSE))),$I$1),$I$1)</f>
        <v>0</v>
      </c>
      <c r="AE182" s="15">
        <f>IFERROR(IF(ISBLANK(X182),IFERROR(VLOOKUP($F182,Sheet3!$H$2:$O$200,AE$1,FALSE),VLOOKUP($G182,Sheet3!$H$2:$O$200,AE$1,FALSE)),$I$1),$I$1)</f>
        <v>0</v>
      </c>
      <c r="AF182" s="15">
        <f>IFERROR(IF(ISBLANK(Y182),IFERROR(VLOOKUP($F182,Sheet3!$H$2:$O$200,AF$1,FALSE),VLOOKUP($G182,Sheet3!$H$2:$O$200,AF$1,FALSE)),$I$1),$I$1)</f>
        <v>0</v>
      </c>
      <c r="AG182" s="15">
        <f>IFERROR(IF(ISBLANK(Z182),IFERROR(VLOOKUP($F182,Sheet3!$H$2:$O$200,AG$1,FALSE),VLOOKUP($G182,Sheet3!$H$2:$O$200,AG$1,FALSE)),$I$1),$I$1)</f>
        <v>0</v>
      </c>
      <c r="AH182" s="15">
        <f>IFERROR(IF(ISBLANK(AA182),IFERROR(VLOOKUP($F182,Sheet3!$H$2:$O$200,AH$1,FALSE),VLOOKUP($G182,Sheet3!$H$2:$O$200,AH$1,FALSE)),$I$1),$I$1)</f>
        <v>0</v>
      </c>
      <c r="AI182" s="15">
        <f>IFERROR(IF(ISBLANK(AB182),IFERROR(VLOOKUP($F182,Sheet3!$H$2:$O$200,AI$1,FALSE),VLOOKUP($G182,Sheet3!$H$2:$O$200,AI$1,FALSE)),$I$1),$I$1)</f>
        <v>0</v>
      </c>
      <c r="AJ182" s="15">
        <f>IFERROR(IF(ISBLANK(AC182),IFERROR(VLOOKUP($F182,Sheet3!$H$2:$O$200,AJ$1,FALSE),VLOOKUP($G182,Sheet3!$H$2:$O$200,AJ$1,FALSE)),$I$1),$I$1)</f>
        <v>0</v>
      </c>
      <c r="AK182" s="15">
        <f>IFERROR(IF(ISBLANK(AD182),IFERROR(VLOOKUP($F182,Sheet3!$H$2:$O$200,AK$1,FALSE),VLOOKUP($G182,Sheet3!$H$2:$O$200,AK$1,FALSE)),$I$1),$I$1)</f>
        <v>0</v>
      </c>
      <c r="AL182" s="15">
        <f>IFERROR(IF(ISBLANK(AE182),VLOOKUP($G182,Sheet3!$H$2:$O$200,AL$1,FALSE),$I$1),$I$1)</f>
        <v>0</v>
      </c>
      <c r="AM182" s="15">
        <f>IFERROR(IF(ISBLANK(AF182),VLOOKUP($G182,Sheet3!$H$2:$O$200,AM$1,FALSE),$I$1),$I$1)</f>
        <v>0</v>
      </c>
      <c r="AN182" s="15">
        <f>IFERROR(IF(ISBLANK(AG182),VLOOKUP($G182,Sheet3!$H$2:$O$200,AN$1,FALSE),$I$1),$I$1)</f>
        <v>0</v>
      </c>
      <c r="AO182" s="15">
        <f>IFERROR(IF(ISBLANK(AH182),VLOOKUP($G182,Sheet3!$H$2:$O$200,AO$1,FALSE),$I$1),$I$1)</f>
        <v>0</v>
      </c>
      <c r="AP182" s="15">
        <f>IFERROR(IF(ISBLANK(AI182),VLOOKUP($G182,Sheet3!$H$2:$O$200,AP$1,FALSE),$I$1),$I$1)</f>
        <v>0</v>
      </c>
      <c r="AQ182" s="15">
        <f>IFERROR(IF(ISBLANK(AJ182),VLOOKUP($G182,Sheet3!$H$2:$O$200,AQ$1,FALSE),$I$1),$I$1)</f>
        <v>0</v>
      </c>
      <c r="AR182" s="15">
        <f>IFERROR(IF(ISBLANK(AK182),VLOOKUP($G182,Sheet3!$H$2:$O$200,AR$1,FALSE),$I$1),$I$1)</f>
        <v>0</v>
      </c>
      <c r="AS182" s="15">
        <f t="shared" ref="AS182:AY182" si="189">IFERROR(IF(ISBLANK(J182),IF(ISBLANK(Q182),IF(ISBLANK(X182),IF(ISBLANK(AE182),IF(ISBLANK(AL182),$BB$1,AL182),AE182),X182),Q182),J182),$BB$1)</f>
        <v>0</v>
      </c>
      <c r="AT182" s="15">
        <f t="shared" si="189"/>
        <v>0</v>
      </c>
      <c r="AU182" s="15">
        <f t="shared" si="189"/>
        <v>0</v>
      </c>
      <c r="AV182" s="15" t="str">
        <f t="shared" si="189"/>
        <v>amaretto</v>
      </c>
      <c r="AW182" s="15">
        <f t="shared" si="189"/>
        <v>0</v>
      </c>
      <c r="AX182" s="15">
        <f t="shared" si="189"/>
        <v>0</v>
      </c>
      <c r="AY182" s="15">
        <f t="shared" si="189"/>
        <v>0</v>
      </c>
      <c r="BA182" s="13">
        <f t="shared" si="1"/>
        <v>35</v>
      </c>
      <c r="BB182" s="15" t="b">
        <f t="shared" si="2"/>
        <v>0</v>
      </c>
    </row>
    <row r="183" spans="1:54" x14ac:dyDescent="0.2">
      <c r="A183" s="19" t="s">
        <v>358</v>
      </c>
      <c r="B183" s="19" t="s">
        <v>357</v>
      </c>
      <c r="C183" s="19" t="s">
        <v>30</v>
      </c>
      <c r="D183" s="19"/>
      <c r="E183" s="19" t="s">
        <v>32</v>
      </c>
      <c r="F183" s="19"/>
      <c r="G183" s="19"/>
      <c r="H183" s="19" t="s">
        <v>358</v>
      </c>
      <c r="I183" s="15">
        <v>2</v>
      </c>
      <c r="J183" s="15">
        <f>IFERROR(VLOOKUP($C183,Sheet3!$H$2:$O$200,J$1,FALSE),IFERROR(VLOOKUP($D183,Sheet3!$H$2:$O$200,J$1,FALSE),VLOOKUP($E183,Sheet3!$H$2:$O$200,J$1,FALSE)))</f>
        <v>0</v>
      </c>
      <c r="K183" s="15">
        <f>IFERROR(VLOOKUP($C183,Sheet3!$H$2:$O$200,K$1,FALSE),IFERROR(VLOOKUP($D183,Sheet3!$H$2:$O$200,K$1,FALSE),VLOOKUP($E183,Sheet3!$H$2:$O$200,K$1,FALSE)))</f>
        <v>0</v>
      </c>
      <c r="L183" s="15">
        <f>IFERROR(VLOOKUP($C183,Sheet3!$H$2:$O$200,L$1,FALSE),IFERROR(VLOOKUP($D183,Sheet3!$H$2:$O$200,L$1,FALSE),VLOOKUP($E183,Sheet3!$H$2:$O$200,L$1,FALSE)))</f>
        <v>0</v>
      </c>
      <c r="M183" s="15" t="str">
        <f>IFERROR(VLOOKUP($C183,Sheet3!$H$2:$O$200,M$1,FALSE),IFERROR(VLOOKUP($D183,Sheet3!$H$2:$O$200,M$1,FALSE),VLOOKUP($E183,Sheet3!$H$2:$O$200,M$1,FALSE)))</f>
        <v>amaretto</v>
      </c>
      <c r="N183" s="15">
        <f>IFERROR(VLOOKUP($C183,Sheet3!$H$2:$O$200,N$1,FALSE),IFERROR(VLOOKUP($D183,Sheet3!$H$2:$O$200,N$1,FALSE),VLOOKUP($E183,Sheet3!$H$2:$O$200,N$1,FALSE)))</f>
        <v>0</v>
      </c>
      <c r="O183" s="15">
        <f>IFERROR(VLOOKUP($C183,Sheet3!$H$2:$O$200,O$1,FALSE),IFERROR(VLOOKUP($D183,Sheet3!$H$2:$O$200,O$1,FALSE),VLOOKUP($E183,Sheet3!$H$2:$O$200,O$1,FALSE)))</f>
        <v>0</v>
      </c>
      <c r="P183" s="15">
        <f>IFERROR(VLOOKUP($C183,Sheet3!$H$2:$O$200,P$1,FALSE),IFERROR(VLOOKUP($D183,Sheet3!$H$2:$O$200,P$1,FALSE),VLOOKUP($E183,Sheet3!$H$2:$O$200,P$1,FALSE)))</f>
        <v>0</v>
      </c>
      <c r="Q183" s="15">
        <f>IFERROR(IF(ISBLANK(J183),IFERROR(VLOOKUP($D183,Sheet3!$H$2:$O$200,Q$1,FALSE),IFERROR(VLOOKUP($E183,Sheet3!$H$2:$O$200,Q$1,FALSE),VLOOKUP($F183,Sheet3!$H$2:$O$200,Q$1,FALSE))),$I$1),$I$1)</f>
        <v>0</v>
      </c>
      <c r="R183" s="15">
        <f>IFERROR(IF(ISBLANK(K183),IFERROR(VLOOKUP($D183,Sheet3!$H$2:$O$200,R$1,FALSE),IFERROR(VLOOKUP($E183,Sheet3!$H$2:$O$200,R$1,FALSE),VLOOKUP($F183,Sheet3!$H$2:$O$200,R$1,FALSE))),$I$1),$I$1)</f>
        <v>0</v>
      </c>
      <c r="S183" s="15">
        <f>IFERROR(IF(ISBLANK(L183),IFERROR(VLOOKUP($D183,Sheet3!$H$2:$O$200,S$1,FALSE),IFERROR(VLOOKUP($E183,Sheet3!$H$2:$O$200,S$1,FALSE),VLOOKUP($F183,Sheet3!$H$2:$O$200,S$1,FALSE))),$I$1),$I$1)</f>
        <v>0</v>
      </c>
      <c r="T183" s="15">
        <f>IFERROR(IF(ISBLANK(M183),IFERROR(VLOOKUP($D183,Sheet3!$H$2:$O$200,T$1,FALSE),IFERROR(VLOOKUP($E183,Sheet3!$H$2:$O$200,T$1,FALSE),VLOOKUP($F183,Sheet3!$H$2:$O$200,T$1,FALSE))),$I$1),$I$1)</f>
        <v>0</v>
      </c>
      <c r="U183" s="15">
        <f>IFERROR(IF(ISBLANK(N183),IFERROR(VLOOKUP($D183,Sheet3!$H$2:$O$200,U$1,FALSE),IFERROR(VLOOKUP($E183,Sheet3!$H$2:$O$200,U$1,FALSE),VLOOKUP($F183,Sheet3!$H$2:$O$200,U$1,FALSE))),$I$1),$I$1)</f>
        <v>0</v>
      </c>
      <c r="V183" s="15">
        <f>IFERROR(IF(ISBLANK(O183),IFERROR(VLOOKUP($D183,Sheet3!$H$2:$O$200,V$1,FALSE),IFERROR(VLOOKUP($E183,Sheet3!$H$2:$O$200,V$1,FALSE),VLOOKUP($F183,Sheet3!$H$2:$O$200,V$1,FALSE))),$I$1),$I$1)</f>
        <v>0</v>
      </c>
      <c r="W183" s="15">
        <f>IFERROR(IF(ISBLANK(P183),IFERROR(VLOOKUP($D183,Sheet3!$H$2:$O$200,W$1,FALSE),IFERROR(VLOOKUP($E183,Sheet3!$H$2:$O$200,W$1,FALSE),VLOOKUP($F183,Sheet3!$H$2:$O$200,W$1,FALSE))),$I$1),$I$1)</f>
        <v>0</v>
      </c>
      <c r="X183" s="15">
        <f>IFERROR(IF(ISBLANK(Q183),IFERROR(VLOOKUP($E183,Sheet3!$H$2:$O$200,X$1,FALSE),IFERROR(VLOOKUP($F183,Sheet3!$H$2:$O$200,X$1,FALSE),VLOOKUP($G183,Sheet3!$H$2:$O$200,X$1,FALSE))),$I$1),$I$1)</f>
        <v>0</v>
      </c>
      <c r="Y183" s="15">
        <f>IFERROR(IF(ISBLANK(R183),IFERROR(VLOOKUP($E183,Sheet3!$H$2:$O$200,Y$1,FALSE),IFERROR(VLOOKUP($F183,Sheet3!$H$2:$O$200,Y$1,FALSE),VLOOKUP($G183,Sheet3!$H$2:$O$200,Y$1,FALSE))),$I$1),$I$1)</f>
        <v>0</v>
      </c>
      <c r="Z183" s="15">
        <f>IFERROR(IF(ISBLANK(S183),IFERROR(VLOOKUP($E183,Sheet3!$H$2:$O$200,Z$1,FALSE),IFERROR(VLOOKUP($F183,Sheet3!$H$2:$O$200,Z$1,FALSE),VLOOKUP($G183,Sheet3!$H$2:$O$200,Z$1,FALSE))),$I$1),$I$1)</f>
        <v>0</v>
      </c>
      <c r="AA183" s="15">
        <f>IFERROR(IF(ISBLANK(T183),IFERROR(VLOOKUP($E183,Sheet3!$H$2:$O$200,AA$1,FALSE),IFERROR(VLOOKUP($F183,Sheet3!$H$2:$O$200,AA$1,FALSE),VLOOKUP($G183,Sheet3!$H$2:$O$200,AA$1,FALSE))),$I$1),$I$1)</f>
        <v>0</v>
      </c>
      <c r="AB183" s="15">
        <f>IFERROR(IF(ISBLANK(U183),IFERROR(VLOOKUP($E183,Sheet3!$H$2:$O$200,AB$1,FALSE),IFERROR(VLOOKUP($F183,Sheet3!$H$2:$O$200,AB$1,FALSE),VLOOKUP($G183,Sheet3!$H$2:$O$200,AB$1,FALSE))),$I$1),$I$1)</f>
        <v>0</v>
      </c>
      <c r="AC183" s="15">
        <f>IFERROR(IF(ISBLANK(V183),IFERROR(VLOOKUP($E183,Sheet3!$H$2:$O$200,AC$1,FALSE),IFERROR(VLOOKUP($F183,Sheet3!$H$2:$O$200,AC$1,FALSE),VLOOKUP($G183,Sheet3!$H$2:$O$200,AC$1,FALSE))),$I$1),$I$1)</f>
        <v>0</v>
      </c>
      <c r="AD183" s="15">
        <f>IFERROR(IF(ISBLANK(W183),IFERROR(VLOOKUP($E183,Sheet3!$H$2:$O$200,AD$1,FALSE),IFERROR(VLOOKUP($F183,Sheet3!$H$2:$O$200,AD$1,FALSE),VLOOKUP($G183,Sheet3!$H$2:$O$200,AD$1,FALSE))),$I$1),$I$1)</f>
        <v>0</v>
      </c>
      <c r="AE183" s="15">
        <f>IFERROR(IF(ISBLANK(X183),IFERROR(VLOOKUP($F183,Sheet3!$H$2:$O$200,AE$1,FALSE),VLOOKUP($G183,Sheet3!$H$2:$O$200,AE$1,FALSE)),$I$1),$I$1)</f>
        <v>0</v>
      </c>
      <c r="AF183" s="15">
        <f>IFERROR(IF(ISBLANK(Y183),IFERROR(VLOOKUP($F183,Sheet3!$H$2:$O$200,AF$1,FALSE),VLOOKUP($G183,Sheet3!$H$2:$O$200,AF$1,FALSE)),$I$1),$I$1)</f>
        <v>0</v>
      </c>
      <c r="AG183" s="15">
        <f>IFERROR(IF(ISBLANK(Z183),IFERROR(VLOOKUP($F183,Sheet3!$H$2:$O$200,AG$1,FALSE),VLOOKUP($G183,Sheet3!$H$2:$O$200,AG$1,FALSE)),$I$1),$I$1)</f>
        <v>0</v>
      </c>
      <c r="AH183" s="15">
        <f>IFERROR(IF(ISBLANK(AA183),IFERROR(VLOOKUP($F183,Sheet3!$H$2:$O$200,AH$1,FALSE),VLOOKUP($G183,Sheet3!$H$2:$O$200,AH$1,FALSE)),$I$1),$I$1)</f>
        <v>0</v>
      </c>
      <c r="AI183" s="15">
        <f>IFERROR(IF(ISBLANK(AB183),IFERROR(VLOOKUP($F183,Sheet3!$H$2:$O$200,AI$1,FALSE),VLOOKUP($G183,Sheet3!$H$2:$O$200,AI$1,FALSE)),$I$1),$I$1)</f>
        <v>0</v>
      </c>
      <c r="AJ183" s="15">
        <f>IFERROR(IF(ISBLANK(AC183),IFERROR(VLOOKUP($F183,Sheet3!$H$2:$O$200,AJ$1,FALSE),VLOOKUP($G183,Sheet3!$H$2:$O$200,AJ$1,FALSE)),$I$1),$I$1)</f>
        <v>0</v>
      </c>
      <c r="AK183" s="15">
        <f>IFERROR(IF(ISBLANK(AD183),IFERROR(VLOOKUP($F183,Sheet3!$H$2:$O$200,AK$1,FALSE),VLOOKUP($G183,Sheet3!$H$2:$O$200,AK$1,FALSE)),$I$1),$I$1)</f>
        <v>0</v>
      </c>
      <c r="AL183" s="15">
        <f>IFERROR(IF(ISBLANK(AE183),VLOOKUP($G183,Sheet3!$H$2:$O$200,AL$1,FALSE),$I$1),$I$1)</f>
        <v>0</v>
      </c>
      <c r="AM183" s="15">
        <f>IFERROR(IF(ISBLANK(AF183),VLOOKUP($G183,Sheet3!$H$2:$O$200,AM$1,FALSE),$I$1),$I$1)</f>
        <v>0</v>
      </c>
      <c r="AN183" s="15">
        <f>IFERROR(IF(ISBLANK(AG183),VLOOKUP($G183,Sheet3!$H$2:$O$200,AN$1,FALSE),$I$1),$I$1)</f>
        <v>0</v>
      </c>
      <c r="AO183" s="15">
        <f>IFERROR(IF(ISBLANK(AH183),VLOOKUP($G183,Sheet3!$H$2:$O$200,AO$1,FALSE),$I$1),$I$1)</f>
        <v>0</v>
      </c>
      <c r="AP183" s="15">
        <f>IFERROR(IF(ISBLANK(AI183),VLOOKUP($G183,Sheet3!$H$2:$O$200,AP$1,FALSE),$I$1),$I$1)</f>
        <v>0</v>
      </c>
      <c r="AQ183" s="15">
        <f>IFERROR(IF(ISBLANK(AJ183),VLOOKUP($G183,Sheet3!$H$2:$O$200,AQ$1,FALSE),$I$1),$I$1)</f>
        <v>0</v>
      </c>
      <c r="AR183" s="15">
        <f>IFERROR(IF(ISBLANK(AK183),VLOOKUP($G183,Sheet3!$H$2:$O$200,AR$1,FALSE),$I$1),$I$1)</f>
        <v>0</v>
      </c>
      <c r="AS183" s="15">
        <f t="shared" ref="AS183:AY183" si="190">IFERROR(IF(ISBLANK(J183),IF(ISBLANK(Q183),IF(ISBLANK(X183),IF(ISBLANK(AE183),IF(ISBLANK(AL183),$BB$1,AL183),AE183),X183),Q183),J183),$BB$1)</f>
        <v>0</v>
      </c>
      <c r="AT183" s="15">
        <f t="shared" si="190"/>
        <v>0</v>
      </c>
      <c r="AU183" s="15">
        <f t="shared" si="190"/>
        <v>0</v>
      </c>
      <c r="AV183" s="15" t="str">
        <f t="shared" si="190"/>
        <v>amaretto</v>
      </c>
      <c r="AW183" s="15">
        <f t="shared" si="190"/>
        <v>0</v>
      </c>
      <c r="AX183" s="15">
        <f t="shared" si="190"/>
        <v>0</v>
      </c>
      <c r="AY183" s="15">
        <f t="shared" si="190"/>
        <v>0</v>
      </c>
      <c r="BA183" s="13">
        <f t="shared" si="1"/>
        <v>35</v>
      </c>
      <c r="BB183" s="15" t="b">
        <f t="shared" si="2"/>
        <v>0</v>
      </c>
    </row>
    <row r="184" spans="1:54" x14ac:dyDescent="0.2">
      <c r="A184" s="19" t="s">
        <v>359</v>
      </c>
      <c r="B184" s="19" t="s">
        <v>357</v>
      </c>
      <c r="C184" s="19" t="s">
        <v>31</v>
      </c>
      <c r="D184" s="19"/>
      <c r="E184" s="19"/>
      <c r="F184" s="19"/>
      <c r="G184" s="19"/>
      <c r="H184" s="19" t="s">
        <v>359</v>
      </c>
      <c r="I184" s="15">
        <v>1</v>
      </c>
      <c r="J184" s="15">
        <f>IFERROR(VLOOKUP($C184,Sheet3!$H$2:$O$200,J$1,FALSE),IFERROR(VLOOKUP($D184,Sheet3!$H$2:$O$200,J$1,FALSE),VLOOKUP($E184,Sheet3!$H$2:$O$200,J$1,FALSE)))</f>
        <v>0</v>
      </c>
      <c r="K184" s="15">
        <f>IFERROR(VLOOKUP($C184,Sheet3!$H$2:$O$200,K$1,FALSE),IFERROR(VLOOKUP($D184,Sheet3!$H$2:$O$200,K$1,FALSE),VLOOKUP($E184,Sheet3!$H$2:$O$200,K$1,FALSE)))</f>
        <v>0</v>
      </c>
      <c r="L184" s="15">
        <f>IFERROR(VLOOKUP($C184,Sheet3!$H$2:$O$200,L$1,FALSE),IFERROR(VLOOKUP($D184,Sheet3!$H$2:$O$200,L$1,FALSE),VLOOKUP($E184,Sheet3!$H$2:$O$200,L$1,FALSE)))</f>
        <v>0</v>
      </c>
      <c r="M184" s="15" t="str">
        <f>IFERROR(VLOOKUP($C184,Sheet3!$H$2:$O$200,M$1,FALSE),IFERROR(VLOOKUP($D184,Sheet3!$H$2:$O$200,M$1,FALSE),VLOOKUP($E184,Sheet3!$H$2:$O$200,M$1,FALSE)))</f>
        <v>white crème de cacao</v>
      </c>
      <c r="N184" s="15">
        <f>IFERROR(VLOOKUP($C184,Sheet3!$H$2:$O$200,N$1,FALSE),IFERROR(VLOOKUP($D184,Sheet3!$H$2:$O$200,N$1,FALSE),VLOOKUP($E184,Sheet3!$H$2:$O$200,N$1,FALSE)))</f>
        <v>0</v>
      </c>
      <c r="O184" s="15">
        <f>IFERROR(VLOOKUP($C184,Sheet3!$H$2:$O$200,O$1,FALSE),IFERROR(VLOOKUP($D184,Sheet3!$H$2:$O$200,O$1,FALSE),VLOOKUP($E184,Sheet3!$H$2:$O$200,O$1,FALSE)))</f>
        <v>0</v>
      </c>
      <c r="P184" s="15">
        <f>IFERROR(VLOOKUP($C184,Sheet3!$H$2:$O$200,P$1,FALSE),IFERROR(VLOOKUP($D184,Sheet3!$H$2:$O$200,P$1,FALSE),VLOOKUP($E184,Sheet3!$H$2:$O$200,P$1,FALSE)))</f>
        <v>0</v>
      </c>
      <c r="Q184" s="15">
        <f>IFERROR(IF(ISBLANK(J184),IFERROR(VLOOKUP($D184,Sheet3!$H$2:$O$200,Q$1,FALSE),IFERROR(VLOOKUP($E184,Sheet3!$H$2:$O$200,Q$1,FALSE),VLOOKUP($F184,Sheet3!$H$2:$O$200,Q$1,FALSE))),$I$1),$I$1)</f>
        <v>0</v>
      </c>
      <c r="R184" s="15">
        <f>IFERROR(IF(ISBLANK(K184),IFERROR(VLOOKUP($D184,Sheet3!$H$2:$O$200,R$1,FALSE),IFERROR(VLOOKUP($E184,Sheet3!$H$2:$O$200,R$1,FALSE),VLOOKUP($F184,Sheet3!$H$2:$O$200,R$1,FALSE))),$I$1),$I$1)</f>
        <v>0</v>
      </c>
      <c r="S184" s="15">
        <f>IFERROR(IF(ISBLANK(L184),IFERROR(VLOOKUP($D184,Sheet3!$H$2:$O$200,S$1,FALSE),IFERROR(VLOOKUP($E184,Sheet3!$H$2:$O$200,S$1,FALSE),VLOOKUP($F184,Sheet3!$H$2:$O$200,S$1,FALSE))),$I$1),$I$1)</f>
        <v>0</v>
      </c>
      <c r="T184" s="15">
        <f>IFERROR(IF(ISBLANK(M184),IFERROR(VLOOKUP($D184,Sheet3!$H$2:$O$200,T$1,FALSE),IFERROR(VLOOKUP($E184,Sheet3!$H$2:$O$200,T$1,FALSE),VLOOKUP($F184,Sheet3!$H$2:$O$200,T$1,FALSE))),$I$1),$I$1)</f>
        <v>0</v>
      </c>
      <c r="U184" s="15">
        <f>IFERROR(IF(ISBLANK(N184),IFERROR(VLOOKUP($D184,Sheet3!$H$2:$O$200,U$1,FALSE),IFERROR(VLOOKUP($E184,Sheet3!$H$2:$O$200,U$1,FALSE),VLOOKUP($F184,Sheet3!$H$2:$O$200,U$1,FALSE))),$I$1),$I$1)</f>
        <v>0</v>
      </c>
      <c r="V184" s="15">
        <f>IFERROR(IF(ISBLANK(O184),IFERROR(VLOOKUP($D184,Sheet3!$H$2:$O$200,V$1,FALSE),IFERROR(VLOOKUP($E184,Sheet3!$H$2:$O$200,V$1,FALSE),VLOOKUP($F184,Sheet3!$H$2:$O$200,V$1,FALSE))),$I$1),$I$1)</f>
        <v>0</v>
      </c>
      <c r="W184" s="15">
        <f>IFERROR(IF(ISBLANK(P184),IFERROR(VLOOKUP($D184,Sheet3!$H$2:$O$200,W$1,FALSE),IFERROR(VLOOKUP($E184,Sheet3!$H$2:$O$200,W$1,FALSE),VLOOKUP($F184,Sheet3!$H$2:$O$200,W$1,FALSE))),$I$1),$I$1)</f>
        <v>0</v>
      </c>
      <c r="X184" s="15">
        <f>IFERROR(IF(ISBLANK(Q184),IFERROR(VLOOKUP($E184,Sheet3!$H$2:$O$200,X$1,FALSE),IFERROR(VLOOKUP($F184,Sheet3!$H$2:$O$200,X$1,FALSE),VLOOKUP($G184,Sheet3!$H$2:$O$200,X$1,FALSE))),$I$1),$I$1)</f>
        <v>0</v>
      </c>
      <c r="Y184" s="15">
        <f>IFERROR(IF(ISBLANK(R184),IFERROR(VLOOKUP($E184,Sheet3!$H$2:$O$200,Y$1,FALSE),IFERROR(VLOOKUP($F184,Sheet3!$H$2:$O$200,Y$1,FALSE),VLOOKUP($G184,Sheet3!$H$2:$O$200,Y$1,FALSE))),$I$1),$I$1)</f>
        <v>0</v>
      </c>
      <c r="Z184" s="15">
        <f>IFERROR(IF(ISBLANK(S184),IFERROR(VLOOKUP($E184,Sheet3!$H$2:$O$200,Z$1,FALSE),IFERROR(VLOOKUP($F184,Sheet3!$H$2:$O$200,Z$1,FALSE),VLOOKUP($G184,Sheet3!$H$2:$O$200,Z$1,FALSE))),$I$1),$I$1)</f>
        <v>0</v>
      </c>
      <c r="AA184" s="15">
        <f>IFERROR(IF(ISBLANK(T184),IFERROR(VLOOKUP($E184,Sheet3!$H$2:$O$200,AA$1,FALSE),IFERROR(VLOOKUP($F184,Sheet3!$H$2:$O$200,AA$1,FALSE),VLOOKUP($G184,Sheet3!$H$2:$O$200,AA$1,FALSE))),$I$1),$I$1)</f>
        <v>0</v>
      </c>
      <c r="AB184" s="15">
        <f>IFERROR(IF(ISBLANK(U184),IFERROR(VLOOKUP($E184,Sheet3!$H$2:$O$200,AB$1,FALSE),IFERROR(VLOOKUP($F184,Sheet3!$H$2:$O$200,AB$1,FALSE),VLOOKUP($G184,Sheet3!$H$2:$O$200,AB$1,FALSE))),$I$1),$I$1)</f>
        <v>0</v>
      </c>
      <c r="AC184" s="15">
        <f>IFERROR(IF(ISBLANK(V184),IFERROR(VLOOKUP($E184,Sheet3!$H$2:$O$200,AC$1,FALSE),IFERROR(VLOOKUP($F184,Sheet3!$H$2:$O$200,AC$1,FALSE),VLOOKUP($G184,Sheet3!$H$2:$O$200,AC$1,FALSE))),$I$1),$I$1)</f>
        <v>0</v>
      </c>
      <c r="AD184" s="15">
        <f>IFERROR(IF(ISBLANK(W184),IFERROR(VLOOKUP($E184,Sheet3!$H$2:$O$200,AD$1,FALSE),IFERROR(VLOOKUP($F184,Sheet3!$H$2:$O$200,AD$1,FALSE),VLOOKUP($G184,Sheet3!$H$2:$O$200,AD$1,FALSE))),$I$1),$I$1)</f>
        <v>0</v>
      </c>
      <c r="AE184" s="15">
        <f>IFERROR(IF(ISBLANK(X184),IFERROR(VLOOKUP($F184,Sheet3!$H$2:$O$200,AE$1,FALSE),VLOOKUP($G184,Sheet3!$H$2:$O$200,AE$1,FALSE)),$I$1),$I$1)</f>
        <v>0</v>
      </c>
      <c r="AF184" s="15">
        <f>IFERROR(IF(ISBLANK(Y184),IFERROR(VLOOKUP($F184,Sheet3!$H$2:$O$200,AF$1,FALSE),VLOOKUP($G184,Sheet3!$H$2:$O$200,AF$1,FALSE)),$I$1),$I$1)</f>
        <v>0</v>
      </c>
      <c r="AG184" s="15">
        <f>IFERROR(IF(ISBLANK(Z184),IFERROR(VLOOKUP($F184,Sheet3!$H$2:$O$200,AG$1,FALSE),VLOOKUP($G184,Sheet3!$H$2:$O$200,AG$1,FALSE)),$I$1),$I$1)</f>
        <v>0</v>
      </c>
      <c r="AH184" s="15">
        <f>IFERROR(IF(ISBLANK(AA184),IFERROR(VLOOKUP($F184,Sheet3!$H$2:$O$200,AH$1,FALSE),VLOOKUP($G184,Sheet3!$H$2:$O$200,AH$1,FALSE)),$I$1),$I$1)</f>
        <v>0</v>
      </c>
      <c r="AI184" s="15">
        <f>IFERROR(IF(ISBLANK(AB184),IFERROR(VLOOKUP($F184,Sheet3!$H$2:$O$200,AI$1,FALSE),VLOOKUP($G184,Sheet3!$H$2:$O$200,AI$1,FALSE)),$I$1),$I$1)</f>
        <v>0</v>
      </c>
      <c r="AJ184" s="15">
        <f>IFERROR(IF(ISBLANK(AC184),IFERROR(VLOOKUP($F184,Sheet3!$H$2:$O$200,AJ$1,FALSE),VLOOKUP($G184,Sheet3!$H$2:$O$200,AJ$1,FALSE)),$I$1),$I$1)</f>
        <v>0</v>
      </c>
      <c r="AK184" s="15">
        <f>IFERROR(IF(ISBLANK(AD184),IFERROR(VLOOKUP($F184,Sheet3!$H$2:$O$200,AK$1,FALSE),VLOOKUP($G184,Sheet3!$H$2:$O$200,AK$1,FALSE)),$I$1),$I$1)</f>
        <v>0</v>
      </c>
      <c r="AL184" s="15">
        <f>IFERROR(IF(ISBLANK(AE184),VLOOKUP($G184,Sheet3!$H$2:$O$200,AL$1,FALSE),$I$1),$I$1)</f>
        <v>0</v>
      </c>
      <c r="AM184" s="15">
        <f>IFERROR(IF(ISBLANK(AF184),VLOOKUP($G184,Sheet3!$H$2:$O$200,AM$1,FALSE),$I$1),$I$1)</f>
        <v>0</v>
      </c>
      <c r="AN184" s="15">
        <f>IFERROR(IF(ISBLANK(AG184),VLOOKUP($G184,Sheet3!$H$2:$O$200,AN$1,FALSE),$I$1),$I$1)</f>
        <v>0</v>
      </c>
      <c r="AO184" s="15">
        <f>IFERROR(IF(ISBLANK(AH184),VLOOKUP($G184,Sheet3!$H$2:$O$200,AO$1,FALSE),$I$1),$I$1)</f>
        <v>0</v>
      </c>
      <c r="AP184" s="15">
        <f>IFERROR(IF(ISBLANK(AI184),VLOOKUP($G184,Sheet3!$H$2:$O$200,AP$1,FALSE),$I$1),$I$1)</f>
        <v>0</v>
      </c>
      <c r="AQ184" s="15">
        <f>IFERROR(IF(ISBLANK(AJ184),VLOOKUP($G184,Sheet3!$H$2:$O$200,AQ$1,FALSE),$I$1),$I$1)</f>
        <v>0</v>
      </c>
      <c r="AR184" s="15">
        <f>IFERROR(IF(ISBLANK(AK184),VLOOKUP($G184,Sheet3!$H$2:$O$200,AR$1,FALSE),$I$1),$I$1)</f>
        <v>0</v>
      </c>
      <c r="AS184" s="15">
        <f t="shared" ref="AS184:AY184" si="191">IFERROR(IF(ISBLANK(J184),IF(ISBLANK(Q184),IF(ISBLANK(X184),IF(ISBLANK(AE184),IF(ISBLANK(AL184),$BB$1,AL184),AE184),X184),Q184),J184),$BB$1)</f>
        <v>0</v>
      </c>
      <c r="AT184" s="15">
        <f t="shared" si="191"/>
        <v>0</v>
      </c>
      <c r="AU184" s="15">
        <f t="shared" si="191"/>
        <v>0</v>
      </c>
      <c r="AV184" s="15" t="str">
        <f t="shared" si="191"/>
        <v>white crème de cacao</v>
      </c>
      <c r="AW184" s="15">
        <f t="shared" si="191"/>
        <v>0</v>
      </c>
      <c r="AX184" s="15">
        <f t="shared" si="191"/>
        <v>0</v>
      </c>
      <c r="AY184" s="15">
        <f t="shared" si="191"/>
        <v>0</v>
      </c>
      <c r="BA184" s="13">
        <f t="shared" si="1"/>
        <v>35</v>
      </c>
      <c r="BB184" s="15" t="b">
        <f t="shared" si="2"/>
        <v>0</v>
      </c>
    </row>
    <row r="185" spans="1:54" x14ac:dyDescent="0.2">
      <c r="A185" s="19" t="s">
        <v>360</v>
      </c>
      <c r="B185" s="19" t="s">
        <v>357</v>
      </c>
      <c r="C185" s="19" t="s">
        <v>36</v>
      </c>
      <c r="D185" s="19"/>
      <c r="E185" s="19"/>
      <c r="F185" s="19"/>
      <c r="G185" s="19"/>
      <c r="H185" s="19" t="s">
        <v>360</v>
      </c>
      <c r="I185" s="15">
        <v>1</v>
      </c>
      <c r="J185" s="15">
        <f>IFERROR(VLOOKUP($C185,Sheet3!$H$2:$O$200,J$1,FALSE),IFERROR(VLOOKUP($D185,Sheet3!$H$2:$O$200,J$1,FALSE),VLOOKUP($E185,Sheet3!$H$2:$O$200,J$1,FALSE)))</f>
        <v>0</v>
      </c>
      <c r="K185" s="15">
        <f>IFERROR(VLOOKUP($C185,Sheet3!$H$2:$O$200,K$1,FALSE),IFERROR(VLOOKUP($D185,Sheet3!$H$2:$O$200,K$1,FALSE),VLOOKUP($E185,Sheet3!$H$2:$O$200,K$1,FALSE)))</f>
        <v>0</v>
      </c>
      <c r="L185" s="15">
        <f>IFERROR(VLOOKUP($C185,Sheet3!$H$2:$O$200,L$1,FALSE),IFERROR(VLOOKUP($D185,Sheet3!$H$2:$O$200,L$1,FALSE),VLOOKUP($E185,Sheet3!$H$2:$O$200,L$1,FALSE)))</f>
        <v>0</v>
      </c>
      <c r="M185" s="15" t="str">
        <f>IFERROR(VLOOKUP($C185,Sheet3!$H$2:$O$200,M$1,FALSE),IFERROR(VLOOKUP($D185,Sheet3!$H$2:$O$200,M$1,FALSE),VLOOKUP($E185,Sheet3!$H$2:$O$200,M$1,FALSE)))</f>
        <v>Kahlua</v>
      </c>
      <c r="N185" s="15">
        <f>IFERROR(VLOOKUP($C185,Sheet3!$H$2:$O$200,N$1,FALSE),IFERROR(VLOOKUP($D185,Sheet3!$H$2:$O$200,N$1,FALSE),VLOOKUP($E185,Sheet3!$H$2:$O$200,N$1,FALSE)))</f>
        <v>0</v>
      </c>
      <c r="O185" s="15">
        <f>IFERROR(VLOOKUP($C185,Sheet3!$H$2:$O$200,O$1,FALSE),IFERROR(VLOOKUP($D185,Sheet3!$H$2:$O$200,O$1,FALSE),VLOOKUP($E185,Sheet3!$H$2:$O$200,O$1,FALSE)))</f>
        <v>0</v>
      </c>
      <c r="P185" s="15">
        <f>IFERROR(VLOOKUP($C185,Sheet3!$H$2:$O$200,P$1,FALSE),IFERROR(VLOOKUP($D185,Sheet3!$H$2:$O$200,P$1,FALSE),VLOOKUP($E185,Sheet3!$H$2:$O$200,P$1,FALSE)))</f>
        <v>0</v>
      </c>
      <c r="Q185" s="15">
        <f>IFERROR(IF(ISBLANK(J185),IFERROR(VLOOKUP($D185,Sheet3!$H$2:$O$200,Q$1,FALSE),IFERROR(VLOOKUP($E185,Sheet3!$H$2:$O$200,Q$1,FALSE),VLOOKUP($F185,Sheet3!$H$2:$O$200,Q$1,FALSE))),$I$1),$I$1)</f>
        <v>0</v>
      </c>
      <c r="R185" s="15">
        <f>IFERROR(IF(ISBLANK(K185),IFERROR(VLOOKUP($D185,Sheet3!$H$2:$O$200,R$1,FALSE),IFERROR(VLOOKUP($E185,Sheet3!$H$2:$O$200,R$1,FALSE),VLOOKUP($F185,Sheet3!$H$2:$O$200,R$1,FALSE))),$I$1),$I$1)</f>
        <v>0</v>
      </c>
      <c r="S185" s="15">
        <f>IFERROR(IF(ISBLANK(L185),IFERROR(VLOOKUP($D185,Sheet3!$H$2:$O$200,S$1,FALSE),IFERROR(VLOOKUP($E185,Sheet3!$H$2:$O$200,S$1,FALSE),VLOOKUP($F185,Sheet3!$H$2:$O$200,S$1,FALSE))),$I$1),$I$1)</f>
        <v>0</v>
      </c>
      <c r="T185" s="15">
        <f>IFERROR(IF(ISBLANK(M185),IFERROR(VLOOKUP($D185,Sheet3!$H$2:$O$200,T$1,FALSE),IFERROR(VLOOKUP($E185,Sheet3!$H$2:$O$200,T$1,FALSE),VLOOKUP($F185,Sheet3!$H$2:$O$200,T$1,FALSE))),$I$1),$I$1)</f>
        <v>0</v>
      </c>
      <c r="U185" s="15">
        <f>IFERROR(IF(ISBLANK(N185),IFERROR(VLOOKUP($D185,Sheet3!$H$2:$O$200,U$1,FALSE),IFERROR(VLOOKUP($E185,Sheet3!$H$2:$O$200,U$1,FALSE),VLOOKUP($F185,Sheet3!$H$2:$O$200,U$1,FALSE))),$I$1),$I$1)</f>
        <v>0</v>
      </c>
      <c r="V185" s="15">
        <f>IFERROR(IF(ISBLANK(O185),IFERROR(VLOOKUP($D185,Sheet3!$H$2:$O$200,V$1,FALSE),IFERROR(VLOOKUP($E185,Sheet3!$H$2:$O$200,V$1,FALSE),VLOOKUP($F185,Sheet3!$H$2:$O$200,V$1,FALSE))),$I$1),$I$1)</f>
        <v>0</v>
      </c>
      <c r="W185" s="15">
        <f>IFERROR(IF(ISBLANK(P185),IFERROR(VLOOKUP($D185,Sheet3!$H$2:$O$200,W$1,FALSE),IFERROR(VLOOKUP($E185,Sheet3!$H$2:$O$200,W$1,FALSE),VLOOKUP($F185,Sheet3!$H$2:$O$200,W$1,FALSE))),$I$1),$I$1)</f>
        <v>0</v>
      </c>
      <c r="X185" s="15">
        <f>IFERROR(IF(ISBLANK(Q185),IFERROR(VLOOKUP($E185,Sheet3!$H$2:$O$200,X$1,FALSE),IFERROR(VLOOKUP($F185,Sheet3!$H$2:$O$200,X$1,FALSE),VLOOKUP($G185,Sheet3!$H$2:$O$200,X$1,FALSE))),$I$1),$I$1)</f>
        <v>0</v>
      </c>
      <c r="Y185" s="15">
        <f>IFERROR(IF(ISBLANK(R185),IFERROR(VLOOKUP($E185,Sheet3!$H$2:$O$200,Y$1,FALSE),IFERROR(VLOOKUP($F185,Sheet3!$H$2:$O$200,Y$1,FALSE),VLOOKUP($G185,Sheet3!$H$2:$O$200,Y$1,FALSE))),$I$1),$I$1)</f>
        <v>0</v>
      </c>
      <c r="Z185" s="15">
        <f>IFERROR(IF(ISBLANK(S185),IFERROR(VLOOKUP($E185,Sheet3!$H$2:$O$200,Z$1,FALSE),IFERROR(VLOOKUP($F185,Sheet3!$H$2:$O$200,Z$1,FALSE),VLOOKUP($G185,Sheet3!$H$2:$O$200,Z$1,FALSE))),$I$1),$I$1)</f>
        <v>0</v>
      </c>
      <c r="AA185" s="15">
        <f>IFERROR(IF(ISBLANK(T185),IFERROR(VLOOKUP($E185,Sheet3!$H$2:$O$200,AA$1,FALSE),IFERROR(VLOOKUP($F185,Sheet3!$H$2:$O$200,AA$1,FALSE),VLOOKUP($G185,Sheet3!$H$2:$O$200,AA$1,FALSE))),$I$1),$I$1)</f>
        <v>0</v>
      </c>
      <c r="AB185" s="15">
        <f>IFERROR(IF(ISBLANK(U185),IFERROR(VLOOKUP($E185,Sheet3!$H$2:$O$200,AB$1,FALSE),IFERROR(VLOOKUP($F185,Sheet3!$H$2:$O$200,AB$1,FALSE),VLOOKUP($G185,Sheet3!$H$2:$O$200,AB$1,FALSE))),$I$1),$I$1)</f>
        <v>0</v>
      </c>
      <c r="AC185" s="15">
        <f>IFERROR(IF(ISBLANK(V185),IFERROR(VLOOKUP($E185,Sheet3!$H$2:$O$200,AC$1,FALSE),IFERROR(VLOOKUP($F185,Sheet3!$H$2:$O$200,AC$1,FALSE),VLOOKUP($G185,Sheet3!$H$2:$O$200,AC$1,FALSE))),$I$1),$I$1)</f>
        <v>0</v>
      </c>
      <c r="AD185" s="15">
        <f>IFERROR(IF(ISBLANK(W185),IFERROR(VLOOKUP($E185,Sheet3!$H$2:$O$200,AD$1,FALSE),IFERROR(VLOOKUP($F185,Sheet3!$H$2:$O$200,AD$1,FALSE),VLOOKUP($G185,Sheet3!$H$2:$O$200,AD$1,FALSE))),$I$1),$I$1)</f>
        <v>0</v>
      </c>
      <c r="AE185" s="15">
        <f>IFERROR(IF(ISBLANK(X185),IFERROR(VLOOKUP($F185,Sheet3!$H$2:$O$200,AE$1,FALSE),VLOOKUP($G185,Sheet3!$H$2:$O$200,AE$1,FALSE)),$I$1),$I$1)</f>
        <v>0</v>
      </c>
      <c r="AF185" s="15">
        <f>IFERROR(IF(ISBLANK(Y185),IFERROR(VLOOKUP($F185,Sheet3!$H$2:$O$200,AF$1,FALSE),VLOOKUP($G185,Sheet3!$H$2:$O$200,AF$1,FALSE)),$I$1),$I$1)</f>
        <v>0</v>
      </c>
      <c r="AG185" s="15">
        <f>IFERROR(IF(ISBLANK(Z185),IFERROR(VLOOKUP($F185,Sheet3!$H$2:$O$200,AG$1,FALSE),VLOOKUP($G185,Sheet3!$H$2:$O$200,AG$1,FALSE)),$I$1),$I$1)</f>
        <v>0</v>
      </c>
      <c r="AH185" s="15">
        <f>IFERROR(IF(ISBLANK(AA185),IFERROR(VLOOKUP($F185,Sheet3!$H$2:$O$200,AH$1,FALSE),VLOOKUP($G185,Sheet3!$H$2:$O$200,AH$1,FALSE)),$I$1),$I$1)</f>
        <v>0</v>
      </c>
      <c r="AI185" s="15">
        <f>IFERROR(IF(ISBLANK(AB185),IFERROR(VLOOKUP($F185,Sheet3!$H$2:$O$200,AI$1,FALSE),VLOOKUP($G185,Sheet3!$H$2:$O$200,AI$1,FALSE)),$I$1),$I$1)</f>
        <v>0</v>
      </c>
      <c r="AJ185" s="15">
        <f>IFERROR(IF(ISBLANK(AC185),IFERROR(VLOOKUP($F185,Sheet3!$H$2:$O$200,AJ$1,FALSE),VLOOKUP($G185,Sheet3!$H$2:$O$200,AJ$1,FALSE)),$I$1),$I$1)</f>
        <v>0</v>
      </c>
      <c r="AK185" s="15">
        <f>IFERROR(IF(ISBLANK(AD185),IFERROR(VLOOKUP($F185,Sheet3!$H$2:$O$200,AK$1,FALSE),VLOOKUP($G185,Sheet3!$H$2:$O$200,AK$1,FALSE)),$I$1),$I$1)</f>
        <v>0</v>
      </c>
      <c r="AL185" s="15">
        <f>IFERROR(IF(ISBLANK(AE185),VLOOKUP($G185,Sheet3!$H$2:$O$200,AL$1,FALSE),$I$1),$I$1)</f>
        <v>0</v>
      </c>
      <c r="AM185" s="15">
        <f>IFERROR(IF(ISBLANK(AF185),VLOOKUP($G185,Sheet3!$H$2:$O$200,AM$1,FALSE),$I$1),$I$1)</f>
        <v>0</v>
      </c>
      <c r="AN185" s="15">
        <f>IFERROR(IF(ISBLANK(AG185),VLOOKUP($G185,Sheet3!$H$2:$O$200,AN$1,FALSE),$I$1),$I$1)</f>
        <v>0</v>
      </c>
      <c r="AO185" s="15">
        <f>IFERROR(IF(ISBLANK(AH185),VLOOKUP($G185,Sheet3!$H$2:$O$200,AO$1,FALSE),$I$1),$I$1)</f>
        <v>0</v>
      </c>
      <c r="AP185" s="15">
        <f>IFERROR(IF(ISBLANK(AI185),VLOOKUP($G185,Sheet3!$H$2:$O$200,AP$1,FALSE),$I$1),$I$1)</f>
        <v>0</v>
      </c>
      <c r="AQ185" s="15">
        <f>IFERROR(IF(ISBLANK(AJ185),VLOOKUP($G185,Sheet3!$H$2:$O$200,AQ$1,FALSE),$I$1),$I$1)</f>
        <v>0</v>
      </c>
      <c r="AR185" s="15">
        <f>IFERROR(IF(ISBLANK(AK185),VLOOKUP($G185,Sheet3!$H$2:$O$200,AR$1,FALSE),$I$1),$I$1)</f>
        <v>0</v>
      </c>
      <c r="AS185" s="15">
        <f t="shared" ref="AS185:AY185" si="192">IFERROR(IF(ISBLANK(J185),IF(ISBLANK(Q185),IF(ISBLANK(X185),IF(ISBLANK(AE185),IF(ISBLANK(AL185),$BB$1,AL185),AE185),X185),Q185),J185),$BB$1)</f>
        <v>0</v>
      </c>
      <c r="AT185" s="15">
        <f t="shared" si="192"/>
        <v>0</v>
      </c>
      <c r="AU185" s="15">
        <f t="shared" si="192"/>
        <v>0</v>
      </c>
      <c r="AV185" s="15" t="str">
        <f t="shared" si="192"/>
        <v>Kahlua</v>
      </c>
      <c r="AW185" s="15">
        <f t="shared" si="192"/>
        <v>0</v>
      </c>
      <c r="AX185" s="15">
        <f t="shared" si="192"/>
        <v>0</v>
      </c>
      <c r="AY185" s="15">
        <f t="shared" si="192"/>
        <v>0</v>
      </c>
      <c r="BA185" s="13">
        <f t="shared" si="1"/>
        <v>35</v>
      </c>
      <c r="BB185" s="15" t="b">
        <f t="shared" si="2"/>
        <v>0</v>
      </c>
    </row>
    <row r="186" spans="1:54" x14ac:dyDescent="0.2">
      <c r="A186" s="19" t="s">
        <v>361</v>
      </c>
      <c r="B186" s="19" t="s">
        <v>357</v>
      </c>
      <c r="C186" s="19" t="s">
        <v>36</v>
      </c>
      <c r="D186" s="19"/>
      <c r="E186" s="19" t="s">
        <v>32</v>
      </c>
      <c r="F186" s="19"/>
      <c r="G186" s="19"/>
      <c r="H186" s="19" t="s">
        <v>361</v>
      </c>
      <c r="I186" s="15">
        <v>2</v>
      </c>
      <c r="J186" s="15">
        <f>IFERROR(VLOOKUP($C186,Sheet3!$H$2:$O$200,J$1,FALSE),IFERROR(VLOOKUP($D186,Sheet3!$H$2:$O$200,J$1,FALSE),VLOOKUP($E186,Sheet3!$H$2:$O$200,J$1,FALSE)))</f>
        <v>0</v>
      </c>
      <c r="K186" s="15">
        <f>IFERROR(VLOOKUP($C186,Sheet3!$H$2:$O$200,K$1,FALSE),IFERROR(VLOOKUP($D186,Sheet3!$H$2:$O$200,K$1,FALSE),VLOOKUP($E186,Sheet3!$H$2:$O$200,K$1,FALSE)))</f>
        <v>0</v>
      </c>
      <c r="L186" s="15">
        <f>IFERROR(VLOOKUP($C186,Sheet3!$H$2:$O$200,L$1,FALSE),IFERROR(VLOOKUP($D186,Sheet3!$H$2:$O$200,L$1,FALSE),VLOOKUP($E186,Sheet3!$H$2:$O$200,L$1,FALSE)))</f>
        <v>0</v>
      </c>
      <c r="M186" s="15" t="str">
        <f>IFERROR(VLOOKUP($C186,Sheet3!$H$2:$O$200,M$1,FALSE),IFERROR(VLOOKUP($D186,Sheet3!$H$2:$O$200,M$1,FALSE),VLOOKUP($E186,Sheet3!$H$2:$O$200,M$1,FALSE)))</f>
        <v>Kahlua</v>
      </c>
      <c r="N186" s="15">
        <f>IFERROR(VLOOKUP($C186,Sheet3!$H$2:$O$200,N$1,FALSE),IFERROR(VLOOKUP($D186,Sheet3!$H$2:$O$200,N$1,FALSE),VLOOKUP($E186,Sheet3!$H$2:$O$200,N$1,FALSE)))</f>
        <v>0</v>
      </c>
      <c r="O186" s="15">
        <f>IFERROR(VLOOKUP($C186,Sheet3!$H$2:$O$200,O$1,FALSE),IFERROR(VLOOKUP($D186,Sheet3!$H$2:$O$200,O$1,FALSE),VLOOKUP($E186,Sheet3!$H$2:$O$200,O$1,FALSE)))</f>
        <v>0</v>
      </c>
      <c r="P186" s="15">
        <f>IFERROR(VLOOKUP($C186,Sheet3!$H$2:$O$200,P$1,FALSE),IFERROR(VLOOKUP($D186,Sheet3!$H$2:$O$200,P$1,FALSE),VLOOKUP($E186,Sheet3!$H$2:$O$200,P$1,FALSE)))</f>
        <v>0</v>
      </c>
      <c r="Q186" s="15">
        <f>IFERROR(IF(ISBLANK(J186),IFERROR(VLOOKUP($D186,Sheet3!$H$2:$O$200,Q$1,FALSE),IFERROR(VLOOKUP($E186,Sheet3!$H$2:$O$200,Q$1,FALSE),VLOOKUP($F186,Sheet3!$H$2:$O$200,Q$1,FALSE))),$I$1),$I$1)</f>
        <v>0</v>
      </c>
      <c r="R186" s="15">
        <f>IFERROR(IF(ISBLANK(K186),IFERROR(VLOOKUP($D186,Sheet3!$H$2:$O$200,R$1,FALSE),IFERROR(VLOOKUP($E186,Sheet3!$H$2:$O$200,R$1,FALSE),VLOOKUP($F186,Sheet3!$H$2:$O$200,R$1,FALSE))),$I$1),$I$1)</f>
        <v>0</v>
      </c>
      <c r="S186" s="15">
        <f>IFERROR(IF(ISBLANK(L186),IFERROR(VLOOKUP($D186,Sheet3!$H$2:$O$200,S$1,FALSE),IFERROR(VLOOKUP($E186,Sheet3!$H$2:$O$200,S$1,FALSE),VLOOKUP($F186,Sheet3!$H$2:$O$200,S$1,FALSE))),$I$1),$I$1)</f>
        <v>0</v>
      </c>
      <c r="T186" s="15">
        <f>IFERROR(IF(ISBLANK(M186),IFERROR(VLOOKUP($D186,Sheet3!$H$2:$O$200,T$1,FALSE),IFERROR(VLOOKUP($E186,Sheet3!$H$2:$O$200,T$1,FALSE),VLOOKUP($F186,Sheet3!$H$2:$O$200,T$1,FALSE))),$I$1),$I$1)</f>
        <v>0</v>
      </c>
      <c r="U186" s="15">
        <f>IFERROR(IF(ISBLANK(N186),IFERROR(VLOOKUP($D186,Sheet3!$H$2:$O$200,U$1,FALSE),IFERROR(VLOOKUP($E186,Sheet3!$H$2:$O$200,U$1,FALSE),VLOOKUP($F186,Sheet3!$H$2:$O$200,U$1,FALSE))),$I$1),$I$1)</f>
        <v>0</v>
      </c>
      <c r="V186" s="15">
        <f>IFERROR(IF(ISBLANK(O186),IFERROR(VLOOKUP($D186,Sheet3!$H$2:$O$200,V$1,FALSE),IFERROR(VLOOKUP($E186,Sheet3!$H$2:$O$200,V$1,FALSE),VLOOKUP($F186,Sheet3!$H$2:$O$200,V$1,FALSE))),$I$1),$I$1)</f>
        <v>0</v>
      </c>
      <c r="W186" s="15">
        <f>IFERROR(IF(ISBLANK(P186),IFERROR(VLOOKUP($D186,Sheet3!$H$2:$O$200,W$1,FALSE),IFERROR(VLOOKUP($E186,Sheet3!$H$2:$O$200,W$1,FALSE),VLOOKUP($F186,Sheet3!$H$2:$O$200,W$1,FALSE))),$I$1),$I$1)</f>
        <v>0</v>
      </c>
      <c r="X186" s="15">
        <f>IFERROR(IF(ISBLANK(Q186),IFERROR(VLOOKUP($E186,Sheet3!$H$2:$O$200,X$1,FALSE),IFERROR(VLOOKUP($F186,Sheet3!$H$2:$O$200,X$1,FALSE),VLOOKUP($G186,Sheet3!$H$2:$O$200,X$1,FALSE))),$I$1),$I$1)</f>
        <v>0</v>
      </c>
      <c r="Y186" s="15">
        <f>IFERROR(IF(ISBLANK(R186),IFERROR(VLOOKUP($E186,Sheet3!$H$2:$O$200,Y$1,FALSE),IFERROR(VLOOKUP($F186,Sheet3!$H$2:$O$200,Y$1,FALSE),VLOOKUP($G186,Sheet3!$H$2:$O$200,Y$1,FALSE))),$I$1),$I$1)</f>
        <v>0</v>
      </c>
      <c r="Z186" s="15">
        <f>IFERROR(IF(ISBLANK(S186),IFERROR(VLOOKUP($E186,Sheet3!$H$2:$O$200,Z$1,FALSE),IFERROR(VLOOKUP($F186,Sheet3!$H$2:$O$200,Z$1,FALSE),VLOOKUP($G186,Sheet3!$H$2:$O$200,Z$1,FALSE))),$I$1),$I$1)</f>
        <v>0</v>
      </c>
      <c r="AA186" s="15">
        <f>IFERROR(IF(ISBLANK(T186),IFERROR(VLOOKUP($E186,Sheet3!$H$2:$O$200,AA$1,FALSE),IFERROR(VLOOKUP($F186,Sheet3!$H$2:$O$200,AA$1,FALSE),VLOOKUP($G186,Sheet3!$H$2:$O$200,AA$1,FALSE))),$I$1),$I$1)</f>
        <v>0</v>
      </c>
      <c r="AB186" s="15">
        <f>IFERROR(IF(ISBLANK(U186),IFERROR(VLOOKUP($E186,Sheet3!$H$2:$O$200,AB$1,FALSE),IFERROR(VLOOKUP($F186,Sheet3!$H$2:$O$200,AB$1,FALSE),VLOOKUP($G186,Sheet3!$H$2:$O$200,AB$1,FALSE))),$I$1),$I$1)</f>
        <v>0</v>
      </c>
      <c r="AC186" s="15">
        <f>IFERROR(IF(ISBLANK(V186),IFERROR(VLOOKUP($E186,Sheet3!$H$2:$O$200,AC$1,FALSE),IFERROR(VLOOKUP($F186,Sheet3!$H$2:$O$200,AC$1,FALSE),VLOOKUP($G186,Sheet3!$H$2:$O$200,AC$1,FALSE))),$I$1),$I$1)</f>
        <v>0</v>
      </c>
      <c r="AD186" s="15">
        <f>IFERROR(IF(ISBLANK(W186),IFERROR(VLOOKUP($E186,Sheet3!$H$2:$O$200,AD$1,FALSE),IFERROR(VLOOKUP($F186,Sheet3!$H$2:$O$200,AD$1,FALSE),VLOOKUP($G186,Sheet3!$H$2:$O$200,AD$1,FALSE))),$I$1),$I$1)</f>
        <v>0</v>
      </c>
      <c r="AE186" s="15">
        <f>IFERROR(IF(ISBLANK(X186),IFERROR(VLOOKUP($F186,Sheet3!$H$2:$O$200,AE$1,FALSE),VLOOKUP($G186,Sheet3!$H$2:$O$200,AE$1,FALSE)),$I$1),$I$1)</f>
        <v>0</v>
      </c>
      <c r="AF186" s="15">
        <f>IFERROR(IF(ISBLANK(Y186),IFERROR(VLOOKUP($F186,Sheet3!$H$2:$O$200,AF$1,FALSE),VLOOKUP($G186,Sheet3!$H$2:$O$200,AF$1,FALSE)),$I$1),$I$1)</f>
        <v>0</v>
      </c>
      <c r="AG186" s="15">
        <f>IFERROR(IF(ISBLANK(Z186),IFERROR(VLOOKUP($F186,Sheet3!$H$2:$O$200,AG$1,FALSE),VLOOKUP($G186,Sheet3!$H$2:$O$200,AG$1,FALSE)),$I$1),$I$1)</f>
        <v>0</v>
      </c>
      <c r="AH186" s="15">
        <f>IFERROR(IF(ISBLANK(AA186),IFERROR(VLOOKUP($F186,Sheet3!$H$2:$O$200,AH$1,FALSE),VLOOKUP($G186,Sheet3!$H$2:$O$200,AH$1,FALSE)),$I$1),$I$1)</f>
        <v>0</v>
      </c>
      <c r="AI186" s="15">
        <f>IFERROR(IF(ISBLANK(AB186),IFERROR(VLOOKUP($F186,Sheet3!$H$2:$O$200,AI$1,FALSE),VLOOKUP($G186,Sheet3!$H$2:$O$200,AI$1,FALSE)),$I$1),$I$1)</f>
        <v>0</v>
      </c>
      <c r="AJ186" s="15">
        <f>IFERROR(IF(ISBLANK(AC186),IFERROR(VLOOKUP($F186,Sheet3!$H$2:$O$200,AJ$1,FALSE),VLOOKUP($G186,Sheet3!$H$2:$O$200,AJ$1,FALSE)),$I$1),$I$1)</f>
        <v>0</v>
      </c>
      <c r="AK186" s="15">
        <f>IFERROR(IF(ISBLANK(AD186),IFERROR(VLOOKUP($F186,Sheet3!$H$2:$O$200,AK$1,FALSE),VLOOKUP($G186,Sheet3!$H$2:$O$200,AK$1,FALSE)),$I$1),$I$1)</f>
        <v>0</v>
      </c>
      <c r="AL186" s="15">
        <f>IFERROR(IF(ISBLANK(AE186),VLOOKUP($G186,Sheet3!$H$2:$O$200,AL$1,FALSE),$I$1),$I$1)</f>
        <v>0</v>
      </c>
      <c r="AM186" s="15">
        <f>IFERROR(IF(ISBLANK(AF186),VLOOKUP($G186,Sheet3!$H$2:$O$200,AM$1,FALSE),$I$1),$I$1)</f>
        <v>0</v>
      </c>
      <c r="AN186" s="15">
        <f>IFERROR(IF(ISBLANK(AG186),VLOOKUP($G186,Sheet3!$H$2:$O$200,AN$1,FALSE),$I$1),$I$1)</f>
        <v>0</v>
      </c>
      <c r="AO186" s="15">
        <f>IFERROR(IF(ISBLANK(AH186),VLOOKUP($G186,Sheet3!$H$2:$O$200,AO$1,FALSE),$I$1),$I$1)</f>
        <v>0</v>
      </c>
      <c r="AP186" s="15">
        <f>IFERROR(IF(ISBLANK(AI186),VLOOKUP($G186,Sheet3!$H$2:$O$200,AP$1,FALSE),$I$1),$I$1)</f>
        <v>0</v>
      </c>
      <c r="AQ186" s="15">
        <f>IFERROR(IF(ISBLANK(AJ186),VLOOKUP($G186,Sheet3!$H$2:$O$200,AQ$1,FALSE),$I$1),$I$1)</f>
        <v>0</v>
      </c>
      <c r="AR186" s="15">
        <f>IFERROR(IF(ISBLANK(AK186),VLOOKUP($G186,Sheet3!$H$2:$O$200,AR$1,FALSE),$I$1),$I$1)</f>
        <v>0</v>
      </c>
      <c r="AS186" s="15">
        <f t="shared" ref="AS186:AY186" si="193">IFERROR(IF(ISBLANK(J186),IF(ISBLANK(Q186),IF(ISBLANK(X186),IF(ISBLANK(AE186),IF(ISBLANK(AL186),$BB$1,AL186),AE186),X186),Q186),J186),$BB$1)</f>
        <v>0</v>
      </c>
      <c r="AT186" s="15">
        <f t="shared" si="193"/>
        <v>0</v>
      </c>
      <c r="AU186" s="15">
        <f t="shared" si="193"/>
        <v>0</v>
      </c>
      <c r="AV186" s="15" t="str">
        <f t="shared" si="193"/>
        <v>Kahlua</v>
      </c>
      <c r="AW186" s="15">
        <f t="shared" si="193"/>
        <v>0</v>
      </c>
      <c r="AX186" s="15">
        <f t="shared" si="193"/>
        <v>0</v>
      </c>
      <c r="AY186" s="15">
        <f t="shared" si="193"/>
        <v>0</v>
      </c>
      <c r="BA186" s="13">
        <f t="shared" si="1"/>
        <v>35</v>
      </c>
      <c r="BB186" s="15" t="b">
        <f t="shared" si="2"/>
        <v>0</v>
      </c>
    </row>
    <row r="187" spans="1:54" x14ac:dyDescent="0.2">
      <c r="A187" s="19" t="s">
        <v>362</v>
      </c>
      <c r="B187" s="19" t="s">
        <v>357</v>
      </c>
      <c r="C187" s="19" t="s">
        <v>36</v>
      </c>
      <c r="D187" s="19"/>
      <c r="E187" s="19" t="s">
        <v>253</v>
      </c>
      <c r="F187" s="19"/>
      <c r="G187" s="19"/>
      <c r="H187" s="19" t="s">
        <v>362</v>
      </c>
      <c r="I187" s="15">
        <v>2</v>
      </c>
      <c r="J187" s="15">
        <f>IFERROR(VLOOKUP($C187,Sheet3!$H$2:$O$200,J$1,FALSE),IFERROR(VLOOKUP($D187,Sheet3!$H$2:$O$200,J$1,FALSE),VLOOKUP($E187,Sheet3!$H$2:$O$200,J$1,FALSE)))</f>
        <v>0</v>
      </c>
      <c r="K187" s="15">
        <f>IFERROR(VLOOKUP($C187,Sheet3!$H$2:$O$200,K$1,FALSE),IFERROR(VLOOKUP($D187,Sheet3!$H$2:$O$200,K$1,FALSE),VLOOKUP($E187,Sheet3!$H$2:$O$200,K$1,FALSE)))</f>
        <v>0</v>
      </c>
      <c r="L187" s="15">
        <f>IFERROR(VLOOKUP($C187,Sheet3!$H$2:$O$200,L$1,FALSE),IFERROR(VLOOKUP($D187,Sheet3!$H$2:$O$200,L$1,FALSE),VLOOKUP($E187,Sheet3!$H$2:$O$200,L$1,FALSE)))</f>
        <v>0</v>
      </c>
      <c r="M187" s="15" t="str">
        <f>IFERROR(VLOOKUP($C187,Sheet3!$H$2:$O$200,M$1,FALSE),IFERROR(VLOOKUP($D187,Sheet3!$H$2:$O$200,M$1,FALSE),VLOOKUP($E187,Sheet3!$H$2:$O$200,M$1,FALSE)))</f>
        <v>Kahlua</v>
      </c>
      <c r="N187" s="15">
        <f>IFERROR(VLOOKUP($C187,Sheet3!$H$2:$O$200,N$1,FALSE),IFERROR(VLOOKUP($D187,Sheet3!$H$2:$O$200,N$1,FALSE),VLOOKUP($E187,Sheet3!$H$2:$O$200,N$1,FALSE)))</f>
        <v>0</v>
      </c>
      <c r="O187" s="15">
        <f>IFERROR(VLOOKUP($C187,Sheet3!$H$2:$O$200,O$1,FALSE),IFERROR(VLOOKUP($D187,Sheet3!$H$2:$O$200,O$1,FALSE),VLOOKUP($E187,Sheet3!$H$2:$O$200,O$1,FALSE)))</f>
        <v>0</v>
      </c>
      <c r="P187" s="15">
        <f>IFERROR(VLOOKUP($C187,Sheet3!$H$2:$O$200,P$1,FALSE),IFERROR(VLOOKUP($D187,Sheet3!$H$2:$O$200,P$1,FALSE),VLOOKUP($E187,Sheet3!$H$2:$O$200,P$1,FALSE)))</f>
        <v>0</v>
      </c>
      <c r="Q187" s="15">
        <f>IFERROR(IF(ISBLANK(J187),IFERROR(VLOOKUP($D187,Sheet3!$H$2:$O$200,Q$1,FALSE),IFERROR(VLOOKUP($E187,Sheet3!$H$2:$O$200,Q$1,FALSE),VLOOKUP($F187,Sheet3!$H$2:$O$200,Q$1,FALSE))),$I$1),$I$1)</f>
        <v>0</v>
      </c>
      <c r="R187" s="15">
        <f>IFERROR(IF(ISBLANK(K187),IFERROR(VLOOKUP($D187,Sheet3!$H$2:$O$200,R$1,FALSE),IFERROR(VLOOKUP($E187,Sheet3!$H$2:$O$200,R$1,FALSE),VLOOKUP($F187,Sheet3!$H$2:$O$200,R$1,FALSE))),$I$1),$I$1)</f>
        <v>0</v>
      </c>
      <c r="S187" s="15">
        <f>IFERROR(IF(ISBLANK(L187),IFERROR(VLOOKUP($D187,Sheet3!$H$2:$O$200,S$1,FALSE),IFERROR(VLOOKUP($E187,Sheet3!$H$2:$O$200,S$1,FALSE),VLOOKUP($F187,Sheet3!$H$2:$O$200,S$1,FALSE))),$I$1),$I$1)</f>
        <v>0</v>
      </c>
      <c r="T187" s="15">
        <f>IFERROR(IF(ISBLANK(M187),IFERROR(VLOOKUP($D187,Sheet3!$H$2:$O$200,T$1,FALSE),IFERROR(VLOOKUP($E187,Sheet3!$H$2:$O$200,T$1,FALSE),VLOOKUP($F187,Sheet3!$H$2:$O$200,T$1,FALSE))),$I$1),$I$1)</f>
        <v>0</v>
      </c>
      <c r="U187" s="15">
        <f>IFERROR(IF(ISBLANK(N187),IFERROR(VLOOKUP($D187,Sheet3!$H$2:$O$200,U$1,FALSE),IFERROR(VLOOKUP($E187,Sheet3!$H$2:$O$200,U$1,FALSE),VLOOKUP($F187,Sheet3!$H$2:$O$200,U$1,FALSE))),$I$1),$I$1)</f>
        <v>0</v>
      </c>
      <c r="V187" s="15">
        <f>IFERROR(IF(ISBLANK(O187),IFERROR(VLOOKUP($D187,Sheet3!$H$2:$O$200,V$1,FALSE),IFERROR(VLOOKUP($E187,Sheet3!$H$2:$O$200,V$1,FALSE),VLOOKUP($F187,Sheet3!$H$2:$O$200,V$1,FALSE))),$I$1),$I$1)</f>
        <v>0</v>
      </c>
      <c r="W187" s="15">
        <f>IFERROR(IF(ISBLANK(P187),IFERROR(VLOOKUP($D187,Sheet3!$H$2:$O$200,W$1,FALSE),IFERROR(VLOOKUP($E187,Sheet3!$H$2:$O$200,W$1,FALSE),VLOOKUP($F187,Sheet3!$H$2:$O$200,W$1,FALSE))),$I$1),$I$1)</f>
        <v>0</v>
      </c>
      <c r="X187" s="15">
        <f>IFERROR(IF(ISBLANK(Q187),IFERROR(VLOOKUP($E187,Sheet3!$H$2:$O$200,X$1,FALSE),IFERROR(VLOOKUP($F187,Sheet3!$H$2:$O$200,X$1,FALSE),VLOOKUP($G187,Sheet3!$H$2:$O$200,X$1,FALSE))),$I$1),$I$1)</f>
        <v>0</v>
      </c>
      <c r="Y187" s="15">
        <f>IFERROR(IF(ISBLANK(R187),IFERROR(VLOOKUP($E187,Sheet3!$H$2:$O$200,Y$1,FALSE),IFERROR(VLOOKUP($F187,Sheet3!$H$2:$O$200,Y$1,FALSE),VLOOKUP($G187,Sheet3!$H$2:$O$200,Y$1,FALSE))),$I$1),$I$1)</f>
        <v>0</v>
      </c>
      <c r="Z187" s="15">
        <f>IFERROR(IF(ISBLANK(S187),IFERROR(VLOOKUP($E187,Sheet3!$H$2:$O$200,Z$1,FALSE),IFERROR(VLOOKUP($F187,Sheet3!$H$2:$O$200,Z$1,FALSE),VLOOKUP($G187,Sheet3!$H$2:$O$200,Z$1,FALSE))),$I$1),$I$1)</f>
        <v>0</v>
      </c>
      <c r="AA187" s="15">
        <f>IFERROR(IF(ISBLANK(T187),IFERROR(VLOOKUP($E187,Sheet3!$H$2:$O$200,AA$1,FALSE),IFERROR(VLOOKUP($F187,Sheet3!$H$2:$O$200,AA$1,FALSE),VLOOKUP($G187,Sheet3!$H$2:$O$200,AA$1,FALSE))),$I$1),$I$1)</f>
        <v>0</v>
      </c>
      <c r="AB187" s="15">
        <f>IFERROR(IF(ISBLANK(U187),IFERROR(VLOOKUP($E187,Sheet3!$H$2:$O$200,AB$1,FALSE),IFERROR(VLOOKUP($F187,Sheet3!$H$2:$O$200,AB$1,FALSE),VLOOKUP($G187,Sheet3!$H$2:$O$200,AB$1,FALSE))),$I$1),$I$1)</f>
        <v>0</v>
      </c>
      <c r="AC187" s="15">
        <f>IFERROR(IF(ISBLANK(V187),IFERROR(VLOOKUP($E187,Sheet3!$H$2:$O$200,AC$1,FALSE),IFERROR(VLOOKUP($F187,Sheet3!$H$2:$O$200,AC$1,FALSE),VLOOKUP($G187,Sheet3!$H$2:$O$200,AC$1,FALSE))),$I$1),$I$1)</f>
        <v>0</v>
      </c>
      <c r="AD187" s="15">
        <f>IFERROR(IF(ISBLANK(W187),IFERROR(VLOOKUP($E187,Sheet3!$H$2:$O$200,AD$1,FALSE),IFERROR(VLOOKUP($F187,Sheet3!$H$2:$O$200,AD$1,FALSE),VLOOKUP($G187,Sheet3!$H$2:$O$200,AD$1,FALSE))),$I$1),$I$1)</f>
        <v>0</v>
      </c>
      <c r="AE187" s="15">
        <f>IFERROR(IF(ISBLANK(X187),IFERROR(VLOOKUP($F187,Sheet3!$H$2:$O$200,AE$1,FALSE),VLOOKUP($G187,Sheet3!$H$2:$O$200,AE$1,FALSE)),$I$1),$I$1)</f>
        <v>0</v>
      </c>
      <c r="AF187" s="15">
        <f>IFERROR(IF(ISBLANK(Y187),IFERROR(VLOOKUP($F187,Sheet3!$H$2:$O$200,AF$1,FALSE),VLOOKUP($G187,Sheet3!$H$2:$O$200,AF$1,FALSE)),$I$1),$I$1)</f>
        <v>0</v>
      </c>
      <c r="AG187" s="15">
        <f>IFERROR(IF(ISBLANK(Z187),IFERROR(VLOOKUP($F187,Sheet3!$H$2:$O$200,AG$1,FALSE),VLOOKUP($G187,Sheet3!$H$2:$O$200,AG$1,FALSE)),$I$1),$I$1)</f>
        <v>0</v>
      </c>
      <c r="AH187" s="15">
        <f>IFERROR(IF(ISBLANK(AA187),IFERROR(VLOOKUP($F187,Sheet3!$H$2:$O$200,AH$1,FALSE),VLOOKUP($G187,Sheet3!$H$2:$O$200,AH$1,FALSE)),$I$1),$I$1)</f>
        <v>0</v>
      </c>
      <c r="AI187" s="15">
        <f>IFERROR(IF(ISBLANK(AB187),IFERROR(VLOOKUP($F187,Sheet3!$H$2:$O$200,AI$1,FALSE),VLOOKUP($G187,Sheet3!$H$2:$O$200,AI$1,FALSE)),$I$1),$I$1)</f>
        <v>0</v>
      </c>
      <c r="AJ187" s="15">
        <f>IFERROR(IF(ISBLANK(AC187),IFERROR(VLOOKUP($F187,Sheet3!$H$2:$O$200,AJ$1,FALSE),VLOOKUP($G187,Sheet3!$H$2:$O$200,AJ$1,FALSE)),$I$1),$I$1)</f>
        <v>0</v>
      </c>
      <c r="AK187" s="15">
        <f>IFERROR(IF(ISBLANK(AD187),IFERROR(VLOOKUP($F187,Sheet3!$H$2:$O$200,AK$1,FALSE),VLOOKUP($G187,Sheet3!$H$2:$O$200,AK$1,FALSE)),$I$1),$I$1)</f>
        <v>0</v>
      </c>
      <c r="AL187" s="15">
        <f>IFERROR(IF(ISBLANK(AE187),VLOOKUP($G187,Sheet3!$H$2:$O$200,AL$1,FALSE),$I$1),$I$1)</f>
        <v>0</v>
      </c>
      <c r="AM187" s="15">
        <f>IFERROR(IF(ISBLANK(AF187),VLOOKUP($G187,Sheet3!$H$2:$O$200,AM$1,FALSE),$I$1),$I$1)</f>
        <v>0</v>
      </c>
      <c r="AN187" s="15">
        <f>IFERROR(IF(ISBLANK(AG187),VLOOKUP($G187,Sheet3!$H$2:$O$200,AN$1,FALSE),$I$1),$I$1)</f>
        <v>0</v>
      </c>
      <c r="AO187" s="15">
        <f>IFERROR(IF(ISBLANK(AH187),VLOOKUP($G187,Sheet3!$H$2:$O$200,AO$1,FALSE),$I$1),$I$1)</f>
        <v>0</v>
      </c>
      <c r="AP187" s="15">
        <f>IFERROR(IF(ISBLANK(AI187),VLOOKUP($G187,Sheet3!$H$2:$O$200,AP$1,FALSE),$I$1),$I$1)</f>
        <v>0</v>
      </c>
      <c r="AQ187" s="15">
        <f>IFERROR(IF(ISBLANK(AJ187),VLOOKUP($G187,Sheet3!$H$2:$O$200,AQ$1,FALSE),$I$1),$I$1)</f>
        <v>0</v>
      </c>
      <c r="AR187" s="15">
        <f>IFERROR(IF(ISBLANK(AK187),VLOOKUP($G187,Sheet3!$H$2:$O$200,AR$1,FALSE),$I$1),$I$1)</f>
        <v>0</v>
      </c>
      <c r="AS187" s="15">
        <f t="shared" ref="AS187:AY187" si="194">IFERROR(IF(ISBLANK(J187),IF(ISBLANK(Q187),IF(ISBLANK(X187),IF(ISBLANK(AE187),IF(ISBLANK(AL187),$BB$1,AL187),AE187),X187),Q187),J187),$BB$1)</f>
        <v>0</v>
      </c>
      <c r="AT187" s="15">
        <f t="shared" si="194"/>
        <v>0</v>
      </c>
      <c r="AU187" s="15">
        <f t="shared" si="194"/>
        <v>0</v>
      </c>
      <c r="AV187" s="15" t="str">
        <f t="shared" si="194"/>
        <v>Kahlua</v>
      </c>
      <c r="AW187" s="15">
        <f t="shared" si="194"/>
        <v>0</v>
      </c>
      <c r="AX187" s="15">
        <f t="shared" si="194"/>
        <v>0</v>
      </c>
      <c r="AY187" s="15">
        <f t="shared" si="194"/>
        <v>0</v>
      </c>
      <c r="BA187" s="13">
        <f t="shared" si="1"/>
        <v>35</v>
      </c>
      <c r="BB187" s="15" t="b">
        <f t="shared" si="2"/>
        <v>0</v>
      </c>
    </row>
    <row r="188" spans="1:54" x14ac:dyDescent="0.2">
      <c r="A188" s="19" t="s">
        <v>363</v>
      </c>
      <c r="B188" s="19" t="s">
        <v>357</v>
      </c>
      <c r="C188" s="19" t="s">
        <v>31</v>
      </c>
      <c r="D188" s="19"/>
      <c r="E188" s="19"/>
      <c r="F188" s="19"/>
      <c r="G188" s="19"/>
      <c r="H188" s="19" t="s">
        <v>363</v>
      </c>
      <c r="I188" s="15">
        <v>1</v>
      </c>
      <c r="J188" s="15">
        <f>IFERROR(VLOOKUP($C188,Sheet3!$H$2:$O$200,J$1,FALSE),IFERROR(VLOOKUP($D188,Sheet3!$H$2:$O$200,J$1,FALSE),VLOOKUP($E188,Sheet3!$H$2:$O$200,J$1,FALSE)))</f>
        <v>0</v>
      </c>
      <c r="K188" s="15">
        <f>IFERROR(VLOOKUP($C188,Sheet3!$H$2:$O$200,K$1,FALSE),IFERROR(VLOOKUP($D188,Sheet3!$H$2:$O$200,K$1,FALSE),VLOOKUP($E188,Sheet3!$H$2:$O$200,K$1,FALSE)))</f>
        <v>0</v>
      </c>
      <c r="L188" s="15">
        <f>IFERROR(VLOOKUP($C188,Sheet3!$H$2:$O$200,L$1,FALSE),IFERROR(VLOOKUP($D188,Sheet3!$H$2:$O$200,L$1,FALSE),VLOOKUP($E188,Sheet3!$H$2:$O$200,L$1,FALSE)))</f>
        <v>0</v>
      </c>
      <c r="M188" s="15" t="str">
        <f>IFERROR(VLOOKUP($C188,Sheet3!$H$2:$O$200,M$1,FALSE),IFERROR(VLOOKUP($D188,Sheet3!$H$2:$O$200,M$1,FALSE),VLOOKUP($E188,Sheet3!$H$2:$O$200,M$1,FALSE)))</f>
        <v>white crème de cacao</v>
      </c>
      <c r="N188" s="15">
        <f>IFERROR(VLOOKUP($C188,Sheet3!$H$2:$O$200,N$1,FALSE),IFERROR(VLOOKUP($D188,Sheet3!$H$2:$O$200,N$1,FALSE),VLOOKUP($E188,Sheet3!$H$2:$O$200,N$1,FALSE)))</f>
        <v>0</v>
      </c>
      <c r="O188" s="15">
        <f>IFERROR(VLOOKUP($C188,Sheet3!$H$2:$O$200,O$1,FALSE),IFERROR(VLOOKUP($D188,Sheet3!$H$2:$O$200,O$1,FALSE),VLOOKUP($E188,Sheet3!$H$2:$O$200,O$1,FALSE)))</f>
        <v>0</v>
      </c>
      <c r="P188" s="15">
        <f>IFERROR(VLOOKUP($C188,Sheet3!$H$2:$O$200,P$1,FALSE),IFERROR(VLOOKUP($D188,Sheet3!$H$2:$O$200,P$1,FALSE),VLOOKUP($E188,Sheet3!$H$2:$O$200,P$1,FALSE)))</f>
        <v>0</v>
      </c>
      <c r="Q188" s="15">
        <f>IFERROR(IF(ISBLANK(J188),IFERROR(VLOOKUP($D188,Sheet3!$H$2:$O$200,Q$1,FALSE),IFERROR(VLOOKUP($E188,Sheet3!$H$2:$O$200,Q$1,FALSE),VLOOKUP($F188,Sheet3!$H$2:$O$200,Q$1,FALSE))),$I$1),$I$1)</f>
        <v>0</v>
      </c>
      <c r="R188" s="15">
        <f>IFERROR(IF(ISBLANK(K188),IFERROR(VLOOKUP($D188,Sheet3!$H$2:$O$200,R$1,FALSE),IFERROR(VLOOKUP($E188,Sheet3!$H$2:$O$200,R$1,FALSE),VLOOKUP($F188,Sheet3!$H$2:$O$200,R$1,FALSE))),$I$1),$I$1)</f>
        <v>0</v>
      </c>
      <c r="S188" s="15">
        <f>IFERROR(IF(ISBLANK(L188),IFERROR(VLOOKUP($D188,Sheet3!$H$2:$O$200,S$1,FALSE),IFERROR(VLOOKUP($E188,Sheet3!$H$2:$O$200,S$1,FALSE),VLOOKUP($F188,Sheet3!$H$2:$O$200,S$1,FALSE))),$I$1),$I$1)</f>
        <v>0</v>
      </c>
      <c r="T188" s="15">
        <f>IFERROR(IF(ISBLANK(M188),IFERROR(VLOOKUP($D188,Sheet3!$H$2:$O$200,T$1,FALSE),IFERROR(VLOOKUP($E188,Sheet3!$H$2:$O$200,T$1,FALSE),VLOOKUP($F188,Sheet3!$H$2:$O$200,T$1,FALSE))),$I$1),$I$1)</f>
        <v>0</v>
      </c>
      <c r="U188" s="15">
        <f>IFERROR(IF(ISBLANK(N188),IFERROR(VLOOKUP($D188,Sheet3!$H$2:$O$200,U$1,FALSE),IFERROR(VLOOKUP($E188,Sheet3!$H$2:$O$200,U$1,FALSE),VLOOKUP($F188,Sheet3!$H$2:$O$200,U$1,FALSE))),$I$1),$I$1)</f>
        <v>0</v>
      </c>
      <c r="V188" s="15">
        <f>IFERROR(IF(ISBLANK(O188),IFERROR(VLOOKUP($D188,Sheet3!$H$2:$O$200,V$1,FALSE),IFERROR(VLOOKUP($E188,Sheet3!$H$2:$O$200,V$1,FALSE),VLOOKUP($F188,Sheet3!$H$2:$O$200,V$1,FALSE))),$I$1),$I$1)</f>
        <v>0</v>
      </c>
      <c r="W188" s="15">
        <f>IFERROR(IF(ISBLANK(P188),IFERROR(VLOOKUP($D188,Sheet3!$H$2:$O$200,W$1,FALSE),IFERROR(VLOOKUP($E188,Sheet3!$H$2:$O$200,W$1,FALSE),VLOOKUP($F188,Sheet3!$H$2:$O$200,W$1,FALSE))),$I$1),$I$1)</f>
        <v>0</v>
      </c>
      <c r="X188" s="15">
        <f>IFERROR(IF(ISBLANK(Q188),IFERROR(VLOOKUP($E188,Sheet3!$H$2:$O$200,X$1,FALSE),IFERROR(VLOOKUP($F188,Sheet3!$H$2:$O$200,X$1,FALSE),VLOOKUP($G188,Sheet3!$H$2:$O$200,X$1,FALSE))),$I$1),$I$1)</f>
        <v>0</v>
      </c>
      <c r="Y188" s="15">
        <f>IFERROR(IF(ISBLANK(R188),IFERROR(VLOOKUP($E188,Sheet3!$H$2:$O$200,Y$1,FALSE),IFERROR(VLOOKUP($F188,Sheet3!$H$2:$O$200,Y$1,FALSE),VLOOKUP($G188,Sheet3!$H$2:$O$200,Y$1,FALSE))),$I$1),$I$1)</f>
        <v>0</v>
      </c>
      <c r="Z188" s="15">
        <f>IFERROR(IF(ISBLANK(S188),IFERROR(VLOOKUP($E188,Sheet3!$H$2:$O$200,Z$1,FALSE),IFERROR(VLOOKUP($F188,Sheet3!$H$2:$O$200,Z$1,FALSE),VLOOKUP($G188,Sheet3!$H$2:$O$200,Z$1,FALSE))),$I$1),$I$1)</f>
        <v>0</v>
      </c>
      <c r="AA188" s="15">
        <f>IFERROR(IF(ISBLANK(T188),IFERROR(VLOOKUP($E188,Sheet3!$H$2:$O$200,AA$1,FALSE),IFERROR(VLOOKUP($F188,Sheet3!$H$2:$O$200,AA$1,FALSE),VLOOKUP($G188,Sheet3!$H$2:$O$200,AA$1,FALSE))),$I$1),$I$1)</f>
        <v>0</v>
      </c>
      <c r="AB188" s="15">
        <f>IFERROR(IF(ISBLANK(U188),IFERROR(VLOOKUP($E188,Sheet3!$H$2:$O$200,AB$1,FALSE),IFERROR(VLOOKUP($F188,Sheet3!$H$2:$O$200,AB$1,FALSE),VLOOKUP($G188,Sheet3!$H$2:$O$200,AB$1,FALSE))),$I$1),$I$1)</f>
        <v>0</v>
      </c>
      <c r="AC188" s="15">
        <f>IFERROR(IF(ISBLANK(V188),IFERROR(VLOOKUP($E188,Sheet3!$H$2:$O$200,AC$1,FALSE),IFERROR(VLOOKUP($F188,Sheet3!$H$2:$O$200,AC$1,FALSE),VLOOKUP($G188,Sheet3!$H$2:$O$200,AC$1,FALSE))),$I$1),$I$1)</f>
        <v>0</v>
      </c>
      <c r="AD188" s="15">
        <f>IFERROR(IF(ISBLANK(W188),IFERROR(VLOOKUP($E188,Sheet3!$H$2:$O$200,AD$1,FALSE),IFERROR(VLOOKUP($F188,Sheet3!$H$2:$O$200,AD$1,FALSE),VLOOKUP($G188,Sheet3!$H$2:$O$200,AD$1,FALSE))),$I$1),$I$1)</f>
        <v>0</v>
      </c>
      <c r="AE188" s="15">
        <f>IFERROR(IF(ISBLANK(X188),IFERROR(VLOOKUP($F188,Sheet3!$H$2:$O$200,AE$1,FALSE),VLOOKUP($G188,Sheet3!$H$2:$O$200,AE$1,FALSE)),$I$1),$I$1)</f>
        <v>0</v>
      </c>
      <c r="AF188" s="15">
        <f>IFERROR(IF(ISBLANK(Y188),IFERROR(VLOOKUP($F188,Sheet3!$H$2:$O$200,AF$1,FALSE),VLOOKUP($G188,Sheet3!$H$2:$O$200,AF$1,FALSE)),$I$1),$I$1)</f>
        <v>0</v>
      </c>
      <c r="AG188" s="15">
        <f>IFERROR(IF(ISBLANK(Z188),IFERROR(VLOOKUP($F188,Sheet3!$H$2:$O$200,AG$1,FALSE),VLOOKUP($G188,Sheet3!$H$2:$O$200,AG$1,FALSE)),$I$1),$I$1)</f>
        <v>0</v>
      </c>
      <c r="AH188" s="15">
        <f>IFERROR(IF(ISBLANK(AA188),IFERROR(VLOOKUP($F188,Sheet3!$H$2:$O$200,AH$1,FALSE),VLOOKUP($G188,Sheet3!$H$2:$O$200,AH$1,FALSE)),$I$1),$I$1)</f>
        <v>0</v>
      </c>
      <c r="AI188" s="15">
        <f>IFERROR(IF(ISBLANK(AB188),IFERROR(VLOOKUP($F188,Sheet3!$H$2:$O$200,AI$1,FALSE),VLOOKUP($G188,Sheet3!$H$2:$O$200,AI$1,FALSE)),$I$1),$I$1)</f>
        <v>0</v>
      </c>
      <c r="AJ188" s="15">
        <f>IFERROR(IF(ISBLANK(AC188),IFERROR(VLOOKUP($F188,Sheet3!$H$2:$O$200,AJ$1,FALSE),VLOOKUP($G188,Sheet3!$H$2:$O$200,AJ$1,FALSE)),$I$1),$I$1)</f>
        <v>0</v>
      </c>
      <c r="AK188" s="15">
        <f>IFERROR(IF(ISBLANK(AD188),IFERROR(VLOOKUP($F188,Sheet3!$H$2:$O$200,AK$1,FALSE),VLOOKUP($G188,Sheet3!$H$2:$O$200,AK$1,FALSE)),$I$1),$I$1)</f>
        <v>0</v>
      </c>
      <c r="AL188" s="15">
        <f>IFERROR(IF(ISBLANK(AE188),VLOOKUP($G188,Sheet3!$H$2:$O$200,AL$1,FALSE),$I$1),$I$1)</f>
        <v>0</v>
      </c>
      <c r="AM188" s="15">
        <f>IFERROR(IF(ISBLANK(AF188),VLOOKUP($G188,Sheet3!$H$2:$O$200,AM$1,FALSE),$I$1),$I$1)</f>
        <v>0</v>
      </c>
      <c r="AN188" s="15">
        <f>IFERROR(IF(ISBLANK(AG188),VLOOKUP($G188,Sheet3!$H$2:$O$200,AN$1,FALSE),$I$1),$I$1)</f>
        <v>0</v>
      </c>
      <c r="AO188" s="15">
        <f>IFERROR(IF(ISBLANK(AH188),VLOOKUP($G188,Sheet3!$H$2:$O$200,AO$1,FALSE),$I$1),$I$1)</f>
        <v>0</v>
      </c>
      <c r="AP188" s="15">
        <f>IFERROR(IF(ISBLANK(AI188),VLOOKUP($G188,Sheet3!$H$2:$O$200,AP$1,FALSE),$I$1),$I$1)</f>
        <v>0</v>
      </c>
      <c r="AQ188" s="15">
        <f>IFERROR(IF(ISBLANK(AJ188),VLOOKUP($G188,Sheet3!$H$2:$O$200,AQ$1,FALSE),$I$1),$I$1)</f>
        <v>0</v>
      </c>
      <c r="AR188" s="15">
        <f>IFERROR(IF(ISBLANK(AK188),VLOOKUP($G188,Sheet3!$H$2:$O$200,AR$1,FALSE),$I$1),$I$1)</f>
        <v>0</v>
      </c>
      <c r="AS188" s="15">
        <f t="shared" ref="AS188:AY188" si="195">IFERROR(IF(ISBLANK(J188),IF(ISBLANK(Q188),IF(ISBLANK(X188),IF(ISBLANK(AE188),IF(ISBLANK(AL188),$BB$1,AL188),AE188),X188),Q188),J188),$BB$1)</f>
        <v>0</v>
      </c>
      <c r="AT188" s="15">
        <f t="shared" si="195"/>
        <v>0</v>
      </c>
      <c r="AU188" s="15">
        <f t="shared" si="195"/>
        <v>0</v>
      </c>
      <c r="AV188" s="15" t="str">
        <f t="shared" si="195"/>
        <v>white crème de cacao</v>
      </c>
      <c r="AW188" s="15">
        <f t="shared" si="195"/>
        <v>0</v>
      </c>
      <c r="AX188" s="15">
        <f t="shared" si="195"/>
        <v>0</v>
      </c>
      <c r="AY188" s="15">
        <f t="shared" si="195"/>
        <v>0</v>
      </c>
      <c r="BA188" s="13">
        <f t="shared" si="1"/>
        <v>35</v>
      </c>
      <c r="BB188" s="15" t="b">
        <f t="shared" si="2"/>
        <v>0</v>
      </c>
    </row>
    <row r="189" spans="1:54" x14ac:dyDescent="0.2">
      <c r="A189" s="20" t="s">
        <v>364</v>
      </c>
      <c r="B189" s="20" t="s">
        <v>357</v>
      </c>
      <c r="C189" s="20" t="s">
        <v>270</v>
      </c>
      <c r="D189" s="20"/>
      <c r="E189" s="20"/>
      <c r="F189" s="20"/>
      <c r="G189" s="20"/>
      <c r="H189" s="20" t="s">
        <v>364</v>
      </c>
      <c r="I189" s="15">
        <v>1</v>
      </c>
      <c r="J189" s="15">
        <f>IFERROR(VLOOKUP($C189,Sheet3!$H$2:$O$200,J$1,FALSE),IFERROR(VLOOKUP($D189,Sheet3!$H$2:$O$200,J$1,FALSE),VLOOKUP($E189,Sheet3!$H$2:$O$200,J$1,FALSE)))</f>
        <v>0</v>
      </c>
      <c r="K189" s="15" t="str">
        <f>IFERROR(VLOOKUP($C189,Sheet3!$H$2:$O$200,K$1,FALSE),IFERROR(VLOOKUP($D189,Sheet3!$H$2:$O$200,K$1,FALSE),VLOOKUP($E189,Sheet3!$H$2:$O$200,K$1,FALSE)))</f>
        <v>ginger beer</v>
      </c>
      <c r="L189" s="15">
        <f>IFERROR(VLOOKUP($C189,Sheet3!$H$2:$O$200,L$1,FALSE),IFERROR(VLOOKUP($D189,Sheet3!$H$2:$O$200,L$1,FALSE),VLOOKUP($E189,Sheet3!$H$2:$O$200,L$1,FALSE)))</f>
        <v>0</v>
      </c>
      <c r="M189" s="15">
        <f>IFERROR(VLOOKUP($C189,Sheet3!$H$2:$O$200,M$1,FALSE),IFERROR(VLOOKUP($D189,Sheet3!$H$2:$O$200,M$1,FALSE),VLOOKUP($E189,Sheet3!$H$2:$O$200,M$1,FALSE)))</f>
        <v>0</v>
      </c>
      <c r="N189" s="15">
        <f>IFERROR(VLOOKUP($C189,Sheet3!$H$2:$O$200,N$1,FALSE),IFERROR(VLOOKUP($D189,Sheet3!$H$2:$O$200,N$1,FALSE),VLOOKUP($E189,Sheet3!$H$2:$O$200,N$1,FALSE)))</f>
        <v>0</v>
      </c>
      <c r="O189" s="15">
        <f>IFERROR(VLOOKUP($C189,Sheet3!$H$2:$O$200,O$1,FALSE),IFERROR(VLOOKUP($D189,Sheet3!$H$2:$O$200,O$1,FALSE),VLOOKUP($E189,Sheet3!$H$2:$O$200,O$1,FALSE)))</f>
        <v>0</v>
      </c>
      <c r="P189" s="15">
        <f>IFERROR(VLOOKUP($C189,Sheet3!$H$2:$O$200,P$1,FALSE),IFERROR(VLOOKUP($D189,Sheet3!$H$2:$O$200,P$1,FALSE),VLOOKUP($E189,Sheet3!$H$2:$O$200,P$1,FALSE)))</f>
        <v>0</v>
      </c>
      <c r="Q189" s="15">
        <f>IFERROR(IF(ISBLANK(J189),IFERROR(VLOOKUP($D189,Sheet3!$H$2:$O$200,Q$1,FALSE),IFERROR(VLOOKUP($E189,Sheet3!$H$2:$O$200,Q$1,FALSE),VLOOKUP($F189,Sheet3!$H$2:$O$200,Q$1,FALSE))),$I$1),$I$1)</f>
        <v>0</v>
      </c>
      <c r="R189" s="15">
        <f>IFERROR(IF(ISBLANK(K189),IFERROR(VLOOKUP($D189,Sheet3!$H$2:$O$200,R$1,FALSE),IFERROR(VLOOKUP($E189,Sheet3!$H$2:$O$200,R$1,FALSE),VLOOKUP($F189,Sheet3!$H$2:$O$200,R$1,FALSE))),$I$1),$I$1)</f>
        <v>0</v>
      </c>
      <c r="S189" s="15">
        <f>IFERROR(IF(ISBLANK(L189),IFERROR(VLOOKUP($D189,Sheet3!$H$2:$O$200,S$1,FALSE),IFERROR(VLOOKUP($E189,Sheet3!$H$2:$O$200,S$1,FALSE),VLOOKUP($F189,Sheet3!$H$2:$O$200,S$1,FALSE))),$I$1),$I$1)</f>
        <v>0</v>
      </c>
      <c r="T189" s="15">
        <f>IFERROR(IF(ISBLANK(M189),IFERROR(VLOOKUP($D189,Sheet3!$H$2:$O$200,T$1,FALSE),IFERROR(VLOOKUP($E189,Sheet3!$H$2:$O$200,T$1,FALSE),VLOOKUP($F189,Sheet3!$H$2:$O$200,T$1,FALSE))),$I$1),$I$1)</f>
        <v>0</v>
      </c>
      <c r="U189" s="15">
        <f>IFERROR(IF(ISBLANK(N189),IFERROR(VLOOKUP($D189,Sheet3!$H$2:$O$200,U$1,FALSE),IFERROR(VLOOKUP($E189,Sheet3!$H$2:$O$200,U$1,FALSE),VLOOKUP($F189,Sheet3!$H$2:$O$200,U$1,FALSE))),$I$1),$I$1)</f>
        <v>0</v>
      </c>
      <c r="V189" s="15">
        <f>IFERROR(IF(ISBLANK(O189),IFERROR(VLOOKUP($D189,Sheet3!$H$2:$O$200,V$1,FALSE),IFERROR(VLOOKUP($E189,Sheet3!$H$2:$O$200,V$1,FALSE),VLOOKUP($F189,Sheet3!$H$2:$O$200,V$1,FALSE))),$I$1),$I$1)</f>
        <v>0</v>
      </c>
      <c r="W189" s="15">
        <f>IFERROR(IF(ISBLANK(P189),IFERROR(VLOOKUP($D189,Sheet3!$H$2:$O$200,W$1,FALSE),IFERROR(VLOOKUP($E189,Sheet3!$H$2:$O$200,W$1,FALSE),VLOOKUP($F189,Sheet3!$H$2:$O$200,W$1,FALSE))),$I$1),$I$1)</f>
        <v>0</v>
      </c>
      <c r="X189" s="15">
        <f>IFERROR(IF(ISBLANK(Q189),IFERROR(VLOOKUP($E189,Sheet3!$H$2:$O$200,X$1,FALSE),IFERROR(VLOOKUP($F189,Sheet3!$H$2:$O$200,X$1,FALSE),VLOOKUP($G189,Sheet3!$H$2:$O$200,X$1,FALSE))),$I$1),$I$1)</f>
        <v>0</v>
      </c>
      <c r="Y189" s="15">
        <f>IFERROR(IF(ISBLANK(R189),IFERROR(VLOOKUP($E189,Sheet3!$H$2:$O$200,Y$1,FALSE),IFERROR(VLOOKUP($F189,Sheet3!$H$2:$O$200,Y$1,FALSE),VLOOKUP($G189,Sheet3!$H$2:$O$200,Y$1,FALSE))),$I$1),$I$1)</f>
        <v>0</v>
      </c>
      <c r="Z189" s="15">
        <f>IFERROR(IF(ISBLANK(S189),IFERROR(VLOOKUP($E189,Sheet3!$H$2:$O$200,Z$1,FALSE),IFERROR(VLOOKUP($F189,Sheet3!$H$2:$O$200,Z$1,FALSE),VLOOKUP($G189,Sheet3!$H$2:$O$200,Z$1,FALSE))),$I$1),$I$1)</f>
        <v>0</v>
      </c>
      <c r="AA189" s="15">
        <f>IFERROR(IF(ISBLANK(T189),IFERROR(VLOOKUP($E189,Sheet3!$H$2:$O$200,AA$1,FALSE),IFERROR(VLOOKUP($F189,Sheet3!$H$2:$O$200,AA$1,FALSE),VLOOKUP($G189,Sheet3!$H$2:$O$200,AA$1,FALSE))),$I$1),$I$1)</f>
        <v>0</v>
      </c>
      <c r="AB189" s="15">
        <f>IFERROR(IF(ISBLANK(U189),IFERROR(VLOOKUP($E189,Sheet3!$H$2:$O$200,AB$1,FALSE),IFERROR(VLOOKUP($F189,Sheet3!$H$2:$O$200,AB$1,FALSE),VLOOKUP($G189,Sheet3!$H$2:$O$200,AB$1,FALSE))),$I$1),$I$1)</f>
        <v>0</v>
      </c>
      <c r="AC189" s="15">
        <f>IFERROR(IF(ISBLANK(V189),IFERROR(VLOOKUP($E189,Sheet3!$H$2:$O$200,AC$1,FALSE),IFERROR(VLOOKUP($F189,Sheet3!$H$2:$O$200,AC$1,FALSE),VLOOKUP($G189,Sheet3!$H$2:$O$200,AC$1,FALSE))),$I$1),$I$1)</f>
        <v>0</v>
      </c>
      <c r="AD189" s="15">
        <f>IFERROR(IF(ISBLANK(W189),IFERROR(VLOOKUP($E189,Sheet3!$H$2:$O$200,AD$1,FALSE),IFERROR(VLOOKUP($F189,Sheet3!$H$2:$O$200,AD$1,FALSE),VLOOKUP($G189,Sheet3!$H$2:$O$200,AD$1,FALSE))),$I$1),$I$1)</f>
        <v>0</v>
      </c>
      <c r="AE189" s="15">
        <f>IFERROR(IF(ISBLANK(X189),IFERROR(VLOOKUP($F189,Sheet3!$H$2:$O$200,AE$1,FALSE),VLOOKUP($G189,Sheet3!$H$2:$O$200,AE$1,FALSE)),$I$1),$I$1)</f>
        <v>0</v>
      </c>
      <c r="AF189" s="15">
        <f>IFERROR(IF(ISBLANK(Y189),IFERROR(VLOOKUP($F189,Sheet3!$H$2:$O$200,AF$1,FALSE),VLOOKUP($G189,Sheet3!$H$2:$O$200,AF$1,FALSE)),$I$1),$I$1)</f>
        <v>0</v>
      </c>
      <c r="AG189" s="15">
        <f>IFERROR(IF(ISBLANK(Z189),IFERROR(VLOOKUP($F189,Sheet3!$H$2:$O$200,AG$1,FALSE),VLOOKUP($G189,Sheet3!$H$2:$O$200,AG$1,FALSE)),$I$1),$I$1)</f>
        <v>0</v>
      </c>
      <c r="AH189" s="15">
        <f>IFERROR(IF(ISBLANK(AA189),IFERROR(VLOOKUP($F189,Sheet3!$H$2:$O$200,AH$1,FALSE),VLOOKUP($G189,Sheet3!$H$2:$O$200,AH$1,FALSE)),$I$1),$I$1)</f>
        <v>0</v>
      </c>
      <c r="AI189" s="15">
        <f>IFERROR(IF(ISBLANK(AB189),IFERROR(VLOOKUP($F189,Sheet3!$H$2:$O$200,AI$1,FALSE),VLOOKUP($G189,Sheet3!$H$2:$O$200,AI$1,FALSE)),$I$1),$I$1)</f>
        <v>0</v>
      </c>
      <c r="AJ189" s="15">
        <f>IFERROR(IF(ISBLANK(AC189),IFERROR(VLOOKUP($F189,Sheet3!$H$2:$O$200,AJ$1,FALSE),VLOOKUP($G189,Sheet3!$H$2:$O$200,AJ$1,FALSE)),$I$1),$I$1)</f>
        <v>0</v>
      </c>
      <c r="AK189" s="15">
        <f>IFERROR(IF(ISBLANK(AD189),IFERROR(VLOOKUP($F189,Sheet3!$H$2:$O$200,AK$1,FALSE),VLOOKUP($G189,Sheet3!$H$2:$O$200,AK$1,FALSE)),$I$1),$I$1)</f>
        <v>0</v>
      </c>
      <c r="AL189" s="15">
        <f>IFERROR(IF(ISBLANK(AE189),VLOOKUP($G189,Sheet3!$H$2:$O$200,AL$1,FALSE),$I$1),$I$1)</f>
        <v>0</v>
      </c>
      <c r="AM189" s="15">
        <f>IFERROR(IF(ISBLANK(AF189),VLOOKUP($G189,Sheet3!$H$2:$O$200,AM$1,FALSE),$I$1),$I$1)</f>
        <v>0</v>
      </c>
      <c r="AN189" s="15">
        <f>IFERROR(IF(ISBLANK(AG189),VLOOKUP($G189,Sheet3!$H$2:$O$200,AN$1,FALSE),$I$1),$I$1)</f>
        <v>0</v>
      </c>
      <c r="AO189" s="15">
        <f>IFERROR(IF(ISBLANK(AH189),VLOOKUP($G189,Sheet3!$H$2:$O$200,AO$1,FALSE),$I$1),$I$1)</f>
        <v>0</v>
      </c>
      <c r="AP189" s="15">
        <f>IFERROR(IF(ISBLANK(AI189),VLOOKUP($G189,Sheet3!$H$2:$O$200,AP$1,FALSE),$I$1),$I$1)</f>
        <v>0</v>
      </c>
      <c r="AQ189" s="15">
        <f>IFERROR(IF(ISBLANK(AJ189),VLOOKUP($G189,Sheet3!$H$2:$O$200,AQ$1,FALSE),$I$1),$I$1)</f>
        <v>0</v>
      </c>
      <c r="AR189" s="15">
        <f>IFERROR(IF(ISBLANK(AK189),VLOOKUP($G189,Sheet3!$H$2:$O$200,AR$1,FALSE),$I$1),$I$1)</f>
        <v>0</v>
      </c>
      <c r="AS189" s="15">
        <f t="shared" ref="AS189:AY189" si="196">IFERROR(IF(ISBLANK(J189),IF(ISBLANK(Q189),IF(ISBLANK(X189),IF(ISBLANK(AE189),IF(ISBLANK(AL189),$BB$1,AL189),AE189),X189),Q189),J189),$BB$1)</f>
        <v>0</v>
      </c>
      <c r="AT189" s="15" t="str">
        <f t="shared" si="196"/>
        <v>ginger beer</v>
      </c>
      <c r="AU189" s="15">
        <f t="shared" si="196"/>
        <v>0</v>
      </c>
      <c r="AV189" s="15">
        <f t="shared" si="196"/>
        <v>0</v>
      </c>
      <c r="AW189" s="15">
        <f t="shared" si="196"/>
        <v>0</v>
      </c>
      <c r="AX189" s="15">
        <f t="shared" si="196"/>
        <v>0</v>
      </c>
      <c r="AY189" s="15">
        <f t="shared" si="196"/>
        <v>0</v>
      </c>
      <c r="BA189" s="13">
        <f t="shared" si="1"/>
        <v>35</v>
      </c>
      <c r="BB189" s="15" t="b">
        <f t="shared" si="2"/>
        <v>0</v>
      </c>
    </row>
    <row r="190" spans="1:54" x14ac:dyDescent="0.2">
      <c r="A190" s="19" t="s">
        <v>365</v>
      </c>
      <c r="B190" s="19" t="s">
        <v>357</v>
      </c>
      <c r="C190" s="19" t="s">
        <v>158</v>
      </c>
      <c r="D190" s="19"/>
      <c r="E190" s="19"/>
      <c r="F190" s="19"/>
      <c r="G190" s="19"/>
      <c r="H190" s="19" t="s">
        <v>365</v>
      </c>
      <c r="I190" s="15">
        <v>1</v>
      </c>
      <c r="J190" s="15">
        <f>IFERROR(VLOOKUP($C190,Sheet3!$H$2:$O$200,J$1,FALSE),IFERROR(VLOOKUP($D190,Sheet3!$H$2:$O$200,J$1,FALSE),VLOOKUP($E190,Sheet3!$H$2:$O$200,J$1,FALSE)))</f>
        <v>0</v>
      </c>
      <c r="K190" s="15" t="str">
        <f>IFERROR(VLOOKUP($C190,Sheet3!$H$2:$O$200,K$1,FALSE),IFERROR(VLOOKUP($D190,Sheet3!$H$2:$O$200,K$1,FALSE),VLOOKUP($E190,Sheet3!$H$2:$O$200,K$1,FALSE)))</f>
        <v>tonic water</v>
      </c>
      <c r="L190" s="15">
        <f>IFERROR(VLOOKUP($C190,Sheet3!$H$2:$O$200,L$1,FALSE),IFERROR(VLOOKUP($D190,Sheet3!$H$2:$O$200,L$1,FALSE),VLOOKUP($E190,Sheet3!$H$2:$O$200,L$1,FALSE)))</f>
        <v>0</v>
      </c>
      <c r="M190" s="15">
        <f>IFERROR(VLOOKUP($C190,Sheet3!$H$2:$O$200,M$1,FALSE),IFERROR(VLOOKUP($D190,Sheet3!$H$2:$O$200,M$1,FALSE),VLOOKUP($E190,Sheet3!$H$2:$O$200,M$1,FALSE)))</f>
        <v>0</v>
      </c>
      <c r="N190" s="15">
        <f>IFERROR(VLOOKUP($C190,Sheet3!$H$2:$O$200,N$1,FALSE),IFERROR(VLOOKUP($D190,Sheet3!$H$2:$O$200,N$1,FALSE),VLOOKUP($E190,Sheet3!$H$2:$O$200,N$1,FALSE)))</f>
        <v>0</v>
      </c>
      <c r="O190" s="15">
        <f>IFERROR(VLOOKUP($C190,Sheet3!$H$2:$O$200,O$1,FALSE),IFERROR(VLOOKUP($D190,Sheet3!$H$2:$O$200,O$1,FALSE),VLOOKUP($E190,Sheet3!$H$2:$O$200,O$1,FALSE)))</f>
        <v>0</v>
      </c>
      <c r="P190" s="15">
        <f>IFERROR(VLOOKUP($C190,Sheet3!$H$2:$O$200,P$1,FALSE),IFERROR(VLOOKUP($D190,Sheet3!$H$2:$O$200,P$1,FALSE),VLOOKUP($E190,Sheet3!$H$2:$O$200,P$1,FALSE)))</f>
        <v>0</v>
      </c>
      <c r="Q190" s="15">
        <f>IFERROR(IF(ISBLANK(J190),IFERROR(VLOOKUP($D190,Sheet3!$H$2:$O$200,Q$1,FALSE),IFERROR(VLOOKUP($E190,Sheet3!$H$2:$O$200,Q$1,FALSE),VLOOKUP($F190,Sheet3!$H$2:$O$200,Q$1,FALSE))),$I$1),$I$1)</f>
        <v>0</v>
      </c>
      <c r="R190" s="15">
        <f>IFERROR(IF(ISBLANK(K190),IFERROR(VLOOKUP($D190,Sheet3!$H$2:$O$200,R$1,FALSE),IFERROR(VLOOKUP($E190,Sheet3!$H$2:$O$200,R$1,FALSE),VLOOKUP($F190,Sheet3!$H$2:$O$200,R$1,FALSE))),$I$1),$I$1)</f>
        <v>0</v>
      </c>
      <c r="S190" s="15">
        <f>IFERROR(IF(ISBLANK(L190),IFERROR(VLOOKUP($D190,Sheet3!$H$2:$O$200,S$1,FALSE),IFERROR(VLOOKUP($E190,Sheet3!$H$2:$O$200,S$1,FALSE),VLOOKUP($F190,Sheet3!$H$2:$O$200,S$1,FALSE))),$I$1),$I$1)</f>
        <v>0</v>
      </c>
      <c r="T190" s="15">
        <f>IFERROR(IF(ISBLANK(M190),IFERROR(VLOOKUP($D190,Sheet3!$H$2:$O$200,T$1,FALSE),IFERROR(VLOOKUP($E190,Sheet3!$H$2:$O$200,T$1,FALSE),VLOOKUP($F190,Sheet3!$H$2:$O$200,T$1,FALSE))),$I$1),$I$1)</f>
        <v>0</v>
      </c>
      <c r="U190" s="15">
        <f>IFERROR(IF(ISBLANK(N190),IFERROR(VLOOKUP($D190,Sheet3!$H$2:$O$200,U$1,FALSE),IFERROR(VLOOKUP($E190,Sheet3!$H$2:$O$200,U$1,FALSE),VLOOKUP($F190,Sheet3!$H$2:$O$200,U$1,FALSE))),$I$1),$I$1)</f>
        <v>0</v>
      </c>
      <c r="V190" s="15">
        <f>IFERROR(IF(ISBLANK(O190),IFERROR(VLOOKUP($D190,Sheet3!$H$2:$O$200,V$1,FALSE),IFERROR(VLOOKUP($E190,Sheet3!$H$2:$O$200,V$1,FALSE),VLOOKUP($F190,Sheet3!$H$2:$O$200,V$1,FALSE))),$I$1),$I$1)</f>
        <v>0</v>
      </c>
      <c r="W190" s="15">
        <f>IFERROR(IF(ISBLANK(P190),IFERROR(VLOOKUP($D190,Sheet3!$H$2:$O$200,W$1,FALSE),IFERROR(VLOOKUP($E190,Sheet3!$H$2:$O$200,W$1,FALSE),VLOOKUP($F190,Sheet3!$H$2:$O$200,W$1,FALSE))),$I$1),$I$1)</f>
        <v>0</v>
      </c>
      <c r="X190" s="15">
        <f>IFERROR(IF(ISBLANK(Q190),IFERROR(VLOOKUP($E190,Sheet3!$H$2:$O$200,X$1,FALSE),IFERROR(VLOOKUP($F190,Sheet3!$H$2:$O$200,X$1,FALSE),VLOOKUP($G190,Sheet3!$H$2:$O$200,X$1,FALSE))),$I$1),$I$1)</f>
        <v>0</v>
      </c>
      <c r="Y190" s="15">
        <f>IFERROR(IF(ISBLANK(R190),IFERROR(VLOOKUP($E190,Sheet3!$H$2:$O$200,Y$1,FALSE),IFERROR(VLOOKUP($F190,Sheet3!$H$2:$O$200,Y$1,FALSE),VLOOKUP($G190,Sheet3!$H$2:$O$200,Y$1,FALSE))),$I$1),$I$1)</f>
        <v>0</v>
      </c>
      <c r="Z190" s="15">
        <f>IFERROR(IF(ISBLANK(S190),IFERROR(VLOOKUP($E190,Sheet3!$H$2:$O$200,Z$1,FALSE),IFERROR(VLOOKUP($F190,Sheet3!$H$2:$O$200,Z$1,FALSE),VLOOKUP($G190,Sheet3!$H$2:$O$200,Z$1,FALSE))),$I$1),$I$1)</f>
        <v>0</v>
      </c>
      <c r="AA190" s="15">
        <f>IFERROR(IF(ISBLANK(T190),IFERROR(VLOOKUP($E190,Sheet3!$H$2:$O$200,AA$1,FALSE),IFERROR(VLOOKUP($F190,Sheet3!$H$2:$O$200,AA$1,FALSE),VLOOKUP($G190,Sheet3!$H$2:$O$200,AA$1,FALSE))),$I$1),$I$1)</f>
        <v>0</v>
      </c>
      <c r="AB190" s="15">
        <f>IFERROR(IF(ISBLANK(U190),IFERROR(VLOOKUP($E190,Sheet3!$H$2:$O$200,AB$1,FALSE),IFERROR(VLOOKUP($F190,Sheet3!$H$2:$O$200,AB$1,FALSE),VLOOKUP($G190,Sheet3!$H$2:$O$200,AB$1,FALSE))),$I$1),$I$1)</f>
        <v>0</v>
      </c>
      <c r="AC190" s="15">
        <f>IFERROR(IF(ISBLANK(V190),IFERROR(VLOOKUP($E190,Sheet3!$H$2:$O$200,AC$1,FALSE),IFERROR(VLOOKUP($F190,Sheet3!$H$2:$O$200,AC$1,FALSE),VLOOKUP($G190,Sheet3!$H$2:$O$200,AC$1,FALSE))),$I$1),$I$1)</f>
        <v>0</v>
      </c>
      <c r="AD190" s="15">
        <f>IFERROR(IF(ISBLANK(W190),IFERROR(VLOOKUP($E190,Sheet3!$H$2:$O$200,AD$1,FALSE),IFERROR(VLOOKUP($F190,Sheet3!$H$2:$O$200,AD$1,FALSE),VLOOKUP($G190,Sheet3!$H$2:$O$200,AD$1,FALSE))),$I$1),$I$1)</f>
        <v>0</v>
      </c>
      <c r="AE190" s="15">
        <f>IFERROR(IF(ISBLANK(X190),IFERROR(VLOOKUP($F190,Sheet3!$H$2:$O$200,AE$1,FALSE),VLOOKUP($G190,Sheet3!$H$2:$O$200,AE$1,FALSE)),$I$1),$I$1)</f>
        <v>0</v>
      </c>
      <c r="AF190" s="15">
        <f>IFERROR(IF(ISBLANK(Y190),IFERROR(VLOOKUP($F190,Sheet3!$H$2:$O$200,AF$1,FALSE),VLOOKUP($G190,Sheet3!$H$2:$O$200,AF$1,FALSE)),$I$1),$I$1)</f>
        <v>0</v>
      </c>
      <c r="AG190" s="15">
        <f>IFERROR(IF(ISBLANK(Z190),IFERROR(VLOOKUP($F190,Sheet3!$H$2:$O$200,AG$1,FALSE),VLOOKUP($G190,Sheet3!$H$2:$O$200,AG$1,FALSE)),$I$1),$I$1)</f>
        <v>0</v>
      </c>
      <c r="AH190" s="15">
        <f>IFERROR(IF(ISBLANK(AA190),IFERROR(VLOOKUP($F190,Sheet3!$H$2:$O$200,AH$1,FALSE),VLOOKUP($G190,Sheet3!$H$2:$O$200,AH$1,FALSE)),$I$1),$I$1)</f>
        <v>0</v>
      </c>
      <c r="AI190" s="15">
        <f>IFERROR(IF(ISBLANK(AB190),IFERROR(VLOOKUP($F190,Sheet3!$H$2:$O$200,AI$1,FALSE),VLOOKUP($G190,Sheet3!$H$2:$O$200,AI$1,FALSE)),$I$1),$I$1)</f>
        <v>0</v>
      </c>
      <c r="AJ190" s="15">
        <f>IFERROR(IF(ISBLANK(AC190),IFERROR(VLOOKUP($F190,Sheet3!$H$2:$O$200,AJ$1,FALSE),VLOOKUP($G190,Sheet3!$H$2:$O$200,AJ$1,FALSE)),$I$1),$I$1)</f>
        <v>0</v>
      </c>
      <c r="AK190" s="15">
        <f>IFERROR(IF(ISBLANK(AD190),IFERROR(VLOOKUP($F190,Sheet3!$H$2:$O$200,AK$1,FALSE),VLOOKUP($G190,Sheet3!$H$2:$O$200,AK$1,FALSE)),$I$1),$I$1)</f>
        <v>0</v>
      </c>
      <c r="AL190" s="15">
        <f>IFERROR(IF(ISBLANK(AE190),VLOOKUP($G190,Sheet3!$H$2:$O$200,AL$1,FALSE),$I$1),$I$1)</f>
        <v>0</v>
      </c>
      <c r="AM190" s="15">
        <f>IFERROR(IF(ISBLANK(AF190),VLOOKUP($G190,Sheet3!$H$2:$O$200,AM$1,FALSE),$I$1),$I$1)</f>
        <v>0</v>
      </c>
      <c r="AN190" s="15">
        <f>IFERROR(IF(ISBLANK(AG190),VLOOKUP($G190,Sheet3!$H$2:$O$200,AN$1,FALSE),$I$1),$I$1)</f>
        <v>0</v>
      </c>
      <c r="AO190" s="15">
        <f>IFERROR(IF(ISBLANK(AH190),VLOOKUP($G190,Sheet3!$H$2:$O$200,AO$1,FALSE),$I$1),$I$1)</f>
        <v>0</v>
      </c>
      <c r="AP190" s="15">
        <f>IFERROR(IF(ISBLANK(AI190),VLOOKUP($G190,Sheet3!$H$2:$O$200,AP$1,FALSE),$I$1),$I$1)</f>
        <v>0</v>
      </c>
      <c r="AQ190" s="15">
        <f>IFERROR(IF(ISBLANK(AJ190),VLOOKUP($G190,Sheet3!$H$2:$O$200,AQ$1,FALSE),$I$1),$I$1)</f>
        <v>0</v>
      </c>
      <c r="AR190" s="15">
        <f>IFERROR(IF(ISBLANK(AK190),VLOOKUP($G190,Sheet3!$H$2:$O$200,AR$1,FALSE),$I$1),$I$1)</f>
        <v>0</v>
      </c>
      <c r="AS190" s="15">
        <f t="shared" ref="AS190:AY190" si="197">IFERROR(IF(ISBLANK(J190),IF(ISBLANK(Q190),IF(ISBLANK(X190),IF(ISBLANK(AE190),IF(ISBLANK(AL190),$BB$1,AL190),AE190),X190),Q190),J190),$BB$1)</f>
        <v>0</v>
      </c>
      <c r="AT190" s="15" t="str">
        <f t="shared" si="197"/>
        <v>tonic water</v>
      </c>
      <c r="AU190" s="15">
        <f t="shared" si="197"/>
        <v>0</v>
      </c>
      <c r="AV190" s="15">
        <f t="shared" si="197"/>
        <v>0</v>
      </c>
      <c r="AW190" s="15">
        <f t="shared" si="197"/>
        <v>0</v>
      </c>
      <c r="AX190" s="15">
        <f t="shared" si="197"/>
        <v>0</v>
      </c>
      <c r="AY190" s="15">
        <f t="shared" si="197"/>
        <v>0</v>
      </c>
      <c r="BA190" s="13">
        <f t="shared" si="1"/>
        <v>35</v>
      </c>
      <c r="BB190" s="15" t="b">
        <f t="shared" si="2"/>
        <v>0</v>
      </c>
    </row>
    <row r="191" spans="1:54" x14ac:dyDescent="0.2">
      <c r="A191" s="19" t="s">
        <v>366</v>
      </c>
      <c r="B191" s="19" t="s">
        <v>357</v>
      </c>
      <c r="C191" s="19"/>
      <c r="D191" s="19" t="s">
        <v>126</v>
      </c>
      <c r="E191" s="19"/>
      <c r="F191" s="19"/>
      <c r="G191" s="19"/>
      <c r="H191" s="19" t="s">
        <v>366</v>
      </c>
      <c r="I191" s="15">
        <v>1</v>
      </c>
      <c r="J191" s="15">
        <f>IFERROR(VLOOKUP($C191,Sheet3!$H$2:$O$200,J$1,FALSE),IFERROR(VLOOKUP($D191,Sheet3!$H$2:$O$200,J$1,FALSE),VLOOKUP($E191,Sheet3!$H$2:$O$200,J$1,FALSE)))</f>
        <v>0</v>
      </c>
      <c r="K191" s="15">
        <f>IFERROR(VLOOKUP($C191,Sheet3!$H$2:$O$200,K$1,FALSE),IFERROR(VLOOKUP($D191,Sheet3!$H$2:$O$200,K$1,FALSE),VLOOKUP($E191,Sheet3!$H$2:$O$200,K$1,FALSE)))</f>
        <v>0</v>
      </c>
      <c r="L191" s="15" t="str">
        <f>IFERROR(VLOOKUP($C191,Sheet3!$H$2:$O$200,L$1,FALSE),IFERROR(VLOOKUP($D191,Sheet3!$H$2:$O$200,L$1,FALSE),VLOOKUP($E191,Sheet3!$H$2:$O$200,L$1,FALSE)))</f>
        <v>orange juice</v>
      </c>
      <c r="M191" s="15">
        <f>IFERROR(VLOOKUP($C191,Sheet3!$H$2:$O$200,M$1,FALSE),IFERROR(VLOOKUP($D191,Sheet3!$H$2:$O$200,M$1,FALSE),VLOOKUP($E191,Sheet3!$H$2:$O$200,M$1,FALSE)))</f>
        <v>0</v>
      </c>
      <c r="N191" s="15">
        <f>IFERROR(VLOOKUP($C191,Sheet3!$H$2:$O$200,N$1,FALSE),IFERROR(VLOOKUP($D191,Sheet3!$H$2:$O$200,N$1,FALSE),VLOOKUP($E191,Sheet3!$H$2:$O$200,N$1,FALSE)))</f>
        <v>0</v>
      </c>
      <c r="O191" s="15">
        <f>IFERROR(VLOOKUP($C191,Sheet3!$H$2:$O$200,O$1,FALSE),IFERROR(VLOOKUP($D191,Sheet3!$H$2:$O$200,O$1,FALSE),VLOOKUP($E191,Sheet3!$H$2:$O$200,O$1,FALSE)))</f>
        <v>0</v>
      </c>
      <c r="P191" s="15">
        <f>IFERROR(VLOOKUP($C191,Sheet3!$H$2:$O$200,P$1,FALSE),IFERROR(VLOOKUP($D191,Sheet3!$H$2:$O$200,P$1,FALSE),VLOOKUP($E191,Sheet3!$H$2:$O$200,P$1,FALSE)))</f>
        <v>0</v>
      </c>
      <c r="Q191" s="15">
        <f>IFERROR(IF(ISBLANK(J191),IFERROR(VLOOKUP($D191,Sheet3!$H$2:$O$200,Q$1,FALSE),IFERROR(VLOOKUP($E191,Sheet3!$H$2:$O$200,Q$1,FALSE),VLOOKUP($F191,Sheet3!$H$2:$O$200,Q$1,FALSE))),$I$1),$I$1)</f>
        <v>0</v>
      </c>
      <c r="R191" s="15">
        <f>IFERROR(IF(ISBLANK(K191),IFERROR(VLOOKUP($D191,Sheet3!$H$2:$O$200,R$1,FALSE),IFERROR(VLOOKUP($E191,Sheet3!$H$2:$O$200,R$1,FALSE),VLOOKUP($F191,Sheet3!$H$2:$O$200,R$1,FALSE))),$I$1),$I$1)</f>
        <v>0</v>
      </c>
      <c r="S191" s="15">
        <f>IFERROR(IF(ISBLANK(L191),IFERROR(VLOOKUP($D191,Sheet3!$H$2:$O$200,S$1,FALSE),IFERROR(VLOOKUP($E191,Sheet3!$H$2:$O$200,S$1,FALSE),VLOOKUP($F191,Sheet3!$H$2:$O$200,S$1,FALSE))),$I$1),$I$1)</f>
        <v>0</v>
      </c>
      <c r="T191" s="15">
        <f>IFERROR(IF(ISBLANK(M191),IFERROR(VLOOKUP($D191,Sheet3!$H$2:$O$200,T$1,FALSE),IFERROR(VLOOKUP($E191,Sheet3!$H$2:$O$200,T$1,FALSE),VLOOKUP($F191,Sheet3!$H$2:$O$200,T$1,FALSE))),$I$1),$I$1)</f>
        <v>0</v>
      </c>
      <c r="U191" s="15">
        <f>IFERROR(IF(ISBLANK(N191),IFERROR(VLOOKUP($D191,Sheet3!$H$2:$O$200,U$1,FALSE),IFERROR(VLOOKUP($E191,Sheet3!$H$2:$O$200,U$1,FALSE),VLOOKUP($F191,Sheet3!$H$2:$O$200,U$1,FALSE))),$I$1),$I$1)</f>
        <v>0</v>
      </c>
      <c r="V191" s="15">
        <f>IFERROR(IF(ISBLANK(O191),IFERROR(VLOOKUP($D191,Sheet3!$H$2:$O$200,V$1,FALSE),IFERROR(VLOOKUP($E191,Sheet3!$H$2:$O$200,V$1,FALSE),VLOOKUP($F191,Sheet3!$H$2:$O$200,V$1,FALSE))),$I$1),$I$1)</f>
        <v>0</v>
      </c>
      <c r="W191" s="15">
        <f>IFERROR(IF(ISBLANK(P191),IFERROR(VLOOKUP($D191,Sheet3!$H$2:$O$200,W$1,FALSE),IFERROR(VLOOKUP($E191,Sheet3!$H$2:$O$200,W$1,FALSE),VLOOKUP($F191,Sheet3!$H$2:$O$200,W$1,FALSE))),$I$1),$I$1)</f>
        <v>0</v>
      </c>
      <c r="X191" s="15">
        <f>IFERROR(IF(ISBLANK(Q191),IFERROR(VLOOKUP($E191,Sheet3!$H$2:$O$200,X$1,FALSE),IFERROR(VLOOKUP($F191,Sheet3!$H$2:$O$200,X$1,FALSE),VLOOKUP($G191,Sheet3!$H$2:$O$200,X$1,FALSE))),$I$1),$I$1)</f>
        <v>0</v>
      </c>
      <c r="Y191" s="15">
        <f>IFERROR(IF(ISBLANK(R191),IFERROR(VLOOKUP($E191,Sheet3!$H$2:$O$200,Y$1,FALSE),IFERROR(VLOOKUP($F191,Sheet3!$H$2:$O$200,Y$1,FALSE),VLOOKUP($G191,Sheet3!$H$2:$O$200,Y$1,FALSE))),$I$1),$I$1)</f>
        <v>0</v>
      </c>
      <c r="Z191" s="15">
        <f>IFERROR(IF(ISBLANK(S191),IFERROR(VLOOKUP($E191,Sheet3!$H$2:$O$200,Z$1,FALSE),IFERROR(VLOOKUP($F191,Sheet3!$H$2:$O$200,Z$1,FALSE),VLOOKUP($G191,Sheet3!$H$2:$O$200,Z$1,FALSE))),$I$1),$I$1)</f>
        <v>0</v>
      </c>
      <c r="AA191" s="15">
        <f>IFERROR(IF(ISBLANK(T191),IFERROR(VLOOKUP($E191,Sheet3!$H$2:$O$200,AA$1,FALSE),IFERROR(VLOOKUP($F191,Sheet3!$H$2:$O$200,AA$1,FALSE),VLOOKUP($G191,Sheet3!$H$2:$O$200,AA$1,FALSE))),$I$1),$I$1)</f>
        <v>0</v>
      </c>
      <c r="AB191" s="15">
        <f>IFERROR(IF(ISBLANK(U191),IFERROR(VLOOKUP($E191,Sheet3!$H$2:$O$200,AB$1,FALSE),IFERROR(VLOOKUP($F191,Sheet3!$H$2:$O$200,AB$1,FALSE),VLOOKUP($G191,Sheet3!$H$2:$O$200,AB$1,FALSE))),$I$1),$I$1)</f>
        <v>0</v>
      </c>
      <c r="AC191" s="15">
        <f>IFERROR(IF(ISBLANK(V191),IFERROR(VLOOKUP($E191,Sheet3!$H$2:$O$200,AC$1,FALSE),IFERROR(VLOOKUP($F191,Sheet3!$H$2:$O$200,AC$1,FALSE),VLOOKUP($G191,Sheet3!$H$2:$O$200,AC$1,FALSE))),$I$1),$I$1)</f>
        <v>0</v>
      </c>
      <c r="AD191" s="15">
        <f>IFERROR(IF(ISBLANK(W191),IFERROR(VLOOKUP($E191,Sheet3!$H$2:$O$200,AD$1,FALSE),IFERROR(VLOOKUP($F191,Sheet3!$H$2:$O$200,AD$1,FALSE),VLOOKUP($G191,Sheet3!$H$2:$O$200,AD$1,FALSE))),$I$1),$I$1)</f>
        <v>0</v>
      </c>
      <c r="AE191" s="15">
        <f>IFERROR(IF(ISBLANK(X191),IFERROR(VLOOKUP($F191,Sheet3!$H$2:$O$200,AE$1,FALSE),VLOOKUP($G191,Sheet3!$H$2:$O$200,AE$1,FALSE)),$I$1),$I$1)</f>
        <v>0</v>
      </c>
      <c r="AF191" s="15">
        <f>IFERROR(IF(ISBLANK(Y191),IFERROR(VLOOKUP($F191,Sheet3!$H$2:$O$200,AF$1,FALSE),VLOOKUP($G191,Sheet3!$H$2:$O$200,AF$1,FALSE)),$I$1),$I$1)</f>
        <v>0</v>
      </c>
      <c r="AG191" s="15">
        <f>IFERROR(IF(ISBLANK(Z191),IFERROR(VLOOKUP($F191,Sheet3!$H$2:$O$200,AG$1,FALSE),VLOOKUP($G191,Sheet3!$H$2:$O$200,AG$1,FALSE)),$I$1),$I$1)</f>
        <v>0</v>
      </c>
      <c r="AH191" s="15">
        <f>IFERROR(IF(ISBLANK(AA191),IFERROR(VLOOKUP($F191,Sheet3!$H$2:$O$200,AH$1,FALSE),VLOOKUP($G191,Sheet3!$H$2:$O$200,AH$1,FALSE)),$I$1),$I$1)</f>
        <v>0</v>
      </c>
      <c r="AI191" s="15">
        <f>IFERROR(IF(ISBLANK(AB191),IFERROR(VLOOKUP($F191,Sheet3!$H$2:$O$200,AI$1,FALSE),VLOOKUP($G191,Sheet3!$H$2:$O$200,AI$1,FALSE)),$I$1),$I$1)</f>
        <v>0</v>
      </c>
      <c r="AJ191" s="15">
        <f>IFERROR(IF(ISBLANK(AC191),IFERROR(VLOOKUP($F191,Sheet3!$H$2:$O$200,AJ$1,FALSE),VLOOKUP($G191,Sheet3!$H$2:$O$200,AJ$1,FALSE)),$I$1),$I$1)</f>
        <v>0</v>
      </c>
      <c r="AK191" s="15">
        <f>IFERROR(IF(ISBLANK(AD191),IFERROR(VLOOKUP($F191,Sheet3!$H$2:$O$200,AK$1,FALSE),VLOOKUP($G191,Sheet3!$H$2:$O$200,AK$1,FALSE)),$I$1),$I$1)</f>
        <v>0</v>
      </c>
      <c r="AL191" s="15">
        <f>IFERROR(IF(ISBLANK(AE191),VLOOKUP($G191,Sheet3!$H$2:$O$200,AL$1,FALSE),$I$1),$I$1)</f>
        <v>0</v>
      </c>
      <c r="AM191" s="15">
        <f>IFERROR(IF(ISBLANK(AF191),VLOOKUP($G191,Sheet3!$H$2:$O$200,AM$1,FALSE),$I$1),$I$1)</f>
        <v>0</v>
      </c>
      <c r="AN191" s="15">
        <f>IFERROR(IF(ISBLANK(AG191),VLOOKUP($G191,Sheet3!$H$2:$O$200,AN$1,FALSE),$I$1),$I$1)</f>
        <v>0</v>
      </c>
      <c r="AO191" s="15">
        <f>IFERROR(IF(ISBLANK(AH191),VLOOKUP($G191,Sheet3!$H$2:$O$200,AO$1,FALSE),$I$1),$I$1)</f>
        <v>0</v>
      </c>
      <c r="AP191" s="15">
        <f>IFERROR(IF(ISBLANK(AI191),VLOOKUP($G191,Sheet3!$H$2:$O$200,AP$1,FALSE),$I$1),$I$1)</f>
        <v>0</v>
      </c>
      <c r="AQ191" s="15">
        <f>IFERROR(IF(ISBLANK(AJ191),VLOOKUP($G191,Sheet3!$H$2:$O$200,AQ$1,FALSE),$I$1),$I$1)</f>
        <v>0</v>
      </c>
      <c r="AR191" s="15">
        <f>IFERROR(IF(ISBLANK(AK191),VLOOKUP($G191,Sheet3!$H$2:$O$200,AR$1,FALSE),$I$1),$I$1)</f>
        <v>0</v>
      </c>
      <c r="AS191" s="15">
        <f t="shared" ref="AS191:AY191" si="198">IFERROR(IF(ISBLANK(J191),IF(ISBLANK(Q191),IF(ISBLANK(X191),IF(ISBLANK(AE191),IF(ISBLANK(AL191),$BB$1,AL191),AE191),X191),Q191),J191),$BB$1)</f>
        <v>0</v>
      </c>
      <c r="AT191" s="15">
        <f t="shared" si="198"/>
        <v>0</v>
      </c>
      <c r="AU191" s="15" t="str">
        <f t="shared" si="198"/>
        <v>orange juice</v>
      </c>
      <c r="AV191" s="15">
        <f t="shared" si="198"/>
        <v>0</v>
      </c>
      <c r="AW191" s="15">
        <f t="shared" si="198"/>
        <v>0</v>
      </c>
      <c r="AX191" s="15">
        <f t="shared" si="198"/>
        <v>0</v>
      </c>
      <c r="AY191" s="15">
        <f t="shared" si="198"/>
        <v>0</v>
      </c>
      <c r="BA191" s="13">
        <f t="shared" si="1"/>
        <v>35</v>
      </c>
      <c r="BB191" s="15" t="b">
        <f t="shared" si="2"/>
        <v>0</v>
      </c>
    </row>
    <row r="192" spans="1:54" x14ac:dyDescent="0.2">
      <c r="A192" s="19" t="s">
        <v>367</v>
      </c>
      <c r="B192" s="19" t="s">
        <v>357</v>
      </c>
      <c r="C192" s="19" t="s">
        <v>76</v>
      </c>
      <c r="D192" s="19" t="s">
        <v>126</v>
      </c>
      <c r="E192" s="19"/>
      <c r="F192" s="19"/>
      <c r="G192" s="19"/>
      <c r="H192" s="19" t="s">
        <v>367</v>
      </c>
      <c r="I192" s="15">
        <v>2</v>
      </c>
      <c r="J192" s="15">
        <f>IFERROR(VLOOKUP($C192,Sheet3!$H$2:$O$200,J$1,FALSE),IFERROR(VLOOKUP($D192,Sheet3!$H$2:$O$200,J$1,FALSE),VLOOKUP($E192,Sheet3!$H$2:$O$200,J$1,FALSE)))</f>
        <v>0</v>
      </c>
      <c r="K192" s="15">
        <f>IFERROR(VLOOKUP($C192,Sheet3!$H$2:$O$200,K$1,FALSE),IFERROR(VLOOKUP($D192,Sheet3!$H$2:$O$200,K$1,FALSE),VLOOKUP($E192,Sheet3!$H$2:$O$200,K$1,FALSE)))</f>
        <v>0</v>
      </c>
      <c r="L192" s="15">
        <f>IFERROR(VLOOKUP($C192,Sheet3!$H$2:$O$200,L$1,FALSE),IFERROR(VLOOKUP($D192,Sheet3!$H$2:$O$200,L$1,FALSE),VLOOKUP($E192,Sheet3!$H$2:$O$200,L$1,FALSE)))</f>
        <v>0</v>
      </c>
      <c r="M192" s="15" t="str">
        <f>IFERROR(VLOOKUP($C192,Sheet3!$H$2:$O$200,M$1,FALSE),IFERROR(VLOOKUP($D192,Sheet3!$H$2:$O$200,M$1,FALSE),VLOOKUP($E192,Sheet3!$H$2:$O$200,M$1,FALSE)))</f>
        <v>peach schnapps</v>
      </c>
      <c r="N192" s="15">
        <f>IFERROR(VLOOKUP($C192,Sheet3!$H$2:$O$200,N$1,FALSE),IFERROR(VLOOKUP($D192,Sheet3!$H$2:$O$200,N$1,FALSE),VLOOKUP($E192,Sheet3!$H$2:$O$200,N$1,FALSE)))</f>
        <v>0</v>
      </c>
      <c r="O192" s="15">
        <f>IFERROR(VLOOKUP($C192,Sheet3!$H$2:$O$200,O$1,FALSE),IFERROR(VLOOKUP($D192,Sheet3!$H$2:$O$200,O$1,FALSE),VLOOKUP($E192,Sheet3!$H$2:$O$200,O$1,FALSE)))</f>
        <v>0</v>
      </c>
      <c r="P192" s="15">
        <f>IFERROR(VLOOKUP($C192,Sheet3!$H$2:$O$200,P$1,FALSE),IFERROR(VLOOKUP($D192,Sheet3!$H$2:$O$200,P$1,FALSE),VLOOKUP($E192,Sheet3!$H$2:$O$200,P$1,FALSE)))</f>
        <v>0</v>
      </c>
      <c r="Q192" s="15">
        <f>IFERROR(IF(ISBLANK(J192),IFERROR(VLOOKUP($D192,Sheet3!$H$2:$O$200,Q$1,FALSE),IFERROR(VLOOKUP($E192,Sheet3!$H$2:$O$200,Q$1,FALSE),VLOOKUP($F192,Sheet3!$H$2:$O$200,Q$1,FALSE))),$I$1),$I$1)</f>
        <v>0</v>
      </c>
      <c r="R192" s="15">
        <f>IFERROR(IF(ISBLANK(K192),IFERROR(VLOOKUP($D192,Sheet3!$H$2:$O$200,R$1,FALSE),IFERROR(VLOOKUP($E192,Sheet3!$H$2:$O$200,R$1,FALSE),VLOOKUP($F192,Sheet3!$H$2:$O$200,R$1,FALSE))),$I$1),$I$1)</f>
        <v>0</v>
      </c>
      <c r="S192" s="15">
        <f>IFERROR(IF(ISBLANK(L192),IFERROR(VLOOKUP($D192,Sheet3!$H$2:$O$200,S$1,FALSE),IFERROR(VLOOKUP($E192,Sheet3!$H$2:$O$200,S$1,FALSE),VLOOKUP($F192,Sheet3!$H$2:$O$200,S$1,FALSE))),$I$1),$I$1)</f>
        <v>0</v>
      </c>
      <c r="T192" s="15">
        <f>IFERROR(IF(ISBLANK(M192),IFERROR(VLOOKUP($D192,Sheet3!$H$2:$O$200,T$1,FALSE),IFERROR(VLOOKUP($E192,Sheet3!$H$2:$O$200,T$1,FALSE),VLOOKUP($F192,Sheet3!$H$2:$O$200,T$1,FALSE))),$I$1),$I$1)</f>
        <v>0</v>
      </c>
      <c r="U192" s="15">
        <f>IFERROR(IF(ISBLANK(N192),IFERROR(VLOOKUP($D192,Sheet3!$H$2:$O$200,U$1,FALSE),IFERROR(VLOOKUP($E192,Sheet3!$H$2:$O$200,U$1,FALSE),VLOOKUP($F192,Sheet3!$H$2:$O$200,U$1,FALSE))),$I$1),$I$1)</f>
        <v>0</v>
      </c>
      <c r="V192" s="15">
        <f>IFERROR(IF(ISBLANK(O192),IFERROR(VLOOKUP($D192,Sheet3!$H$2:$O$200,V$1,FALSE),IFERROR(VLOOKUP($E192,Sheet3!$H$2:$O$200,V$1,FALSE),VLOOKUP($F192,Sheet3!$H$2:$O$200,V$1,FALSE))),$I$1),$I$1)</f>
        <v>0</v>
      </c>
      <c r="W192" s="15">
        <f>IFERROR(IF(ISBLANK(P192),IFERROR(VLOOKUP($D192,Sheet3!$H$2:$O$200,W$1,FALSE),IFERROR(VLOOKUP($E192,Sheet3!$H$2:$O$200,W$1,FALSE),VLOOKUP($F192,Sheet3!$H$2:$O$200,W$1,FALSE))),$I$1),$I$1)</f>
        <v>0</v>
      </c>
      <c r="X192" s="15">
        <f>IFERROR(IF(ISBLANK(Q192),IFERROR(VLOOKUP($E192,Sheet3!$H$2:$O$200,X$1,FALSE),IFERROR(VLOOKUP($F192,Sheet3!$H$2:$O$200,X$1,FALSE),VLOOKUP($G192,Sheet3!$H$2:$O$200,X$1,FALSE))),$I$1),$I$1)</f>
        <v>0</v>
      </c>
      <c r="Y192" s="15">
        <f>IFERROR(IF(ISBLANK(R192),IFERROR(VLOOKUP($E192,Sheet3!$H$2:$O$200,Y$1,FALSE),IFERROR(VLOOKUP($F192,Sheet3!$H$2:$O$200,Y$1,FALSE),VLOOKUP($G192,Sheet3!$H$2:$O$200,Y$1,FALSE))),$I$1),$I$1)</f>
        <v>0</v>
      </c>
      <c r="Z192" s="15">
        <f>IFERROR(IF(ISBLANK(S192),IFERROR(VLOOKUP($E192,Sheet3!$H$2:$O$200,Z$1,FALSE),IFERROR(VLOOKUP($F192,Sheet3!$H$2:$O$200,Z$1,FALSE),VLOOKUP($G192,Sheet3!$H$2:$O$200,Z$1,FALSE))),$I$1),$I$1)</f>
        <v>0</v>
      </c>
      <c r="AA192" s="15">
        <f>IFERROR(IF(ISBLANK(T192),IFERROR(VLOOKUP($E192,Sheet3!$H$2:$O$200,AA$1,FALSE),IFERROR(VLOOKUP($F192,Sheet3!$H$2:$O$200,AA$1,FALSE),VLOOKUP($G192,Sheet3!$H$2:$O$200,AA$1,FALSE))),$I$1),$I$1)</f>
        <v>0</v>
      </c>
      <c r="AB192" s="15">
        <f>IFERROR(IF(ISBLANK(U192),IFERROR(VLOOKUP($E192,Sheet3!$H$2:$O$200,AB$1,FALSE),IFERROR(VLOOKUP($F192,Sheet3!$H$2:$O$200,AB$1,FALSE),VLOOKUP($G192,Sheet3!$H$2:$O$200,AB$1,FALSE))),$I$1),$I$1)</f>
        <v>0</v>
      </c>
      <c r="AC192" s="15">
        <f>IFERROR(IF(ISBLANK(V192),IFERROR(VLOOKUP($E192,Sheet3!$H$2:$O$200,AC$1,FALSE),IFERROR(VLOOKUP($F192,Sheet3!$H$2:$O$200,AC$1,FALSE),VLOOKUP($G192,Sheet3!$H$2:$O$200,AC$1,FALSE))),$I$1),$I$1)</f>
        <v>0</v>
      </c>
      <c r="AD192" s="15">
        <f>IFERROR(IF(ISBLANK(W192),IFERROR(VLOOKUP($E192,Sheet3!$H$2:$O$200,AD$1,FALSE),IFERROR(VLOOKUP($F192,Sheet3!$H$2:$O$200,AD$1,FALSE),VLOOKUP($G192,Sheet3!$H$2:$O$200,AD$1,FALSE))),$I$1),$I$1)</f>
        <v>0</v>
      </c>
      <c r="AE192" s="15">
        <f>IFERROR(IF(ISBLANK(X192),IFERROR(VLOOKUP($F192,Sheet3!$H$2:$O$200,AE$1,FALSE),VLOOKUP($G192,Sheet3!$H$2:$O$200,AE$1,FALSE)),$I$1),$I$1)</f>
        <v>0</v>
      </c>
      <c r="AF192" s="15">
        <f>IFERROR(IF(ISBLANK(Y192),IFERROR(VLOOKUP($F192,Sheet3!$H$2:$O$200,AF$1,FALSE),VLOOKUP($G192,Sheet3!$H$2:$O$200,AF$1,FALSE)),$I$1),$I$1)</f>
        <v>0</v>
      </c>
      <c r="AG192" s="15">
        <f>IFERROR(IF(ISBLANK(Z192),IFERROR(VLOOKUP($F192,Sheet3!$H$2:$O$200,AG$1,FALSE),VLOOKUP($G192,Sheet3!$H$2:$O$200,AG$1,FALSE)),$I$1),$I$1)</f>
        <v>0</v>
      </c>
      <c r="AH192" s="15">
        <f>IFERROR(IF(ISBLANK(AA192),IFERROR(VLOOKUP($F192,Sheet3!$H$2:$O$200,AH$1,FALSE),VLOOKUP($G192,Sheet3!$H$2:$O$200,AH$1,FALSE)),$I$1),$I$1)</f>
        <v>0</v>
      </c>
      <c r="AI192" s="15">
        <f>IFERROR(IF(ISBLANK(AB192),IFERROR(VLOOKUP($F192,Sheet3!$H$2:$O$200,AI$1,FALSE),VLOOKUP($G192,Sheet3!$H$2:$O$200,AI$1,FALSE)),$I$1),$I$1)</f>
        <v>0</v>
      </c>
      <c r="AJ192" s="15">
        <f>IFERROR(IF(ISBLANK(AC192),IFERROR(VLOOKUP($F192,Sheet3!$H$2:$O$200,AJ$1,FALSE),VLOOKUP($G192,Sheet3!$H$2:$O$200,AJ$1,FALSE)),$I$1),$I$1)</f>
        <v>0</v>
      </c>
      <c r="AK192" s="15">
        <f>IFERROR(IF(ISBLANK(AD192),IFERROR(VLOOKUP($F192,Sheet3!$H$2:$O$200,AK$1,FALSE),VLOOKUP($G192,Sheet3!$H$2:$O$200,AK$1,FALSE)),$I$1),$I$1)</f>
        <v>0</v>
      </c>
      <c r="AL192" s="15">
        <f>IFERROR(IF(ISBLANK(AE192),VLOOKUP($G192,Sheet3!$H$2:$O$200,AL$1,FALSE),$I$1),$I$1)</f>
        <v>0</v>
      </c>
      <c r="AM192" s="15">
        <f>IFERROR(IF(ISBLANK(AF192),VLOOKUP($G192,Sheet3!$H$2:$O$200,AM$1,FALSE),$I$1),$I$1)</f>
        <v>0</v>
      </c>
      <c r="AN192" s="15">
        <f>IFERROR(IF(ISBLANK(AG192),VLOOKUP($G192,Sheet3!$H$2:$O$200,AN$1,FALSE),$I$1),$I$1)</f>
        <v>0</v>
      </c>
      <c r="AO192" s="15">
        <f>IFERROR(IF(ISBLANK(AH192),VLOOKUP($G192,Sheet3!$H$2:$O$200,AO$1,FALSE),$I$1),$I$1)</f>
        <v>0</v>
      </c>
      <c r="AP192" s="15">
        <f>IFERROR(IF(ISBLANK(AI192),VLOOKUP($G192,Sheet3!$H$2:$O$200,AP$1,FALSE),$I$1),$I$1)</f>
        <v>0</v>
      </c>
      <c r="AQ192" s="15">
        <f>IFERROR(IF(ISBLANK(AJ192),VLOOKUP($G192,Sheet3!$H$2:$O$200,AQ$1,FALSE),$I$1),$I$1)</f>
        <v>0</v>
      </c>
      <c r="AR192" s="15">
        <f>IFERROR(IF(ISBLANK(AK192),VLOOKUP($G192,Sheet3!$H$2:$O$200,AR$1,FALSE),$I$1),$I$1)</f>
        <v>0</v>
      </c>
      <c r="AS192" s="15">
        <f t="shared" ref="AS192:AY192" si="199">IFERROR(IF(ISBLANK(J192),IF(ISBLANK(Q192),IF(ISBLANK(X192),IF(ISBLANK(AE192),IF(ISBLANK(AL192),$BB$1,AL192),AE192),X192),Q192),J192),$BB$1)</f>
        <v>0</v>
      </c>
      <c r="AT192" s="15">
        <f t="shared" si="199"/>
        <v>0</v>
      </c>
      <c r="AU192" s="15">
        <f t="shared" si="199"/>
        <v>0</v>
      </c>
      <c r="AV192" s="15" t="str">
        <f t="shared" si="199"/>
        <v>peach schnapps</v>
      </c>
      <c r="AW192" s="15">
        <f t="shared" si="199"/>
        <v>0</v>
      </c>
      <c r="AX192" s="15">
        <f t="shared" si="199"/>
        <v>0</v>
      </c>
      <c r="AY192" s="15">
        <f t="shared" si="199"/>
        <v>0</v>
      </c>
      <c r="BA192" s="13">
        <f t="shared" si="1"/>
        <v>35</v>
      </c>
      <c r="BB192" s="15" t="b">
        <f t="shared" si="2"/>
        <v>0</v>
      </c>
    </row>
    <row r="193" spans="1:54" x14ac:dyDescent="0.2">
      <c r="A193" s="19" t="s">
        <v>368</v>
      </c>
      <c r="B193" s="19" t="s">
        <v>357</v>
      </c>
      <c r="C193" s="19" t="s">
        <v>345</v>
      </c>
      <c r="D193" s="19" t="s">
        <v>126</v>
      </c>
      <c r="E193" s="19"/>
      <c r="F193" s="19"/>
      <c r="G193" s="19"/>
      <c r="H193" s="19" t="s">
        <v>368</v>
      </c>
      <c r="I193" s="15">
        <v>2</v>
      </c>
      <c r="J193" s="15">
        <f>IFERROR(VLOOKUP($C193,Sheet3!$H$2:$O$200,J$1,FALSE),IFERROR(VLOOKUP($D193,Sheet3!$H$2:$O$200,J$1,FALSE),VLOOKUP($E193,Sheet3!$H$2:$O$200,J$1,FALSE)))</f>
        <v>0</v>
      </c>
      <c r="K193" s="15">
        <f>IFERROR(VLOOKUP($C193,Sheet3!$H$2:$O$200,K$1,FALSE),IFERROR(VLOOKUP($D193,Sheet3!$H$2:$O$200,K$1,FALSE),VLOOKUP($E193,Sheet3!$H$2:$O$200,K$1,FALSE)))</f>
        <v>0</v>
      </c>
      <c r="L193" s="15">
        <f>IFERROR(VLOOKUP($C193,Sheet3!$H$2:$O$200,L$1,FALSE),IFERROR(VLOOKUP($D193,Sheet3!$H$2:$O$200,L$1,FALSE),VLOOKUP($E193,Sheet3!$H$2:$O$200,L$1,FALSE)))</f>
        <v>0</v>
      </c>
      <c r="M193" s="15" t="str">
        <f>IFERROR(VLOOKUP($C193,Sheet3!$H$2:$O$200,M$1,FALSE),IFERROR(VLOOKUP($D193,Sheet3!$H$2:$O$200,M$1,FALSE),VLOOKUP($E193,Sheet3!$H$2:$O$200,M$1,FALSE)))</f>
        <v>galliano</v>
      </c>
      <c r="N193" s="15">
        <f>IFERROR(VLOOKUP($C193,Sheet3!$H$2:$O$200,N$1,FALSE),IFERROR(VLOOKUP($D193,Sheet3!$H$2:$O$200,N$1,FALSE),VLOOKUP($E193,Sheet3!$H$2:$O$200,N$1,FALSE)))</f>
        <v>0</v>
      </c>
      <c r="O193" s="15">
        <f>IFERROR(VLOOKUP($C193,Sheet3!$H$2:$O$200,O$1,FALSE),IFERROR(VLOOKUP($D193,Sheet3!$H$2:$O$200,O$1,FALSE),VLOOKUP($E193,Sheet3!$H$2:$O$200,O$1,FALSE)))</f>
        <v>0</v>
      </c>
      <c r="P193" s="15">
        <f>IFERROR(VLOOKUP($C193,Sheet3!$H$2:$O$200,P$1,FALSE),IFERROR(VLOOKUP($D193,Sheet3!$H$2:$O$200,P$1,FALSE),VLOOKUP($E193,Sheet3!$H$2:$O$200,P$1,FALSE)))</f>
        <v>0</v>
      </c>
      <c r="Q193" s="15">
        <f>IFERROR(IF(ISBLANK(J193),IFERROR(VLOOKUP($D193,Sheet3!$H$2:$O$200,Q$1,FALSE),IFERROR(VLOOKUP($E193,Sheet3!$H$2:$O$200,Q$1,FALSE),VLOOKUP($F193,Sheet3!$H$2:$O$200,Q$1,FALSE))),$I$1),$I$1)</f>
        <v>0</v>
      </c>
      <c r="R193" s="15">
        <f>IFERROR(IF(ISBLANK(K193),IFERROR(VLOOKUP($D193,Sheet3!$H$2:$O$200,R$1,FALSE),IFERROR(VLOOKUP($E193,Sheet3!$H$2:$O$200,R$1,FALSE),VLOOKUP($F193,Sheet3!$H$2:$O$200,R$1,FALSE))),$I$1),$I$1)</f>
        <v>0</v>
      </c>
      <c r="S193" s="15">
        <f>IFERROR(IF(ISBLANK(L193),IFERROR(VLOOKUP($D193,Sheet3!$H$2:$O$200,S$1,FALSE),IFERROR(VLOOKUP($E193,Sheet3!$H$2:$O$200,S$1,FALSE),VLOOKUP($F193,Sheet3!$H$2:$O$200,S$1,FALSE))),$I$1),$I$1)</f>
        <v>0</v>
      </c>
      <c r="T193" s="15">
        <f>IFERROR(IF(ISBLANK(M193),IFERROR(VLOOKUP($D193,Sheet3!$H$2:$O$200,T$1,FALSE),IFERROR(VLOOKUP($E193,Sheet3!$H$2:$O$200,T$1,FALSE),VLOOKUP($F193,Sheet3!$H$2:$O$200,T$1,FALSE))),$I$1),$I$1)</f>
        <v>0</v>
      </c>
      <c r="U193" s="15">
        <f>IFERROR(IF(ISBLANK(N193),IFERROR(VLOOKUP($D193,Sheet3!$H$2:$O$200,U$1,FALSE),IFERROR(VLOOKUP($E193,Sheet3!$H$2:$O$200,U$1,FALSE),VLOOKUP($F193,Sheet3!$H$2:$O$200,U$1,FALSE))),$I$1),$I$1)</f>
        <v>0</v>
      </c>
      <c r="V193" s="15">
        <f>IFERROR(IF(ISBLANK(O193),IFERROR(VLOOKUP($D193,Sheet3!$H$2:$O$200,V$1,FALSE),IFERROR(VLOOKUP($E193,Sheet3!$H$2:$O$200,V$1,FALSE),VLOOKUP($F193,Sheet3!$H$2:$O$200,V$1,FALSE))),$I$1),$I$1)</f>
        <v>0</v>
      </c>
      <c r="W193" s="15">
        <f>IFERROR(IF(ISBLANK(P193),IFERROR(VLOOKUP($D193,Sheet3!$H$2:$O$200,W$1,FALSE),IFERROR(VLOOKUP($E193,Sheet3!$H$2:$O$200,W$1,FALSE),VLOOKUP($F193,Sheet3!$H$2:$O$200,W$1,FALSE))),$I$1),$I$1)</f>
        <v>0</v>
      </c>
      <c r="X193" s="15">
        <f>IFERROR(IF(ISBLANK(Q193),IFERROR(VLOOKUP($E193,Sheet3!$H$2:$O$200,X$1,FALSE),IFERROR(VLOOKUP($F193,Sheet3!$H$2:$O$200,X$1,FALSE),VLOOKUP($G193,Sheet3!$H$2:$O$200,X$1,FALSE))),$I$1),$I$1)</f>
        <v>0</v>
      </c>
      <c r="Y193" s="15">
        <f>IFERROR(IF(ISBLANK(R193),IFERROR(VLOOKUP($E193,Sheet3!$H$2:$O$200,Y$1,FALSE),IFERROR(VLOOKUP($F193,Sheet3!$H$2:$O$200,Y$1,FALSE),VLOOKUP($G193,Sheet3!$H$2:$O$200,Y$1,FALSE))),$I$1),$I$1)</f>
        <v>0</v>
      </c>
      <c r="Z193" s="15">
        <f>IFERROR(IF(ISBLANK(S193),IFERROR(VLOOKUP($E193,Sheet3!$H$2:$O$200,Z$1,FALSE),IFERROR(VLOOKUP($F193,Sheet3!$H$2:$O$200,Z$1,FALSE),VLOOKUP($G193,Sheet3!$H$2:$O$200,Z$1,FALSE))),$I$1),$I$1)</f>
        <v>0</v>
      </c>
      <c r="AA193" s="15">
        <f>IFERROR(IF(ISBLANK(T193),IFERROR(VLOOKUP($E193,Sheet3!$H$2:$O$200,AA$1,FALSE),IFERROR(VLOOKUP($F193,Sheet3!$H$2:$O$200,AA$1,FALSE),VLOOKUP($G193,Sheet3!$H$2:$O$200,AA$1,FALSE))),$I$1),$I$1)</f>
        <v>0</v>
      </c>
      <c r="AB193" s="15">
        <f>IFERROR(IF(ISBLANK(U193),IFERROR(VLOOKUP($E193,Sheet3!$H$2:$O$200,AB$1,FALSE),IFERROR(VLOOKUP($F193,Sheet3!$H$2:$O$200,AB$1,FALSE),VLOOKUP($G193,Sheet3!$H$2:$O$200,AB$1,FALSE))),$I$1),$I$1)</f>
        <v>0</v>
      </c>
      <c r="AC193" s="15">
        <f>IFERROR(IF(ISBLANK(V193),IFERROR(VLOOKUP($E193,Sheet3!$H$2:$O$200,AC$1,FALSE),IFERROR(VLOOKUP($F193,Sheet3!$H$2:$O$200,AC$1,FALSE),VLOOKUP($G193,Sheet3!$H$2:$O$200,AC$1,FALSE))),$I$1),$I$1)</f>
        <v>0</v>
      </c>
      <c r="AD193" s="15">
        <f>IFERROR(IF(ISBLANK(W193),IFERROR(VLOOKUP($E193,Sheet3!$H$2:$O$200,AD$1,FALSE),IFERROR(VLOOKUP($F193,Sheet3!$H$2:$O$200,AD$1,FALSE),VLOOKUP($G193,Sheet3!$H$2:$O$200,AD$1,FALSE))),$I$1),$I$1)</f>
        <v>0</v>
      </c>
      <c r="AE193" s="15">
        <f>IFERROR(IF(ISBLANK(X193),IFERROR(VLOOKUP($F193,Sheet3!$H$2:$O$200,AE$1,FALSE),VLOOKUP($G193,Sheet3!$H$2:$O$200,AE$1,FALSE)),$I$1),$I$1)</f>
        <v>0</v>
      </c>
      <c r="AF193" s="15">
        <f>IFERROR(IF(ISBLANK(Y193),IFERROR(VLOOKUP($F193,Sheet3!$H$2:$O$200,AF$1,FALSE),VLOOKUP($G193,Sheet3!$H$2:$O$200,AF$1,FALSE)),$I$1),$I$1)</f>
        <v>0</v>
      </c>
      <c r="AG193" s="15">
        <f>IFERROR(IF(ISBLANK(Z193),IFERROR(VLOOKUP($F193,Sheet3!$H$2:$O$200,AG$1,FALSE),VLOOKUP($G193,Sheet3!$H$2:$O$200,AG$1,FALSE)),$I$1),$I$1)</f>
        <v>0</v>
      </c>
      <c r="AH193" s="15">
        <f>IFERROR(IF(ISBLANK(AA193),IFERROR(VLOOKUP($F193,Sheet3!$H$2:$O$200,AH$1,FALSE),VLOOKUP($G193,Sheet3!$H$2:$O$200,AH$1,FALSE)),$I$1),$I$1)</f>
        <v>0</v>
      </c>
      <c r="AI193" s="15">
        <f>IFERROR(IF(ISBLANK(AB193),IFERROR(VLOOKUP($F193,Sheet3!$H$2:$O$200,AI$1,FALSE),VLOOKUP($G193,Sheet3!$H$2:$O$200,AI$1,FALSE)),$I$1),$I$1)</f>
        <v>0</v>
      </c>
      <c r="AJ193" s="15">
        <f>IFERROR(IF(ISBLANK(AC193),IFERROR(VLOOKUP($F193,Sheet3!$H$2:$O$200,AJ$1,FALSE),VLOOKUP($G193,Sheet3!$H$2:$O$200,AJ$1,FALSE)),$I$1),$I$1)</f>
        <v>0</v>
      </c>
      <c r="AK193" s="15">
        <f>IFERROR(IF(ISBLANK(AD193),IFERROR(VLOOKUP($F193,Sheet3!$H$2:$O$200,AK$1,FALSE),VLOOKUP($G193,Sheet3!$H$2:$O$200,AK$1,FALSE)),$I$1),$I$1)</f>
        <v>0</v>
      </c>
      <c r="AL193" s="15">
        <f>IFERROR(IF(ISBLANK(AE193),VLOOKUP($G193,Sheet3!$H$2:$O$200,AL$1,FALSE),$I$1),$I$1)</f>
        <v>0</v>
      </c>
      <c r="AM193" s="15">
        <f>IFERROR(IF(ISBLANK(AF193),VLOOKUP($G193,Sheet3!$H$2:$O$200,AM$1,FALSE),$I$1),$I$1)</f>
        <v>0</v>
      </c>
      <c r="AN193" s="15">
        <f>IFERROR(IF(ISBLANK(AG193),VLOOKUP($G193,Sheet3!$H$2:$O$200,AN$1,FALSE),$I$1),$I$1)</f>
        <v>0</v>
      </c>
      <c r="AO193" s="15">
        <f>IFERROR(IF(ISBLANK(AH193),VLOOKUP($G193,Sheet3!$H$2:$O$200,AO$1,FALSE),$I$1),$I$1)</f>
        <v>0</v>
      </c>
      <c r="AP193" s="15">
        <f>IFERROR(IF(ISBLANK(AI193),VLOOKUP($G193,Sheet3!$H$2:$O$200,AP$1,FALSE),$I$1),$I$1)</f>
        <v>0</v>
      </c>
      <c r="AQ193" s="15">
        <f>IFERROR(IF(ISBLANK(AJ193),VLOOKUP($G193,Sheet3!$H$2:$O$200,AQ$1,FALSE),$I$1),$I$1)</f>
        <v>0</v>
      </c>
      <c r="AR193" s="15">
        <f>IFERROR(IF(ISBLANK(AK193),VLOOKUP($G193,Sheet3!$H$2:$O$200,AR$1,FALSE),$I$1),$I$1)</f>
        <v>0</v>
      </c>
      <c r="AS193" s="15">
        <f t="shared" ref="AS193:AY193" si="200">IFERROR(IF(ISBLANK(J193),IF(ISBLANK(Q193),IF(ISBLANK(X193),IF(ISBLANK(AE193),IF(ISBLANK(AL193),$BB$1,AL193),AE193),X193),Q193),J193),$BB$1)</f>
        <v>0</v>
      </c>
      <c r="AT193" s="15">
        <f t="shared" si="200"/>
        <v>0</v>
      </c>
      <c r="AU193" s="15">
        <f t="shared" si="200"/>
        <v>0</v>
      </c>
      <c r="AV193" s="15" t="str">
        <f t="shared" si="200"/>
        <v>galliano</v>
      </c>
      <c r="AW193" s="15">
        <f t="shared" si="200"/>
        <v>0</v>
      </c>
      <c r="AX193" s="15">
        <f t="shared" si="200"/>
        <v>0</v>
      </c>
      <c r="AY193" s="15">
        <f t="shared" si="200"/>
        <v>0</v>
      </c>
      <c r="BA193" s="13">
        <f t="shared" si="1"/>
        <v>35</v>
      </c>
      <c r="BB193" s="15" t="b">
        <f t="shared" si="2"/>
        <v>0</v>
      </c>
    </row>
    <row r="194" spans="1:54" x14ac:dyDescent="0.2">
      <c r="A194" s="19" t="s">
        <v>369</v>
      </c>
      <c r="B194" s="19" t="s">
        <v>357</v>
      </c>
      <c r="C194" s="19" t="s">
        <v>282</v>
      </c>
      <c r="D194" s="19" t="s">
        <v>126</v>
      </c>
      <c r="E194" s="19" t="s">
        <v>30</v>
      </c>
      <c r="F194" s="19"/>
      <c r="G194" s="19"/>
      <c r="H194" s="19" t="s">
        <v>369</v>
      </c>
      <c r="I194" s="15">
        <v>3</v>
      </c>
      <c r="J194" s="15" t="str">
        <f>IFERROR(VLOOKUP($C194,Sheet3!$H$2:$O$200,J$1,FALSE),IFERROR(VLOOKUP($D194,Sheet3!$H$2:$O$200,J$1,FALSE),VLOOKUP($E194,Sheet3!$H$2:$O$200,J$1,FALSE)))</f>
        <v>sloe gin</v>
      </c>
      <c r="K194" s="15">
        <f>IFERROR(VLOOKUP($C194,Sheet3!$H$2:$O$200,K$1,FALSE),IFERROR(VLOOKUP($D194,Sheet3!$H$2:$O$200,K$1,FALSE),VLOOKUP($E194,Sheet3!$H$2:$O$200,K$1,FALSE)))</f>
        <v>0</v>
      </c>
      <c r="L194" s="15">
        <f>IFERROR(VLOOKUP($C194,Sheet3!$H$2:$O$200,L$1,FALSE),IFERROR(VLOOKUP($D194,Sheet3!$H$2:$O$200,L$1,FALSE),VLOOKUP($E194,Sheet3!$H$2:$O$200,L$1,FALSE)))</f>
        <v>0</v>
      </c>
      <c r="M194" s="15">
        <f>IFERROR(VLOOKUP($C194,Sheet3!$H$2:$O$200,M$1,FALSE),IFERROR(VLOOKUP($D194,Sheet3!$H$2:$O$200,M$1,FALSE),VLOOKUP($E194,Sheet3!$H$2:$O$200,M$1,FALSE)))</f>
        <v>0</v>
      </c>
      <c r="N194" s="15">
        <f>IFERROR(VLOOKUP($C194,Sheet3!$H$2:$O$200,N$1,FALSE),IFERROR(VLOOKUP($D194,Sheet3!$H$2:$O$200,N$1,FALSE),VLOOKUP($E194,Sheet3!$H$2:$O$200,N$1,FALSE)))</f>
        <v>0</v>
      </c>
      <c r="O194" s="15">
        <f>IFERROR(VLOOKUP($C194,Sheet3!$H$2:$O$200,O$1,FALSE),IFERROR(VLOOKUP($D194,Sheet3!$H$2:$O$200,O$1,FALSE),VLOOKUP($E194,Sheet3!$H$2:$O$200,O$1,FALSE)))</f>
        <v>0</v>
      </c>
      <c r="P194" s="15">
        <f>IFERROR(VLOOKUP($C194,Sheet3!$H$2:$O$200,P$1,FALSE),IFERROR(VLOOKUP($D194,Sheet3!$H$2:$O$200,P$1,FALSE),VLOOKUP($E194,Sheet3!$H$2:$O$200,P$1,FALSE)))</f>
        <v>0</v>
      </c>
      <c r="Q194" s="15">
        <f>IFERROR(IF(ISBLANK(J194),IFERROR(VLOOKUP($D194,Sheet3!$H$2:$O$200,Q$1,FALSE),IFERROR(VLOOKUP($E194,Sheet3!$H$2:$O$200,Q$1,FALSE),VLOOKUP($F194,Sheet3!$H$2:$O$200,Q$1,FALSE))),$I$1),$I$1)</f>
        <v>0</v>
      </c>
      <c r="R194" s="15">
        <f>IFERROR(IF(ISBLANK(K194),IFERROR(VLOOKUP($D194,Sheet3!$H$2:$O$200,R$1,FALSE),IFERROR(VLOOKUP($E194,Sheet3!$H$2:$O$200,R$1,FALSE),VLOOKUP($F194,Sheet3!$H$2:$O$200,R$1,FALSE))),$I$1),$I$1)</f>
        <v>0</v>
      </c>
      <c r="S194" s="15">
        <f>IFERROR(IF(ISBLANK(L194),IFERROR(VLOOKUP($D194,Sheet3!$H$2:$O$200,S$1,FALSE),IFERROR(VLOOKUP($E194,Sheet3!$H$2:$O$200,S$1,FALSE),VLOOKUP($F194,Sheet3!$H$2:$O$200,S$1,FALSE))),$I$1),$I$1)</f>
        <v>0</v>
      </c>
      <c r="T194" s="15">
        <f>IFERROR(IF(ISBLANK(M194),IFERROR(VLOOKUP($D194,Sheet3!$H$2:$O$200,T$1,FALSE),IFERROR(VLOOKUP($E194,Sheet3!$H$2:$O$200,T$1,FALSE),VLOOKUP($F194,Sheet3!$H$2:$O$200,T$1,FALSE))),$I$1),$I$1)</f>
        <v>0</v>
      </c>
      <c r="U194" s="15">
        <f>IFERROR(IF(ISBLANK(N194),IFERROR(VLOOKUP($D194,Sheet3!$H$2:$O$200,U$1,FALSE),IFERROR(VLOOKUP($E194,Sheet3!$H$2:$O$200,U$1,FALSE),VLOOKUP($F194,Sheet3!$H$2:$O$200,U$1,FALSE))),$I$1),$I$1)</f>
        <v>0</v>
      </c>
      <c r="V194" s="15">
        <f>IFERROR(IF(ISBLANK(O194),IFERROR(VLOOKUP($D194,Sheet3!$H$2:$O$200,V$1,FALSE),IFERROR(VLOOKUP($E194,Sheet3!$H$2:$O$200,V$1,FALSE),VLOOKUP($F194,Sheet3!$H$2:$O$200,V$1,FALSE))),$I$1),$I$1)</f>
        <v>0</v>
      </c>
      <c r="W194" s="15">
        <f>IFERROR(IF(ISBLANK(P194),IFERROR(VLOOKUP($D194,Sheet3!$H$2:$O$200,W$1,FALSE),IFERROR(VLOOKUP($E194,Sheet3!$H$2:$O$200,W$1,FALSE),VLOOKUP($F194,Sheet3!$H$2:$O$200,W$1,FALSE))),$I$1),$I$1)</f>
        <v>0</v>
      </c>
      <c r="X194" s="15">
        <f>IFERROR(IF(ISBLANK(Q194),IFERROR(VLOOKUP($E194,Sheet3!$H$2:$O$200,X$1,FALSE),IFERROR(VLOOKUP($F194,Sheet3!$H$2:$O$200,X$1,FALSE),VLOOKUP($G194,Sheet3!$H$2:$O$200,X$1,FALSE))),$I$1),$I$1)</f>
        <v>0</v>
      </c>
      <c r="Y194" s="15">
        <f>IFERROR(IF(ISBLANK(R194),IFERROR(VLOOKUP($E194,Sheet3!$H$2:$O$200,Y$1,FALSE),IFERROR(VLOOKUP($F194,Sheet3!$H$2:$O$200,Y$1,FALSE),VLOOKUP($G194,Sheet3!$H$2:$O$200,Y$1,FALSE))),$I$1),$I$1)</f>
        <v>0</v>
      </c>
      <c r="Z194" s="15">
        <f>IFERROR(IF(ISBLANK(S194),IFERROR(VLOOKUP($E194,Sheet3!$H$2:$O$200,Z$1,FALSE),IFERROR(VLOOKUP($F194,Sheet3!$H$2:$O$200,Z$1,FALSE),VLOOKUP($G194,Sheet3!$H$2:$O$200,Z$1,FALSE))),$I$1),$I$1)</f>
        <v>0</v>
      </c>
      <c r="AA194" s="15">
        <f>IFERROR(IF(ISBLANK(T194),IFERROR(VLOOKUP($E194,Sheet3!$H$2:$O$200,AA$1,FALSE),IFERROR(VLOOKUP($F194,Sheet3!$H$2:$O$200,AA$1,FALSE),VLOOKUP($G194,Sheet3!$H$2:$O$200,AA$1,FALSE))),$I$1),$I$1)</f>
        <v>0</v>
      </c>
      <c r="AB194" s="15">
        <f>IFERROR(IF(ISBLANK(U194),IFERROR(VLOOKUP($E194,Sheet3!$H$2:$O$200,AB$1,FALSE),IFERROR(VLOOKUP($F194,Sheet3!$H$2:$O$200,AB$1,FALSE),VLOOKUP($G194,Sheet3!$H$2:$O$200,AB$1,FALSE))),$I$1),$I$1)</f>
        <v>0</v>
      </c>
      <c r="AC194" s="15">
        <f>IFERROR(IF(ISBLANK(V194),IFERROR(VLOOKUP($E194,Sheet3!$H$2:$O$200,AC$1,FALSE),IFERROR(VLOOKUP($F194,Sheet3!$H$2:$O$200,AC$1,FALSE),VLOOKUP($G194,Sheet3!$H$2:$O$200,AC$1,FALSE))),$I$1),$I$1)</f>
        <v>0</v>
      </c>
      <c r="AD194" s="15">
        <f>IFERROR(IF(ISBLANK(W194),IFERROR(VLOOKUP($E194,Sheet3!$H$2:$O$200,AD$1,FALSE),IFERROR(VLOOKUP($F194,Sheet3!$H$2:$O$200,AD$1,FALSE),VLOOKUP($G194,Sheet3!$H$2:$O$200,AD$1,FALSE))),$I$1),$I$1)</f>
        <v>0</v>
      </c>
      <c r="AE194" s="15">
        <f>IFERROR(IF(ISBLANK(X194),IFERROR(VLOOKUP($F194,Sheet3!$H$2:$O$200,AE$1,FALSE),VLOOKUP($G194,Sheet3!$H$2:$O$200,AE$1,FALSE)),$I$1),$I$1)</f>
        <v>0</v>
      </c>
      <c r="AF194" s="15">
        <f>IFERROR(IF(ISBLANK(Y194),IFERROR(VLOOKUP($F194,Sheet3!$H$2:$O$200,AF$1,FALSE),VLOOKUP($G194,Sheet3!$H$2:$O$200,AF$1,FALSE)),$I$1),$I$1)</f>
        <v>0</v>
      </c>
      <c r="AG194" s="15">
        <f>IFERROR(IF(ISBLANK(Z194),IFERROR(VLOOKUP($F194,Sheet3!$H$2:$O$200,AG$1,FALSE),VLOOKUP($G194,Sheet3!$H$2:$O$200,AG$1,FALSE)),$I$1),$I$1)</f>
        <v>0</v>
      </c>
      <c r="AH194" s="15">
        <f>IFERROR(IF(ISBLANK(AA194),IFERROR(VLOOKUP($F194,Sheet3!$H$2:$O$200,AH$1,FALSE),VLOOKUP($G194,Sheet3!$H$2:$O$200,AH$1,FALSE)),$I$1),$I$1)</f>
        <v>0</v>
      </c>
      <c r="AI194" s="15">
        <f>IFERROR(IF(ISBLANK(AB194),IFERROR(VLOOKUP($F194,Sheet3!$H$2:$O$200,AI$1,FALSE),VLOOKUP($G194,Sheet3!$H$2:$O$200,AI$1,FALSE)),$I$1),$I$1)</f>
        <v>0</v>
      </c>
      <c r="AJ194" s="15">
        <f>IFERROR(IF(ISBLANK(AC194),IFERROR(VLOOKUP($F194,Sheet3!$H$2:$O$200,AJ$1,FALSE),VLOOKUP($G194,Sheet3!$H$2:$O$200,AJ$1,FALSE)),$I$1),$I$1)</f>
        <v>0</v>
      </c>
      <c r="AK194" s="15">
        <f>IFERROR(IF(ISBLANK(AD194),IFERROR(VLOOKUP($F194,Sheet3!$H$2:$O$200,AK$1,FALSE),VLOOKUP($G194,Sheet3!$H$2:$O$200,AK$1,FALSE)),$I$1),$I$1)</f>
        <v>0</v>
      </c>
      <c r="AL194" s="15">
        <f>IFERROR(IF(ISBLANK(AE194),VLOOKUP($G194,Sheet3!$H$2:$O$200,AL$1,FALSE),$I$1),$I$1)</f>
        <v>0</v>
      </c>
      <c r="AM194" s="15">
        <f>IFERROR(IF(ISBLANK(AF194),VLOOKUP($G194,Sheet3!$H$2:$O$200,AM$1,FALSE),$I$1),$I$1)</f>
        <v>0</v>
      </c>
      <c r="AN194" s="15">
        <f>IFERROR(IF(ISBLANK(AG194),VLOOKUP($G194,Sheet3!$H$2:$O$200,AN$1,FALSE),$I$1),$I$1)</f>
        <v>0</v>
      </c>
      <c r="AO194" s="15">
        <f>IFERROR(IF(ISBLANK(AH194),VLOOKUP($G194,Sheet3!$H$2:$O$200,AO$1,FALSE),$I$1),$I$1)</f>
        <v>0</v>
      </c>
      <c r="AP194" s="15">
        <f>IFERROR(IF(ISBLANK(AI194),VLOOKUP($G194,Sheet3!$H$2:$O$200,AP$1,FALSE),$I$1),$I$1)</f>
        <v>0</v>
      </c>
      <c r="AQ194" s="15">
        <f>IFERROR(IF(ISBLANK(AJ194),VLOOKUP($G194,Sheet3!$H$2:$O$200,AQ$1,FALSE),$I$1),$I$1)</f>
        <v>0</v>
      </c>
      <c r="AR194" s="15">
        <f>IFERROR(IF(ISBLANK(AK194),VLOOKUP($G194,Sheet3!$H$2:$O$200,AR$1,FALSE),$I$1),$I$1)</f>
        <v>0</v>
      </c>
      <c r="AS194" s="15" t="str">
        <f t="shared" ref="AS194:AY194" si="201">IFERROR(IF(ISBLANK(J194),IF(ISBLANK(Q194),IF(ISBLANK(X194),IF(ISBLANK(AE194),IF(ISBLANK(AL194),$BB$1,AL194),AE194),X194),Q194),J194),$BB$1)</f>
        <v>sloe gin</v>
      </c>
      <c r="AT194" s="15">
        <f t="shared" si="201"/>
        <v>0</v>
      </c>
      <c r="AU194" s="15">
        <f t="shared" si="201"/>
        <v>0</v>
      </c>
      <c r="AV194" s="15">
        <f t="shared" si="201"/>
        <v>0</v>
      </c>
      <c r="AW194" s="15">
        <f t="shared" si="201"/>
        <v>0</v>
      </c>
      <c r="AX194" s="15">
        <f t="shared" si="201"/>
        <v>0</v>
      </c>
      <c r="AY194" s="15">
        <f t="shared" si="201"/>
        <v>0</v>
      </c>
      <c r="BA194" s="13">
        <f t="shared" si="1"/>
        <v>35</v>
      </c>
      <c r="BB194" s="15" t="b">
        <f t="shared" si="2"/>
        <v>0</v>
      </c>
    </row>
    <row r="195" spans="1:54" x14ac:dyDescent="0.2">
      <c r="A195" s="19" t="s">
        <v>370</v>
      </c>
      <c r="B195" s="19" t="s">
        <v>357</v>
      </c>
      <c r="C195" s="19" t="s">
        <v>265</v>
      </c>
      <c r="D195" s="18" t="s">
        <v>126</v>
      </c>
      <c r="E195" s="19" t="s">
        <v>100</v>
      </c>
      <c r="F195" s="21" t="s">
        <v>78</v>
      </c>
      <c r="G195" s="19"/>
      <c r="H195" s="19" t="s">
        <v>370</v>
      </c>
      <c r="I195" s="15">
        <v>4</v>
      </c>
      <c r="J195" s="15" t="str">
        <f>IFERROR(VLOOKUP($C195,Sheet3!$H$2:$O$200,J$1,FALSE),IFERROR(VLOOKUP($D195,Sheet3!$H$2:$O$200,J$1,FALSE),VLOOKUP($E195,Sheet3!$H$2:$O$200,J$1,FALSE)))</f>
        <v>rum</v>
      </c>
      <c r="K195" s="15">
        <f>IFERROR(VLOOKUP($C195,Sheet3!$H$2:$O$200,K$1,FALSE),IFERROR(VLOOKUP($D195,Sheet3!$H$2:$O$200,K$1,FALSE),VLOOKUP($E195,Sheet3!$H$2:$O$200,K$1,FALSE)))</f>
        <v>0</v>
      </c>
      <c r="L195" s="15">
        <f>IFERROR(VLOOKUP($C195,Sheet3!$H$2:$O$200,L$1,FALSE),IFERROR(VLOOKUP($D195,Sheet3!$H$2:$O$200,L$1,FALSE),VLOOKUP($E195,Sheet3!$H$2:$O$200,L$1,FALSE)))</f>
        <v>0</v>
      </c>
      <c r="M195" s="15">
        <f>IFERROR(VLOOKUP($C195,Sheet3!$H$2:$O$200,M$1,FALSE),IFERROR(VLOOKUP($D195,Sheet3!$H$2:$O$200,M$1,FALSE),VLOOKUP($E195,Sheet3!$H$2:$O$200,M$1,FALSE)))</f>
        <v>0</v>
      </c>
      <c r="N195" s="15">
        <f>IFERROR(VLOOKUP($C195,Sheet3!$H$2:$O$200,N$1,FALSE),IFERROR(VLOOKUP($D195,Sheet3!$H$2:$O$200,N$1,FALSE),VLOOKUP($E195,Sheet3!$H$2:$O$200,N$1,FALSE)))</f>
        <v>0</v>
      </c>
      <c r="O195" s="15">
        <f>IFERROR(VLOOKUP($C195,Sheet3!$H$2:$O$200,O$1,FALSE),IFERROR(VLOOKUP($D195,Sheet3!$H$2:$O$200,O$1,FALSE),VLOOKUP($E195,Sheet3!$H$2:$O$200,O$1,FALSE)))</f>
        <v>0</v>
      </c>
      <c r="P195" s="15">
        <f>IFERROR(VLOOKUP($C195,Sheet3!$H$2:$O$200,P$1,FALSE),IFERROR(VLOOKUP($D195,Sheet3!$H$2:$O$200,P$1,FALSE),VLOOKUP($E195,Sheet3!$H$2:$O$200,P$1,FALSE)))</f>
        <v>0</v>
      </c>
      <c r="Q195" s="15">
        <f>IFERROR(IF(ISBLANK(J195),IFERROR(VLOOKUP($D195,Sheet3!$H$2:$O$200,Q$1,FALSE),IFERROR(VLOOKUP($E195,Sheet3!$H$2:$O$200,Q$1,FALSE),VLOOKUP($F195,Sheet3!$H$2:$O$200,Q$1,FALSE))),$I$1),$I$1)</f>
        <v>0</v>
      </c>
      <c r="R195" s="15">
        <f>IFERROR(IF(ISBLANK(K195),IFERROR(VLOOKUP($D195,Sheet3!$H$2:$O$200,R$1,FALSE),IFERROR(VLOOKUP($E195,Sheet3!$H$2:$O$200,R$1,FALSE),VLOOKUP($F195,Sheet3!$H$2:$O$200,R$1,FALSE))),$I$1),$I$1)</f>
        <v>0</v>
      </c>
      <c r="S195" s="15">
        <f>IFERROR(IF(ISBLANK(L195),IFERROR(VLOOKUP($D195,Sheet3!$H$2:$O$200,S$1,FALSE),IFERROR(VLOOKUP($E195,Sheet3!$H$2:$O$200,S$1,FALSE),VLOOKUP($F195,Sheet3!$H$2:$O$200,S$1,FALSE))),$I$1),$I$1)</f>
        <v>0</v>
      </c>
      <c r="T195" s="15">
        <f>IFERROR(IF(ISBLANK(M195),IFERROR(VLOOKUP($D195,Sheet3!$H$2:$O$200,T$1,FALSE),IFERROR(VLOOKUP($E195,Sheet3!$H$2:$O$200,T$1,FALSE),VLOOKUP($F195,Sheet3!$H$2:$O$200,T$1,FALSE))),$I$1),$I$1)</f>
        <v>0</v>
      </c>
      <c r="U195" s="15">
        <f>IFERROR(IF(ISBLANK(N195),IFERROR(VLOOKUP($D195,Sheet3!$H$2:$O$200,U$1,FALSE),IFERROR(VLOOKUP($E195,Sheet3!$H$2:$O$200,U$1,FALSE),VLOOKUP($F195,Sheet3!$H$2:$O$200,U$1,FALSE))),$I$1),$I$1)</f>
        <v>0</v>
      </c>
      <c r="V195" s="15">
        <f>IFERROR(IF(ISBLANK(O195),IFERROR(VLOOKUP($D195,Sheet3!$H$2:$O$200,V$1,FALSE),IFERROR(VLOOKUP($E195,Sheet3!$H$2:$O$200,V$1,FALSE),VLOOKUP($F195,Sheet3!$H$2:$O$200,V$1,FALSE))),$I$1),$I$1)</f>
        <v>0</v>
      </c>
      <c r="W195" s="15">
        <f>IFERROR(IF(ISBLANK(P195),IFERROR(VLOOKUP($D195,Sheet3!$H$2:$O$200,W$1,FALSE),IFERROR(VLOOKUP($E195,Sheet3!$H$2:$O$200,W$1,FALSE),VLOOKUP($F195,Sheet3!$H$2:$O$200,W$1,FALSE))),$I$1),$I$1)</f>
        <v>0</v>
      </c>
      <c r="X195" s="15">
        <f>IFERROR(IF(ISBLANK(Q195),IFERROR(VLOOKUP($E195,Sheet3!$H$2:$O$200,X$1,FALSE),IFERROR(VLOOKUP($F195,Sheet3!$H$2:$O$200,X$1,FALSE),VLOOKUP($G195,Sheet3!$H$2:$O$200,X$1,FALSE))),$I$1),$I$1)</f>
        <v>0</v>
      </c>
      <c r="Y195" s="15">
        <f>IFERROR(IF(ISBLANK(R195),IFERROR(VLOOKUP($E195,Sheet3!$H$2:$O$200,Y$1,FALSE),IFERROR(VLOOKUP($F195,Sheet3!$H$2:$O$200,Y$1,FALSE),VLOOKUP($G195,Sheet3!$H$2:$O$200,Y$1,FALSE))),$I$1),$I$1)</f>
        <v>0</v>
      </c>
      <c r="Z195" s="15">
        <f>IFERROR(IF(ISBLANK(S195),IFERROR(VLOOKUP($E195,Sheet3!$H$2:$O$200,Z$1,FALSE),IFERROR(VLOOKUP($F195,Sheet3!$H$2:$O$200,Z$1,FALSE),VLOOKUP($G195,Sheet3!$H$2:$O$200,Z$1,FALSE))),$I$1),$I$1)</f>
        <v>0</v>
      </c>
      <c r="AA195" s="15">
        <f>IFERROR(IF(ISBLANK(T195),IFERROR(VLOOKUP($E195,Sheet3!$H$2:$O$200,AA$1,FALSE),IFERROR(VLOOKUP($F195,Sheet3!$H$2:$O$200,AA$1,FALSE),VLOOKUP($G195,Sheet3!$H$2:$O$200,AA$1,FALSE))),$I$1),$I$1)</f>
        <v>0</v>
      </c>
      <c r="AB195" s="15">
        <f>IFERROR(IF(ISBLANK(U195),IFERROR(VLOOKUP($E195,Sheet3!$H$2:$O$200,AB$1,FALSE),IFERROR(VLOOKUP($F195,Sheet3!$H$2:$O$200,AB$1,FALSE),VLOOKUP($G195,Sheet3!$H$2:$O$200,AB$1,FALSE))),$I$1),$I$1)</f>
        <v>0</v>
      </c>
      <c r="AC195" s="15">
        <f>IFERROR(IF(ISBLANK(V195),IFERROR(VLOOKUP($E195,Sheet3!$H$2:$O$200,AC$1,FALSE),IFERROR(VLOOKUP($F195,Sheet3!$H$2:$O$200,AC$1,FALSE),VLOOKUP($G195,Sheet3!$H$2:$O$200,AC$1,FALSE))),$I$1),$I$1)</f>
        <v>0</v>
      </c>
      <c r="AD195" s="15">
        <f>IFERROR(IF(ISBLANK(W195),IFERROR(VLOOKUP($E195,Sheet3!$H$2:$O$200,AD$1,FALSE),IFERROR(VLOOKUP($F195,Sheet3!$H$2:$O$200,AD$1,FALSE),VLOOKUP($G195,Sheet3!$H$2:$O$200,AD$1,FALSE))),$I$1),$I$1)</f>
        <v>0</v>
      </c>
      <c r="AE195" s="15">
        <f>IFERROR(IF(ISBLANK(X195),IFERROR(VLOOKUP($F195,Sheet3!$H$2:$O$200,AE$1,FALSE),VLOOKUP($G195,Sheet3!$H$2:$O$200,AE$1,FALSE)),$I$1),$I$1)</f>
        <v>0</v>
      </c>
      <c r="AF195" s="15">
        <f>IFERROR(IF(ISBLANK(Y195),IFERROR(VLOOKUP($F195,Sheet3!$H$2:$O$200,AF$1,FALSE),VLOOKUP($G195,Sheet3!$H$2:$O$200,AF$1,FALSE)),$I$1),$I$1)</f>
        <v>0</v>
      </c>
      <c r="AG195" s="15">
        <f>IFERROR(IF(ISBLANK(Z195),IFERROR(VLOOKUP($F195,Sheet3!$H$2:$O$200,AG$1,FALSE),VLOOKUP($G195,Sheet3!$H$2:$O$200,AG$1,FALSE)),$I$1),$I$1)</f>
        <v>0</v>
      </c>
      <c r="AH195" s="15">
        <f>IFERROR(IF(ISBLANK(AA195),IFERROR(VLOOKUP($F195,Sheet3!$H$2:$O$200,AH$1,FALSE),VLOOKUP($G195,Sheet3!$H$2:$O$200,AH$1,FALSE)),$I$1),$I$1)</f>
        <v>0</v>
      </c>
      <c r="AI195" s="15">
        <f>IFERROR(IF(ISBLANK(AB195),IFERROR(VLOOKUP($F195,Sheet3!$H$2:$O$200,AI$1,FALSE),VLOOKUP($G195,Sheet3!$H$2:$O$200,AI$1,FALSE)),$I$1),$I$1)</f>
        <v>0</v>
      </c>
      <c r="AJ195" s="15">
        <f>IFERROR(IF(ISBLANK(AC195),IFERROR(VLOOKUP($F195,Sheet3!$H$2:$O$200,AJ$1,FALSE),VLOOKUP($G195,Sheet3!$H$2:$O$200,AJ$1,FALSE)),$I$1),$I$1)</f>
        <v>0</v>
      </c>
      <c r="AK195" s="15">
        <f>IFERROR(IF(ISBLANK(AD195),IFERROR(VLOOKUP($F195,Sheet3!$H$2:$O$200,AK$1,FALSE),VLOOKUP($G195,Sheet3!$H$2:$O$200,AK$1,FALSE)),$I$1),$I$1)</f>
        <v>0</v>
      </c>
      <c r="AL195" s="15">
        <f>IFERROR(IF(ISBLANK(AE195),VLOOKUP($G195,Sheet3!$H$2:$O$200,AL$1,FALSE),$I$1),$I$1)</f>
        <v>0</v>
      </c>
      <c r="AM195" s="15">
        <f>IFERROR(IF(ISBLANK(AF195),VLOOKUP($G195,Sheet3!$H$2:$O$200,AM$1,FALSE),$I$1),$I$1)</f>
        <v>0</v>
      </c>
      <c r="AN195" s="15">
        <f>IFERROR(IF(ISBLANK(AG195),VLOOKUP($G195,Sheet3!$H$2:$O$200,AN$1,FALSE),$I$1),$I$1)</f>
        <v>0</v>
      </c>
      <c r="AO195" s="15">
        <f>IFERROR(IF(ISBLANK(AH195),VLOOKUP($G195,Sheet3!$H$2:$O$200,AO$1,FALSE),$I$1),$I$1)</f>
        <v>0</v>
      </c>
      <c r="AP195" s="15">
        <f>IFERROR(IF(ISBLANK(AI195),VLOOKUP($G195,Sheet3!$H$2:$O$200,AP$1,FALSE),$I$1),$I$1)</f>
        <v>0</v>
      </c>
      <c r="AQ195" s="15">
        <f>IFERROR(IF(ISBLANK(AJ195),VLOOKUP($G195,Sheet3!$H$2:$O$200,AQ$1,FALSE),$I$1),$I$1)</f>
        <v>0</v>
      </c>
      <c r="AR195" s="15">
        <f>IFERROR(IF(ISBLANK(AK195),VLOOKUP($G195,Sheet3!$H$2:$O$200,AR$1,FALSE),$I$1),$I$1)</f>
        <v>0</v>
      </c>
      <c r="AS195" s="15" t="str">
        <f t="shared" ref="AS195:AY195" si="202">IFERROR(IF(ISBLANK(J195),IF(ISBLANK(Q195),IF(ISBLANK(X195),IF(ISBLANK(AE195),IF(ISBLANK(AL195),$BB$1,AL195),AE195),X195),Q195),J195),$BB$1)</f>
        <v>rum</v>
      </c>
      <c r="AT195" s="15">
        <f t="shared" si="202"/>
        <v>0</v>
      </c>
      <c r="AU195" s="15">
        <f t="shared" si="202"/>
        <v>0</v>
      </c>
      <c r="AV195" s="15">
        <f t="shared" si="202"/>
        <v>0</v>
      </c>
      <c r="AW195" s="15">
        <f t="shared" si="202"/>
        <v>0</v>
      </c>
      <c r="AX195" s="15">
        <f t="shared" si="202"/>
        <v>0</v>
      </c>
      <c r="AY195" s="15">
        <f t="shared" si="202"/>
        <v>0</v>
      </c>
      <c r="BA195" s="13">
        <f t="shared" si="1"/>
        <v>35</v>
      </c>
      <c r="BB195" s="15" t="b">
        <f t="shared" si="2"/>
        <v>0</v>
      </c>
    </row>
    <row r="196" spans="1:54" x14ac:dyDescent="0.2">
      <c r="A196" s="19" t="s">
        <v>371</v>
      </c>
      <c r="B196" s="19" t="s">
        <v>357</v>
      </c>
      <c r="C196" s="19"/>
      <c r="D196" s="19" t="s">
        <v>134</v>
      </c>
      <c r="E196" s="19"/>
      <c r="F196" s="19"/>
      <c r="G196" s="19"/>
      <c r="H196" s="19" t="s">
        <v>371</v>
      </c>
      <c r="I196" s="15">
        <v>1</v>
      </c>
      <c r="J196" s="15">
        <f>IFERROR(VLOOKUP($C196,Sheet3!$H$2:$O$200,J$1,FALSE),IFERROR(VLOOKUP($D196,Sheet3!$H$2:$O$200,J$1,FALSE),VLOOKUP($E196,Sheet3!$H$2:$O$200,J$1,FALSE)))</f>
        <v>0</v>
      </c>
      <c r="K196" s="15">
        <f>IFERROR(VLOOKUP($C196,Sheet3!$H$2:$O$200,K$1,FALSE),IFERROR(VLOOKUP($D196,Sheet3!$H$2:$O$200,K$1,FALSE),VLOOKUP($E196,Sheet3!$H$2:$O$200,K$1,FALSE)))</f>
        <v>0</v>
      </c>
      <c r="L196" s="15" t="str">
        <f>IFERROR(VLOOKUP($C196,Sheet3!$H$2:$O$200,L$1,FALSE),IFERROR(VLOOKUP($D196,Sheet3!$H$2:$O$200,L$1,FALSE),VLOOKUP($E196,Sheet3!$H$2:$O$200,L$1,FALSE)))</f>
        <v>grapefruit juice</v>
      </c>
      <c r="M196" s="15">
        <f>IFERROR(VLOOKUP($C196,Sheet3!$H$2:$O$200,M$1,FALSE),IFERROR(VLOOKUP($D196,Sheet3!$H$2:$O$200,M$1,FALSE),VLOOKUP($E196,Sheet3!$H$2:$O$200,M$1,FALSE)))</f>
        <v>0</v>
      </c>
      <c r="N196" s="15">
        <f>IFERROR(VLOOKUP($C196,Sheet3!$H$2:$O$200,N$1,FALSE),IFERROR(VLOOKUP($D196,Sheet3!$H$2:$O$200,N$1,FALSE),VLOOKUP($E196,Sheet3!$H$2:$O$200,N$1,FALSE)))</f>
        <v>0</v>
      </c>
      <c r="O196" s="15">
        <f>IFERROR(VLOOKUP($C196,Sheet3!$H$2:$O$200,O$1,FALSE),IFERROR(VLOOKUP($D196,Sheet3!$H$2:$O$200,O$1,FALSE),VLOOKUP($E196,Sheet3!$H$2:$O$200,O$1,FALSE)))</f>
        <v>0</v>
      </c>
      <c r="P196" s="15">
        <f>IFERROR(VLOOKUP($C196,Sheet3!$H$2:$O$200,P$1,FALSE),IFERROR(VLOOKUP($D196,Sheet3!$H$2:$O$200,P$1,FALSE),VLOOKUP($E196,Sheet3!$H$2:$O$200,P$1,FALSE)))</f>
        <v>0</v>
      </c>
      <c r="Q196" s="15">
        <f>IFERROR(IF(ISBLANK(J196),IFERROR(VLOOKUP($D196,Sheet3!$H$2:$O$200,Q$1,FALSE),IFERROR(VLOOKUP($E196,Sheet3!$H$2:$O$200,Q$1,FALSE),VLOOKUP($F196,Sheet3!$H$2:$O$200,Q$1,FALSE))),$I$1),$I$1)</f>
        <v>0</v>
      </c>
      <c r="R196" s="15">
        <f>IFERROR(IF(ISBLANK(K196),IFERROR(VLOOKUP($D196,Sheet3!$H$2:$O$200,R$1,FALSE),IFERROR(VLOOKUP($E196,Sheet3!$H$2:$O$200,R$1,FALSE),VLOOKUP($F196,Sheet3!$H$2:$O$200,R$1,FALSE))),$I$1),$I$1)</f>
        <v>0</v>
      </c>
      <c r="S196" s="15">
        <f>IFERROR(IF(ISBLANK(L196),IFERROR(VLOOKUP($D196,Sheet3!$H$2:$O$200,S$1,FALSE),IFERROR(VLOOKUP($E196,Sheet3!$H$2:$O$200,S$1,FALSE),VLOOKUP($F196,Sheet3!$H$2:$O$200,S$1,FALSE))),$I$1),$I$1)</f>
        <v>0</v>
      </c>
      <c r="T196" s="15">
        <f>IFERROR(IF(ISBLANK(M196),IFERROR(VLOOKUP($D196,Sheet3!$H$2:$O$200,T$1,FALSE),IFERROR(VLOOKUP($E196,Sheet3!$H$2:$O$200,T$1,FALSE),VLOOKUP($F196,Sheet3!$H$2:$O$200,T$1,FALSE))),$I$1),$I$1)</f>
        <v>0</v>
      </c>
      <c r="U196" s="15">
        <f>IFERROR(IF(ISBLANK(N196),IFERROR(VLOOKUP($D196,Sheet3!$H$2:$O$200,U$1,FALSE),IFERROR(VLOOKUP($E196,Sheet3!$H$2:$O$200,U$1,FALSE),VLOOKUP($F196,Sheet3!$H$2:$O$200,U$1,FALSE))),$I$1),$I$1)</f>
        <v>0</v>
      </c>
      <c r="V196" s="15">
        <f>IFERROR(IF(ISBLANK(O196),IFERROR(VLOOKUP($D196,Sheet3!$H$2:$O$200,V$1,FALSE),IFERROR(VLOOKUP($E196,Sheet3!$H$2:$O$200,V$1,FALSE),VLOOKUP($F196,Sheet3!$H$2:$O$200,V$1,FALSE))),$I$1),$I$1)</f>
        <v>0</v>
      </c>
      <c r="W196" s="15">
        <f>IFERROR(IF(ISBLANK(P196),IFERROR(VLOOKUP($D196,Sheet3!$H$2:$O$200,W$1,FALSE),IFERROR(VLOOKUP($E196,Sheet3!$H$2:$O$200,W$1,FALSE),VLOOKUP($F196,Sheet3!$H$2:$O$200,W$1,FALSE))),$I$1),$I$1)</f>
        <v>0</v>
      </c>
      <c r="X196" s="15">
        <f>IFERROR(IF(ISBLANK(Q196),IFERROR(VLOOKUP($E196,Sheet3!$H$2:$O$200,X$1,FALSE),IFERROR(VLOOKUP($F196,Sheet3!$H$2:$O$200,X$1,FALSE),VLOOKUP($G196,Sheet3!$H$2:$O$200,X$1,FALSE))),$I$1),$I$1)</f>
        <v>0</v>
      </c>
      <c r="Y196" s="15">
        <f>IFERROR(IF(ISBLANK(R196),IFERROR(VLOOKUP($E196,Sheet3!$H$2:$O$200,Y$1,FALSE),IFERROR(VLOOKUP($F196,Sheet3!$H$2:$O$200,Y$1,FALSE),VLOOKUP($G196,Sheet3!$H$2:$O$200,Y$1,FALSE))),$I$1),$I$1)</f>
        <v>0</v>
      </c>
      <c r="Z196" s="15">
        <f>IFERROR(IF(ISBLANK(S196),IFERROR(VLOOKUP($E196,Sheet3!$H$2:$O$200,Z$1,FALSE),IFERROR(VLOOKUP($F196,Sheet3!$H$2:$O$200,Z$1,FALSE),VLOOKUP($G196,Sheet3!$H$2:$O$200,Z$1,FALSE))),$I$1),$I$1)</f>
        <v>0</v>
      </c>
      <c r="AA196" s="15">
        <f>IFERROR(IF(ISBLANK(T196),IFERROR(VLOOKUP($E196,Sheet3!$H$2:$O$200,AA$1,FALSE),IFERROR(VLOOKUP($F196,Sheet3!$H$2:$O$200,AA$1,FALSE),VLOOKUP($G196,Sheet3!$H$2:$O$200,AA$1,FALSE))),$I$1),$I$1)</f>
        <v>0</v>
      </c>
      <c r="AB196" s="15">
        <f>IFERROR(IF(ISBLANK(U196),IFERROR(VLOOKUP($E196,Sheet3!$H$2:$O$200,AB$1,FALSE),IFERROR(VLOOKUP($F196,Sheet3!$H$2:$O$200,AB$1,FALSE),VLOOKUP($G196,Sheet3!$H$2:$O$200,AB$1,FALSE))),$I$1),$I$1)</f>
        <v>0</v>
      </c>
      <c r="AC196" s="15">
        <f>IFERROR(IF(ISBLANK(V196),IFERROR(VLOOKUP($E196,Sheet3!$H$2:$O$200,AC$1,FALSE),IFERROR(VLOOKUP($F196,Sheet3!$H$2:$O$200,AC$1,FALSE),VLOOKUP($G196,Sheet3!$H$2:$O$200,AC$1,FALSE))),$I$1),$I$1)</f>
        <v>0</v>
      </c>
      <c r="AD196" s="15">
        <f>IFERROR(IF(ISBLANK(W196),IFERROR(VLOOKUP($E196,Sheet3!$H$2:$O$200,AD$1,FALSE),IFERROR(VLOOKUP($F196,Sheet3!$H$2:$O$200,AD$1,FALSE),VLOOKUP($G196,Sheet3!$H$2:$O$200,AD$1,FALSE))),$I$1),$I$1)</f>
        <v>0</v>
      </c>
      <c r="AE196" s="15">
        <f>IFERROR(IF(ISBLANK(X196),IFERROR(VLOOKUP($F196,Sheet3!$H$2:$O$200,AE$1,FALSE),VLOOKUP($G196,Sheet3!$H$2:$O$200,AE$1,FALSE)),$I$1),$I$1)</f>
        <v>0</v>
      </c>
      <c r="AF196" s="15">
        <f>IFERROR(IF(ISBLANK(Y196),IFERROR(VLOOKUP($F196,Sheet3!$H$2:$O$200,AF$1,FALSE),VLOOKUP($G196,Sheet3!$H$2:$O$200,AF$1,FALSE)),$I$1),$I$1)</f>
        <v>0</v>
      </c>
      <c r="AG196" s="15">
        <f>IFERROR(IF(ISBLANK(Z196),IFERROR(VLOOKUP($F196,Sheet3!$H$2:$O$200,AG$1,FALSE),VLOOKUP($G196,Sheet3!$H$2:$O$200,AG$1,FALSE)),$I$1),$I$1)</f>
        <v>0</v>
      </c>
      <c r="AH196" s="15">
        <f>IFERROR(IF(ISBLANK(AA196),IFERROR(VLOOKUP($F196,Sheet3!$H$2:$O$200,AH$1,FALSE),VLOOKUP($G196,Sheet3!$H$2:$O$200,AH$1,FALSE)),$I$1),$I$1)</f>
        <v>0</v>
      </c>
      <c r="AI196" s="15">
        <f>IFERROR(IF(ISBLANK(AB196),IFERROR(VLOOKUP($F196,Sheet3!$H$2:$O$200,AI$1,FALSE),VLOOKUP($G196,Sheet3!$H$2:$O$200,AI$1,FALSE)),$I$1),$I$1)</f>
        <v>0</v>
      </c>
      <c r="AJ196" s="15">
        <f>IFERROR(IF(ISBLANK(AC196),IFERROR(VLOOKUP($F196,Sheet3!$H$2:$O$200,AJ$1,FALSE),VLOOKUP($G196,Sheet3!$H$2:$O$200,AJ$1,FALSE)),$I$1),$I$1)</f>
        <v>0</v>
      </c>
      <c r="AK196" s="15">
        <f>IFERROR(IF(ISBLANK(AD196),IFERROR(VLOOKUP($F196,Sheet3!$H$2:$O$200,AK$1,FALSE),VLOOKUP($G196,Sheet3!$H$2:$O$200,AK$1,FALSE)),$I$1),$I$1)</f>
        <v>0</v>
      </c>
      <c r="AL196" s="15">
        <f>IFERROR(IF(ISBLANK(AE196),VLOOKUP($G196,Sheet3!$H$2:$O$200,AL$1,FALSE),$I$1),$I$1)</f>
        <v>0</v>
      </c>
      <c r="AM196" s="15">
        <f>IFERROR(IF(ISBLANK(AF196),VLOOKUP($G196,Sheet3!$H$2:$O$200,AM$1,FALSE),$I$1),$I$1)</f>
        <v>0</v>
      </c>
      <c r="AN196" s="15">
        <f>IFERROR(IF(ISBLANK(AG196),VLOOKUP($G196,Sheet3!$H$2:$O$200,AN$1,FALSE),$I$1),$I$1)</f>
        <v>0</v>
      </c>
      <c r="AO196" s="15">
        <f>IFERROR(IF(ISBLANK(AH196),VLOOKUP($G196,Sheet3!$H$2:$O$200,AO$1,FALSE),$I$1),$I$1)</f>
        <v>0</v>
      </c>
      <c r="AP196" s="15">
        <f>IFERROR(IF(ISBLANK(AI196),VLOOKUP($G196,Sheet3!$H$2:$O$200,AP$1,FALSE),$I$1),$I$1)</f>
        <v>0</v>
      </c>
      <c r="AQ196" s="15">
        <f>IFERROR(IF(ISBLANK(AJ196),VLOOKUP($G196,Sheet3!$H$2:$O$200,AQ$1,FALSE),$I$1),$I$1)</f>
        <v>0</v>
      </c>
      <c r="AR196" s="15">
        <f>IFERROR(IF(ISBLANK(AK196),VLOOKUP($G196,Sheet3!$H$2:$O$200,AR$1,FALSE),$I$1),$I$1)</f>
        <v>0</v>
      </c>
      <c r="AS196" s="15">
        <f t="shared" ref="AS196:AY196" si="203">IFERROR(IF(ISBLANK(J196),IF(ISBLANK(Q196),IF(ISBLANK(X196),IF(ISBLANK(AE196),IF(ISBLANK(AL196),$BB$1,AL196),AE196),X196),Q196),J196),$BB$1)</f>
        <v>0</v>
      </c>
      <c r="AT196" s="15">
        <f t="shared" si="203"/>
        <v>0</v>
      </c>
      <c r="AU196" s="15" t="str">
        <f t="shared" si="203"/>
        <v>grapefruit juice</v>
      </c>
      <c r="AV196" s="15">
        <f t="shared" si="203"/>
        <v>0</v>
      </c>
      <c r="AW196" s="15">
        <f t="shared" si="203"/>
        <v>0</v>
      </c>
      <c r="AX196" s="15">
        <f t="shared" si="203"/>
        <v>0</v>
      </c>
      <c r="AY196" s="15">
        <f t="shared" si="203"/>
        <v>0</v>
      </c>
      <c r="BA196" s="13">
        <f t="shared" si="1"/>
        <v>35</v>
      </c>
      <c r="BB196" s="15" t="b">
        <f t="shared" si="2"/>
        <v>0</v>
      </c>
    </row>
    <row r="197" spans="1:54" x14ac:dyDescent="0.2">
      <c r="A197" s="19" t="s">
        <v>372</v>
      </c>
      <c r="B197" s="19" t="s">
        <v>357</v>
      </c>
      <c r="C197" s="19"/>
      <c r="D197" s="19" t="s">
        <v>134</v>
      </c>
      <c r="E197" s="19" t="s">
        <v>348</v>
      </c>
      <c r="F197" s="19"/>
      <c r="G197" s="19"/>
      <c r="H197" s="19" t="s">
        <v>372</v>
      </c>
      <c r="I197" s="15">
        <v>2</v>
      </c>
      <c r="J197" s="15">
        <f>IFERROR(VLOOKUP($C197,Sheet3!$H$2:$O$200,J$1,FALSE),IFERROR(VLOOKUP($D197,Sheet3!$H$2:$O$200,J$1,FALSE),VLOOKUP($E197,Sheet3!$H$2:$O$200,J$1,FALSE)))</f>
        <v>0</v>
      </c>
      <c r="K197" s="15">
        <f>IFERROR(VLOOKUP($C197,Sheet3!$H$2:$O$200,K$1,FALSE),IFERROR(VLOOKUP($D197,Sheet3!$H$2:$O$200,K$1,FALSE),VLOOKUP($E197,Sheet3!$H$2:$O$200,K$1,FALSE)))</f>
        <v>0</v>
      </c>
      <c r="L197" s="15" t="str">
        <f>IFERROR(VLOOKUP($C197,Sheet3!$H$2:$O$200,L$1,FALSE),IFERROR(VLOOKUP($D197,Sheet3!$H$2:$O$200,L$1,FALSE),VLOOKUP($E197,Sheet3!$H$2:$O$200,L$1,FALSE)))</f>
        <v>grapefruit juice</v>
      </c>
      <c r="M197" s="15">
        <f>IFERROR(VLOOKUP($C197,Sheet3!$H$2:$O$200,M$1,FALSE),IFERROR(VLOOKUP($D197,Sheet3!$H$2:$O$200,M$1,FALSE),VLOOKUP($E197,Sheet3!$H$2:$O$200,M$1,FALSE)))</f>
        <v>0</v>
      </c>
      <c r="N197" s="15">
        <f>IFERROR(VLOOKUP($C197,Sheet3!$H$2:$O$200,N$1,FALSE),IFERROR(VLOOKUP($D197,Sheet3!$H$2:$O$200,N$1,FALSE),VLOOKUP($E197,Sheet3!$H$2:$O$200,N$1,FALSE)))</f>
        <v>0</v>
      </c>
      <c r="O197" s="15">
        <f>IFERROR(VLOOKUP($C197,Sheet3!$H$2:$O$200,O$1,FALSE),IFERROR(VLOOKUP($D197,Sheet3!$H$2:$O$200,O$1,FALSE),VLOOKUP($E197,Sheet3!$H$2:$O$200,O$1,FALSE)))</f>
        <v>0</v>
      </c>
      <c r="P197" s="15">
        <f>IFERROR(VLOOKUP($C197,Sheet3!$H$2:$O$200,P$1,FALSE),IFERROR(VLOOKUP($D197,Sheet3!$H$2:$O$200,P$1,FALSE),VLOOKUP($E197,Sheet3!$H$2:$O$200,P$1,FALSE)))</f>
        <v>0</v>
      </c>
      <c r="Q197" s="15">
        <f>IFERROR(IF(ISBLANK(J197),IFERROR(VLOOKUP($D197,Sheet3!$H$2:$O$200,Q$1,FALSE),IFERROR(VLOOKUP($E197,Sheet3!$H$2:$O$200,Q$1,FALSE),VLOOKUP($F197,Sheet3!$H$2:$O$200,Q$1,FALSE))),$I$1),$I$1)</f>
        <v>0</v>
      </c>
      <c r="R197" s="15">
        <f>IFERROR(IF(ISBLANK(K197),IFERROR(VLOOKUP($D197,Sheet3!$H$2:$O$200,R$1,FALSE),IFERROR(VLOOKUP($E197,Sheet3!$H$2:$O$200,R$1,FALSE),VLOOKUP($F197,Sheet3!$H$2:$O$200,R$1,FALSE))),$I$1),$I$1)</f>
        <v>0</v>
      </c>
      <c r="S197" s="15">
        <f>IFERROR(IF(ISBLANK(L197),IFERROR(VLOOKUP($D197,Sheet3!$H$2:$O$200,S$1,FALSE),IFERROR(VLOOKUP($E197,Sheet3!$H$2:$O$200,S$1,FALSE),VLOOKUP($F197,Sheet3!$H$2:$O$200,S$1,FALSE))),$I$1),$I$1)</f>
        <v>0</v>
      </c>
      <c r="T197" s="15">
        <f>IFERROR(IF(ISBLANK(M197),IFERROR(VLOOKUP($D197,Sheet3!$H$2:$O$200,T$1,FALSE),IFERROR(VLOOKUP($E197,Sheet3!$H$2:$O$200,T$1,FALSE),VLOOKUP($F197,Sheet3!$H$2:$O$200,T$1,FALSE))),$I$1),$I$1)</f>
        <v>0</v>
      </c>
      <c r="U197" s="15">
        <f>IFERROR(IF(ISBLANK(N197),IFERROR(VLOOKUP($D197,Sheet3!$H$2:$O$200,U$1,FALSE),IFERROR(VLOOKUP($E197,Sheet3!$H$2:$O$200,U$1,FALSE),VLOOKUP($F197,Sheet3!$H$2:$O$200,U$1,FALSE))),$I$1),$I$1)</f>
        <v>0</v>
      </c>
      <c r="V197" s="15">
        <f>IFERROR(IF(ISBLANK(O197),IFERROR(VLOOKUP($D197,Sheet3!$H$2:$O$200,V$1,FALSE),IFERROR(VLOOKUP($E197,Sheet3!$H$2:$O$200,V$1,FALSE),VLOOKUP($F197,Sheet3!$H$2:$O$200,V$1,FALSE))),$I$1),$I$1)</f>
        <v>0</v>
      </c>
      <c r="W197" s="15">
        <f>IFERROR(IF(ISBLANK(P197),IFERROR(VLOOKUP($D197,Sheet3!$H$2:$O$200,W$1,FALSE),IFERROR(VLOOKUP($E197,Sheet3!$H$2:$O$200,W$1,FALSE),VLOOKUP($F197,Sheet3!$H$2:$O$200,W$1,FALSE))),$I$1),$I$1)</f>
        <v>0</v>
      </c>
      <c r="X197" s="15">
        <f>IFERROR(IF(ISBLANK(Q197),IFERROR(VLOOKUP($E197,Sheet3!$H$2:$O$200,X$1,FALSE),IFERROR(VLOOKUP($F197,Sheet3!$H$2:$O$200,X$1,FALSE),VLOOKUP($G197,Sheet3!$H$2:$O$200,X$1,FALSE))),$I$1),$I$1)</f>
        <v>0</v>
      </c>
      <c r="Y197" s="15">
        <f>IFERROR(IF(ISBLANK(R197),IFERROR(VLOOKUP($E197,Sheet3!$H$2:$O$200,Y$1,FALSE),IFERROR(VLOOKUP($F197,Sheet3!$H$2:$O$200,Y$1,FALSE),VLOOKUP($G197,Sheet3!$H$2:$O$200,Y$1,FALSE))),$I$1),$I$1)</f>
        <v>0</v>
      </c>
      <c r="Z197" s="15">
        <f>IFERROR(IF(ISBLANK(S197),IFERROR(VLOOKUP($E197,Sheet3!$H$2:$O$200,Z$1,FALSE),IFERROR(VLOOKUP($F197,Sheet3!$H$2:$O$200,Z$1,FALSE),VLOOKUP($G197,Sheet3!$H$2:$O$200,Z$1,FALSE))),$I$1),$I$1)</f>
        <v>0</v>
      </c>
      <c r="AA197" s="15">
        <f>IFERROR(IF(ISBLANK(T197),IFERROR(VLOOKUP($E197,Sheet3!$H$2:$O$200,AA$1,FALSE),IFERROR(VLOOKUP($F197,Sheet3!$H$2:$O$200,AA$1,FALSE),VLOOKUP($G197,Sheet3!$H$2:$O$200,AA$1,FALSE))),$I$1),$I$1)</f>
        <v>0</v>
      </c>
      <c r="AB197" s="15">
        <f>IFERROR(IF(ISBLANK(U197),IFERROR(VLOOKUP($E197,Sheet3!$H$2:$O$200,AB$1,FALSE),IFERROR(VLOOKUP($F197,Sheet3!$H$2:$O$200,AB$1,FALSE),VLOOKUP($G197,Sheet3!$H$2:$O$200,AB$1,FALSE))),$I$1),$I$1)</f>
        <v>0</v>
      </c>
      <c r="AC197" s="15">
        <f>IFERROR(IF(ISBLANK(V197),IFERROR(VLOOKUP($E197,Sheet3!$H$2:$O$200,AC$1,FALSE),IFERROR(VLOOKUP($F197,Sheet3!$H$2:$O$200,AC$1,FALSE),VLOOKUP($G197,Sheet3!$H$2:$O$200,AC$1,FALSE))),$I$1),$I$1)</f>
        <v>0</v>
      </c>
      <c r="AD197" s="15">
        <f>IFERROR(IF(ISBLANK(W197),IFERROR(VLOOKUP($E197,Sheet3!$H$2:$O$200,AD$1,FALSE),IFERROR(VLOOKUP($F197,Sheet3!$H$2:$O$200,AD$1,FALSE),VLOOKUP($G197,Sheet3!$H$2:$O$200,AD$1,FALSE))),$I$1),$I$1)</f>
        <v>0</v>
      </c>
      <c r="AE197" s="15">
        <f>IFERROR(IF(ISBLANK(X197),IFERROR(VLOOKUP($F197,Sheet3!$H$2:$O$200,AE$1,FALSE),VLOOKUP($G197,Sheet3!$H$2:$O$200,AE$1,FALSE)),$I$1),$I$1)</f>
        <v>0</v>
      </c>
      <c r="AF197" s="15">
        <f>IFERROR(IF(ISBLANK(Y197),IFERROR(VLOOKUP($F197,Sheet3!$H$2:$O$200,AF$1,FALSE),VLOOKUP($G197,Sheet3!$H$2:$O$200,AF$1,FALSE)),$I$1),$I$1)</f>
        <v>0</v>
      </c>
      <c r="AG197" s="15">
        <f>IFERROR(IF(ISBLANK(Z197),IFERROR(VLOOKUP($F197,Sheet3!$H$2:$O$200,AG$1,FALSE),VLOOKUP($G197,Sheet3!$H$2:$O$200,AG$1,FALSE)),$I$1),$I$1)</f>
        <v>0</v>
      </c>
      <c r="AH197" s="15">
        <f>IFERROR(IF(ISBLANK(AA197),IFERROR(VLOOKUP($F197,Sheet3!$H$2:$O$200,AH$1,FALSE),VLOOKUP($G197,Sheet3!$H$2:$O$200,AH$1,FALSE)),$I$1),$I$1)</f>
        <v>0</v>
      </c>
      <c r="AI197" s="15">
        <f>IFERROR(IF(ISBLANK(AB197),IFERROR(VLOOKUP($F197,Sheet3!$H$2:$O$200,AI$1,FALSE),VLOOKUP($G197,Sheet3!$H$2:$O$200,AI$1,FALSE)),$I$1),$I$1)</f>
        <v>0</v>
      </c>
      <c r="AJ197" s="15">
        <f>IFERROR(IF(ISBLANK(AC197),IFERROR(VLOOKUP($F197,Sheet3!$H$2:$O$200,AJ$1,FALSE),VLOOKUP($G197,Sheet3!$H$2:$O$200,AJ$1,FALSE)),$I$1),$I$1)</f>
        <v>0</v>
      </c>
      <c r="AK197" s="15">
        <f>IFERROR(IF(ISBLANK(AD197),IFERROR(VLOOKUP($F197,Sheet3!$H$2:$O$200,AK$1,FALSE),VLOOKUP($G197,Sheet3!$H$2:$O$200,AK$1,FALSE)),$I$1),$I$1)</f>
        <v>0</v>
      </c>
      <c r="AL197" s="15">
        <f>IFERROR(IF(ISBLANK(AE197),VLOOKUP($G197,Sheet3!$H$2:$O$200,AL$1,FALSE),$I$1),$I$1)</f>
        <v>0</v>
      </c>
      <c r="AM197" s="15">
        <f>IFERROR(IF(ISBLANK(AF197),VLOOKUP($G197,Sheet3!$H$2:$O$200,AM$1,FALSE),$I$1),$I$1)</f>
        <v>0</v>
      </c>
      <c r="AN197" s="15">
        <f>IFERROR(IF(ISBLANK(AG197),VLOOKUP($G197,Sheet3!$H$2:$O$200,AN$1,FALSE),$I$1),$I$1)</f>
        <v>0</v>
      </c>
      <c r="AO197" s="15">
        <f>IFERROR(IF(ISBLANK(AH197),VLOOKUP($G197,Sheet3!$H$2:$O$200,AO$1,FALSE),$I$1),$I$1)</f>
        <v>0</v>
      </c>
      <c r="AP197" s="15">
        <f>IFERROR(IF(ISBLANK(AI197),VLOOKUP($G197,Sheet3!$H$2:$O$200,AP$1,FALSE),$I$1),$I$1)</f>
        <v>0</v>
      </c>
      <c r="AQ197" s="15">
        <f>IFERROR(IF(ISBLANK(AJ197),VLOOKUP($G197,Sheet3!$H$2:$O$200,AQ$1,FALSE),$I$1),$I$1)</f>
        <v>0</v>
      </c>
      <c r="AR197" s="15">
        <f>IFERROR(IF(ISBLANK(AK197),VLOOKUP($G197,Sheet3!$H$2:$O$200,AR$1,FALSE),$I$1),$I$1)</f>
        <v>0</v>
      </c>
      <c r="AS197" s="15">
        <f t="shared" ref="AS197:AY197" si="204">IFERROR(IF(ISBLANK(J197),IF(ISBLANK(Q197),IF(ISBLANK(X197),IF(ISBLANK(AE197),IF(ISBLANK(AL197),$BB$1,AL197),AE197),X197),Q197),J197),$BB$1)</f>
        <v>0</v>
      </c>
      <c r="AT197" s="15">
        <f t="shared" si="204"/>
        <v>0</v>
      </c>
      <c r="AU197" s="15" t="str">
        <f t="shared" si="204"/>
        <v>grapefruit juice</v>
      </c>
      <c r="AV197" s="15">
        <f t="shared" si="204"/>
        <v>0</v>
      </c>
      <c r="AW197" s="15">
        <f t="shared" si="204"/>
        <v>0</v>
      </c>
      <c r="AX197" s="15">
        <f t="shared" si="204"/>
        <v>0</v>
      </c>
      <c r="AY197" s="15">
        <f t="shared" si="204"/>
        <v>0</v>
      </c>
      <c r="BA197" s="13">
        <f t="shared" si="1"/>
        <v>35</v>
      </c>
      <c r="BB197" s="15" t="b">
        <f t="shared" si="2"/>
        <v>0</v>
      </c>
    </row>
    <row r="198" spans="1:54" x14ac:dyDescent="0.2">
      <c r="A198" s="19" t="s">
        <v>373</v>
      </c>
      <c r="B198" s="19" t="s">
        <v>357</v>
      </c>
      <c r="C198" s="19"/>
      <c r="D198" s="19" t="s">
        <v>45</v>
      </c>
      <c r="E198" s="19"/>
      <c r="F198" s="19"/>
      <c r="G198" s="19"/>
      <c r="H198" s="19" t="s">
        <v>373</v>
      </c>
      <c r="I198" s="15">
        <v>1</v>
      </c>
      <c r="J198" s="15">
        <f>IFERROR(VLOOKUP($C198,Sheet3!$H$2:$O$200,J$1,FALSE),IFERROR(VLOOKUP($D198,Sheet3!$H$2:$O$200,J$1,FALSE),VLOOKUP($E198,Sheet3!$H$2:$O$200,J$1,FALSE)))</f>
        <v>0</v>
      </c>
      <c r="K198" s="15">
        <f>IFERROR(VLOOKUP($C198,Sheet3!$H$2:$O$200,K$1,FALSE),IFERROR(VLOOKUP($D198,Sheet3!$H$2:$O$200,K$1,FALSE),VLOOKUP($E198,Sheet3!$H$2:$O$200,K$1,FALSE)))</f>
        <v>0</v>
      </c>
      <c r="L198" s="15" t="str">
        <f>IFERROR(VLOOKUP($C198,Sheet3!$H$2:$O$200,L$1,FALSE),IFERROR(VLOOKUP($D198,Sheet3!$H$2:$O$200,L$1,FALSE),VLOOKUP($E198,Sheet3!$H$2:$O$200,L$1,FALSE)))</f>
        <v>cranberry juice</v>
      </c>
      <c r="M198" s="15">
        <f>IFERROR(VLOOKUP($C198,Sheet3!$H$2:$O$200,M$1,FALSE),IFERROR(VLOOKUP($D198,Sheet3!$H$2:$O$200,M$1,FALSE),VLOOKUP($E198,Sheet3!$H$2:$O$200,M$1,FALSE)))</f>
        <v>0</v>
      </c>
      <c r="N198" s="15">
        <f>IFERROR(VLOOKUP($C198,Sheet3!$H$2:$O$200,N$1,FALSE),IFERROR(VLOOKUP($D198,Sheet3!$H$2:$O$200,N$1,FALSE),VLOOKUP($E198,Sheet3!$H$2:$O$200,N$1,FALSE)))</f>
        <v>0</v>
      </c>
      <c r="O198" s="15">
        <f>IFERROR(VLOOKUP($C198,Sheet3!$H$2:$O$200,O$1,FALSE),IFERROR(VLOOKUP($D198,Sheet3!$H$2:$O$200,O$1,FALSE),VLOOKUP($E198,Sheet3!$H$2:$O$200,O$1,FALSE)))</f>
        <v>0</v>
      </c>
      <c r="P198" s="15">
        <f>IFERROR(VLOOKUP($C198,Sheet3!$H$2:$O$200,P$1,FALSE),IFERROR(VLOOKUP($D198,Sheet3!$H$2:$O$200,P$1,FALSE),VLOOKUP($E198,Sheet3!$H$2:$O$200,P$1,FALSE)))</f>
        <v>0</v>
      </c>
      <c r="Q198" s="15">
        <f>IFERROR(IF(ISBLANK(J198),IFERROR(VLOOKUP($D198,Sheet3!$H$2:$O$200,Q$1,FALSE),IFERROR(VLOOKUP($E198,Sheet3!$H$2:$O$200,Q$1,FALSE),VLOOKUP($F198,Sheet3!$H$2:$O$200,Q$1,FALSE))),$I$1),$I$1)</f>
        <v>0</v>
      </c>
      <c r="R198" s="15">
        <f>IFERROR(IF(ISBLANK(K198),IFERROR(VLOOKUP($D198,Sheet3!$H$2:$O$200,R$1,FALSE),IFERROR(VLOOKUP($E198,Sheet3!$H$2:$O$200,R$1,FALSE),VLOOKUP($F198,Sheet3!$H$2:$O$200,R$1,FALSE))),$I$1),$I$1)</f>
        <v>0</v>
      </c>
      <c r="S198" s="15">
        <f>IFERROR(IF(ISBLANK(L198),IFERROR(VLOOKUP($D198,Sheet3!$H$2:$O$200,S$1,FALSE),IFERROR(VLOOKUP($E198,Sheet3!$H$2:$O$200,S$1,FALSE),VLOOKUP($F198,Sheet3!$H$2:$O$200,S$1,FALSE))),$I$1),$I$1)</f>
        <v>0</v>
      </c>
      <c r="T198" s="15">
        <f>IFERROR(IF(ISBLANK(M198),IFERROR(VLOOKUP($D198,Sheet3!$H$2:$O$200,T$1,FALSE),IFERROR(VLOOKUP($E198,Sheet3!$H$2:$O$200,T$1,FALSE),VLOOKUP($F198,Sheet3!$H$2:$O$200,T$1,FALSE))),$I$1),$I$1)</f>
        <v>0</v>
      </c>
      <c r="U198" s="15">
        <f>IFERROR(IF(ISBLANK(N198),IFERROR(VLOOKUP($D198,Sheet3!$H$2:$O$200,U$1,FALSE),IFERROR(VLOOKUP($E198,Sheet3!$H$2:$O$200,U$1,FALSE),VLOOKUP($F198,Sheet3!$H$2:$O$200,U$1,FALSE))),$I$1),$I$1)</f>
        <v>0</v>
      </c>
      <c r="V198" s="15">
        <f>IFERROR(IF(ISBLANK(O198),IFERROR(VLOOKUP($D198,Sheet3!$H$2:$O$200,V$1,FALSE),IFERROR(VLOOKUP($E198,Sheet3!$H$2:$O$200,V$1,FALSE),VLOOKUP($F198,Sheet3!$H$2:$O$200,V$1,FALSE))),$I$1),$I$1)</f>
        <v>0</v>
      </c>
      <c r="W198" s="15">
        <f>IFERROR(IF(ISBLANK(P198),IFERROR(VLOOKUP($D198,Sheet3!$H$2:$O$200,W$1,FALSE),IFERROR(VLOOKUP($E198,Sheet3!$H$2:$O$200,W$1,FALSE),VLOOKUP($F198,Sheet3!$H$2:$O$200,W$1,FALSE))),$I$1),$I$1)</f>
        <v>0</v>
      </c>
      <c r="X198" s="15">
        <f>IFERROR(IF(ISBLANK(Q198),IFERROR(VLOOKUP($E198,Sheet3!$H$2:$O$200,X$1,FALSE),IFERROR(VLOOKUP($F198,Sheet3!$H$2:$O$200,X$1,FALSE),VLOOKUP($G198,Sheet3!$H$2:$O$200,X$1,FALSE))),$I$1),$I$1)</f>
        <v>0</v>
      </c>
      <c r="Y198" s="15">
        <f>IFERROR(IF(ISBLANK(R198),IFERROR(VLOOKUP($E198,Sheet3!$H$2:$O$200,Y$1,FALSE),IFERROR(VLOOKUP($F198,Sheet3!$H$2:$O$200,Y$1,FALSE),VLOOKUP($G198,Sheet3!$H$2:$O$200,Y$1,FALSE))),$I$1),$I$1)</f>
        <v>0</v>
      </c>
      <c r="Z198" s="15">
        <f>IFERROR(IF(ISBLANK(S198),IFERROR(VLOOKUP($E198,Sheet3!$H$2:$O$200,Z$1,FALSE),IFERROR(VLOOKUP($F198,Sheet3!$H$2:$O$200,Z$1,FALSE),VLOOKUP($G198,Sheet3!$H$2:$O$200,Z$1,FALSE))),$I$1),$I$1)</f>
        <v>0</v>
      </c>
      <c r="AA198" s="15">
        <f>IFERROR(IF(ISBLANK(T198),IFERROR(VLOOKUP($E198,Sheet3!$H$2:$O$200,AA$1,FALSE),IFERROR(VLOOKUP($F198,Sheet3!$H$2:$O$200,AA$1,FALSE),VLOOKUP($G198,Sheet3!$H$2:$O$200,AA$1,FALSE))),$I$1),$I$1)</f>
        <v>0</v>
      </c>
      <c r="AB198" s="15">
        <f>IFERROR(IF(ISBLANK(U198),IFERROR(VLOOKUP($E198,Sheet3!$H$2:$O$200,AB$1,FALSE),IFERROR(VLOOKUP($F198,Sheet3!$H$2:$O$200,AB$1,FALSE),VLOOKUP($G198,Sheet3!$H$2:$O$200,AB$1,FALSE))),$I$1),$I$1)</f>
        <v>0</v>
      </c>
      <c r="AC198" s="15">
        <f>IFERROR(IF(ISBLANK(V198),IFERROR(VLOOKUP($E198,Sheet3!$H$2:$O$200,AC$1,FALSE),IFERROR(VLOOKUP($F198,Sheet3!$H$2:$O$200,AC$1,FALSE),VLOOKUP($G198,Sheet3!$H$2:$O$200,AC$1,FALSE))),$I$1),$I$1)</f>
        <v>0</v>
      </c>
      <c r="AD198" s="15">
        <f>IFERROR(IF(ISBLANK(W198),IFERROR(VLOOKUP($E198,Sheet3!$H$2:$O$200,AD$1,FALSE),IFERROR(VLOOKUP($F198,Sheet3!$H$2:$O$200,AD$1,FALSE),VLOOKUP($G198,Sheet3!$H$2:$O$200,AD$1,FALSE))),$I$1),$I$1)</f>
        <v>0</v>
      </c>
      <c r="AE198" s="15">
        <f>IFERROR(IF(ISBLANK(X198),IFERROR(VLOOKUP($F198,Sheet3!$H$2:$O$200,AE$1,FALSE),VLOOKUP($G198,Sheet3!$H$2:$O$200,AE$1,FALSE)),$I$1),$I$1)</f>
        <v>0</v>
      </c>
      <c r="AF198" s="15">
        <f>IFERROR(IF(ISBLANK(Y198),IFERROR(VLOOKUP($F198,Sheet3!$H$2:$O$200,AF$1,FALSE),VLOOKUP($G198,Sheet3!$H$2:$O$200,AF$1,FALSE)),$I$1),$I$1)</f>
        <v>0</v>
      </c>
      <c r="AG198" s="15">
        <f>IFERROR(IF(ISBLANK(Z198),IFERROR(VLOOKUP($F198,Sheet3!$H$2:$O$200,AG$1,FALSE),VLOOKUP($G198,Sheet3!$H$2:$O$200,AG$1,FALSE)),$I$1),$I$1)</f>
        <v>0</v>
      </c>
      <c r="AH198" s="15">
        <f>IFERROR(IF(ISBLANK(AA198),IFERROR(VLOOKUP($F198,Sheet3!$H$2:$O$200,AH$1,FALSE),VLOOKUP($G198,Sheet3!$H$2:$O$200,AH$1,FALSE)),$I$1),$I$1)</f>
        <v>0</v>
      </c>
      <c r="AI198" s="15">
        <f>IFERROR(IF(ISBLANK(AB198),IFERROR(VLOOKUP($F198,Sheet3!$H$2:$O$200,AI$1,FALSE),VLOOKUP($G198,Sheet3!$H$2:$O$200,AI$1,FALSE)),$I$1),$I$1)</f>
        <v>0</v>
      </c>
      <c r="AJ198" s="15">
        <f>IFERROR(IF(ISBLANK(AC198),IFERROR(VLOOKUP($F198,Sheet3!$H$2:$O$200,AJ$1,FALSE),VLOOKUP($G198,Sheet3!$H$2:$O$200,AJ$1,FALSE)),$I$1),$I$1)</f>
        <v>0</v>
      </c>
      <c r="AK198" s="15">
        <f>IFERROR(IF(ISBLANK(AD198),IFERROR(VLOOKUP($F198,Sheet3!$H$2:$O$200,AK$1,FALSE),VLOOKUP($G198,Sheet3!$H$2:$O$200,AK$1,FALSE)),$I$1),$I$1)</f>
        <v>0</v>
      </c>
      <c r="AL198" s="15">
        <f>IFERROR(IF(ISBLANK(AE198),VLOOKUP($G198,Sheet3!$H$2:$O$200,AL$1,FALSE),$I$1),$I$1)</f>
        <v>0</v>
      </c>
      <c r="AM198" s="15">
        <f>IFERROR(IF(ISBLANK(AF198),VLOOKUP($G198,Sheet3!$H$2:$O$200,AM$1,FALSE),$I$1),$I$1)</f>
        <v>0</v>
      </c>
      <c r="AN198" s="15">
        <f>IFERROR(IF(ISBLANK(AG198),VLOOKUP($G198,Sheet3!$H$2:$O$200,AN$1,FALSE),$I$1),$I$1)</f>
        <v>0</v>
      </c>
      <c r="AO198" s="15">
        <f>IFERROR(IF(ISBLANK(AH198),VLOOKUP($G198,Sheet3!$H$2:$O$200,AO$1,FALSE),$I$1),$I$1)</f>
        <v>0</v>
      </c>
      <c r="AP198" s="15">
        <f>IFERROR(IF(ISBLANK(AI198),VLOOKUP($G198,Sheet3!$H$2:$O$200,AP$1,FALSE),$I$1),$I$1)</f>
        <v>0</v>
      </c>
      <c r="AQ198" s="15">
        <f>IFERROR(IF(ISBLANK(AJ198),VLOOKUP($G198,Sheet3!$H$2:$O$200,AQ$1,FALSE),$I$1),$I$1)</f>
        <v>0</v>
      </c>
      <c r="AR198" s="15">
        <f>IFERROR(IF(ISBLANK(AK198),VLOOKUP($G198,Sheet3!$H$2:$O$200,AR$1,FALSE),$I$1),$I$1)</f>
        <v>0</v>
      </c>
      <c r="AS198" s="15">
        <f t="shared" ref="AS198:AY198" si="205">IFERROR(IF(ISBLANK(J198),IF(ISBLANK(Q198),IF(ISBLANK(X198),IF(ISBLANK(AE198),IF(ISBLANK(AL198),$BB$1,AL198),AE198),X198),Q198),J198),$BB$1)</f>
        <v>0</v>
      </c>
      <c r="AT198" s="15">
        <f t="shared" si="205"/>
        <v>0</v>
      </c>
      <c r="AU198" s="15" t="str">
        <f t="shared" si="205"/>
        <v>cranberry juice</v>
      </c>
      <c r="AV198" s="15">
        <f t="shared" si="205"/>
        <v>0</v>
      </c>
      <c r="AW198" s="15">
        <f t="shared" si="205"/>
        <v>0</v>
      </c>
      <c r="AX198" s="15">
        <f t="shared" si="205"/>
        <v>0</v>
      </c>
      <c r="AY198" s="15">
        <f t="shared" si="205"/>
        <v>0</v>
      </c>
      <c r="BA198" s="13">
        <f t="shared" si="1"/>
        <v>35</v>
      </c>
      <c r="BB198" s="15" t="b">
        <f t="shared" si="2"/>
        <v>0</v>
      </c>
    </row>
    <row r="199" spans="1:54" x14ac:dyDescent="0.2">
      <c r="A199" s="19" t="s">
        <v>374</v>
      </c>
      <c r="B199" s="19" t="s">
        <v>357</v>
      </c>
      <c r="C199" s="19"/>
      <c r="D199" s="19" t="s">
        <v>45</v>
      </c>
      <c r="E199" s="19" t="s">
        <v>134</v>
      </c>
      <c r="F199" s="19"/>
      <c r="G199" s="19"/>
      <c r="H199" s="19" t="s">
        <v>374</v>
      </c>
      <c r="I199" s="15">
        <v>2</v>
      </c>
      <c r="J199" s="15">
        <f>IFERROR(VLOOKUP($C199,Sheet3!$H$2:$O$200,J$1,FALSE),IFERROR(VLOOKUP($D199,Sheet3!$H$2:$O$200,J$1,FALSE),VLOOKUP($E199,Sheet3!$H$2:$O$200,J$1,FALSE)))</f>
        <v>0</v>
      </c>
      <c r="K199" s="15">
        <f>IFERROR(VLOOKUP($C199,Sheet3!$H$2:$O$200,K$1,FALSE),IFERROR(VLOOKUP($D199,Sheet3!$H$2:$O$200,K$1,FALSE),VLOOKUP($E199,Sheet3!$H$2:$O$200,K$1,FALSE)))</f>
        <v>0</v>
      </c>
      <c r="L199" s="15" t="str">
        <f>IFERROR(VLOOKUP($C199,Sheet3!$H$2:$O$200,L$1,FALSE),IFERROR(VLOOKUP($D199,Sheet3!$H$2:$O$200,L$1,FALSE),VLOOKUP($E199,Sheet3!$H$2:$O$200,L$1,FALSE)))</f>
        <v>cranberry juice</v>
      </c>
      <c r="M199" s="15">
        <f>IFERROR(VLOOKUP($C199,Sheet3!$H$2:$O$200,M$1,FALSE),IFERROR(VLOOKUP($D199,Sheet3!$H$2:$O$200,M$1,FALSE),VLOOKUP($E199,Sheet3!$H$2:$O$200,M$1,FALSE)))</f>
        <v>0</v>
      </c>
      <c r="N199" s="15">
        <f>IFERROR(VLOOKUP($C199,Sheet3!$H$2:$O$200,N$1,FALSE),IFERROR(VLOOKUP($D199,Sheet3!$H$2:$O$200,N$1,FALSE),VLOOKUP($E199,Sheet3!$H$2:$O$200,N$1,FALSE)))</f>
        <v>0</v>
      </c>
      <c r="O199" s="15">
        <f>IFERROR(VLOOKUP($C199,Sheet3!$H$2:$O$200,O$1,FALSE),IFERROR(VLOOKUP($D199,Sheet3!$H$2:$O$200,O$1,FALSE),VLOOKUP($E199,Sheet3!$H$2:$O$200,O$1,FALSE)))</f>
        <v>0</v>
      </c>
      <c r="P199" s="15">
        <f>IFERROR(VLOOKUP($C199,Sheet3!$H$2:$O$200,P$1,FALSE),IFERROR(VLOOKUP($D199,Sheet3!$H$2:$O$200,P$1,FALSE),VLOOKUP($E199,Sheet3!$H$2:$O$200,P$1,FALSE)))</f>
        <v>0</v>
      </c>
      <c r="Q199" s="15">
        <f>IFERROR(IF(ISBLANK(J199),IFERROR(VLOOKUP($D199,Sheet3!$H$2:$O$200,Q$1,FALSE),IFERROR(VLOOKUP($E199,Sheet3!$H$2:$O$200,Q$1,FALSE),VLOOKUP($F199,Sheet3!$H$2:$O$200,Q$1,FALSE))),$I$1),$I$1)</f>
        <v>0</v>
      </c>
      <c r="R199" s="15">
        <f>IFERROR(IF(ISBLANK(K199),IFERROR(VLOOKUP($D199,Sheet3!$H$2:$O$200,R$1,FALSE),IFERROR(VLOOKUP($E199,Sheet3!$H$2:$O$200,R$1,FALSE),VLOOKUP($F199,Sheet3!$H$2:$O$200,R$1,FALSE))),$I$1),$I$1)</f>
        <v>0</v>
      </c>
      <c r="S199" s="15">
        <f>IFERROR(IF(ISBLANK(L199),IFERROR(VLOOKUP($D199,Sheet3!$H$2:$O$200,S$1,FALSE),IFERROR(VLOOKUP($E199,Sheet3!$H$2:$O$200,S$1,FALSE),VLOOKUP($F199,Sheet3!$H$2:$O$200,S$1,FALSE))),$I$1),$I$1)</f>
        <v>0</v>
      </c>
      <c r="T199" s="15">
        <f>IFERROR(IF(ISBLANK(M199),IFERROR(VLOOKUP($D199,Sheet3!$H$2:$O$200,T$1,FALSE),IFERROR(VLOOKUP($E199,Sheet3!$H$2:$O$200,T$1,FALSE),VLOOKUP($F199,Sheet3!$H$2:$O$200,T$1,FALSE))),$I$1),$I$1)</f>
        <v>0</v>
      </c>
      <c r="U199" s="15">
        <f>IFERROR(IF(ISBLANK(N199),IFERROR(VLOOKUP($D199,Sheet3!$H$2:$O$200,U$1,FALSE),IFERROR(VLOOKUP($E199,Sheet3!$H$2:$O$200,U$1,FALSE),VLOOKUP($F199,Sheet3!$H$2:$O$200,U$1,FALSE))),$I$1),$I$1)</f>
        <v>0</v>
      </c>
      <c r="V199" s="15">
        <f>IFERROR(IF(ISBLANK(O199),IFERROR(VLOOKUP($D199,Sheet3!$H$2:$O$200,V$1,FALSE),IFERROR(VLOOKUP($E199,Sheet3!$H$2:$O$200,V$1,FALSE),VLOOKUP($F199,Sheet3!$H$2:$O$200,V$1,FALSE))),$I$1),$I$1)</f>
        <v>0</v>
      </c>
      <c r="W199" s="15">
        <f>IFERROR(IF(ISBLANK(P199),IFERROR(VLOOKUP($D199,Sheet3!$H$2:$O$200,W$1,FALSE),IFERROR(VLOOKUP($E199,Sheet3!$H$2:$O$200,W$1,FALSE),VLOOKUP($F199,Sheet3!$H$2:$O$200,W$1,FALSE))),$I$1),$I$1)</f>
        <v>0</v>
      </c>
      <c r="X199" s="15">
        <f>IFERROR(IF(ISBLANK(Q199),IFERROR(VLOOKUP($E199,Sheet3!$H$2:$O$200,X$1,FALSE),IFERROR(VLOOKUP($F199,Sheet3!$H$2:$O$200,X$1,FALSE),VLOOKUP($G199,Sheet3!$H$2:$O$200,X$1,FALSE))),$I$1),$I$1)</f>
        <v>0</v>
      </c>
      <c r="Y199" s="15">
        <f>IFERROR(IF(ISBLANK(R199),IFERROR(VLOOKUP($E199,Sheet3!$H$2:$O$200,Y$1,FALSE),IFERROR(VLOOKUP($F199,Sheet3!$H$2:$O$200,Y$1,FALSE),VLOOKUP($G199,Sheet3!$H$2:$O$200,Y$1,FALSE))),$I$1),$I$1)</f>
        <v>0</v>
      </c>
      <c r="Z199" s="15">
        <f>IFERROR(IF(ISBLANK(S199),IFERROR(VLOOKUP($E199,Sheet3!$H$2:$O$200,Z$1,FALSE),IFERROR(VLOOKUP($F199,Sheet3!$H$2:$O$200,Z$1,FALSE),VLOOKUP($G199,Sheet3!$H$2:$O$200,Z$1,FALSE))),$I$1),$I$1)</f>
        <v>0</v>
      </c>
      <c r="AA199" s="15">
        <f>IFERROR(IF(ISBLANK(T199),IFERROR(VLOOKUP($E199,Sheet3!$H$2:$O$200,AA$1,FALSE),IFERROR(VLOOKUP($F199,Sheet3!$H$2:$O$200,AA$1,FALSE),VLOOKUP($G199,Sheet3!$H$2:$O$200,AA$1,FALSE))),$I$1),$I$1)</f>
        <v>0</v>
      </c>
      <c r="AB199" s="15">
        <f>IFERROR(IF(ISBLANK(U199),IFERROR(VLOOKUP($E199,Sheet3!$H$2:$O$200,AB$1,FALSE),IFERROR(VLOOKUP($F199,Sheet3!$H$2:$O$200,AB$1,FALSE),VLOOKUP($G199,Sheet3!$H$2:$O$200,AB$1,FALSE))),$I$1),$I$1)</f>
        <v>0</v>
      </c>
      <c r="AC199" s="15">
        <f>IFERROR(IF(ISBLANK(V199),IFERROR(VLOOKUP($E199,Sheet3!$H$2:$O$200,AC$1,FALSE),IFERROR(VLOOKUP($F199,Sheet3!$H$2:$O$200,AC$1,FALSE),VLOOKUP($G199,Sheet3!$H$2:$O$200,AC$1,FALSE))),$I$1),$I$1)</f>
        <v>0</v>
      </c>
      <c r="AD199" s="15">
        <f>IFERROR(IF(ISBLANK(W199),IFERROR(VLOOKUP($E199,Sheet3!$H$2:$O$200,AD$1,FALSE),IFERROR(VLOOKUP($F199,Sheet3!$H$2:$O$200,AD$1,FALSE),VLOOKUP($G199,Sheet3!$H$2:$O$200,AD$1,FALSE))),$I$1),$I$1)</f>
        <v>0</v>
      </c>
      <c r="AE199" s="15">
        <f>IFERROR(IF(ISBLANK(X199),IFERROR(VLOOKUP($F199,Sheet3!$H$2:$O$200,AE$1,FALSE),VLOOKUP($G199,Sheet3!$H$2:$O$200,AE$1,FALSE)),$I$1),$I$1)</f>
        <v>0</v>
      </c>
      <c r="AF199" s="15">
        <f>IFERROR(IF(ISBLANK(Y199),IFERROR(VLOOKUP($F199,Sheet3!$H$2:$O$200,AF$1,FALSE),VLOOKUP($G199,Sheet3!$H$2:$O$200,AF$1,FALSE)),$I$1),$I$1)</f>
        <v>0</v>
      </c>
      <c r="AG199" s="15">
        <f>IFERROR(IF(ISBLANK(Z199),IFERROR(VLOOKUP($F199,Sheet3!$H$2:$O$200,AG$1,FALSE),VLOOKUP($G199,Sheet3!$H$2:$O$200,AG$1,FALSE)),$I$1),$I$1)</f>
        <v>0</v>
      </c>
      <c r="AH199" s="15">
        <f>IFERROR(IF(ISBLANK(AA199),IFERROR(VLOOKUP($F199,Sheet3!$H$2:$O$200,AH$1,FALSE),VLOOKUP($G199,Sheet3!$H$2:$O$200,AH$1,FALSE)),$I$1),$I$1)</f>
        <v>0</v>
      </c>
      <c r="AI199" s="15">
        <f>IFERROR(IF(ISBLANK(AB199),IFERROR(VLOOKUP($F199,Sheet3!$H$2:$O$200,AI$1,FALSE),VLOOKUP($G199,Sheet3!$H$2:$O$200,AI$1,FALSE)),$I$1),$I$1)</f>
        <v>0</v>
      </c>
      <c r="AJ199" s="15">
        <f>IFERROR(IF(ISBLANK(AC199),IFERROR(VLOOKUP($F199,Sheet3!$H$2:$O$200,AJ$1,FALSE),VLOOKUP($G199,Sheet3!$H$2:$O$200,AJ$1,FALSE)),$I$1),$I$1)</f>
        <v>0</v>
      </c>
      <c r="AK199" s="15">
        <f>IFERROR(IF(ISBLANK(AD199),IFERROR(VLOOKUP($F199,Sheet3!$H$2:$O$200,AK$1,FALSE),VLOOKUP($G199,Sheet3!$H$2:$O$200,AK$1,FALSE)),$I$1),$I$1)</f>
        <v>0</v>
      </c>
      <c r="AL199" s="15">
        <f>IFERROR(IF(ISBLANK(AE199),VLOOKUP($G199,Sheet3!$H$2:$O$200,AL$1,FALSE),$I$1),$I$1)</f>
        <v>0</v>
      </c>
      <c r="AM199" s="15">
        <f>IFERROR(IF(ISBLANK(AF199),VLOOKUP($G199,Sheet3!$H$2:$O$200,AM$1,FALSE),$I$1),$I$1)</f>
        <v>0</v>
      </c>
      <c r="AN199" s="15">
        <f>IFERROR(IF(ISBLANK(AG199),VLOOKUP($G199,Sheet3!$H$2:$O$200,AN$1,FALSE),$I$1),$I$1)</f>
        <v>0</v>
      </c>
      <c r="AO199" s="15">
        <f>IFERROR(IF(ISBLANK(AH199),VLOOKUP($G199,Sheet3!$H$2:$O$200,AO$1,FALSE),$I$1),$I$1)</f>
        <v>0</v>
      </c>
      <c r="AP199" s="15">
        <f>IFERROR(IF(ISBLANK(AI199),VLOOKUP($G199,Sheet3!$H$2:$O$200,AP$1,FALSE),$I$1),$I$1)</f>
        <v>0</v>
      </c>
      <c r="AQ199" s="15">
        <f>IFERROR(IF(ISBLANK(AJ199),VLOOKUP($G199,Sheet3!$H$2:$O$200,AQ$1,FALSE),$I$1),$I$1)</f>
        <v>0</v>
      </c>
      <c r="AR199" s="15">
        <f>IFERROR(IF(ISBLANK(AK199),VLOOKUP($G199,Sheet3!$H$2:$O$200,AR$1,FALSE),$I$1),$I$1)</f>
        <v>0</v>
      </c>
      <c r="AS199" s="15">
        <f t="shared" ref="AS199:AY199" si="206">IFERROR(IF(ISBLANK(J199),IF(ISBLANK(Q199),IF(ISBLANK(X199),IF(ISBLANK(AE199),IF(ISBLANK(AL199),$BB$1,AL199),AE199),X199),Q199),J199),$BB$1)</f>
        <v>0</v>
      </c>
      <c r="AT199" s="15">
        <f t="shared" si="206"/>
        <v>0</v>
      </c>
      <c r="AU199" s="15" t="str">
        <f t="shared" si="206"/>
        <v>cranberry juice</v>
      </c>
      <c r="AV199" s="15">
        <f t="shared" si="206"/>
        <v>0</v>
      </c>
      <c r="AW199" s="15">
        <f t="shared" si="206"/>
        <v>0</v>
      </c>
      <c r="AX199" s="15">
        <f t="shared" si="206"/>
        <v>0</v>
      </c>
      <c r="AY199" s="15">
        <f t="shared" si="206"/>
        <v>0</v>
      </c>
      <c r="BA199" s="13">
        <f t="shared" si="1"/>
        <v>35</v>
      </c>
      <c r="BB199" s="15" t="b">
        <f t="shared" si="2"/>
        <v>0</v>
      </c>
    </row>
    <row r="200" spans="1:54" x14ac:dyDescent="0.2">
      <c r="A200" s="19" t="s">
        <v>375</v>
      </c>
      <c r="B200" s="19" t="s">
        <v>357</v>
      </c>
      <c r="C200" s="19"/>
      <c r="D200" s="19" t="s">
        <v>45</v>
      </c>
      <c r="E200" s="19" t="s">
        <v>126</v>
      </c>
      <c r="F200" s="19"/>
      <c r="G200" s="19"/>
      <c r="H200" s="19" t="s">
        <v>375</v>
      </c>
      <c r="I200" s="15">
        <v>2</v>
      </c>
      <c r="J200" s="15">
        <f>IFERROR(VLOOKUP($C200,Sheet3!$H$2:$O$200,J$1,FALSE),IFERROR(VLOOKUP($D200,Sheet3!$H$2:$O$200,J$1,FALSE),VLOOKUP($E200,Sheet3!$H$2:$O$200,J$1,FALSE)))</f>
        <v>0</v>
      </c>
      <c r="K200" s="15">
        <f>IFERROR(VLOOKUP($C200,Sheet3!$H$2:$O$200,K$1,FALSE),IFERROR(VLOOKUP($D200,Sheet3!$H$2:$O$200,K$1,FALSE),VLOOKUP($E200,Sheet3!$H$2:$O$200,K$1,FALSE)))</f>
        <v>0</v>
      </c>
      <c r="L200" s="15" t="str">
        <f>IFERROR(VLOOKUP($C200,Sheet3!$H$2:$O$200,L$1,FALSE),IFERROR(VLOOKUP($D200,Sheet3!$H$2:$O$200,L$1,FALSE),VLOOKUP($E200,Sheet3!$H$2:$O$200,L$1,FALSE)))</f>
        <v>cranberry juice</v>
      </c>
      <c r="M200" s="15">
        <f>IFERROR(VLOOKUP($C200,Sheet3!$H$2:$O$200,M$1,FALSE),IFERROR(VLOOKUP($D200,Sheet3!$H$2:$O$200,M$1,FALSE),VLOOKUP($E200,Sheet3!$H$2:$O$200,M$1,FALSE)))</f>
        <v>0</v>
      </c>
      <c r="N200" s="15">
        <f>IFERROR(VLOOKUP($C200,Sheet3!$H$2:$O$200,N$1,FALSE),IFERROR(VLOOKUP($D200,Sheet3!$H$2:$O$200,N$1,FALSE),VLOOKUP($E200,Sheet3!$H$2:$O$200,N$1,FALSE)))</f>
        <v>0</v>
      </c>
      <c r="O200" s="15">
        <f>IFERROR(VLOOKUP($C200,Sheet3!$H$2:$O$200,O$1,FALSE),IFERROR(VLOOKUP($D200,Sheet3!$H$2:$O$200,O$1,FALSE),VLOOKUP($E200,Sheet3!$H$2:$O$200,O$1,FALSE)))</f>
        <v>0</v>
      </c>
      <c r="P200" s="15">
        <f>IFERROR(VLOOKUP($C200,Sheet3!$H$2:$O$200,P$1,FALSE),IFERROR(VLOOKUP($D200,Sheet3!$H$2:$O$200,P$1,FALSE),VLOOKUP($E200,Sheet3!$H$2:$O$200,P$1,FALSE)))</f>
        <v>0</v>
      </c>
      <c r="Q200" s="15">
        <f>IFERROR(IF(ISBLANK(J200),IFERROR(VLOOKUP($D200,Sheet3!$H$2:$O$200,Q$1,FALSE),IFERROR(VLOOKUP($E200,Sheet3!$H$2:$O$200,Q$1,FALSE),VLOOKUP($F200,Sheet3!$H$2:$O$200,Q$1,FALSE))),$I$1),$I$1)</f>
        <v>0</v>
      </c>
      <c r="R200" s="15">
        <f>IFERROR(IF(ISBLANK(K200),IFERROR(VLOOKUP($D200,Sheet3!$H$2:$O$200,R$1,FALSE),IFERROR(VLOOKUP($E200,Sheet3!$H$2:$O$200,R$1,FALSE),VLOOKUP($F200,Sheet3!$H$2:$O$200,R$1,FALSE))),$I$1),$I$1)</f>
        <v>0</v>
      </c>
      <c r="S200" s="15">
        <f>IFERROR(IF(ISBLANK(L200),IFERROR(VLOOKUP($D200,Sheet3!$H$2:$O$200,S$1,FALSE),IFERROR(VLOOKUP($E200,Sheet3!$H$2:$O$200,S$1,FALSE),VLOOKUP($F200,Sheet3!$H$2:$O$200,S$1,FALSE))),$I$1),$I$1)</f>
        <v>0</v>
      </c>
      <c r="T200" s="15">
        <f>IFERROR(IF(ISBLANK(M200),IFERROR(VLOOKUP($D200,Sheet3!$H$2:$O$200,T$1,FALSE),IFERROR(VLOOKUP($E200,Sheet3!$H$2:$O$200,T$1,FALSE),VLOOKUP($F200,Sheet3!$H$2:$O$200,T$1,FALSE))),$I$1),$I$1)</f>
        <v>0</v>
      </c>
      <c r="U200" s="15">
        <f>IFERROR(IF(ISBLANK(N200),IFERROR(VLOOKUP($D200,Sheet3!$H$2:$O$200,U$1,FALSE),IFERROR(VLOOKUP($E200,Sheet3!$H$2:$O$200,U$1,FALSE),VLOOKUP($F200,Sheet3!$H$2:$O$200,U$1,FALSE))),$I$1),$I$1)</f>
        <v>0</v>
      </c>
      <c r="V200" s="15">
        <f>IFERROR(IF(ISBLANK(O200),IFERROR(VLOOKUP($D200,Sheet3!$H$2:$O$200,V$1,FALSE),IFERROR(VLOOKUP($E200,Sheet3!$H$2:$O$200,V$1,FALSE),VLOOKUP($F200,Sheet3!$H$2:$O$200,V$1,FALSE))),$I$1),$I$1)</f>
        <v>0</v>
      </c>
      <c r="W200" s="15">
        <f>IFERROR(IF(ISBLANK(P200),IFERROR(VLOOKUP($D200,Sheet3!$H$2:$O$200,W$1,FALSE),IFERROR(VLOOKUP($E200,Sheet3!$H$2:$O$200,W$1,FALSE),VLOOKUP($F200,Sheet3!$H$2:$O$200,W$1,FALSE))),$I$1),$I$1)</f>
        <v>0</v>
      </c>
      <c r="X200" s="15">
        <f>IFERROR(IF(ISBLANK(Q200),IFERROR(VLOOKUP($E200,Sheet3!$H$2:$O$200,X$1,FALSE),IFERROR(VLOOKUP($F200,Sheet3!$H$2:$O$200,X$1,FALSE),VLOOKUP($G200,Sheet3!$H$2:$O$200,X$1,FALSE))),$I$1),$I$1)</f>
        <v>0</v>
      </c>
      <c r="Y200" s="15">
        <f>IFERROR(IF(ISBLANK(R200),IFERROR(VLOOKUP($E200,Sheet3!$H$2:$O$200,Y$1,FALSE),IFERROR(VLOOKUP($F200,Sheet3!$H$2:$O$200,Y$1,FALSE),VLOOKUP($G200,Sheet3!$H$2:$O$200,Y$1,FALSE))),$I$1),$I$1)</f>
        <v>0</v>
      </c>
      <c r="Z200" s="15">
        <f>IFERROR(IF(ISBLANK(S200),IFERROR(VLOOKUP($E200,Sheet3!$H$2:$O$200,Z$1,FALSE),IFERROR(VLOOKUP($F200,Sheet3!$H$2:$O$200,Z$1,FALSE),VLOOKUP($G200,Sheet3!$H$2:$O$200,Z$1,FALSE))),$I$1),$I$1)</f>
        <v>0</v>
      </c>
      <c r="AA200" s="15">
        <f>IFERROR(IF(ISBLANK(T200),IFERROR(VLOOKUP($E200,Sheet3!$H$2:$O$200,AA$1,FALSE),IFERROR(VLOOKUP($F200,Sheet3!$H$2:$O$200,AA$1,FALSE),VLOOKUP($G200,Sheet3!$H$2:$O$200,AA$1,FALSE))),$I$1),$I$1)</f>
        <v>0</v>
      </c>
      <c r="AB200" s="15">
        <f>IFERROR(IF(ISBLANK(U200),IFERROR(VLOOKUP($E200,Sheet3!$H$2:$O$200,AB$1,FALSE),IFERROR(VLOOKUP($F200,Sheet3!$H$2:$O$200,AB$1,FALSE),VLOOKUP($G200,Sheet3!$H$2:$O$200,AB$1,FALSE))),$I$1),$I$1)</f>
        <v>0</v>
      </c>
      <c r="AC200" s="15">
        <f>IFERROR(IF(ISBLANK(V200),IFERROR(VLOOKUP($E200,Sheet3!$H$2:$O$200,AC$1,FALSE),IFERROR(VLOOKUP($F200,Sheet3!$H$2:$O$200,AC$1,FALSE),VLOOKUP($G200,Sheet3!$H$2:$O$200,AC$1,FALSE))),$I$1),$I$1)</f>
        <v>0</v>
      </c>
      <c r="AD200" s="15">
        <f>IFERROR(IF(ISBLANK(W200),IFERROR(VLOOKUP($E200,Sheet3!$H$2:$O$200,AD$1,FALSE),IFERROR(VLOOKUP($F200,Sheet3!$H$2:$O$200,AD$1,FALSE),VLOOKUP($G200,Sheet3!$H$2:$O$200,AD$1,FALSE))),$I$1),$I$1)</f>
        <v>0</v>
      </c>
      <c r="AE200" s="15">
        <f>IFERROR(IF(ISBLANK(X200),IFERROR(VLOOKUP($F200,Sheet3!$H$2:$O$200,AE$1,FALSE),VLOOKUP($G200,Sheet3!$H$2:$O$200,AE$1,FALSE)),$I$1),$I$1)</f>
        <v>0</v>
      </c>
      <c r="AF200" s="15">
        <f>IFERROR(IF(ISBLANK(Y200),IFERROR(VLOOKUP($F200,Sheet3!$H$2:$O$200,AF$1,FALSE),VLOOKUP($G200,Sheet3!$H$2:$O$200,AF$1,FALSE)),$I$1),$I$1)</f>
        <v>0</v>
      </c>
      <c r="AG200" s="15">
        <f>IFERROR(IF(ISBLANK(Z200),IFERROR(VLOOKUP($F200,Sheet3!$H$2:$O$200,AG$1,FALSE),VLOOKUP($G200,Sheet3!$H$2:$O$200,AG$1,FALSE)),$I$1),$I$1)</f>
        <v>0</v>
      </c>
      <c r="AH200" s="15">
        <f>IFERROR(IF(ISBLANK(AA200),IFERROR(VLOOKUP($F200,Sheet3!$H$2:$O$200,AH$1,FALSE),VLOOKUP($G200,Sheet3!$H$2:$O$200,AH$1,FALSE)),$I$1),$I$1)</f>
        <v>0</v>
      </c>
      <c r="AI200" s="15">
        <f>IFERROR(IF(ISBLANK(AB200),IFERROR(VLOOKUP($F200,Sheet3!$H$2:$O$200,AI$1,FALSE),VLOOKUP($G200,Sheet3!$H$2:$O$200,AI$1,FALSE)),$I$1),$I$1)</f>
        <v>0</v>
      </c>
      <c r="AJ200" s="15">
        <f>IFERROR(IF(ISBLANK(AC200),IFERROR(VLOOKUP($F200,Sheet3!$H$2:$O$200,AJ$1,FALSE),VLOOKUP($G200,Sheet3!$H$2:$O$200,AJ$1,FALSE)),$I$1),$I$1)</f>
        <v>0</v>
      </c>
      <c r="AK200" s="15">
        <f>IFERROR(IF(ISBLANK(AD200),IFERROR(VLOOKUP($F200,Sheet3!$H$2:$O$200,AK$1,FALSE),VLOOKUP($G200,Sheet3!$H$2:$O$200,AK$1,FALSE)),$I$1),$I$1)</f>
        <v>0</v>
      </c>
      <c r="AL200" s="15">
        <f>IFERROR(IF(ISBLANK(AE200),VLOOKUP($G200,Sheet3!$H$2:$O$200,AL$1,FALSE),$I$1),$I$1)</f>
        <v>0</v>
      </c>
      <c r="AM200" s="15">
        <f>IFERROR(IF(ISBLANK(AF200),VLOOKUP($G200,Sheet3!$H$2:$O$200,AM$1,FALSE),$I$1),$I$1)</f>
        <v>0</v>
      </c>
      <c r="AN200" s="15">
        <f>IFERROR(IF(ISBLANK(AG200),VLOOKUP($G200,Sheet3!$H$2:$O$200,AN$1,FALSE),$I$1),$I$1)</f>
        <v>0</v>
      </c>
      <c r="AO200" s="15">
        <f>IFERROR(IF(ISBLANK(AH200),VLOOKUP($G200,Sheet3!$H$2:$O$200,AO$1,FALSE),$I$1),$I$1)</f>
        <v>0</v>
      </c>
      <c r="AP200" s="15">
        <f>IFERROR(IF(ISBLANK(AI200),VLOOKUP($G200,Sheet3!$H$2:$O$200,AP$1,FALSE),$I$1),$I$1)</f>
        <v>0</v>
      </c>
      <c r="AQ200" s="15">
        <f>IFERROR(IF(ISBLANK(AJ200),VLOOKUP($G200,Sheet3!$H$2:$O$200,AQ$1,FALSE),$I$1),$I$1)</f>
        <v>0</v>
      </c>
      <c r="AR200" s="15">
        <f>IFERROR(IF(ISBLANK(AK200),VLOOKUP($G200,Sheet3!$H$2:$O$200,AR$1,FALSE),$I$1),$I$1)</f>
        <v>0</v>
      </c>
      <c r="AS200" s="15">
        <f t="shared" ref="AS200:AY200" si="207">IFERROR(IF(ISBLANK(J200),IF(ISBLANK(Q200),IF(ISBLANK(X200),IF(ISBLANK(AE200),IF(ISBLANK(AL200),$BB$1,AL200),AE200),X200),Q200),J200),$BB$1)</f>
        <v>0</v>
      </c>
      <c r="AT200" s="15">
        <f t="shared" si="207"/>
        <v>0</v>
      </c>
      <c r="AU200" s="15" t="str">
        <f t="shared" si="207"/>
        <v>cranberry juice</v>
      </c>
      <c r="AV200" s="15">
        <f t="shared" si="207"/>
        <v>0</v>
      </c>
      <c r="AW200" s="15">
        <f t="shared" si="207"/>
        <v>0</v>
      </c>
      <c r="AX200" s="15">
        <f t="shared" si="207"/>
        <v>0</v>
      </c>
      <c r="AY200" s="15">
        <f t="shared" si="207"/>
        <v>0</v>
      </c>
      <c r="BA200" s="13">
        <f t="shared" si="1"/>
        <v>35</v>
      </c>
      <c r="BB200" s="15" t="b">
        <f t="shared" si="2"/>
        <v>0</v>
      </c>
    </row>
    <row r="201" spans="1:54" x14ac:dyDescent="0.2">
      <c r="A201" s="19" t="s">
        <v>376</v>
      </c>
      <c r="B201" s="19" t="s">
        <v>357</v>
      </c>
      <c r="C201" s="19" t="s">
        <v>76</v>
      </c>
      <c r="D201" s="19" t="s">
        <v>45</v>
      </c>
      <c r="E201" s="19" t="s">
        <v>126</v>
      </c>
      <c r="F201" s="19"/>
      <c r="G201" s="19"/>
      <c r="H201" s="19" t="s">
        <v>376</v>
      </c>
      <c r="I201" s="15">
        <v>3</v>
      </c>
      <c r="J201" s="15">
        <f>IFERROR(VLOOKUP($C201,Sheet3!$H$2:$O$200,J$1,FALSE),IFERROR(VLOOKUP($D201,Sheet3!$H$2:$O$200,J$1,FALSE),VLOOKUP($E201,Sheet3!$H$2:$O$200,J$1,FALSE)))</f>
        <v>0</v>
      </c>
      <c r="K201" s="15">
        <f>IFERROR(VLOOKUP($C201,Sheet3!$H$2:$O$200,K$1,FALSE),IFERROR(VLOOKUP($D201,Sheet3!$H$2:$O$200,K$1,FALSE),VLOOKUP($E201,Sheet3!$H$2:$O$200,K$1,FALSE)))</f>
        <v>0</v>
      </c>
      <c r="L201" s="15">
        <f>IFERROR(VLOOKUP($C201,Sheet3!$H$2:$O$200,L$1,FALSE),IFERROR(VLOOKUP($D201,Sheet3!$H$2:$O$200,L$1,FALSE),VLOOKUP($E201,Sheet3!$H$2:$O$200,L$1,FALSE)))</f>
        <v>0</v>
      </c>
      <c r="M201" s="15" t="str">
        <f>IFERROR(VLOOKUP($C201,Sheet3!$H$2:$O$200,M$1,FALSE),IFERROR(VLOOKUP($D201,Sheet3!$H$2:$O$200,M$1,FALSE),VLOOKUP($E201,Sheet3!$H$2:$O$200,M$1,FALSE)))</f>
        <v>peach schnapps</v>
      </c>
      <c r="N201" s="15">
        <f>IFERROR(VLOOKUP($C201,Sheet3!$H$2:$O$200,N$1,FALSE),IFERROR(VLOOKUP($D201,Sheet3!$H$2:$O$200,N$1,FALSE),VLOOKUP($E201,Sheet3!$H$2:$O$200,N$1,FALSE)))</f>
        <v>0</v>
      </c>
      <c r="O201" s="15">
        <f>IFERROR(VLOOKUP($C201,Sheet3!$H$2:$O$200,O$1,FALSE),IFERROR(VLOOKUP($D201,Sheet3!$H$2:$O$200,O$1,FALSE),VLOOKUP($E201,Sheet3!$H$2:$O$200,O$1,FALSE)))</f>
        <v>0</v>
      </c>
      <c r="P201" s="15">
        <f>IFERROR(VLOOKUP($C201,Sheet3!$H$2:$O$200,P$1,FALSE),IFERROR(VLOOKUP($D201,Sheet3!$H$2:$O$200,P$1,FALSE),VLOOKUP($E201,Sheet3!$H$2:$O$200,P$1,FALSE)))</f>
        <v>0</v>
      </c>
      <c r="Q201" s="15">
        <f>IFERROR(IF(ISBLANK(J201),IFERROR(VLOOKUP($D201,Sheet3!$H$2:$O$200,Q$1,FALSE),IFERROR(VLOOKUP($E201,Sheet3!$H$2:$O$200,Q$1,FALSE),VLOOKUP($F201,Sheet3!$H$2:$O$200,Q$1,FALSE))),$I$1),$I$1)</f>
        <v>0</v>
      </c>
      <c r="R201" s="15">
        <f>IFERROR(IF(ISBLANK(K201),IFERROR(VLOOKUP($D201,Sheet3!$H$2:$O$200,R$1,FALSE),IFERROR(VLOOKUP($E201,Sheet3!$H$2:$O$200,R$1,FALSE),VLOOKUP($F201,Sheet3!$H$2:$O$200,R$1,FALSE))),$I$1),$I$1)</f>
        <v>0</v>
      </c>
      <c r="S201" s="15">
        <f>IFERROR(IF(ISBLANK(L201),IFERROR(VLOOKUP($D201,Sheet3!$H$2:$O$200,S$1,FALSE),IFERROR(VLOOKUP($E201,Sheet3!$H$2:$O$200,S$1,FALSE),VLOOKUP($F201,Sheet3!$H$2:$O$200,S$1,FALSE))),$I$1),$I$1)</f>
        <v>0</v>
      </c>
      <c r="T201" s="15">
        <f>IFERROR(IF(ISBLANK(M201),IFERROR(VLOOKUP($D201,Sheet3!$H$2:$O$200,T$1,FALSE),IFERROR(VLOOKUP($E201,Sheet3!$H$2:$O$200,T$1,FALSE),VLOOKUP($F201,Sheet3!$H$2:$O$200,T$1,FALSE))),$I$1),$I$1)</f>
        <v>0</v>
      </c>
      <c r="U201" s="15">
        <f>IFERROR(IF(ISBLANK(N201),IFERROR(VLOOKUP($D201,Sheet3!$H$2:$O$200,U$1,FALSE),IFERROR(VLOOKUP($E201,Sheet3!$H$2:$O$200,U$1,FALSE),VLOOKUP($F201,Sheet3!$H$2:$O$200,U$1,FALSE))),$I$1),$I$1)</f>
        <v>0</v>
      </c>
      <c r="V201" s="15">
        <f>IFERROR(IF(ISBLANK(O201),IFERROR(VLOOKUP($D201,Sheet3!$H$2:$O$200,V$1,FALSE),IFERROR(VLOOKUP($E201,Sheet3!$H$2:$O$200,V$1,FALSE),VLOOKUP($F201,Sheet3!$H$2:$O$200,V$1,FALSE))),$I$1),$I$1)</f>
        <v>0</v>
      </c>
      <c r="W201" s="15">
        <f>IFERROR(IF(ISBLANK(P201),IFERROR(VLOOKUP($D201,Sheet3!$H$2:$O$200,W$1,FALSE),IFERROR(VLOOKUP($E201,Sheet3!$H$2:$O$200,W$1,FALSE),VLOOKUP($F201,Sheet3!$H$2:$O$200,W$1,FALSE))),$I$1),$I$1)</f>
        <v>0</v>
      </c>
      <c r="X201" s="15">
        <f>IFERROR(IF(ISBLANK(Q201),IFERROR(VLOOKUP($E201,Sheet3!$H$2:$O$200,X$1,FALSE),IFERROR(VLOOKUP($F201,Sheet3!$H$2:$O$200,X$1,FALSE),VLOOKUP($G201,Sheet3!$H$2:$O$200,X$1,FALSE))),$I$1),$I$1)</f>
        <v>0</v>
      </c>
      <c r="Y201" s="15">
        <f>IFERROR(IF(ISBLANK(R201),IFERROR(VLOOKUP($E201,Sheet3!$H$2:$O$200,Y$1,FALSE),IFERROR(VLOOKUP($F201,Sheet3!$H$2:$O$200,Y$1,FALSE),VLOOKUP($G201,Sheet3!$H$2:$O$200,Y$1,FALSE))),$I$1),$I$1)</f>
        <v>0</v>
      </c>
      <c r="Z201" s="15">
        <f>IFERROR(IF(ISBLANK(S201),IFERROR(VLOOKUP($E201,Sheet3!$H$2:$O$200,Z$1,FALSE),IFERROR(VLOOKUP($F201,Sheet3!$H$2:$O$200,Z$1,FALSE),VLOOKUP($G201,Sheet3!$H$2:$O$200,Z$1,FALSE))),$I$1),$I$1)</f>
        <v>0</v>
      </c>
      <c r="AA201" s="15">
        <f>IFERROR(IF(ISBLANK(T201),IFERROR(VLOOKUP($E201,Sheet3!$H$2:$O$200,AA$1,FALSE),IFERROR(VLOOKUP($F201,Sheet3!$H$2:$O$200,AA$1,FALSE),VLOOKUP($G201,Sheet3!$H$2:$O$200,AA$1,FALSE))),$I$1),$I$1)</f>
        <v>0</v>
      </c>
      <c r="AB201" s="15">
        <f>IFERROR(IF(ISBLANK(U201),IFERROR(VLOOKUP($E201,Sheet3!$H$2:$O$200,AB$1,FALSE),IFERROR(VLOOKUP($F201,Sheet3!$H$2:$O$200,AB$1,FALSE),VLOOKUP($G201,Sheet3!$H$2:$O$200,AB$1,FALSE))),$I$1),$I$1)</f>
        <v>0</v>
      </c>
      <c r="AC201" s="15">
        <f>IFERROR(IF(ISBLANK(V201),IFERROR(VLOOKUP($E201,Sheet3!$H$2:$O$200,AC$1,FALSE),IFERROR(VLOOKUP($F201,Sheet3!$H$2:$O$200,AC$1,FALSE),VLOOKUP($G201,Sheet3!$H$2:$O$200,AC$1,FALSE))),$I$1),$I$1)</f>
        <v>0</v>
      </c>
      <c r="AD201" s="15">
        <f>IFERROR(IF(ISBLANK(W201),IFERROR(VLOOKUP($E201,Sheet3!$H$2:$O$200,AD$1,FALSE),IFERROR(VLOOKUP($F201,Sheet3!$H$2:$O$200,AD$1,FALSE),VLOOKUP($G201,Sheet3!$H$2:$O$200,AD$1,FALSE))),$I$1),$I$1)</f>
        <v>0</v>
      </c>
      <c r="AE201" s="15">
        <f>IFERROR(IF(ISBLANK(X201),IFERROR(VLOOKUP($F201,Sheet3!$H$2:$O$200,AE$1,FALSE),VLOOKUP($G201,Sheet3!$H$2:$O$200,AE$1,FALSE)),$I$1),$I$1)</f>
        <v>0</v>
      </c>
      <c r="AF201" s="15">
        <f>IFERROR(IF(ISBLANK(Y201),IFERROR(VLOOKUP($F201,Sheet3!$H$2:$O$200,AF$1,FALSE),VLOOKUP($G201,Sheet3!$H$2:$O$200,AF$1,FALSE)),$I$1),$I$1)</f>
        <v>0</v>
      </c>
      <c r="AG201" s="15">
        <f>IFERROR(IF(ISBLANK(Z201),IFERROR(VLOOKUP($F201,Sheet3!$H$2:$O$200,AG$1,FALSE),VLOOKUP($G201,Sheet3!$H$2:$O$200,AG$1,FALSE)),$I$1),$I$1)</f>
        <v>0</v>
      </c>
      <c r="AH201" s="15">
        <f>IFERROR(IF(ISBLANK(AA201),IFERROR(VLOOKUP($F201,Sheet3!$H$2:$O$200,AH$1,FALSE),VLOOKUP($G201,Sheet3!$H$2:$O$200,AH$1,FALSE)),$I$1),$I$1)</f>
        <v>0</v>
      </c>
      <c r="AI201" s="15">
        <f>IFERROR(IF(ISBLANK(AB201),IFERROR(VLOOKUP($F201,Sheet3!$H$2:$O$200,AI$1,FALSE),VLOOKUP($G201,Sheet3!$H$2:$O$200,AI$1,FALSE)),$I$1),$I$1)</f>
        <v>0</v>
      </c>
      <c r="AJ201" s="15">
        <f>IFERROR(IF(ISBLANK(AC201),IFERROR(VLOOKUP($F201,Sheet3!$H$2:$O$200,AJ$1,FALSE),VLOOKUP($G201,Sheet3!$H$2:$O$200,AJ$1,FALSE)),$I$1),$I$1)</f>
        <v>0</v>
      </c>
      <c r="AK201" s="15">
        <f>IFERROR(IF(ISBLANK(AD201),IFERROR(VLOOKUP($F201,Sheet3!$H$2:$O$200,AK$1,FALSE),VLOOKUP($G201,Sheet3!$H$2:$O$200,AK$1,FALSE)),$I$1),$I$1)</f>
        <v>0</v>
      </c>
      <c r="AL201" s="15">
        <f>IFERROR(IF(ISBLANK(AE201),VLOOKUP($G201,Sheet3!$H$2:$O$200,AL$1,FALSE),$I$1),$I$1)</f>
        <v>0</v>
      </c>
      <c r="AM201" s="15">
        <f>IFERROR(IF(ISBLANK(AF201),VLOOKUP($G201,Sheet3!$H$2:$O$200,AM$1,FALSE),$I$1),$I$1)</f>
        <v>0</v>
      </c>
      <c r="AN201" s="15">
        <f>IFERROR(IF(ISBLANK(AG201),VLOOKUP($G201,Sheet3!$H$2:$O$200,AN$1,FALSE),$I$1),$I$1)</f>
        <v>0</v>
      </c>
      <c r="AO201" s="15">
        <f>IFERROR(IF(ISBLANK(AH201),VLOOKUP($G201,Sheet3!$H$2:$O$200,AO$1,FALSE),$I$1),$I$1)</f>
        <v>0</v>
      </c>
      <c r="AP201" s="15">
        <f>IFERROR(IF(ISBLANK(AI201),VLOOKUP($G201,Sheet3!$H$2:$O$200,AP$1,FALSE),$I$1),$I$1)</f>
        <v>0</v>
      </c>
      <c r="AQ201" s="15">
        <f>IFERROR(IF(ISBLANK(AJ201),VLOOKUP($G201,Sheet3!$H$2:$O$200,AQ$1,FALSE),$I$1),$I$1)</f>
        <v>0</v>
      </c>
      <c r="AR201" s="15">
        <f>IFERROR(IF(ISBLANK(AK201),VLOOKUP($G201,Sheet3!$H$2:$O$200,AR$1,FALSE),$I$1),$I$1)</f>
        <v>0</v>
      </c>
      <c r="AS201" s="15">
        <f t="shared" ref="AS201:AV201" si="208">IFERROR(IF(ISBLANK(J201),IF(ISBLANK(Q201),IF(ISBLANK(X201),IF(ISBLANK(AE201),IF(ISBLANK(AL201),$BB$1,AL201),AE201),X201),Q201),J201),$BB$1)</f>
        <v>0</v>
      </c>
      <c r="AT201" s="15">
        <f t="shared" si="208"/>
        <v>0</v>
      </c>
      <c r="AU201" s="15">
        <f t="shared" si="208"/>
        <v>0</v>
      </c>
      <c r="AV201" s="15" t="str">
        <f t="shared" si="208"/>
        <v>peach schnapps</v>
      </c>
      <c r="AW201" s="11" t="s">
        <v>126</v>
      </c>
      <c r="AX201" s="15">
        <f t="shared" ref="AX201:AY201" si="209">IFERROR(IF(ISBLANK(O201),IF(ISBLANK(V201),IF(ISBLANK(AC201),IF(ISBLANK(AJ201),IF(ISBLANK(AQ201),$BB$1,AQ201),AJ201),AC201),V201),O201),$BB$1)</f>
        <v>0</v>
      </c>
      <c r="AY201" s="15">
        <f t="shared" si="209"/>
        <v>0</v>
      </c>
      <c r="BA201" s="13">
        <f t="shared" si="1"/>
        <v>35</v>
      </c>
      <c r="BB201" s="15" t="b">
        <f t="shared" si="2"/>
        <v>0</v>
      </c>
    </row>
    <row r="202" spans="1:54" x14ac:dyDescent="0.2">
      <c r="A202" s="19" t="s">
        <v>377</v>
      </c>
      <c r="B202" s="19" t="s">
        <v>357</v>
      </c>
      <c r="C202" s="19" t="s">
        <v>76</v>
      </c>
      <c r="D202" s="19" t="s">
        <v>45</v>
      </c>
      <c r="E202" s="19"/>
      <c r="F202" s="19"/>
      <c r="G202" s="19"/>
      <c r="H202" s="19" t="s">
        <v>377</v>
      </c>
      <c r="I202" s="15">
        <v>2</v>
      </c>
      <c r="J202" s="15">
        <f>IFERROR(VLOOKUP($C202,Sheet3!$H$2:$O$200,J$1,FALSE),IFERROR(VLOOKUP($D202,Sheet3!$H$2:$O$200,J$1,FALSE),VLOOKUP($E202,Sheet3!$H$2:$O$200,J$1,FALSE)))</f>
        <v>0</v>
      </c>
      <c r="K202" s="15">
        <f>IFERROR(VLOOKUP($C202,Sheet3!$H$2:$O$200,K$1,FALSE),IFERROR(VLOOKUP($D202,Sheet3!$H$2:$O$200,K$1,FALSE),VLOOKUP($E202,Sheet3!$H$2:$O$200,K$1,FALSE)))</f>
        <v>0</v>
      </c>
      <c r="L202" s="15">
        <f>IFERROR(VLOOKUP($C202,Sheet3!$H$2:$O$200,L$1,FALSE),IFERROR(VLOOKUP($D202,Sheet3!$H$2:$O$200,L$1,FALSE),VLOOKUP($E202,Sheet3!$H$2:$O$200,L$1,FALSE)))</f>
        <v>0</v>
      </c>
      <c r="M202" s="15" t="str">
        <f>IFERROR(VLOOKUP($C202,Sheet3!$H$2:$O$200,M$1,FALSE),IFERROR(VLOOKUP($D202,Sheet3!$H$2:$O$200,M$1,FALSE),VLOOKUP($E202,Sheet3!$H$2:$O$200,M$1,FALSE)))</f>
        <v>peach schnapps</v>
      </c>
      <c r="N202" s="15">
        <f>IFERROR(VLOOKUP($C202,Sheet3!$H$2:$O$200,N$1,FALSE),IFERROR(VLOOKUP($D202,Sheet3!$H$2:$O$200,N$1,FALSE),VLOOKUP($E202,Sheet3!$H$2:$O$200,N$1,FALSE)))</f>
        <v>0</v>
      </c>
      <c r="O202" s="15">
        <f>IFERROR(VLOOKUP($C202,Sheet3!$H$2:$O$200,O$1,FALSE),IFERROR(VLOOKUP($D202,Sheet3!$H$2:$O$200,O$1,FALSE),VLOOKUP($E202,Sheet3!$H$2:$O$200,O$1,FALSE)))</f>
        <v>0</v>
      </c>
      <c r="P202" s="15">
        <f>IFERROR(VLOOKUP($C202,Sheet3!$H$2:$O$200,P$1,FALSE),IFERROR(VLOOKUP($D202,Sheet3!$H$2:$O$200,P$1,FALSE),VLOOKUP($E202,Sheet3!$H$2:$O$200,P$1,FALSE)))</f>
        <v>0</v>
      </c>
      <c r="Q202" s="15">
        <f>IFERROR(IF(ISBLANK(J202),IFERROR(VLOOKUP($D202,Sheet3!$H$2:$O$200,Q$1,FALSE),IFERROR(VLOOKUP($E202,Sheet3!$H$2:$O$200,Q$1,FALSE),VLOOKUP($F202,Sheet3!$H$2:$O$200,Q$1,FALSE))),$I$1),$I$1)</f>
        <v>0</v>
      </c>
      <c r="R202" s="15">
        <f>IFERROR(IF(ISBLANK(K202),IFERROR(VLOOKUP($D202,Sheet3!$H$2:$O$200,R$1,FALSE),IFERROR(VLOOKUP($E202,Sheet3!$H$2:$O$200,R$1,FALSE),VLOOKUP($F202,Sheet3!$H$2:$O$200,R$1,FALSE))),$I$1),$I$1)</f>
        <v>0</v>
      </c>
      <c r="S202" s="15">
        <f>IFERROR(IF(ISBLANK(L202),IFERROR(VLOOKUP($D202,Sheet3!$H$2:$O$200,S$1,FALSE),IFERROR(VLOOKUP($E202,Sheet3!$H$2:$O$200,S$1,FALSE),VLOOKUP($F202,Sheet3!$H$2:$O$200,S$1,FALSE))),$I$1),$I$1)</f>
        <v>0</v>
      </c>
      <c r="T202" s="15">
        <f>IFERROR(IF(ISBLANK(M202),IFERROR(VLOOKUP($D202,Sheet3!$H$2:$O$200,T$1,FALSE),IFERROR(VLOOKUP($E202,Sheet3!$H$2:$O$200,T$1,FALSE),VLOOKUP($F202,Sheet3!$H$2:$O$200,T$1,FALSE))),$I$1),$I$1)</f>
        <v>0</v>
      </c>
      <c r="U202" s="15">
        <f>IFERROR(IF(ISBLANK(N202),IFERROR(VLOOKUP($D202,Sheet3!$H$2:$O$200,U$1,FALSE),IFERROR(VLOOKUP($E202,Sheet3!$H$2:$O$200,U$1,FALSE),VLOOKUP($F202,Sheet3!$H$2:$O$200,U$1,FALSE))),$I$1),$I$1)</f>
        <v>0</v>
      </c>
      <c r="V202" s="15">
        <f>IFERROR(IF(ISBLANK(O202),IFERROR(VLOOKUP($D202,Sheet3!$H$2:$O$200,V$1,FALSE),IFERROR(VLOOKUP($E202,Sheet3!$H$2:$O$200,V$1,FALSE),VLOOKUP($F202,Sheet3!$H$2:$O$200,V$1,FALSE))),$I$1),$I$1)</f>
        <v>0</v>
      </c>
      <c r="W202" s="15">
        <f>IFERROR(IF(ISBLANK(P202),IFERROR(VLOOKUP($D202,Sheet3!$H$2:$O$200,W$1,FALSE),IFERROR(VLOOKUP($E202,Sheet3!$H$2:$O$200,W$1,FALSE),VLOOKUP($F202,Sheet3!$H$2:$O$200,W$1,FALSE))),$I$1),$I$1)</f>
        <v>0</v>
      </c>
      <c r="X202" s="15">
        <f>IFERROR(IF(ISBLANK(Q202),IFERROR(VLOOKUP($E202,Sheet3!$H$2:$O$200,X$1,FALSE),IFERROR(VLOOKUP($F202,Sheet3!$H$2:$O$200,X$1,FALSE),VLOOKUP($G202,Sheet3!$H$2:$O$200,X$1,FALSE))),$I$1),$I$1)</f>
        <v>0</v>
      </c>
      <c r="Y202" s="15">
        <f>IFERROR(IF(ISBLANK(R202),IFERROR(VLOOKUP($E202,Sheet3!$H$2:$O$200,Y$1,FALSE),IFERROR(VLOOKUP($F202,Sheet3!$H$2:$O$200,Y$1,FALSE),VLOOKUP($G202,Sheet3!$H$2:$O$200,Y$1,FALSE))),$I$1),$I$1)</f>
        <v>0</v>
      </c>
      <c r="Z202" s="15">
        <f>IFERROR(IF(ISBLANK(S202),IFERROR(VLOOKUP($E202,Sheet3!$H$2:$O$200,Z$1,FALSE),IFERROR(VLOOKUP($F202,Sheet3!$H$2:$O$200,Z$1,FALSE),VLOOKUP($G202,Sheet3!$H$2:$O$200,Z$1,FALSE))),$I$1),$I$1)</f>
        <v>0</v>
      </c>
      <c r="AA202" s="15">
        <f>IFERROR(IF(ISBLANK(T202),IFERROR(VLOOKUP($E202,Sheet3!$H$2:$O$200,AA$1,FALSE),IFERROR(VLOOKUP($F202,Sheet3!$H$2:$O$200,AA$1,FALSE),VLOOKUP($G202,Sheet3!$H$2:$O$200,AA$1,FALSE))),$I$1),$I$1)</f>
        <v>0</v>
      </c>
      <c r="AB202" s="15">
        <f>IFERROR(IF(ISBLANK(U202),IFERROR(VLOOKUP($E202,Sheet3!$H$2:$O$200,AB$1,FALSE),IFERROR(VLOOKUP($F202,Sheet3!$H$2:$O$200,AB$1,FALSE),VLOOKUP($G202,Sheet3!$H$2:$O$200,AB$1,FALSE))),$I$1),$I$1)</f>
        <v>0</v>
      </c>
      <c r="AC202" s="15">
        <f>IFERROR(IF(ISBLANK(V202),IFERROR(VLOOKUP($E202,Sheet3!$H$2:$O$200,AC$1,FALSE),IFERROR(VLOOKUP($F202,Sheet3!$H$2:$O$200,AC$1,FALSE),VLOOKUP($G202,Sheet3!$H$2:$O$200,AC$1,FALSE))),$I$1),$I$1)</f>
        <v>0</v>
      </c>
      <c r="AD202" s="15">
        <f>IFERROR(IF(ISBLANK(W202),IFERROR(VLOOKUP($E202,Sheet3!$H$2:$O$200,AD$1,FALSE),IFERROR(VLOOKUP($F202,Sheet3!$H$2:$O$200,AD$1,FALSE),VLOOKUP($G202,Sheet3!$H$2:$O$200,AD$1,FALSE))),$I$1),$I$1)</f>
        <v>0</v>
      </c>
      <c r="AE202" s="15">
        <f>IFERROR(IF(ISBLANK(X202),IFERROR(VLOOKUP($F202,Sheet3!$H$2:$O$200,AE$1,FALSE),VLOOKUP($G202,Sheet3!$H$2:$O$200,AE$1,FALSE)),$I$1),$I$1)</f>
        <v>0</v>
      </c>
      <c r="AF202" s="15">
        <f>IFERROR(IF(ISBLANK(Y202),IFERROR(VLOOKUP($F202,Sheet3!$H$2:$O$200,AF$1,FALSE),VLOOKUP($G202,Sheet3!$H$2:$O$200,AF$1,FALSE)),$I$1),$I$1)</f>
        <v>0</v>
      </c>
      <c r="AG202" s="15">
        <f>IFERROR(IF(ISBLANK(Z202),IFERROR(VLOOKUP($F202,Sheet3!$H$2:$O$200,AG$1,FALSE),VLOOKUP($G202,Sheet3!$H$2:$O$200,AG$1,FALSE)),$I$1),$I$1)</f>
        <v>0</v>
      </c>
      <c r="AH202" s="15">
        <f>IFERROR(IF(ISBLANK(AA202),IFERROR(VLOOKUP($F202,Sheet3!$H$2:$O$200,AH$1,FALSE),VLOOKUP($G202,Sheet3!$H$2:$O$200,AH$1,FALSE)),$I$1),$I$1)</f>
        <v>0</v>
      </c>
      <c r="AI202" s="15">
        <f>IFERROR(IF(ISBLANK(AB202),IFERROR(VLOOKUP($F202,Sheet3!$H$2:$O$200,AI$1,FALSE),VLOOKUP($G202,Sheet3!$H$2:$O$200,AI$1,FALSE)),$I$1),$I$1)</f>
        <v>0</v>
      </c>
      <c r="AJ202" s="15">
        <f>IFERROR(IF(ISBLANK(AC202),IFERROR(VLOOKUP($F202,Sheet3!$H$2:$O$200,AJ$1,FALSE),VLOOKUP($G202,Sheet3!$H$2:$O$200,AJ$1,FALSE)),$I$1),$I$1)</f>
        <v>0</v>
      </c>
      <c r="AK202" s="15">
        <f>IFERROR(IF(ISBLANK(AD202),IFERROR(VLOOKUP($F202,Sheet3!$H$2:$O$200,AK$1,FALSE),VLOOKUP($G202,Sheet3!$H$2:$O$200,AK$1,FALSE)),$I$1),$I$1)</f>
        <v>0</v>
      </c>
      <c r="AL202" s="15">
        <f>IFERROR(IF(ISBLANK(AE202),VLOOKUP($G202,Sheet3!$H$2:$O$200,AL$1,FALSE),$I$1),$I$1)</f>
        <v>0</v>
      </c>
      <c r="AM202" s="15">
        <f>IFERROR(IF(ISBLANK(AF202),VLOOKUP($G202,Sheet3!$H$2:$O$200,AM$1,FALSE),$I$1),$I$1)</f>
        <v>0</v>
      </c>
      <c r="AN202" s="15">
        <f>IFERROR(IF(ISBLANK(AG202),VLOOKUP($G202,Sheet3!$H$2:$O$200,AN$1,FALSE),$I$1),$I$1)</f>
        <v>0</v>
      </c>
      <c r="AO202" s="15">
        <f>IFERROR(IF(ISBLANK(AH202),VLOOKUP($G202,Sheet3!$H$2:$O$200,AO$1,FALSE),$I$1),$I$1)</f>
        <v>0</v>
      </c>
      <c r="AP202" s="15">
        <f>IFERROR(IF(ISBLANK(AI202),VLOOKUP($G202,Sheet3!$H$2:$O$200,AP$1,FALSE),$I$1),$I$1)</f>
        <v>0</v>
      </c>
      <c r="AQ202" s="15">
        <f>IFERROR(IF(ISBLANK(AJ202),VLOOKUP($G202,Sheet3!$H$2:$O$200,AQ$1,FALSE),$I$1),$I$1)</f>
        <v>0</v>
      </c>
      <c r="AR202" s="15">
        <f>IFERROR(IF(ISBLANK(AK202),VLOOKUP($G202,Sheet3!$H$2:$O$200,AR$1,FALSE),$I$1),$I$1)</f>
        <v>0</v>
      </c>
      <c r="AS202" s="15">
        <f t="shared" ref="AS202:AY202" si="210">IFERROR(IF(ISBLANK(J202),IF(ISBLANK(Q202),IF(ISBLANK(X202),IF(ISBLANK(AE202),IF(ISBLANK(AL202),$BB$1,AL202),AE202),X202),Q202),J202),$BB$1)</f>
        <v>0</v>
      </c>
      <c r="AT202" s="15">
        <f t="shared" si="210"/>
        <v>0</v>
      </c>
      <c r="AU202" s="15">
        <f t="shared" si="210"/>
        <v>0</v>
      </c>
      <c r="AV202" s="15" t="str">
        <f t="shared" si="210"/>
        <v>peach schnapps</v>
      </c>
      <c r="AW202" s="15">
        <f t="shared" si="210"/>
        <v>0</v>
      </c>
      <c r="AX202" s="15">
        <f t="shared" si="210"/>
        <v>0</v>
      </c>
      <c r="AY202" s="15">
        <f t="shared" si="210"/>
        <v>0</v>
      </c>
      <c r="BA202" s="13">
        <f t="shared" si="1"/>
        <v>35</v>
      </c>
      <c r="BB202" s="15" t="b">
        <f t="shared" si="2"/>
        <v>0</v>
      </c>
    </row>
    <row r="203" spans="1:54" x14ac:dyDescent="0.2">
      <c r="A203" s="19" t="s">
        <v>378</v>
      </c>
      <c r="B203" s="19" t="s">
        <v>357</v>
      </c>
      <c r="C203" s="19"/>
      <c r="D203" s="19" t="s">
        <v>38</v>
      </c>
      <c r="E203" s="19" t="s">
        <v>115</v>
      </c>
      <c r="F203" s="19" t="s">
        <v>379</v>
      </c>
      <c r="G203" s="19"/>
      <c r="H203" s="19" t="s">
        <v>378</v>
      </c>
      <c r="I203" s="15">
        <v>3</v>
      </c>
      <c r="J203" s="15">
        <f>IFERROR(VLOOKUP($C203,Sheet3!$H$2:$O$200,J$1,FALSE),IFERROR(VLOOKUP($D203,Sheet3!$H$2:$O$200,J$1,FALSE),VLOOKUP($E203,Sheet3!$H$2:$O$200,J$1,FALSE)))</f>
        <v>0</v>
      </c>
      <c r="K203" s="15">
        <f>IFERROR(VLOOKUP($C203,Sheet3!$H$2:$O$200,K$1,FALSE),IFERROR(VLOOKUP($D203,Sheet3!$H$2:$O$200,K$1,FALSE),VLOOKUP($E203,Sheet3!$H$2:$O$200,K$1,FALSE)))</f>
        <v>0</v>
      </c>
      <c r="L203" s="15" t="str">
        <f>IFERROR(VLOOKUP($C203,Sheet3!$H$2:$O$200,L$1,FALSE),IFERROR(VLOOKUP($D203,Sheet3!$H$2:$O$200,L$1,FALSE),VLOOKUP($E203,Sheet3!$H$2:$O$200,L$1,FALSE)))</f>
        <v>lemon juice</v>
      </c>
      <c r="M203" s="15">
        <f>IFERROR(VLOOKUP($C203,Sheet3!$H$2:$O$200,M$1,FALSE),IFERROR(VLOOKUP($D203,Sheet3!$H$2:$O$200,M$1,FALSE),VLOOKUP($E203,Sheet3!$H$2:$O$200,M$1,FALSE)))</f>
        <v>0</v>
      </c>
      <c r="N203" s="15">
        <f>IFERROR(VLOOKUP($C203,Sheet3!$H$2:$O$200,N$1,FALSE),IFERROR(VLOOKUP($D203,Sheet3!$H$2:$O$200,N$1,FALSE),VLOOKUP($E203,Sheet3!$H$2:$O$200,N$1,FALSE)))</f>
        <v>0</v>
      </c>
      <c r="O203" s="15">
        <f>IFERROR(VLOOKUP($C203,Sheet3!$H$2:$O$200,O$1,FALSE),IFERROR(VLOOKUP($D203,Sheet3!$H$2:$O$200,O$1,FALSE),VLOOKUP($E203,Sheet3!$H$2:$O$200,O$1,FALSE)))</f>
        <v>0</v>
      </c>
      <c r="P203" s="15">
        <f>IFERROR(VLOOKUP($C203,Sheet3!$H$2:$O$200,P$1,FALSE),IFERROR(VLOOKUP($D203,Sheet3!$H$2:$O$200,P$1,FALSE),VLOOKUP($E203,Sheet3!$H$2:$O$200,P$1,FALSE)))</f>
        <v>0</v>
      </c>
      <c r="Q203" s="15">
        <f>IFERROR(IF(ISBLANK(J203),IFERROR(VLOOKUP($D203,Sheet3!$H$2:$O$200,Q$1,FALSE),IFERROR(VLOOKUP($E203,Sheet3!$H$2:$O$200,Q$1,FALSE),VLOOKUP($F203,Sheet3!$H$2:$O$200,Q$1,FALSE))),$I$1),$I$1)</f>
        <v>0</v>
      </c>
      <c r="R203" s="15">
        <f>IFERROR(IF(ISBLANK(K203),IFERROR(VLOOKUP($D203,Sheet3!$H$2:$O$200,R$1,FALSE),IFERROR(VLOOKUP($E203,Sheet3!$H$2:$O$200,R$1,FALSE),VLOOKUP($F203,Sheet3!$H$2:$O$200,R$1,FALSE))),$I$1),$I$1)</f>
        <v>0</v>
      </c>
      <c r="S203" s="15">
        <f>IFERROR(IF(ISBLANK(L203),IFERROR(VLOOKUP($D203,Sheet3!$H$2:$O$200,S$1,FALSE),IFERROR(VLOOKUP($E203,Sheet3!$H$2:$O$200,S$1,FALSE),VLOOKUP($F203,Sheet3!$H$2:$O$200,S$1,FALSE))),$I$1),$I$1)</f>
        <v>0</v>
      </c>
      <c r="T203" s="15">
        <f>IFERROR(IF(ISBLANK(M203),IFERROR(VLOOKUP($D203,Sheet3!$H$2:$O$200,T$1,FALSE),IFERROR(VLOOKUP($E203,Sheet3!$H$2:$O$200,T$1,FALSE),VLOOKUP($F203,Sheet3!$H$2:$O$200,T$1,FALSE))),$I$1),$I$1)</f>
        <v>0</v>
      </c>
      <c r="U203" s="15">
        <f>IFERROR(IF(ISBLANK(N203),IFERROR(VLOOKUP($D203,Sheet3!$H$2:$O$200,U$1,FALSE),IFERROR(VLOOKUP($E203,Sheet3!$H$2:$O$200,U$1,FALSE),VLOOKUP($F203,Sheet3!$H$2:$O$200,U$1,FALSE))),$I$1),$I$1)</f>
        <v>0</v>
      </c>
      <c r="V203" s="15">
        <f>IFERROR(IF(ISBLANK(O203),IFERROR(VLOOKUP($D203,Sheet3!$H$2:$O$200,V$1,FALSE),IFERROR(VLOOKUP($E203,Sheet3!$H$2:$O$200,V$1,FALSE),VLOOKUP($F203,Sheet3!$H$2:$O$200,V$1,FALSE))),$I$1),$I$1)</f>
        <v>0</v>
      </c>
      <c r="W203" s="15">
        <f>IFERROR(IF(ISBLANK(P203),IFERROR(VLOOKUP($D203,Sheet3!$H$2:$O$200,W$1,FALSE),IFERROR(VLOOKUP($E203,Sheet3!$H$2:$O$200,W$1,FALSE),VLOOKUP($F203,Sheet3!$H$2:$O$200,W$1,FALSE))),$I$1),$I$1)</f>
        <v>0</v>
      </c>
      <c r="X203" s="15">
        <f>IFERROR(IF(ISBLANK(Q203),IFERROR(VLOOKUP($E203,Sheet3!$H$2:$O$200,X$1,FALSE),IFERROR(VLOOKUP($F203,Sheet3!$H$2:$O$200,X$1,FALSE),VLOOKUP($G203,Sheet3!$H$2:$O$200,X$1,FALSE))),$I$1),$I$1)</f>
        <v>0</v>
      </c>
      <c r="Y203" s="15">
        <f>IFERROR(IF(ISBLANK(R203),IFERROR(VLOOKUP($E203,Sheet3!$H$2:$O$200,Y$1,FALSE),IFERROR(VLOOKUP($F203,Sheet3!$H$2:$O$200,Y$1,FALSE),VLOOKUP($G203,Sheet3!$H$2:$O$200,Y$1,FALSE))),$I$1),$I$1)</f>
        <v>0</v>
      </c>
      <c r="Z203" s="15">
        <f>IFERROR(IF(ISBLANK(S203),IFERROR(VLOOKUP($E203,Sheet3!$H$2:$O$200,Z$1,FALSE),IFERROR(VLOOKUP($F203,Sheet3!$H$2:$O$200,Z$1,FALSE),VLOOKUP($G203,Sheet3!$H$2:$O$200,Z$1,FALSE))),$I$1),$I$1)</f>
        <v>0</v>
      </c>
      <c r="AA203" s="15">
        <f>IFERROR(IF(ISBLANK(T203),IFERROR(VLOOKUP($E203,Sheet3!$H$2:$O$200,AA$1,FALSE),IFERROR(VLOOKUP($F203,Sheet3!$H$2:$O$200,AA$1,FALSE),VLOOKUP($G203,Sheet3!$H$2:$O$200,AA$1,FALSE))),$I$1),$I$1)</f>
        <v>0</v>
      </c>
      <c r="AB203" s="15">
        <f>IFERROR(IF(ISBLANK(U203),IFERROR(VLOOKUP($E203,Sheet3!$H$2:$O$200,AB$1,FALSE),IFERROR(VLOOKUP($F203,Sheet3!$H$2:$O$200,AB$1,FALSE),VLOOKUP($G203,Sheet3!$H$2:$O$200,AB$1,FALSE))),$I$1),$I$1)</f>
        <v>0</v>
      </c>
      <c r="AC203" s="15">
        <f>IFERROR(IF(ISBLANK(V203),IFERROR(VLOOKUP($E203,Sheet3!$H$2:$O$200,AC$1,FALSE),IFERROR(VLOOKUP($F203,Sheet3!$H$2:$O$200,AC$1,FALSE),VLOOKUP($G203,Sheet3!$H$2:$O$200,AC$1,FALSE))),$I$1),$I$1)</f>
        <v>0</v>
      </c>
      <c r="AD203" s="15">
        <f>IFERROR(IF(ISBLANK(W203),IFERROR(VLOOKUP($E203,Sheet3!$H$2:$O$200,AD$1,FALSE),IFERROR(VLOOKUP($F203,Sheet3!$H$2:$O$200,AD$1,FALSE),VLOOKUP($G203,Sheet3!$H$2:$O$200,AD$1,FALSE))),$I$1),$I$1)</f>
        <v>0</v>
      </c>
      <c r="AE203" s="15">
        <f>IFERROR(IF(ISBLANK(X203),IFERROR(VLOOKUP($F203,Sheet3!$H$2:$O$200,AE$1,FALSE),VLOOKUP($G203,Sheet3!$H$2:$O$200,AE$1,FALSE)),$I$1),$I$1)</f>
        <v>0</v>
      </c>
      <c r="AF203" s="15">
        <f>IFERROR(IF(ISBLANK(Y203),IFERROR(VLOOKUP($F203,Sheet3!$H$2:$O$200,AF$1,FALSE),VLOOKUP($G203,Sheet3!$H$2:$O$200,AF$1,FALSE)),$I$1),$I$1)</f>
        <v>0</v>
      </c>
      <c r="AG203" s="15">
        <f>IFERROR(IF(ISBLANK(Z203),IFERROR(VLOOKUP($F203,Sheet3!$H$2:$O$200,AG$1,FALSE),VLOOKUP($G203,Sheet3!$H$2:$O$200,AG$1,FALSE)),$I$1),$I$1)</f>
        <v>0</v>
      </c>
      <c r="AH203" s="15">
        <f>IFERROR(IF(ISBLANK(AA203),IFERROR(VLOOKUP($F203,Sheet3!$H$2:$O$200,AH$1,FALSE),VLOOKUP($G203,Sheet3!$H$2:$O$200,AH$1,FALSE)),$I$1),$I$1)</f>
        <v>0</v>
      </c>
      <c r="AI203" s="15">
        <f>IFERROR(IF(ISBLANK(AB203),IFERROR(VLOOKUP($F203,Sheet3!$H$2:$O$200,AI$1,FALSE),VLOOKUP($G203,Sheet3!$H$2:$O$200,AI$1,FALSE)),$I$1),$I$1)</f>
        <v>0</v>
      </c>
      <c r="AJ203" s="15">
        <f>IFERROR(IF(ISBLANK(AC203),IFERROR(VLOOKUP($F203,Sheet3!$H$2:$O$200,AJ$1,FALSE),VLOOKUP($G203,Sheet3!$H$2:$O$200,AJ$1,FALSE)),$I$1),$I$1)</f>
        <v>0</v>
      </c>
      <c r="AK203" s="15">
        <f>IFERROR(IF(ISBLANK(AD203),IFERROR(VLOOKUP($F203,Sheet3!$H$2:$O$200,AK$1,FALSE),VLOOKUP($G203,Sheet3!$H$2:$O$200,AK$1,FALSE)),$I$1),$I$1)</f>
        <v>0</v>
      </c>
      <c r="AL203" s="15">
        <f>IFERROR(IF(ISBLANK(AE203),VLOOKUP($G203,Sheet3!$H$2:$O$200,AL$1,FALSE),$I$1),$I$1)</f>
        <v>0</v>
      </c>
      <c r="AM203" s="15">
        <f>IFERROR(IF(ISBLANK(AF203),VLOOKUP($G203,Sheet3!$H$2:$O$200,AM$1,FALSE),$I$1),$I$1)</f>
        <v>0</v>
      </c>
      <c r="AN203" s="15">
        <f>IFERROR(IF(ISBLANK(AG203),VLOOKUP($G203,Sheet3!$H$2:$O$200,AN$1,FALSE),$I$1),$I$1)</f>
        <v>0</v>
      </c>
      <c r="AO203" s="15">
        <f>IFERROR(IF(ISBLANK(AH203),VLOOKUP($G203,Sheet3!$H$2:$O$200,AO$1,FALSE),$I$1),$I$1)</f>
        <v>0</v>
      </c>
      <c r="AP203" s="15">
        <f>IFERROR(IF(ISBLANK(AI203),VLOOKUP($G203,Sheet3!$H$2:$O$200,AP$1,FALSE),$I$1),$I$1)</f>
        <v>0</v>
      </c>
      <c r="AQ203" s="15">
        <f>IFERROR(IF(ISBLANK(AJ203),VLOOKUP($G203,Sheet3!$H$2:$O$200,AQ$1,FALSE),$I$1),$I$1)</f>
        <v>0</v>
      </c>
      <c r="AR203" s="15">
        <f>IFERROR(IF(ISBLANK(AK203),VLOOKUP($G203,Sheet3!$H$2:$O$200,AR$1,FALSE),$I$1),$I$1)</f>
        <v>0</v>
      </c>
      <c r="AS203" s="15">
        <f t="shared" ref="AS203:AY203" si="211">IFERROR(IF(ISBLANK(J203),IF(ISBLANK(Q203),IF(ISBLANK(X203),IF(ISBLANK(AE203),IF(ISBLANK(AL203),$BB$1,AL203),AE203),X203),Q203),J203),$BB$1)</f>
        <v>0</v>
      </c>
      <c r="AT203" s="15">
        <f t="shared" si="211"/>
        <v>0</v>
      </c>
      <c r="AU203" s="15" t="str">
        <f t="shared" si="211"/>
        <v>lemon juice</v>
      </c>
      <c r="AV203" s="15">
        <f t="shared" si="211"/>
        <v>0</v>
      </c>
      <c r="AW203" s="15">
        <f t="shared" si="211"/>
        <v>0</v>
      </c>
      <c r="AX203" s="15">
        <f t="shared" si="211"/>
        <v>0</v>
      </c>
      <c r="AY203" s="15">
        <f t="shared" si="211"/>
        <v>0</v>
      </c>
      <c r="BA203" s="13">
        <f t="shared" si="1"/>
        <v>35</v>
      </c>
      <c r="BB203" s="15" t="b">
        <f t="shared" si="2"/>
        <v>0</v>
      </c>
    </row>
    <row r="204" spans="1:54" x14ac:dyDescent="0.2">
      <c r="A204" s="19" t="s">
        <v>380</v>
      </c>
      <c r="B204" s="19" t="s">
        <v>357</v>
      </c>
      <c r="C204" s="19" t="s">
        <v>31</v>
      </c>
      <c r="D204" s="19" t="s">
        <v>38</v>
      </c>
      <c r="E204" s="19" t="s">
        <v>55</v>
      </c>
      <c r="F204" s="19"/>
      <c r="G204" s="19"/>
      <c r="H204" s="19" t="s">
        <v>380</v>
      </c>
      <c r="I204" s="15">
        <v>3</v>
      </c>
      <c r="J204" s="15">
        <f>IFERROR(VLOOKUP($C204,Sheet3!$H$2:$O$200,J$1,FALSE),IFERROR(VLOOKUP($D204,Sheet3!$H$2:$O$200,J$1,FALSE),VLOOKUP($E204,Sheet3!$H$2:$O$200,J$1,FALSE)))</f>
        <v>0</v>
      </c>
      <c r="K204" s="15">
        <f>IFERROR(VLOOKUP($C204,Sheet3!$H$2:$O$200,K$1,FALSE),IFERROR(VLOOKUP($D204,Sheet3!$H$2:$O$200,K$1,FALSE),VLOOKUP($E204,Sheet3!$H$2:$O$200,K$1,FALSE)))</f>
        <v>0</v>
      </c>
      <c r="L204" s="15">
        <f>IFERROR(VLOOKUP($C204,Sheet3!$H$2:$O$200,L$1,FALSE),IFERROR(VLOOKUP($D204,Sheet3!$H$2:$O$200,L$1,FALSE),VLOOKUP($E204,Sheet3!$H$2:$O$200,L$1,FALSE)))</f>
        <v>0</v>
      </c>
      <c r="M204" s="15" t="str">
        <f>IFERROR(VLOOKUP($C204,Sheet3!$H$2:$O$200,M$1,FALSE),IFERROR(VLOOKUP($D204,Sheet3!$H$2:$O$200,M$1,FALSE),VLOOKUP($E204,Sheet3!$H$2:$O$200,M$1,FALSE)))</f>
        <v>white crème de cacao</v>
      </c>
      <c r="N204" s="15">
        <f>IFERROR(VLOOKUP($C204,Sheet3!$H$2:$O$200,N$1,FALSE),IFERROR(VLOOKUP($D204,Sheet3!$H$2:$O$200,N$1,FALSE),VLOOKUP($E204,Sheet3!$H$2:$O$200,N$1,FALSE)))</f>
        <v>0</v>
      </c>
      <c r="O204" s="15">
        <f>IFERROR(VLOOKUP($C204,Sheet3!$H$2:$O$200,O$1,FALSE),IFERROR(VLOOKUP($D204,Sheet3!$H$2:$O$200,O$1,FALSE),VLOOKUP($E204,Sheet3!$H$2:$O$200,O$1,FALSE)))</f>
        <v>0</v>
      </c>
      <c r="P204" s="15">
        <f>IFERROR(VLOOKUP($C204,Sheet3!$H$2:$O$200,P$1,FALSE),IFERROR(VLOOKUP($D204,Sheet3!$H$2:$O$200,P$1,FALSE),VLOOKUP($E204,Sheet3!$H$2:$O$200,P$1,FALSE)))</f>
        <v>0</v>
      </c>
      <c r="Q204" s="15">
        <f>IFERROR(IF(ISBLANK(J204),IFERROR(VLOOKUP($D204,Sheet3!$H$2:$O$200,Q$1,FALSE),IFERROR(VLOOKUP($E204,Sheet3!$H$2:$O$200,Q$1,FALSE),VLOOKUP($F204,Sheet3!$H$2:$O$200,Q$1,FALSE))),$I$1),$I$1)</f>
        <v>0</v>
      </c>
      <c r="R204" s="15">
        <f>IFERROR(IF(ISBLANK(K204),IFERROR(VLOOKUP($D204,Sheet3!$H$2:$O$200,R$1,FALSE),IFERROR(VLOOKUP($E204,Sheet3!$H$2:$O$200,R$1,FALSE),VLOOKUP($F204,Sheet3!$H$2:$O$200,R$1,FALSE))),$I$1),$I$1)</f>
        <v>0</v>
      </c>
      <c r="S204" s="15">
        <f>IFERROR(IF(ISBLANK(L204),IFERROR(VLOOKUP($D204,Sheet3!$H$2:$O$200,S$1,FALSE),IFERROR(VLOOKUP($E204,Sheet3!$H$2:$O$200,S$1,FALSE),VLOOKUP($F204,Sheet3!$H$2:$O$200,S$1,FALSE))),$I$1),$I$1)</f>
        <v>0</v>
      </c>
      <c r="T204" s="15">
        <f>IFERROR(IF(ISBLANK(M204),IFERROR(VLOOKUP($D204,Sheet3!$H$2:$O$200,T$1,FALSE),IFERROR(VLOOKUP($E204,Sheet3!$H$2:$O$200,T$1,FALSE),VLOOKUP($F204,Sheet3!$H$2:$O$200,T$1,FALSE))),$I$1),$I$1)</f>
        <v>0</v>
      </c>
      <c r="U204" s="15">
        <f>IFERROR(IF(ISBLANK(N204),IFERROR(VLOOKUP($D204,Sheet3!$H$2:$O$200,U$1,FALSE),IFERROR(VLOOKUP($E204,Sheet3!$H$2:$O$200,U$1,FALSE),VLOOKUP($F204,Sheet3!$H$2:$O$200,U$1,FALSE))),$I$1),$I$1)</f>
        <v>0</v>
      </c>
      <c r="V204" s="15">
        <f>IFERROR(IF(ISBLANK(O204),IFERROR(VLOOKUP($D204,Sheet3!$H$2:$O$200,V$1,FALSE),IFERROR(VLOOKUP($E204,Sheet3!$H$2:$O$200,V$1,FALSE),VLOOKUP($F204,Sheet3!$H$2:$O$200,V$1,FALSE))),$I$1),$I$1)</f>
        <v>0</v>
      </c>
      <c r="W204" s="15">
        <f>IFERROR(IF(ISBLANK(P204),IFERROR(VLOOKUP($D204,Sheet3!$H$2:$O$200,W$1,FALSE),IFERROR(VLOOKUP($E204,Sheet3!$H$2:$O$200,W$1,FALSE),VLOOKUP($F204,Sheet3!$H$2:$O$200,W$1,FALSE))),$I$1),$I$1)</f>
        <v>0</v>
      </c>
      <c r="X204" s="15">
        <f>IFERROR(IF(ISBLANK(Q204),IFERROR(VLOOKUP($E204,Sheet3!$H$2:$O$200,X$1,FALSE),IFERROR(VLOOKUP($F204,Sheet3!$H$2:$O$200,X$1,FALSE),VLOOKUP($G204,Sheet3!$H$2:$O$200,X$1,FALSE))),$I$1),$I$1)</f>
        <v>0</v>
      </c>
      <c r="Y204" s="15">
        <f>IFERROR(IF(ISBLANK(R204),IFERROR(VLOOKUP($E204,Sheet3!$H$2:$O$200,Y$1,FALSE),IFERROR(VLOOKUP($F204,Sheet3!$H$2:$O$200,Y$1,FALSE),VLOOKUP($G204,Sheet3!$H$2:$O$200,Y$1,FALSE))),$I$1),$I$1)</f>
        <v>0</v>
      </c>
      <c r="Z204" s="15">
        <f>IFERROR(IF(ISBLANK(S204),IFERROR(VLOOKUP($E204,Sheet3!$H$2:$O$200,Z$1,FALSE),IFERROR(VLOOKUP($F204,Sheet3!$H$2:$O$200,Z$1,FALSE),VLOOKUP($G204,Sheet3!$H$2:$O$200,Z$1,FALSE))),$I$1),$I$1)</f>
        <v>0</v>
      </c>
      <c r="AA204" s="15">
        <f>IFERROR(IF(ISBLANK(T204),IFERROR(VLOOKUP($E204,Sheet3!$H$2:$O$200,AA$1,FALSE),IFERROR(VLOOKUP($F204,Sheet3!$H$2:$O$200,AA$1,FALSE),VLOOKUP($G204,Sheet3!$H$2:$O$200,AA$1,FALSE))),$I$1),$I$1)</f>
        <v>0</v>
      </c>
      <c r="AB204" s="15">
        <f>IFERROR(IF(ISBLANK(U204),IFERROR(VLOOKUP($E204,Sheet3!$H$2:$O$200,AB$1,FALSE),IFERROR(VLOOKUP($F204,Sheet3!$H$2:$O$200,AB$1,FALSE),VLOOKUP($G204,Sheet3!$H$2:$O$200,AB$1,FALSE))),$I$1),$I$1)</f>
        <v>0</v>
      </c>
      <c r="AC204" s="15">
        <f>IFERROR(IF(ISBLANK(V204),IFERROR(VLOOKUP($E204,Sheet3!$H$2:$O$200,AC$1,FALSE),IFERROR(VLOOKUP($F204,Sheet3!$H$2:$O$200,AC$1,FALSE),VLOOKUP($G204,Sheet3!$H$2:$O$200,AC$1,FALSE))),$I$1),$I$1)</f>
        <v>0</v>
      </c>
      <c r="AD204" s="15">
        <f>IFERROR(IF(ISBLANK(W204),IFERROR(VLOOKUP($E204,Sheet3!$H$2:$O$200,AD$1,FALSE),IFERROR(VLOOKUP($F204,Sheet3!$H$2:$O$200,AD$1,FALSE),VLOOKUP($G204,Sheet3!$H$2:$O$200,AD$1,FALSE))),$I$1),$I$1)</f>
        <v>0</v>
      </c>
      <c r="AE204" s="15">
        <f>IFERROR(IF(ISBLANK(X204),IFERROR(VLOOKUP($F204,Sheet3!$H$2:$O$200,AE$1,FALSE),VLOOKUP($G204,Sheet3!$H$2:$O$200,AE$1,FALSE)),$I$1),$I$1)</f>
        <v>0</v>
      </c>
      <c r="AF204" s="15">
        <f>IFERROR(IF(ISBLANK(Y204),IFERROR(VLOOKUP($F204,Sheet3!$H$2:$O$200,AF$1,FALSE),VLOOKUP($G204,Sheet3!$H$2:$O$200,AF$1,FALSE)),$I$1),$I$1)</f>
        <v>0</v>
      </c>
      <c r="AG204" s="15">
        <f>IFERROR(IF(ISBLANK(Z204),IFERROR(VLOOKUP($F204,Sheet3!$H$2:$O$200,AG$1,FALSE),VLOOKUP($G204,Sheet3!$H$2:$O$200,AG$1,FALSE)),$I$1),$I$1)</f>
        <v>0</v>
      </c>
      <c r="AH204" s="15">
        <f>IFERROR(IF(ISBLANK(AA204),IFERROR(VLOOKUP($F204,Sheet3!$H$2:$O$200,AH$1,FALSE),VLOOKUP($G204,Sheet3!$H$2:$O$200,AH$1,FALSE)),$I$1),$I$1)</f>
        <v>0</v>
      </c>
      <c r="AI204" s="15">
        <f>IFERROR(IF(ISBLANK(AB204),IFERROR(VLOOKUP($F204,Sheet3!$H$2:$O$200,AI$1,FALSE),VLOOKUP($G204,Sheet3!$H$2:$O$200,AI$1,FALSE)),$I$1),$I$1)</f>
        <v>0</v>
      </c>
      <c r="AJ204" s="15">
        <f>IFERROR(IF(ISBLANK(AC204),IFERROR(VLOOKUP($F204,Sheet3!$H$2:$O$200,AJ$1,FALSE),VLOOKUP($G204,Sheet3!$H$2:$O$200,AJ$1,FALSE)),$I$1),$I$1)</f>
        <v>0</v>
      </c>
      <c r="AK204" s="15">
        <f>IFERROR(IF(ISBLANK(AD204),IFERROR(VLOOKUP($F204,Sheet3!$H$2:$O$200,AK$1,FALSE),VLOOKUP($G204,Sheet3!$H$2:$O$200,AK$1,FALSE)),$I$1),$I$1)</f>
        <v>0</v>
      </c>
      <c r="AL204" s="15">
        <f>IFERROR(IF(ISBLANK(AE204),VLOOKUP($G204,Sheet3!$H$2:$O$200,AL$1,FALSE),$I$1),$I$1)</f>
        <v>0</v>
      </c>
      <c r="AM204" s="15">
        <f>IFERROR(IF(ISBLANK(AF204),VLOOKUP($G204,Sheet3!$H$2:$O$200,AM$1,FALSE),$I$1),$I$1)</f>
        <v>0</v>
      </c>
      <c r="AN204" s="15">
        <f>IFERROR(IF(ISBLANK(AG204),VLOOKUP($G204,Sheet3!$H$2:$O$200,AN$1,FALSE),$I$1),$I$1)</f>
        <v>0</v>
      </c>
      <c r="AO204" s="15">
        <f>IFERROR(IF(ISBLANK(AH204),VLOOKUP($G204,Sheet3!$H$2:$O$200,AO$1,FALSE),$I$1),$I$1)</f>
        <v>0</v>
      </c>
      <c r="AP204" s="15">
        <f>IFERROR(IF(ISBLANK(AI204),VLOOKUP($G204,Sheet3!$H$2:$O$200,AP$1,FALSE),$I$1),$I$1)</f>
        <v>0</v>
      </c>
      <c r="AQ204" s="15">
        <f>IFERROR(IF(ISBLANK(AJ204),VLOOKUP($G204,Sheet3!$H$2:$O$200,AQ$1,FALSE),$I$1),$I$1)</f>
        <v>0</v>
      </c>
      <c r="AR204" s="15">
        <f>IFERROR(IF(ISBLANK(AK204),VLOOKUP($G204,Sheet3!$H$2:$O$200,AR$1,FALSE),$I$1),$I$1)</f>
        <v>0</v>
      </c>
      <c r="AS204" s="15">
        <f t="shared" ref="AS204:AY204" si="212">IFERROR(IF(ISBLANK(J204),IF(ISBLANK(Q204),IF(ISBLANK(X204),IF(ISBLANK(AE204),IF(ISBLANK(AL204),$BB$1,AL204),AE204),X204),Q204),J204),$BB$1)</f>
        <v>0</v>
      </c>
      <c r="AT204" s="15">
        <f t="shared" si="212"/>
        <v>0</v>
      </c>
      <c r="AU204" s="15">
        <f t="shared" si="212"/>
        <v>0</v>
      </c>
      <c r="AV204" s="15" t="str">
        <f t="shared" si="212"/>
        <v>white crème de cacao</v>
      </c>
      <c r="AW204" s="15">
        <f t="shared" si="212"/>
        <v>0</v>
      </c>
      <c r="AX204" s="15">
        <f t="shared" si="212"/>
        <v>0</v>
      </c>
      <c r="AY204" s="15">
        <f t="shared" si="212"/>
        <v>0</v>
      </c>
      <c r="BA204" s="13">
        <f t="shared" si="1"/>
        <v>35</v>
      </c>
      <c r="BB204" s="15" t="b">
        <f t="shared" si="2"/>
        <v>0</v>
      </c>
    </row>
    <row r="205" spans="1:54" x14ac:dyDescent="0.2">
      <c r="A205" s="19" t="s">
        <v>381</v>
      </c>
      <c r="B205" s="19" t="s">
        <v>357</v>
      </c>
      <c r="C205" s="19" t="s">
        <v>100</v>
      </c>
      <c r="D205" s="19" t="s">
        <v>90</v>
      </c>
      <c r="E205" s="19"/>
      <c r="F205" s="19"/>
      <c r="G205" s="19"/>
      <c r="H205" s="19" t="s">
        <v>381</v>
      </c>
      <c r="I205" s="15">
        <v>2</v>
      </c>
      <c r="J205" s="15">
        <f>IFERROR(VLOOKUP($C205,Sheet3!$H$2:$O$200,J$1,FALSE),IFERROR(VLOOKUP($D205,Sheet3!$H$2:$O$200,J$1,FALSE),VLOOKUP($E205,Sheet3!$H$2:$O$200,J$1,FALSE)))</f>
        <v>0</v>
      </c>
      <c r="K205" s="15">
        <f>IFERROR(VLOOKUP($C205,Sheet3!$H$2:$O$200,K$1,FALSE),IFERROR(VLOOKUP($D205,Sheet3!$H$2:$O$200,K$1,FALSE),VLOOKUP($E205,Sheet3!$H$2:$O$200,K$1,FALSE)))</f>
        <v>0</v>
      </c>
      <c r="L205" s="15">
        <f>IFERROR(VLOOKUP($C205,Sheet3!$H$2:$O$200,L$1,FALSE),IFERROR(VLOOKUP($D205,Sheet3!$H$2:$O$200,L$1,FALSE),VLOOKUP($E205,Sheet3!$H$2:$O$200,L$1,FALSE)))</f>
        <v>0</v>
      </c>
      <c r="M205" s="15" t="str">
        <f>IFERROR(VLOOKUP($C205,Sheet3!$H$2:$O$200,M$1,FALSE),IFERROR(VLOOKUP($D205,Sheet3!$H$2:$O$200,M$1,FALSE),VLOOKUP($E205,Sheet3!$H$2:$O$200,M$1,FALSE)))</f>
        <v>triple sec</v>
      </c>
      <c r="N205" s="15">
        <f>IFERROR(VLOOKUP($C205,Sheet3!$H$2:$O$200,N$1,FALSE),IFERROR(VLOOKUP($D205,Sheet3!$H$2:$O$200,N$1,FALSE),VLOOKUP($E205,Sheet3!$H$2:$O$200,N$1,FALSE)))</f>
        <v>0</v>
      </c>
      <c r="O205" s="15">
        <f>IFERROR(VLOOKUP($C205,Sheet3!$H$2:$O$200,O$1,FALSE),IFERROR(VLOOKUP($D205,Sheet3!$H$2:$O$200,O$1,FALSE),VLOOKUP($E205,Sheet3!$H$2:$O$200,O$1,FALSE)))</f>
        <v>0</v>
      </c>
      <c r="P205" s="15">
        <f>IFERROR(VLOOKUP($C205,Sheet3!$H$2:$O$200,P$1,FALSE),IFERROR(VLOOKUP($D205,Sheet3!$H$2:$O$200,P$1,FALSE),VLOOKUP($E205,Sheet3!$H$2:$O$200,P$1,FALSE)))</f>
        <v>0</v>
      </c>
      <c r="Q205" s="15">
        <f>IFERROR(IF(ISBLANK(J205),IFERROR(VLOOKUP($D205,Sheet3!$H$2:$O$200,Q$1,FALSE),IFERROR(VLOOKUP($E205,Sheet3!$H$2:$O$200,Q$1,FALSE),VLOOKUP($F205,Sheet3!$H$2:$O$200,Q$1,FALSE))),$I$1),$I$1)</f>
        <v>0</v>
      </c>
      <c r="R205" s="15">
        <f>IFERROR(IF(ISBLANK(K205),IFERROR(VLOOKUP($D205,Sheet3!$H$2:$O$200,R$1,FALSE),IFERROR(VLOOKUP($E205,Sheet3!$H$2:$O$200,R$1,FALSE),VLOOKUP($F205,Sheet3!$H$2:$O$200,R$1,FALSE))),$I$1),$I$1)</f>
        <v>0</v>
      </c>
      <c r="S205" s="15">
        <f>IFERROR(IF(ISBLANK(L205),IFERROR(VLOOKUP($D205,Sheet3!$H$2:$O$200,S$1,FALSE),IFERROR(VLOOKUP($E205,Sheet3!$H$2:$O$200,S$1,FALSE),VLOOKUP($F205,Sheet3!$H$2:$O$200,S$1,FALSE))),$I$1),$I$1)</f>
        <v>0</v>
      </c>
      <c r="T205" s="15">
        <f>IFERROR(IF(ISBLANK(M205),IFERROR(VLOOKUP($D205,Sheet3!$H$2:$O$200,T$1,FALSE),IFERROR(VLOOKUP($E205,Sheet3!$H$2:$O$200,T$1,FALSE),VLOOKUP($F205,Sheet3!$H$2:$O$200,T$1,FALSE))),$I$1),$I$1)</f>
        <v>0</v>
      </c>
      <c r="U205" s="15">
        <f>IFERROR(IF(ISBLANK(N205),IFERROR(VLOOKUP($D205,Sheet3!$H$2:$O$200,U$1,FALSE),IFERROR(VLOOKUP($E205,Sheet3!$H$2:$O$200,U$1,FALSE),VLOOKUP($F205,Sheet3!$H$2:$O$200,U$1,FALSE))),$I$1),$I$1)</f>
        <v>0</v>
      </c>
      <c r="V205" s="15">
        <f>IFERROR(IF(ISBLANK(O205),IFERROR(VLOOKUP($D205,Sheet3!$H$2:$O$200,V$1,FALSE),IFERROR(VLOOKUP($E205,Sheet3!$H$2:$O$200,V$1,FALSE),VLOOKUP($F205,Sheet3!$H$2:$O$200,V$1,FALSE))),$I$1),$I$1)</f>
        <v>0</v>
      </c>
      <c r="W205" s="15">
        <f>IFERROR(IF(ISBLANK(P205),IFERROR(VLOOKUP($D205,Sheet3!$H$2:$O$200,W$1,FALSE),IFERROR(VLOOKUP($E205,Sheet3!$H$2:$O$200,W$1,FALSE),VLOOKUP($F205,Sheet3!$H$2:$O$200,W$1,FALSE))),$I$1),$I$1)</f>
        <v>0</v>
      </c>
      <c r="X205" s="15">
        <f>IFERROR(IF(ISBLANK(Q205),IFERROR(VLOOKUP($E205,Sheet3!$H$2:$O$200,X$1,FALSE),IFERROR(VLOOKUP($F205,Sheet3!$H$2:$O$200,X$1,FALSE),VLOOKUP($G205,Sheet3!$H$2:$O$200,X$1,FALSE))),$I$1),$I$1)</f>
        <v>0</v>
      </c>
      <c r="Y205" s="15">
        <f>IFERROR(IF(ISBLANK(R205),IFERROR(VLOOKUP($E205,Sheet3!$H$2:$O$200,Y$1,FALSE),IFERROR(VLOOKUP($F205,Sheet3!$H$2:$O$200,Y$1,FALSE),VLOOKUP($G205,Sheet3!$H$2:$O$200,Y$1,FALSE))),$I$1),$I$1)</f>
        <v>0</v>
      </c>
      <c r="Z205" s="15">
        <f>IFERROR(IF(ISBLANK(S205),IFERROR(VLOOKUP($E205,Sheet3!$H$2:$O$200,Z$1,FALSE),IFERROR(VLOOKUP($F205,Sheet3!$H$2:$O$200,Z$1,FALSE),VLOOKUP($G205,Sheet3!$H$2:$O$200,Z$1,FALSE))),$I$1),$I$1)</f>
        <v>0</v>
      </c>
      <c r="AA205" s="15">
        <f>IFERROR(IF(ISBLANK(T205),IFERROR(VLOOKUP($E205,Sheet3!$H$2:$O$200,AA$1,FALSE),IFERROR(VLOOKUP($F205,Sheet3!$H$2:$O$200,AA$1,FALSE),VLOOKUP($G205,Sheet3!$H$2:$O$200,AA$1,FALSE))),$I$1),$I$1)</f>
        <v>0</v>
      </c>
      <c r="AB205" s="15">
        <f>IFERROR(IF(ISBLANK(U205),IFERROR(VLOOKUP($E205,Sheet3!$H$2:$O$200,AB$1,FALSE),IFERROR(VLOOKUP($F205,Sheet3!$H$2:$O$200,AB$1,FALSE),VLOOKUP($G205,Sheet3!$H$2:$O$200,AB$1,FALSE))),$I$1),$I$1)</f>
        <v>0</v>
      </c>
      <c r="AC205" s="15">
        <f>IFERROR(IF(ISBLANK(V205),IFERROR(VLOOKUP($E205,Sheet3!$H$2:$O$200,AC$1,FALSE),IFERROR(VLOOKUP($F205,Sheet3!$H$2:$O$200,AC$1,FALSE),VLOOKUP($G205,Sheet3!$H$2:$O$200,AC$1,FALSE))),$I$1),$I$1)</f>
        <v>0</v>
      </c>
      <c r="AD205" s="15">
        <f>IFERROR(IF(ISBLANK(W205),IFERROR(VLOOKUP($E205,Sheet3!$H$2:$O$200,AD$1,FALSE),IFERROR(VLOOKUP($F205,Sheet3!$H$2:$O$200,AD$1,FALSE),VLOOKUP($G205,Sheet3!$H$2:$O$200,AD$1,FALSE))),$I$1),$I$1)</f>
        <v>0</v>
      </c>
      <c r="AE205" s="15">
        <f>IFERROR(IF(ISBLANK(X205),IFERROR(VLOOKUP($F205,Sheet3!$H$2:$O$200,AE$1,FALSE),VLOOKUP($G205,Sheet3!$H$2:$O$200,AE$1,FALSE)),$I$1),$I$1)</f>
        <v>0</v>
      </c>
      <c r="AF205" s="15">
        <f>IFERROR(IF(ISBLANK(Y205),IFERROR(VLOOKUP($F205,Sheet3!$H$2:$O$200,AF$1,FALSE),VLOOKUP($G205,Sheet3!$H$2:$O$200,AF$1,FALSE)),$I$1),$I$1)</f>
        <v>0</v>
      </c>
      <c r="AG205" s="15">
        <f>IFERROR(IF(ISBLANK(Z205),IFERROR(VLOOKUP($F205,Sheet3!$H$2:$O$200,AG$1,FALSE),VLOOKUP($G205,Sheet3!$H$2:$O$200,AG$1,FALSE)),$I$1),$I$1)</f>
        <v>0</v>
      </c>
      <c r="AH205" s="15">
        <f>IFERROR(IF(ISBLANK(AA205),IFERROR(VLOOKUP($F205,Sheet3!$H$2:$O$200,AH$1,FALSE),VLOOKUP($G205,Sheet3!$H$2:$O$200,AH$1,FALSE)),$I$1),$I$1)</f>
        <v>0</v>
      </c>
      <c r="AI205" s="15">
        <f>IFERROR(IF(ISBLANK(AB205),IFERROR(VLOOKUP($F205,Sheet3!$H$2:$O$200,AI$1,FALSE),VLOOKUP($G205,Sheet3!$H$2:$O$200,AI$1,FALSE)),$I$1),$I$1)</f>
        <v>0</v>
      </c>
      <c r="AJ205" s="15">
        <f>IFERROR(IF(ISBLANK(AC205),IFERROR(VLOOKUP($F205,Sheet3!$H$2:$O$200,AJ$1,FALSE),VLOOKUP($G205,Sheet3!$H$2:$O$200,AJ$1,FALSE)),$I$1),$I$1)</f>
        <v>0</v>
      </c>
      <c r="AK205" s="15">
        <f>IFERROR(IF(ISBLANK(AD205),IFERROR(VLOOKUP($F205,Sheet3!$H$2:$O$200,AK$1,FALSE),VLOOKUP($G205,Sheet3!$H$2:$O$200,AK$1,FALSE)),$I$1),$I$1)</f>
        <v>0</v>
      </c>
      <c r="AL205" s="15">
        <f>IFERROR(IF(ISBLANK(AE205),VLOOKUP($G205,Sheet3!$H$2:$O$200,AL$1,FALSE),$I$1),$I$1)</f>
        <v>0</v>
      </c>
      <c r="AM205" s="15">
        <f>IFERROR(IF(ISBLANK(AF205),VLOOKUP($G205,Sheet3!$H$2:$O$200,AM$1,FALSE),$I$1),$I$1)</f>
        <v>0</v>
      </c>
      <c r="AN205" s="15">
        <f>IFERROR(IF(ISBLANK(AG205),VLOOKUP($G205,Sheet3!$H$2:$O$200,AN$1,FALSE),$I$1),$I$1)</f>
        <v>0</v>
      </c>
      <c r="AO205" s="15">
        <f>IFERROR(IF(ISBLANK(AH205),VLOOKUP($G205,Sheet3!$H$2:$O$200,AO$1,FALSE),$I$1),$I$1)</f>
        <v>0</v>
      </c>
      <c r="AP205" s="15">
        <f>IFERROR(IF(ISBLANK(AI205),VLOOKUP($G205,Sheet3!$H$2:$O$200,AP$1,FALSE),$I$1),$I$1)</f>
        <v>0</v>
      </c>
      <c r="AQ205" s="15">
        <f>IFERROR(IF(ISBLANK(AJ205),VLOOKUP($G205,Sheet3!$H$2:$O$200,AQ$1,FALSE),$I$1),$I$1)</f>
        <v>0</v>
      </c>
      <c r="AR205" s="15">
        <f>IFERROR(IF(ISBLANK(AK205),VLOOKUP($G205,Sheet3!$H$2:$O$200,AR$1,FALSE),$I$1),$I$1)</f>
        <v>0</v>
      </c>
      <c r="AS205" s="15">
        <f t="shared" ref="AS205:AY205" si="213">IFERROR(IF(ISBLANK(J205),IF(ISBLANK(Q205),IF(ISBLANK(X205),IF(ISBLANK(AE205),IF(ISBLANK(AL205),$BB$1,AL205),AE205),X205),Q205),J205),$BB$1)</f>
        <v>0</v>
      </c>
      <c r="AT205" s="15">
        <f t="shared" si="213"/>
        <v>0</v>
      </c>
      <c r="AU205" s="15">
        <f t="shared" si="213"/>
        <v>0</v>
      </c>
      <c r="AV205" s="15" t="str">
        <f t="shared" si="213"/>
        <v>triple sec</v>
      </c>
      <c r="AW205" s="15">
        <f t="shared" si="213"/>
        <v>0</v>
      </c>
      <c r="AX205" s="15">
        <f t="shared" si="213"/>
        <v>0</v>
      </c>
      <c r="AY205" s="15">
        <f t="shared" si="213"/>
        <v>0</v>
      </c>
      <c r="BA205" s="13">
        <f t="shared" si="1"/>
        <v>35</v>
      </c>
      <c r="BB205" s="15" t="b">
        <f t="shared" si="2"/>
        <v>0</v>
      </c>
    </row>
    <row r="206" spans="1:54" x14ac:dyDescent="0.2">
      <c r="A206" s="19" t="s">
        <v>382</v>
      </c>
      <c r="B206" s="19" t="s">
        <v>357</v>
      </c>
      <c r="C206" s="19" t="s">
        <v>100</v>
      </c>
      <c r="D206" s="19" t="s">
        <v>90</v>
      </c>
      <c r="E206" s="19" t="s">
        <v>383</v>
      </c>
      <c r="F206" s="19" t="s">
        <v>76</v>
      </c>
      <c r="G206" s="19"/>
      <c r="H206" s="19" t="s">
        <v>382</v>
      </c>
      <c r="I206" s="15">
        <v>4</v>
      </c>
      <c r="J206" s="15">
        <f>IFERROR(VLOOKUP($C206,Sheet3!$H$2:$O$200,J$1,FALSE),IFERROR(VLOOKUP($D206,Sheet3!$H$2:$O$200,J$1,FALSE),VLOOKUP($E206,Sheet3!$H$2:$O$200,J$1,FALSE)))</f>
        <v>0</v>
      </c>
      <c r="K206" s="15">
        <f>IFERROR(VLOOKUP($C206,Sheet3!$H$2:$O$200,K$1,FALSE),IFERROR(VLOOKUP($D206,Sheet3!$H$2:$O$200,K$1,FALSE),VLOOKUP($E206,Sheet3!$H$2:$O$200,K$1,FALSE)))</f>
        <v>0</v>
      </c>
      <c r="L206" s="15">
        <f>IFERROR(VLOOKUP($C206,Sheet3!$H$2:$O$200,L$1,FALSE),IFERROR(VLOOKUP($D206,Sheet3!$H$2:$O$200,L$1,FALSE),VLOOKUP($E206,Sheet3!$H$2:$O$200,L$1,FALSE)))</f>
        <v>0</v>
      </c>
      <c r="M206" s="15" t="str">
        <f>IFERROR(VLOOKUP($C206,Sheet3!$H$2:$O$200,M$1,FALSE),IFERROR(VLOOKUP($D206,Sheet3!$H$2:$O$200,M$1,FALSE),VLOOKUP($E206,Sheet3!$H$2:$O$200,M$1,FALSE)))</f>
        <v>triple sec</v>
      </c>
      <c r="N206" s="15">
        <f>IFERROR(VLOOKUP($C206,Sheet3!$H$2:$O$200,N$1,FALSE),IFERROR(VLOOKUP($D206,Sheet3!$H$2:$O$200,N$1,FALSE),VLOOKUP($E206,Sheet3!$H$2:$O$200,N$1,FALSE)))</f>
        <v>0</v>
      </c>
      <c r="O206" s="15">
        <f>IFERROR(VLOOKUP($C206,Sheet3!$H$2:$O$200,O$1,FALSE),IFERROR(VLOOKUP($D206,Sheet3!$H$2:$O$200,O$1,FALSE),VLOOKUP($E206,Sheet3!$H$2:$O$200,O$1,FALSE)))</f>
        <v>0</v>
      </c>
      <c r="P206" s="15">
        <f>IFERROR(VLOOKUP($C206,Sheet3!$H$2:$O$200,P$1,FALSE),IFERROR(VLOOKUP($D206,Sheet3!$H$2:$O$200,P$1,FALSE),VLOOKUP($E206,Sheet3!$H$2:$O$200,P$1,FALSE)))</f>
        <v>0</v>
      </c>
      <c r="Q206" s="15">
        <f>IFERROR(IF(ISBLANK(J206),IFERROR(VLOOKUP($D206,Sheet3!$H$2:$O$200,Q$1,FALSE),IFERROR(VLOOKUP($E206,Sheet3!$H$2:$O$200,Q$1,FALSE),VLOOKUP($F206,Sheet3!$H$2:$O$200,Q$1,FALSE))),$I$1),$I$1)</f>
        <v>0</v>
      </c>
      <c r="R206" s="15">
        <f>IFERROR(IF(ISBLANK(K206),IFERROR(VLOOKUP($D206,Sheet3!$H$2:$O$200,R$1,FALSE),IFERROR(VLOOKUP($E206,Sheet3!$H$2:$O$200,R$1,FALSE),VLOOKUP($F206,Sheet3!$H$2:$O$200,R$1,FALSE))),$I$1),$I$1)</f>
        <v>0</v>
      </c>
      <c r="S206" s="15">
        <f>IFERROR(IF(ISBLANK(L206),IFERROR(VLOOKUP($D206,Sheet3!$H$2:$O$200,S$1,FALSE),IFERROR(VLOOKUP($E206,Sheet3!$H$2:$O$200,S$1,FALSE),VLOOKUP($F206,Sheet3!$H$2:$O$200,S$1,FALSE))),$I$1),$I$1)</f>
        <v>0</v>
      </c>
      <c r="T206" s="15">
        <f>IFERROR(IF(ISBLANK(M206),IFERROR(VLOOKUP($D206,Sheet3!$H$2:$O$200,T$1,FALSE),IFERROR(VLOOKUP($E206,Sheet3!$H$2:$O$200,T$1,FALSE),VLOOKUP($F206,Sheet3!$H$2:$O$200,T$1,FALSE))),$I$1),$I$1)</f>
        <v>0</v>
      </c>
      <c r="U206" s="15">
        <f>IFERROR(IF(ISBLANK(N206),IFERROR(VLOOKUP($D206,Sheet3!$H$2:$O$200,U$1,FALSE),IFERROR(VLOOKUP($E206,Sheet3!$H$2:$O$200,U$1,FALSE),VLOOKUP($F206,Sheet3!$H$2:$O$200,U$1,FALSE))),$I$1),$I$1)</f>
        <v>0</v>
      </c>
      <c r="V206" s="15">
        <f>IFERROR(IF(ISBLANK(O206),IFERROR(VLOOKUP($D206,Sheet3!$H$2:$O$200,V$1,FALSE),IFERROR(VLOOKUP($E206,Sheet3!$H$2:$O$200,V$1,FALSE),VLOOKUP($F206,Sheet3!$H$2:$O$200,V$1,FALSE))),$I$1),$I$1)</f>
        <v>0</v>
      </c>
      <c r="W206" s="15">
        <f>IFERROR(IF(ISBLANK(P206),IFERROR(VLOOKUP($D206,Sheet3!$H$2:$O$200,W$1,FALSE),IFERROR(VLOOKUP($E206,Sheet3!$H$2:$O$200,W$1,FALSE),VLOOKUP($F206,Sheet3!$H$2:$O$200,W$1,FALSE))),$I$1),$I$1)</f>
        <v>0</v>
      </c>
      <c r="X206" s="15">
        <f>IFERROR(IF(ISBLANK(Q206),IFERROR(VLOOKUP($E206,Sheet3!$H$2:$O$200,X$1,FALSE),IFERROR(VLOOKUP($F206,Sheet3!$H$2:$O$200,X$1,FALSE),VLOOKUP($G206,Sheet3!$H$2:$O$200,X$1,FALSE))),$I$1),$I$1)</f>
        <v>0</v>
      </c>
      <c r="Y206" s="15">
        <f>IFERROR(IF(ISBLANK(R206),IFERROR(VLOOKUP($E206,Sheet3!$H$2:$O$200,Y$1,FALSE),IFERROR(VLOOKUP($F206,Sheet3!$H$2:$O$200,Y$1,FALSE),VLOOKUP($G206,Sheet3!$H$2:$O$200,Y$1,FALSE))),$I$1),$I$1)</f>
        <v>0</v>
      </c>
      <c r="Z206" s="15">
        <f>IFERROR(IF(ISBLANK(S206),IFERROR(VLOOKUP($E206,Sheet3!$H$2:$O$200,Z$1,FALSE),IFERROR(VLOOKUP($F206,Sheet3!$H$2:$O$200,Z$1,FALSE),VLOOKUP($G206,Sheet3!$H$2:$O$200,Z$1,FALSE))),$I$1),$I$1)</f>
        <v>0</v>
      </c>
      <c r="AA206" s="15">
        <f>IFERROR(IF(ISBLANK(T206),IFERROR(VLOOKUP($E206,Sheet3!$H$2:$O$200,AA$1,FALSE),IFERROR(VLOOKUP($F206,Sheet3!$H$2:$O$200,AA$1,FALSE),VLOOKUP($G206,Sheet3!$H$2:$O$200,AA$1,FALSE))),$I$1),$I$1)</f>
        <v>0</v>
      </c>
      <c r="AB206" s="15">
        <f>IFERROR(IF(ISBLANK(U206),IFERROR(VLOOKUP($E206,Sheet3!$H$2:$O$200,AB$1,FALSE),IFERROR(VLOOKUP($F206,Sheet3!$H$2:$O$200,AB$1,FALSE),VLOOKUP($G206,Sheet3!$H$2:$O$200,AB$1,FALSE))),$I$1),$I$1)</f>
        <v>0</v>
      </c>
      <c r="AC206" s="15">
        <f>IFERROR(IF(ISBLANK(V206),IFERROR(VLOOKUP($E206,Sheet3!$H$2:$O$200,AC$1,FALSE),IFERROR(VLOOKUP($F206,Sheet3!$H$2:$O$200,AC$1,FALSE),VLOOKUP($G206,Sheet3!$H$2:$O$200,AC$1,FALSE))),$I$1),$I$1)</f>
        <v>0</v>
      </c>
      <c r="AD206" s="15">
        <f>IFERROR(IF(ISBLANK(W206),IFERROR(VLOOKUP($E206,Sheet3!$H$2:$O$200,AD$1,FALSE),IFERROR(VLOOKUP($F206,Sheet3!$H$2:$O$200,AD$1,FALSE),VLOOKUP($G206,Sheet3!$H$2:$O$200,AD$1,FALSE))),$I$1),$I$1)</f>
        <v>0</v>
      </c>
      <c r="AE206" s="15">
        <f>IFERROR(IF(ISBLANK(X206),IFERROR(VLOOKUP($F206,Sheet3!$H$2:$O$200,AE$1,FALSE),VLOOKUP($G206,Sheet3!$H$2:$O$200,AE$1,FALSE)),$I$1),$I$1)</f>
        <v>0</v>
      </c>
      <c r="AF206" s="15">
        <f>IFERROR(IF(ISBLANK(Y206),IFERROR(VLOOKUP($F206,Sheet3!$H$2:$O$200,AF$1,FALSE),VLOOKUP($G206,Sheet3!$H$2:$O$200,AF$1,FALSE)),$I$1),$I$1)</f>
        <v>0</v>
      </c>
      <c r="AG206" s="15">
        <f>IFERROR(IF(ISBLANK(Z206),IFERROR(VLOOKUP($F206,Sheet3!$H$2:$O$200,AG$1,FALSE),VLOOKUP($G206,Sheet3!$H$2:$O$200,AG$1,FALSE)),$I$1),$I$1)</f>
        <v>0</v>
      </c>
      <c r="AH206" s="15">
        <f>IFERROR(IF(ISBLANK(AA206),IFERROR(VLOOKUP($F206,Sheet3!$H$2:$O$200,AH$1,FALSE),VLOOKUP($G206,Sheet3!$H$2:$O$200,AH$1,FALSE)),$I$1),$I$1)</f>
        <v>0</v>
      </c>
      <c r="AI206" s="15">
        <f>IFERROR(IF(ISBLANK(AB206),IFERROR(VLOOKUP($F206,Sheet3!$H$2:$O$200,AI$1,FALSE),VLOOKUP($G206,Sheet3!$H$2:$O$200,AI$1,FALSE)),$I$1),$I$1)</f>
        <v>0</v>
      </c>
      <c r="AJ206" s="15">
        <f>IFERROR(IF(ISBLANK(AC206),IFERROR(VLOOKUP($F206,Sheet3!$H$2:$O$200,AJ$1,FALSE),VLOOKUP($G206,Sheet3!$H$2:$O$200,AJ$1,FALSE)),$I$1),$I$1)</f>
        <v>0</v>
      </c>
      <c r="AK206" s="15">
        <f>IFERROR(IF(ISBLANK(AD206),IFERROR(VLOOKUP($F206,Sheet3!$H$2:$O$200,AK$1,FALSE),VLOOKUP($G206,Sheet3!$H$2:$O$200,AK$1,FALSE)),$I$1),$I$1)</f>
        <v>0</v>
      </c>
      <c r="AL206" s="15">
        <f>IFERROR(IF(ISBLANK(AE206),VLOOKUP($G206,Sheet3!$H$2:$O$200,AL$1,FALSE),$I$1),$I$1)</f>
        <v>0</v>
      </c>
      <c r="AM206" s="15">
        <f>IFERROR(IF(ISBLANK(AF206),VLOOKUP($G206,Sheet3!$H$2:$O$200,AM$1,FALSE),$I$1),$I$1)</f>
        <v>0</v>
      </c>
      <c r="AN206" s="15">
        <f>IFERROR(IF(ISBLANK(AG206),VLOOKUP($G206,Sheet3!$H$2:$O$200,AN$1,FALSE),$I$1),$I$1)</f>
        <v>0</v>
      </c>
      <c r="AO206" s="15">
        <f>IFERROR(IF(ISBLANK(AH206),VLOOKUP($G206,Sheet3!$H$2:$O$200,AO$1,FALSE),$I$1),$I$1)</f>
        <v>0</v>
      </c>
      <c r="AP206" s="15">
        <f>IFERROR(IF(ISBLANK(AI206),VLOOKUP($G206,Sheet3!$H$2:$O$200,AP$1,FALSE),$I$1),$I$1)</f>
        <v>0</v>
      </c>
      <c r="AQ206" s="15">
        <f>IFERROR(IF(ISBLANK(AJ206),VLOOKUP($G206,Sheet3!$H$2:$O$200,AQ$1,FALSE),$I$1),$I$1)</f>
        <v>0</v>
      </c>
      <c r="AR206" s="15">
        <f>IFERROR(IF(ISBLANK(AK206),VLOOKUP($G206,Sheet3!$H$2:$O$200,AR$1,FALSE),$I$1),$I$1)</f>
        <v>0</v>
      </c>
      <c r="AS206" s="15">
        <f t="shared" ref="AS206:AX206" si="214">IFERROR(IF(ISBLANK(J206),IF(ISBLANK(Q206),IF(ISBLANK(X206),IF(ISBLANK(AE206),IF(ISBLANK(AL206),$BB$1,AL206),AE206),X206),Q206),J206),$BB$1)</f>
        <v>0</v>
      </c>
      <c r="AT206" s="15">
        <f t="shared" si="214"/>
        <v>0</v>
      </c>
      <c r="AU206" s="15">
        <f t="shared" si="214"/>
        <v>0</v>
      </c>
      <c r="AV206" s="15" t="str">
        <f t="shared" si="214"/>
        <v>triple sec</v>
      </c>
      <c r="AW206" s="15">
        <f t="shared" si="214"/>
        <v>0</v>
      </c>
      <c r="AX206" s="15">
        <f t="shared" si="214"/>
        <v>0</v>
      </c>
      <c r="AY206" s="11" t="s">
        <v>383</v>
      </c>
      <c r="AZ206" s="11" t="s">
        <v>76</v>
      </c>
      <c r="BA206" s="13">
        <f t="shared" si="1"/>
        <v>35</v>
      </c>
      <c r="BB206" s="15" t="b">
        <f t="shared" si="2"/>
        <v>0</v>
      </c>
    </row>
    <row r="207" spans="1:54" x14ac:dyDescent="0.2">
      <c r="A207" s="19" t="s">
        <v>384</v>
      </c>
      <c r="B207" s="19" t="s">
        <v>357</v>
      </c>
      <c r="C207" s="19" t="s">
        <v>57</v>
      </c>
      <c r="D207" s="19" t="s">
        <v>90</v>
      </c>
      <c r="E207" s="19"/>
      <c r="F207" s="19"/>
      <c r="G207" s="19"/>
      <c r="H207" s="19" t="s">
        <v>384</v>
      </c>
      <c r="I207" s="15">
        <v>2</v>
      </c>
      <c r="J207" s="15">
        <f>IFERROR(VLOOKUP($C207,Sheet3!$H$2:$O$200,J$1,FALSE),IFERROR(VLOOKUP($D207,Sheet3!$H$2:$O$200,J$1,FALSE),VLOOKUP($E207,Sheet3!$H$2:$O$200,J$1,FALSE)))</f>
        <v>0</v>
      </c>
      <c r="K207" s="15">
        <f>IFERROR(VLOOKUP($C207,Sheet3!$H$2:$O$200,K$1,FALSE),IFERROR(VLOOKUP($D207,Sheet3!$H$2:$O$200,K$1,FALSE),VLOOKUP($E207,Sheet3!$H$2:$O$200,K$1,FALSE)))</f>
        <v>0</v>
      </c>
      <c r="L207" s="15">
        <f>IFERROR(VLOOKUP($C207,Sheet3!$H$2:$O$200,L$1,FALSE),IFERROR(VLOOKUP($D207,Sheet3!$H$2:$O$200,L$1,FALSE),VLOOKUP($E207,Sheet3!$H$2:$O$200,L$1,FALSE)))</f>
        <v>0</v>
      </c>
      <c r="M207" s="15" t="str">
        <f>IFERROR(VLOOKUP($C207,Sheet3!$H$2:$O$200,M$1,FALSE),IFERROR(VLOOKUP($D207,Sheet3!$H$2:$O$200,M$1,FALSE),VLOOKUP($E207,Sheet3!$H$2:$O$200,M$1,FALSE)))</f>
        <v>crème de noyau</v>
      </c>
      <c r="N207" s="15">
        <f>IFERROR(VLOOKUP($C207,Sheet3!$H$2:$O$200,N$1,FALSE),IFERROR(VLOOKUP($D207,Sheet3!$H$2:$O$200,N$1,FALSE),VLOOKUP($E207,Sheet3!$H$2:$O$200,N$1,FALSE)))</f>
        <v>0</v>
      </c>
      <c r="O207" s="15">
        <f>IFERROR(VLOOKUP($C207,Sheet3!$H$2:$O$200,O$1,FALSE),IFERROR(VLOOKUP($D207,Sheet3!$H$2:$O$200,O$1,FALSE),VLOOKUP($E207,Sheet3!$H$2:$O$200,O$1,FALSE)))</f>
        <v>0</v>
      </c>
      <c r="P207" s="15">
        <f>IFERROR(VLOOKUP($C207,Sheet3!$H$2:$O$200,P$1,FALSE),IFERROR(VLOOKUP($D207,Sheet3!$H$2:$O$200,P$1,FALSE),VLOOKUP($E207,Sheet3!$H$2:$O$200,P$1,FALSE)))</f>
        <v>0</v>
      </c>
      <c r="Q207" s="15">
        <f>IFERROR(IF(ISBLANK(J207),IFERROR(VLOOKUP($D207,Sheet3!$H$2:$O$200,Q$1,FALSE),IFERROR(VLOOKUP($E207,Sheet3!$H$2:$O$200,Q$1,FALSE),VLOOKUP($F207,Sheet3!$H$2:$O$200,Q$1,FALSE))),$I$1),$I$1)</f>
        <v>0</v>
      </c>
      <c r="R207" s="15">
        <f>IFERROR(IF(ISBLANK(K207),IFERROR(VLOOKUP($D207,Sheet3!$H$2:$O$200,R$1,FALSE),IFERROR(VLOOKUP($E207,Sheet3!$H$2:$O$200,R$1,FALSE),VLOOKUP($F207,Sheet3!$H$2:$O$200,R$1,FALSE))),$I$1),$I$1)</f>
        <v>0</v>
      </c>
      <c r="S207" s="15">
        <f>IFERROR(IF(ISBLANK(L207),IFERROR(VLOOKUP($D207,Sheet3!$H$2:$O$200,S$1,FALSE),IFERROR(VLOOKUP($E207,Sheet3!$H$2:$O$200,S$1,FALSE),VLOOKUP($F207,Sheet3!$H$2:$O$200,S$1,FALSE))),$I$1),$I$1)</f>
        <v>0</v>
      </c>
      <c r="T207" s="15">
        <f>IFERROR(IF(ISBLANK(M207),IFERROR(VLOOKUP($D207,Sheet3!$H$2:$O$200,T$1,FALSE),IFERROR(VLOOKUP($E207,Sheet3!$H$2:$O$200,T$1,FALSE),VLOOKUP($F207,Sheet3!$H$2:$O$200,T$1,FALSE))),$I$1),$I$1)</f>
        <v>0</v>
      </c>
      <c r="U207" s="15">
        <f>IFERROR(IF(ISBLANK(N207),IFERROR(VLOOKUP($D207,Sheet3!$H$2:$O$200,U$1,FALSE),IFERROR(VLOOKUP($E207,Sheet3!$H$2:$O$200,U$1,FALSE),VLOOKUP($F207,Sheet3!$H$2:$O$200,U$1,FALSE))),$I$1),$I$1)</f>
        <v>0</v>
      </c>
      <c r="V207" s="15">
        <f>IFERROR(IF(ISBLANK(O207),IFERROR(VLOOKUP($D207,Sheet3!$H$2:$O$200,V$1,FALSE),IFERROR(VLOOKUP($E207,Sheet3!$H$2:$O$200,V$1,FALSE),VLOOKUP($F207,Sheet3!$H$2:$O$200,V$1,FALSE))),$I$1),$I$1)</f>
        <v>0</v>
      </c>
      <c r="W207" s="15">
        <f>IFERROR(IF(ISBLANK(P207),IFERROR(VLOOKUP($D207,Sheet3!$H$2:$O$200,W$1,FALSE),IFERROR(VLOOKUP($E207,Sheet3!$H$2:$O$200,W$1,FALSE),VLOOKUP($F207,Sheet3!$H$2:$O$200,W$1,FALSE))),$I$1),$I$1)</f>
        <v>0</v>
      </c>
      <c r="X207" s="15">
        <f>IFERROR(IF(ISBLANK(Q207),IFERROR(VLOOKUP($E207,Sheet3!$H$2:$O$200,X$1,FALSE),IFERROR(VLOOKUP($F207,Sheet3!$H$2:$O$200,X$1,FALSE),VLOOKUP($G207,Sheet3!$H$2:$O$200,X$1,FALSE))),$I$1),$I$1)</f>
        <v>0</v>
      </c>
      <c r="Y207" s="15">
        <f>IFERROR(IF(ISBLANK(R207),IFERROR(VLOOKUP($E207,Sheet3!$H$2:$O$200,Y$1,FALSE),IFERROR(VLOOKUP($F207,Sheet3!$H$2:$O$200,Y$1,FALSE),VLOOKUP($G207,Sheet3!$H$2:$O$200,Y$1,FALSE))),$I$1),$I$1)</f>
        <v>0</v>
      </c>
      <c r="Z207" s="15">
        <f>IFERROR(IF(ISBLANK(S207),IFERROR(VLOOKUP($E207,Sheet3!$H$2:$O$200,Z$1,FALSE),IFERROR(VLOOKUP($F207,Sheet3!$H$2:$O$200,Z$1,FALSE),VLOOKUP($G207,Sheet3!$H$2:$O$200,Z$1,FALSE))),$I$1),$I$1)</f>
        <v>0</v>
      </c>
      <c r="AA207" s="15">
        <f>IFERROR(IF(ISBLANK(T207),IFERROR(VLOOKUP($E207,Sheet3!$H$2:$O$200,AA$1,FALSE),IFERROR(VLOOKUP($F207,Sheet3!$H$2:$O$200,AA$1,FALSE),VLOOKUP($G207,Sheet3!$H$2:$O$200,AA$1,FALSE))),$I$1),$I$1)</f>
        <v>0</v>
      </c>
      <c r="AB207" s="15">
        <f>IFERROR(IF(ISBLANK(U207),IFERROR(VLOOKUP($E207,Sheet3!$H$2:$O$200,AB$1,FALSE),IFERROR(VLOOKUP($F207,Sheet3!$H$2:$O$200,AB$1,FALSE),VLOOKUP($G207,Sheet3!$H$2:$O$200,AB$1,FALSE))),$I$1),$I$1)</f>
        <v>0</v>
      </c>
      <c r="AC207" s="15">
        <f>IFERROR(IF(ISBLANK(V207),IFERROR(VLOOKUP($E207,Sheet3!$H$2:$O$200,AC$1,FALSE),IFERROR(VLOOKUP($F207,Sheet3!$H$2:$O$200,AC$1,FALSE),VLOOKUP($G207,Sheet3!$H$2:$O$200,AC$1,FALSE))),$I$1),$I$1)</f>
        <v>0</v>
      </c>
      <c r="AD207" s="15">
        <f>IFERROR(IF(ISBLANK(W207),IFERROR(VLOOKUP($E207,Sheet3!$H$2:$O$200,AD$1,FALSE),IFERROR(VLOOKUP($F207,Sheet3!$H$2:$O$200,AD$1,FALSE),VLOOKUP($G207,Sheet3!$H$2:$O$200,AD$1,FALSE))),$I$1),$I$1)</f>
        <v>0</v>
      </c>
      <c r="AE207" s="15">
        <f>IFERROR(IF(ISBLANK(X207),IFERROR(VLOOKUP($F207,Sheet3!$H$2:$O$200,AE$1,FALSE),VLOOKUP($G207,Sheet3!$H$2:$O$200,AE$1,FALSE)),$I$1),$I$1)</f>
        <v>0</v>
      </c>
      <c r="AF207" s="15">
        <f>IFERROR(IF(ISBLANK(Y207),IFERROR(VLOOKUP($F207,Sheet3!$H$2:$O$200,AF$1,FALSE),VLOOKUP($G207,Sheet3!$H$2:$O$200,AF$1,FALSE)),$I$1),$I$1)</f>
        <v>0</v>
      </c>
      <c r="AG207" s="15">
        <f>IFERROR(IF(ISBLANK(Z207),IFERROR(VLOOKUP($F207,Sheet3!$H$2:$O$200,AG$1,FALSE),VLOOKUP($G207,Sheet3!$H$2:$O$200,AG$1,FALSE)),$I$1),$I$1)</f>
        <v>0</v>
      </c>
      <c r="AH207" s="15">
        <f>IFERROR(IF(ISBLANK(AA207),IFERROR(VLOOKUP($F207,Sheet3!$H$2:$O$200,AH$1,FALSE),VLOOKUP($G207,Sheet3!$H$2:$O$200,AH$1,FALSE)),$I$1),$I$1)</f>
        <v>0</v>
      </c>
      <c r="AI207" s="15">
        <f>IFERROR(IF(ISBLANK(AB207),IFERROR(VLOOKUP($F207,Sheet3!$H$2:$O$200,AI$1,FALSE),VLOOKUP($G207,Sheet3!$H$2:$O$200,AI$1,FALSE)),$I$1),$I$1)</f>
        <v>0</v>
      </c>
      <c r="AJ207" s="15">
        <f>IFERROR(IF(ISBLANK(AC207),IFERROR(VLOOKUP($F207,Sheet3!$H$2:$O$200,AJ$1,FALSE),VLOOKUP($G207,Sheet3!$H$2:$O$200,AJ$1,FALSE)),$I$1),$I$1)</f>
        <v>0</v>
      </c>
      <c r="AK207" s="15">
        <f>IFERROR(IF(ISBLANK(AD207),IFERROR(VLOOKUP($F207,Sheet3!$H$2:$O$200,AK$1,FALSE),VLOOKUP($G207,Sheet3!$H$2:$O$200,AK$1,FALSE)),$I$1),$I$1)</f>
        <v>0</v>
      </c>
      <c r="AL207" s="15">
        <f>IFERROR(IF(ISBLANK(AE207),VLOOKUP($G207,Sheet3!$H$2:$O$200,AL$1,FALSE),$I$1),$I$1)</f>
        <v>0</v>
      </c>
      <c r="AM207" s="15">
        <f>IFERROR(IF(ISBLANK(AF207),VLOOKUP($G207,Sheet3!$H$2:$O$200,AM$1,FALSE),$I$1),$I$1)</f>
        <v>0</v>
      </c>
      <c r="AN207" s="15">
        <f>IFERROR(IF(ISBLANK(AG207),VLOOKUP($G207,Sheet3!$H$2:$O$200,AN$1,FALSE),$I$1),$I$1)</f>
        <v>0</v>
      </c>
      <c r="AO207" s="15">
        <f>IFERROR(IF(ISBLANK(AH207),VLOOKUP($G207,Sheet3!$H$2:$O$200,AO$1,FALSE),$I$1),$I$1)</f>
        <v>0</v>
      </c>
      <c r="AP207" s="15">
        <f>IFERROR(IF(ISBLANK(AI207),VLOOKUP($G207,Sheet3!$H$2:$O$200,AP$1,FALSE),$I$1),$I$1)</f>
        <v>0</v>
      </c>
      <c r="AQ207" s="15">
        <f>IFERROR(IF(ISBLANK(AJ207),VLOOKUP($G207,Sheet3!$H$2:$O$200,AQ$1,FALSE),$I$1),$I$1)</f>
        <v>0</v>
      </c>
      <c r="AR207" s="15">
        <f>IFERROR(IF(ISBLANK(AK207),VLOOKUP($G207,Sheet3!$H$2:$O$200,AR$1,FALSE),$I$1),$I$1)</f>
        <v>0</v>
      </c>
      <c r="AS207" s="15">
        <f t="shared" ref="AS207:AY207" si="215">IFERROR(IF(ISBLANK(J207),IF(ISBLANK(Q207),IF(ISBLANK(X207),IF(ISBLANK(AE207),IF(ISBLANK(AL207),$BB$1,AL207),AE207),X207),Q207),J207),$BB$1)</f>
        <v>0</v>
      </c>
      <c r="AT207" s="15">
        <f t="shared" si="215"/>
        <v>0</v>
      </c>
      <c r="AU207" s="15">
        <f t="shared" si="215"/>
        <v>0</v>
      </c>
      <c r="AV207" s="15" t="str">
        <f t="shared" si="215"/>
        <v>crème de noyau</v>
      </c>
      <c r="AW207" s="15">
        <f t="shared" si="215"/>
        <v>0</v>
      </c>
      <c r="AX207" s="15">
        <f t="shared" si="215"/>
        <v>0</v>
      </c>
      <c r="AY207" s="15">
        <f t="shared" si="215"/>
        <v>0</v>
      </c>
      <c r="BA207" s="13">
        <f t="shared" si="1"/>
        <v>35</v>
      </c>
      <c r="BB207" s="15" t="b">
        <f t="shared" si="2"/>
        <v>0</v>
      </c>
    </row>
    <row r="208" spans="1:54" x14ac:dyDescent="0.2">
      <c r="A208" s="19" t="s">
        <v>385</v>
      </c>
      <c r="B208" s="19" t="s">
        <v>386</v>
      </c>
      <c r="C208" s="19" t="s">
        <v>100</v>
      </c>
      <c r="D208" s="19" t="s">
        <v>38</v>
      </c>
      <c r="E208" s="19" t="s">
        <v>268</v>
      </c>
      <c r="F208" s="19"/>
      <c r="G208" s="19"/>
      <c r="H208" s="19" t="s">
        <v>385</v>
      </c>
      <c r="I208" s="15">
        <v>3</v>
      </c>
      <c r="J208" s="15">
        <f>IFERROR(VLOOKUP($C208,Sheet3!$H$2:$O$200,J$1,FALSE),IFERROR(VLOOKUP($D208,Sheet3!$H$2:$O$200,J$1,FALSE),VLOOKUP($E208,Sheet3!$H$2:$O$200,J$1,FALSE)))</f>
        <v>0</v>
      </c>
      <c r="K208" s="15">
        <f>IFERROR(VLOOKUP($C208,Sheet3!$H$2:$O$200,K$1,FALSE),IFERROR(VLOOKUP($D208,Sheet3!$H$2:$O$200,K$1,FALSE),VLOOKUP($E208,Sheet3!$H$2:$O$200,K$1,FALSE)))</f>
        <v>0</v>
      </c>
      <c r="L208" s="15">
        <f>IFERROR(VLOOKUP($C208,Sheet3!$H$2:$O$200,L$1,FALSE),IFERROR(VLOOKUP($D208,Sheet3!$H$2:$O$200,L$1,FALSE),VLOOKUP($E208,Sheet3!$H$2:$O$200,L$1,FALSE)))</f>
        <v>0</v>
      </c>
      <c r="M208" s="15" t="str">
        <f>IFERROR(VLOOKUP($C208,Sheet3!$H$2:$O$200,M$1,FALSE),IFERROR(VLOOKUP($D208,Sheet3!$H$2:$O$200,M$1,FALSE),VLOOKUP($E208,Sheet3!$H$2:$O$200,M$1,FALSE)))</f>
        <v>triple sec</v>
      </c>
      <c r="N208" s="15">
        <f>IFERROR(VLOOKUP($C208,Sheet3!$H$2:$O$200,N$1,FALSE),IFERROR(VLOOKUP($D208,Sheet3!$H$2:$O$200,N$1,FALSE),VLOOKUP($E208,Sheet3!$H$2:$O$200,N$1,FALSE)))</f>
        <v>0</v>
      </c>
      <c r="O208" s="15">
        <f>IFERROR(VLOOKUP($C208,Sheet3!$H$2:$O$200,O$1,FALSE),IFERROR(VLOOKUP($D208,Sheet3!$H$2:$O$200,O$1,FALSE),VLOOKUP($E208,Sheet3!$H$2:$O$200,O$1,FALSE)))</f>
        <v>0</v>
      </c>
      <c r="P208" s="15">
        <f>IFERROR(VLOOKUP($C208,Sheet3!$H$2:$O$200,P$1,FALSE),IFERROR(VLOOKUP($D208,Sheet3!$H$2:$O$200,P$1,FALSE),VLOOKUP($E208,Sheet3!$H$2:$O$200,P$1,FALSE)))</f>
        <v>0</v>
      </c>
      <c r="Q208" s="15">
        <f>IFERROR(IF(ISBLANK(J208),IFERROR(VLOOKUP($D208,Sheet3!$H$2:$O$200,Q$1,FALSE),IFERROR(VLOOKUP($E208,Sheet3!$H$2:$O$200,Q$1,FALSE),VLOOKUP($F208,Sheet3!$H$2:$O$200,Q$1,FALSE))),$I$1),$I$1)</f>
        <v>0</v>
      </c>
      <c r="R208" s="15">
        <f>IFERROR(IF(ISBLANK(K208),IFERROR(VLOOKUP($D208,Sheet3!$H$2:$O$200,R$1,FALSE),IFERROR(VLOOKUP($E208,Sheet3!$H$2:$O$200,R$1,FALSE),VLOOKUP($F208,Sheet3!$H$2:$O$200,R$1,FALSE))),$I$1),$I$1)</f>
        <v>0</v>
      </c>
      <c r="S208" s="15">
        <f>IFERROR(IF(ISBLANK(L208),IFERROR(VLOOKUP($D208,Sheet3!$H$2:$O$200,S$1,FALSE),IFERROR(VLOOKUP($E208,Sheet3!$H$2:$O$200,S$1,FALSE),VLOOKUP($F208,Sheet3!$H$2:$O$200,S$1,FALSE))),$I$1),$I$1)</f>
        <v>0</v>
      </c>
      <c r="T208" s="15">
        <f>IFERROR(IF(ISBLANK(M208),IFERROR(VLOOKUP($D208,Sheet3!$H$2:$O$200,T$1,FALSE),IFERROR(VLOOKUP($E208,Sheet3!$H$2:$O$200,T$1,FALSE),VLOOKUP($F208,Sheet3!$H$2:$O$200,T$1,FALSE))),$I$1),$I$1)</f>
        <v>0</v>
      </c>
      <c r="U208" s="15">
        <f>IFERROR(IF(ISBLANK(N208),IFERROR(VLOOKUP($D208,Sheet3!$H$2:$O$200,U$1,FALSE),IFERROR(VLOOKUP($E208,Sheet3!$H$2:$O$200,U$1,FALSE),VLOOKUP($F208,Sheet3!$H$2:$O$200,U$1,FALSE))),$I$1),$I$1)</f>
        <v>0</v>
      </c>
      <c r="V208" s="15">
        <f>IFERROR(IF(ISBLANK(O208),IFERROR(VLOOKUP($D208,Sheet3!$H$2:$O$200,V$1,FALSE),IFERROR(VLOOKUP($E208,Sheet3!$H$2:$O$200,V$1,FALSE),VLOOKUP($F208,Sheet3!$H$2:$O$200,V$1,FALSE))),$I$1),$I$1)</f>
        <v>0</v>
      </c>
      <c r="W208" s="15">
        <f>IFERROR(IF(ISBLANK(P208),IFERROR(VLOOKUP($D208,Sheet3!$H$2:$O$200,W$1,FALSE),IFERROR(VLOOKUP($E208,Sheet3!$H$2:$O$200,W$1,FALSE),VLOOKUP($F208,Sheet3!$H$2:$O$200,W$1,FALSE))),$I$1),$I$1)</f>
        <v>0</v>
      </c>
      <c r="X208" s="15">
        <f>IFERROR(IF(ISBLANK(Q208),IFERROR(VLOOKUP($E208,Sheet3!$H$2:$O$200,X$1,FALSE),IFERROR(VLOOKUP($F208,Sheet3!$H$2:$O$200,X$1,FALSE),VLOOKUP($G208,Sheet3!$H$2:$O$200,X$1,FALSE))),$I$1),$I$1)</f>
        <v>0</v>
      </c>
      <c r="Y208" s="15">
        <f>IFERROR(IF(ISBLANK(R208),IFERROR(VLOOKUP($E208,Sheet3!$H$2:$O$200,Y$1,FALSE),IFERROR(VLOOKUP($F208,Sheet3!$H$2:$O$200,Y$1,FALSE),VLOOKUP($G208,Sheet3!$H$2:$O$200,Y$1,FALSE))),$I$1),$I$1)</f>
        <v>0</v>
      </c>
      <c r="Z208" s="15">
        <f>IFERROR(IF(ISBLANK(S208),IFERROR(VLOOKUP($E208,Sheet3!$H$2:$O$200,Z$1,FALSE),IFERROR(VLOOKUP($F208,Sheet3!$H$2:$O$200,Z$1,FALSE),VLOOKUP($G208,Sheet3!$H$2:$O$200,Z$1,FALSE))),$I$1),$I$1)</f>
        <v>0</v>
      </c>
      <c r="AA208" s="15">
        <f>IFERROR(IF(ISBLANK(T208),IFERROR(VLOOKUP($E208,Sheet3!$H$2:$O$200,AA$1,FALSE),IFERROR(VLOOKUP($F208,Sheet3!$H$2:$O$200,AA$1,FALSE),VLOOKUP($G208,Sheet3!$H$2:$O$200,AA$1,FALSE))),$I$1),$I$1)</f>
        <v>0</v>
      </c>
      <c r="AB208" s="15">
        <f>IFERROR(IF(ISBLANK(U208),IFERROR(VLOOKUP($E208,Sheet3!$H$2:$O$200,AB$1,FALSE),IFERROR(VLOOKUP($F208,Sheet3!$H$2:$O$200,AB$1,FALSE),VLOOKUP($G208,Sheet3!$H$2:$O$200,AB$1,FALSE))),$I$1),$I$1)</f>
        <v>0</v>
      </c>
      <c r="AC208" s="15">
        <f>IFERROR(IF(ISBLANK(V208),IFERROR(VLOOKUP($E208,Sheet3!$H$2:$O$200,AC$1,FALSE),IFERROR(VLOOKUP($F208,Sheet3!$H$2:$O$200,AC$1,FALSE),VLOOKUP($G208,Sheet3!$H$2:$O$200,AC$1,FALSE))),$I$1),$I$1)</f>
        <v>0</v>
      </c>
      <c r="AD208" s="15">
        <f>IFERROR(IF(ISBLANK(W208),IFERROR(VLOOKUP($E208,Sheet3!$H$2:$O$200,AD$1,FALSE),IFERROR(VLOOKUP($F208,Sheet3!$H$2:$O$200,AD$1,FALSE),VLOOKUP($G208,Sheet3!$H$2:$O$200,AD$1,FALSE))),$I$1),$I$1)</f>
        <v>0</v>
      </c>
      <c r="AE208" s="15">
        <f>IFERROR(IF(ISBLANK(X208),IFERROR(VLOOKUP($F208,Sheet3!$H$2:$O$200,AE$1,FALSE),VLOOKUP($G208,Sheet3!$H$2:$O$200,AE$1,FALSE)),$I$1),$I$1)</f>
        <v>0</v>
      </c>
      <c r="AF208" s="15">
        <f>IFERROR(IF(ISBLANK(Y208),IFERROR(VLOOKUP($F208,Sheet3!$H$2:$O$200,AF$1,FALSE),VLOOKUP($G208,Sheet3!$H$2:$O$200,AF$1,FALSE)),$I$1),$I$1)</f>
        <v>0</v>
      </c>
      <c r="AG208" s="15">
        <f>IFERROR(IF(ISBLANK(Z208),IFERROR(VLOOKUP($F208,Sheet3!$H$2:$O$200,AG$1,FALSE),VLOOKUP($G208,Sheet3!$H$2:$O$200,AG$1,FALSE)),$I$1),$I$1)</f>
        <v>0</v>
      </c>
      <c r="AH208" s="15">
        <f>IFERROR(IF(ISBLANK(AA208),IFERROR(VLOOKUP($F208,Sheet3!$H$2:$O$200,AH$1,FALSE),VLOOKUP($G208,Sheet3!$H$2:$O$200,AH$1,FALSE)),$I$1),$I$1)</f>
        <v>0</v>
      </c>
      <c r="AI208" s="15">
        <f>IFERROR(IF(ISBLANK(AB208),IFERROR(VLOOKUP($F208,Sheet3!$H$2:$O$200,AI$1,FALSE),VLOOKUP($G208,Sheet3!$H$2:$O$200,AI$1,FALSE)),$I$1),$I$1)</f>
        <v>0</v>
      </c>
      <c r="AJ208" s="15">
        <f>IFERROR(IF(ISBLANK(AC208),IFERROR(VLOOKUP($F208,Sheet3!$H$2:$O$200,AJ$1,FALSE),VLOOKUP($G208,Sheet3!$H$2:$O$200,AJ$1,FALSE)),$I$1),$I$1)</f>
        <v>0</v>
      </c>
      <c r="AK208" s="15">
        <f>IFERROR(IF(ISBLANK(AD208),IFERROR(VLOOKUP($F208,Sheet3!$H$2:$O$200,AK$1,FALSE),VLOOKUP($G208,Sheet3!$H$2:$O$200,AK$1,FALSE)),$I$1),$I$1)</f>
        <v>0</v>
      </c>
      <c r="AL208" s="15">
        <f>IFERROR(IF(ISBLANK(AE208),VLOOKUP($G208,Sheet3!$H$2:$O$200,AL$1,FALSE),$I$1),$I$1)</f>
        <v>0</v>
      </c>
      <c r="AM208" s="15">
        <f>IFERROR(IF(ISBLANK(AF208),VLOOKUP($G208,Sheet3!$H$2:$O$200,AM$1,FALSE),$I$1),$I$1)</f>
        <v>0</v>
      </c>
      <c r="AN208" s="15">
        <f>IFERROR(IF(ISBLANK(AG208),VLOOKUP($G208,Sheet3!$H$2:$O$200,AN$1,FALSE),$I$1),$I$1)</f>
        <v>0</v>
      </c>
      <c r="AO208" s="15">
        <f>IFERROR(IF(ISBLANK(AH208),VLOOKUP($G208,Sheet3!$H$2:$O$200,AO$1,FALSE),$I$1),$I$1)</f>
        <v>0</v>
      </c>
      <c r="AP208" s="15">
        <f>IFERROR(IF(ISBLANK(AI208),VLOOKUP($G208,Sheet3!$H$2:$O$200,AP$1,FALSE),$I$1),$I$1)</f>
        <v>0</v>
      </c>
      <c r="AQ208" s="15">
        <f>IFERROR(IF(ISBLANK(AJ208),VLOOKUP($G208,Sheet3!$H$2:$O$200,AQ$1,FALSE),$I$1),$I$1)</f>
        <v>0</v>
      </c>
      <c r="AR208" s="15">
        <f>IFERROR(IF(ISBLANK(AK208),VLOOKUP($G208,Sheet3!$H$2:$O$200,AR$1,FALSE),$I$1),$I$1)</f>
        <v>0</v>
      </c>
      <c r="AS208" s="15">
        <f t="shared" ref="AS208:AY208" si="216">IFERROR(IF(ISBLANK(J208),IF(ISBLANK(Q208),IF(ISBLANK(X208),IF(ISBLANK(AE208),IF(ISBLANK(AL208),$BB$1,AL208),AE208),X208),Q208),J208),$BB$1)</f>
        <v>0</v>
      </c>
      <c r="AT208" s="15">
        <f t="shared" si="216"/>
        <v>0</v>
      </c>
      <c r="AU208" s="15">
        <f t="shared" si="216"/>
        <v>0</v>
      </c>
      <c r="AV208" s="15" t="str">
        <f t="shared" si="216"/>
        <v>triple sec</v>
      </c>
      <c r="AW208" s="15">
        <f t="shared" si="216"/>
        <v>0</v>
      </c>
      <c r="AX208" s="15">
        <f t="shared" si="216"/>
        <v>0</v>
      </c>
      <c r="AY208" s="15">
        <f t="shared" si="216"/>
        <v>0</v>
      </c>
      <c r="BA208" s="13">
        <f t="shared" si="1"/>
        <v>35</v>
      </c>
      <c r="BB208" s="15" t="b">
        <f t="shared" si="2"/>
        <v>0</v>
      </c>
    </row>
    <row r="209" spans="1:54" x14ac:dyDescent="0.2">
      <c r="A209" s="19" t="s">
        <v>387</v>
      </c>
      <c r="B209" s="19" t="s">
        <v>31</v>
      </c>
      <c r="C209" s="19" t="s">
        <v>388</v>
      </c>
      <c r="D209" s="19"/>
      <c r="E209" s="19" t="s">
        <v>32</v>
      </c>
      <c r="F209" s="19"/>
      <c r="G209" s="19"/>
      <c r="H209" s="19" t="s">
        <v>387</v>
      </c>
      <c r="I209" s="15">
        <v>2</v>
      </c>
      <c r="J209" s="15">
        <f>IFERROR(VLOOKUP($C209,Sheet3!$H$2:$O$200,J$1,FALSE),IFERROR(VLOOKUP($D209,Sheet3!$H$2:$O$200,J$1,FALSE),VLOOKUP($E209,Sheet3!$H$2:$O$200,J$1,FALSE)))</f>
        <v>0</v>
      </c>
      <c r="K209" s="15">
        <f>IFERROR(VLOOKUP($C209,Sheet3!$H$2:$O$200,K$1,FALSE),IFERROR(VLOOKUP($D209,Sheet3!$H$2:$O$200,K$1,FALSE),VLOOKUP($E209,Sheet3!$H$2:$O$200,K$1,FALSE)))</f>
        <v>0</v>
      </c>
      <c r="L209" s="15">
        <f>IFERROR(VLOOKUP($C209,Sheet3!$H$2:$O$200,L$1,FALSE),IFERROR(VLOOKUP($D209,Sheet3!$H$2:$O$200,L$1,FALSE),VLOOKUP($E209,Sheet3!$H$2:$O$200,L$1,FALSE)))</f>
        <v>0</v>
      </c>
      <c r="M209" s="15" t="str">
        <f>IFERROR(VLOOKUP($C209,Sheet3!$H$2:$O$200,M$1,FALSE),IFERROR(VLOOKUP($D209,Sheet3!$H$2:$O$200,M$1,FALSE),VLOOKUP($E209,Sheet3!$H$2:$O$200,M$1,FALSE)))</f>
        <v>green crème de cacao</v>
      </c>
      <c r="N209" s="15">
        <f>IFERROR(VLOOKUP($C209,Sheet3!$H$2:$O$200,N$1,FALSE),IFERROR(VLOOKUP($D209,Sheet3!$H$2:$O$200,N$1,FALSE),VLOOKUP($E209,Sheet3!$H$2:$O$200,N$1,FALSE)))</f>
        <v>0</v>
      </c>
      <c r="O209" s="15">
        <f>IFERROR(VLOOKUP($C209,Sheet3!$H$2:$O$200,O$1,FALSE),IFERROR(VLOOKUP($D209,Sheet3!$H$2:$O$200,O$1,FALSE),VLOOKUP($E209,Sheet3!$H$2:$O$200,O$1,FALSE)))</f>
        <v>0</v>
      </c>
      <c r="P209" s="15">
        <f>IFERROR(VLOOKUP($C209,Sheet3!$H$2:$O$200,P$1,FALSE),IFERROR(VLOOKUP($D209,Sheet3!$H$2:$O$200,P$1,FALSE),VLOOKUP($E209,Sheet3!$H$2:$O$200,P$1,FALSE)))</f>
        <v>0</v>
      </c>
      <c r="Q209" s="15">
        <f>IFERROR(IF(ISBLANK(J209),IFERROR(VLOOKUP($D209,Sheet3!$H$2:$O$200,Q$1,FALSE),IFERROR(VLOOKUP($E209,Sheet3!$H$2:$O$200,Q$1,FALSE),VLOOKUP($F209,Sheet3!$H$2:$O$200,Q$1,FALSE))),$I$1),$I$1)</f>
        <v>0</v>
      </c>
      <c r="R209" s="15">
        <f>IFERROR(IF(ISBLANK(K209),IFERROR(VLOOKUP($D209,Sheet3!$H$2:$O$200,R$1,FALSE),IFERROR(VLOOKUP($E209,Sheet3!$H$2:$O$200,R$1,FALSE),VLOOKUP($F209,Sheet3!$H$2:$O$200,R$1,FALSE))),$I$1),$I$1)</f>
        <v>0</v>
      </c>
      <c r="S209" s="15">
        <f>IFERROR(IF(ISBLANK(L209),IFERROR(VLOOKUP($D209,Sheet3!$H$2:$O$200,S$1,FALSE),IFERROR(VLOOKUP($E209,Sheet3!$H$2:$O$200,S$1,FALSE),VLOOKUP($F209,Sheet3!$H$2:$O$200,S$1,FALSE))),$I$1),$I$1)</f>
        <v>0</v>
      </c>
      <c r="T209" s="15">
        <f>IFERROR(IF(ISBLANK(M209),IFERROR(VLOOKUP($D209,Sheet3!$H$2:$O$200,T$1,FALSE),IFERROR(VLOOKUP($E209,Sheet3!$H$2:$O$200,T$1,FALSE),VLOOKUP($F209,Sheet3!$H$2:$O$200,T$1,FALSE))),$I$1),$I$1)</f>
        <v>0</v>
      </c>
      <c r="U209" s="15">
        <f>IFERROR(IF(ISBLANK(N209),IFERROR(VLOOKUP($D209,Sheet3!$H$2:$O$200,U$1,FALSE),IFERROR(VLOOKUP($E209,Sheet3!$H$2:$O$200,U$1,FALSE),VLOOKUP($F209,Sheet3!$H$2:$O$200,U$1,FALSE))),$I$1),$I$1)</f>
        <v>0</v>
      </c>
      <c r="V209" s="15">
        <f>IFERROR(IF(ISBLANK(O209),IFERROR(VLOOKUP($D209,Sheet3!$H$2:$O$200,V$1,FALSE),IFERROR(VLOOKUP($E209,Sheet3!$H$2:$O$200,V$1,FALSE),VLOOKUP($F209,Sheet3!$H$2:$O$200,V$1,FALSE))),$I$1),$I$1)</f>
        <v>0</v>
      </c>
      <c r="W209" s="15">
        <f>IFERROR(IF(ISBLANK(P209),IFERROR(VLOOKUP($D209,Sheet3!$H$2:$O$200,W$1,FALSE),IFERROR(VLOOKUP($E209,Sheet3!$H$2:$O$200,W$1,FALSE),VLOOKUP($F209,Sheet3!$H$2:$O$200,W$1,FALSE))),$I$1),$I$1)</f>
        <v>0</v>
      </c>
      <c r="X209" s="15">
        <f>IFERROR(IF(ISBLANK(Q209),IFERROR(VLOOKUP($E209,Sheet3!$H$2:$O$200,X$1,FALSE),IFERROR(VLOOKUP($F209,Sheet3!$H$2:$O$200,X$1,FALSE),VLOOKUP($G209,Sheet3!$H$2:$O$200,X$1,FALSE))),$I$1),$I$1)</f>
        <v>0</v>
      </c>
      <c r="Y209" s="15">
        <f>IFERROR(IF(ISBLANK(R209),IFERROR(VLOOKUP($E209,Sheet3!$H$2:$O$200,Y$1,FALSE),IFERROR(VLOOKUP($F209,Sheet3!$H$2:$O$200,Y$1,FALSE),VLOOKUP($G209,Sheet3!$H$2:$O$200,Y$1,FALSE))),$I$1),$I$1)</f>
        <v>0</v>
      </c>
      <c r="Z209" s="15">
        <f>IFERROR(IF(ISBLANK(S209),IFERROR(VLOOKUP($E209,Sheet3!$H$2:$O$200,Z$1,FALSE),IFERROR(VLOOKUP($F209,Sheet3!$H$2:$O$200,Z$1,FALSE),VLOOKUP($G209,Sheet3!$H$2:$O$200,Z$1,FALSE))),$I$1),$I$1)</f>
        <v>0</v>
      </c>
      <c r="AA209" s="15">
        <f>IFERROR(IF(ISBLANK(T209),IFERROR(VLOOKUP($E209,Sheet3!$H$2:$O$200,AA$1,FALSE),IFERROR(VLOOKUP($F209,Sheet3!$H$2:$O$200,AA$1,FALSE),VLOOKUP($G209,Sheet3!$H$2:$O$200,AA$1,FALSE))),$I$1),$I$1)</f>
        <v>0</v>
      </c>
      <c r="AB209" s="15">
        <f>IFERROR(IF(ISBLANK(U209),IFERROR(VLOOKUP($E209,Sheet3!$H$2:$O$200,AB$1,FALSE),IFERROR(VLOOKUP($F209,Sheet3!$H$2:$O$200,AB$1,FALSE),VLOOKUP($G209,Sheet3!$H$2:$O$200,AB$1,FALSE))),$I$1),$I$1)</f>
        <v>0</v>
      </c>
      <c r="AC209" s="15">
        <f>IFERROR(IF(ISBLANK(V209),IFERROR(VLOOKUP($E209,Sheet3!$H$2:$O$200,AC$1,FALSE),IFERROR(VLOOKUP($F209,Sheet3!$H$2:$O$200,AC$1,FALSE),VLOOKUP($G209,Sheet3!$H$2:$O$200,AC$1,FALSE))),$I$1),$I$1)</f>
        <v>0</v>
      </c>
      <c r="AD209" s="15">
        <f>IFERROR(IF(ISBLANK(W209),IFERROR(VLOOKUP($E209,Sheet3!$H$2:$O$200,AD$1,FALSE),IFERROR(VLOOKUP($F209,Sheet3!$H$2:$O$200,AD$1,FALSE),VLOOKUP($G209,Sheet3!$H$2:$O$200,AD$1,FALSE))),$I$1),$I$1)</f>
        <v>0</v>
      </c>
      <c r="AE209" s="15">
        <f>IFERROR(IF(ISBLANK(X209),IFERROR(VLOOKUP($F209,Sheet3!$H$2:$O$200,AE$1,FALSE),VLOOKUP($G209,Sheet3!$H$2:$O$200,AE$1,FALSE)),$I$1),$I$1)</f>
        <v>0</v>
      </c>
      <c r="AF209" s="15">
        <f>IFERROR(IF(ISBLANK(Y209),IFERROR(VLOOKUP($F209,Sheet3!$H$2:$O$200,AF$1,FALSE),VLOOKUP($G209,Sheet3!$H$2:$O$200,AF$1,FALSE)),$I$1),$I$1)</f>
        <v>0</v>
      </c>
      <c r="AG209" s="15">
        <f>IFERROR(IF(ISBLANK(Z209),IFERROR(VLOOKUP($F209,Sheet3!$H$2:$O$200,AG$1,FALSE),VLOOKUP($G209,Sheet3!$H$2:$O$200,AG$1,FALSE)),$I$1),$I$1)</f>
        <v>0</v>
      </c>
      <c r="AH209" s="15">
        <f>IFERROR(IF(ISBLANK(AA209),IFERROR(VLOOKUP($F209,Sheet3!$H$2:$O$200,AH$1,FALSE),VLOOKUP($G209,Sheet3!$H$2:$O$200,AH$1,FALSE)),$I$1),$I$1)</f>
        <v>0</v>
      </c>
      <c r="AI209" s="15">
        <f>IFERROR(IF(ISBLANK(AB209),IFERROR(VLOOKUP($F209,Sheet3!$H$2:$O$200,AI$1,FALSE),VLOOKUP($G209,Sheet3!$H$2:$O$200,AI$1,FALSE)),$I$1),$I$1)</f>
        <v>0</v>
      </c>
      <c r="AJ209" s="15">
        <f>IFERROR(IF(ISBLANK(AC209),IFERROR(VLOOKUP($F209,Sheet3!$H$2:$O$200,AJ$1,FALSE),VLOOKUP($G209,Sheet3!$H$2:$O$200,AJ$1,FALSE)),$I$1),$I$1)</f>
        <v>0</v>
      </c>
      <c r="AK209" s="15">
        <f>IFERROR(IF(ISBLANK(AD209),IFERROR(VLOOKUP($F209,Sheet3!$H$2:$O$200,AK$1,FALSE),VLOOKUP($G209,Sheet3!$H$2:$O$200,AK$1,FALSE)),$I$1),$I$1)</f>
        <v>0</v>
      </c>
      <c r="AL209" s="15">
        <f>IFERROR(IF(ISBLANK(AE209),VLOOKUP($G209,Sheet3!$H$2:$O$200,AL$1,FALSE),$I$1),$I$1)</f>
        <v>0</v>
      </c>
      <c r="AM209" s="15">
        <f>IFERROR(IF(ISBLANK(AF209),VLOOKUP($G209,Sheet3!$H$2:$O$200,AM$1,FALSE),$I$1),$I$1)</f>
        <v>0</v>
      </c>
      <c r="AN209" s="15">
        <f>IFERROR(IF(ISBLANK(AG209),VLOOKUP($G209,Sheet3!$H$2:$O$200,AN$1,FALSE),$I$1),$I$1)</f>
        <v>0</v>
      </c>
      <c r="AO209" s="15">
        <f>IFERROR(IF(ISBLANK(AH209),VLOOKUP($G209,Sheet3!$H$2:$O$200,AO$1,FALSE),$I$1),$I$1)</f>
        <v>0</v>
      </c>
      <c r="AP209" s="15">
        <f>IFERROR(IF(ISBLANK(AI209),VLOOKUP($G209,Sheet3!$H$2:$O$200,AP$1,FALSE),$I$1),$I$1)</f>
        <v>0</v>
      </c>
      <c r="AQ209" s="15">
        <f>IFERROR(IF(ISBLANK(AJ209),VLOOKUP($G209,Sheet3!$H$2:$O$200,AQ$1,FALSE),$I$1),$I$1)</f>
        <v>0</v>
      </c>
      <c r="AR209" s="15">
        <f>IFERROR(IF(ISBLANK(AK209),VLOOKUP($G209,Sheet3!$H$2:$O$200,AR$1,FALSE),$I$1),$I$1)</f>
        <v>0</v>
      </c>
      <c r="AS209" s="15">
        <f t="shared" ref="AS209:AY209" si="217">IFERROR(IF(ISBLANK(J209),IF(ISBLANK(Q209),IF(ISBLANK(X209),IF(ISBLANK(AE209),IF(ISBLANK(AL209),$BB$1,AL209),AE209),X209),Q209),J209),$BB$1)</f>
        <v>0</v>
      </c>
      <c r="AT209" s="15">
        <f t="shared" si="217"/>
        <v>0</v>
      </c>
      <c r="AU209" s="15">
        <f t="shared" si="217"/>
        <v>0</v>
      </c>
      <c r="AV209" s="15" t="str">
        <f t="shared" si="217"/>
        <v>green crème de cacao</v>
      </c>
      <c r="AW209" s="15">
        <f t="shared" si="217"/>
        <v>0</v>
      </c>
      <c r="AX209" s="15">
        <f t="shared" si="217"/>
        <v>0</v>
      </c>
      <c r="AY209" s="15">
        <f t="shared" si="217"/>
        <v>0</v>
      </c>
      <c r="BA209" s="13">
        <f t="shared" si="1"/>
        <v>35</v>
      </c>
      <c r="BB209" s="15" t="b">
        <f t="shared" si="2"/>
        <v>0</v>
      </c>
    </row>
    <row r="210" spans="1:54" x14ac:dyDescent="0.2">
      <c r="A210" s="19" t="s">
        <v>389</v>
      </c>
      <c r="B210" s="19"/>
      <c r="C210" s="19"/>
      <c r="D210" s="19" t="s">
        <v>126</v>
      </c>
      <c r="E210" s="19" t="s">
        <v>30</v>
      </c>
      <c r="F210" s="19"/>
      <c r="G210" s="19"/>
      <c r="H210" s="19" t="s">
        <v>389</v>
      </c>
      <c r="I210" s="15">
        <v>2</v>
      </c>
      <c r="J210" s="15">
        <f>IFERROR(VLOOKUP($C210,Sheet3!$H$2:$O$200,J$1,FALSE),IFERROR(VLOOKUP($D210,Sheet3!$H$2:$O$200,J$1,FALSE),VLOOKUP($E210,Sheet3!$H$2:$O$200,J$1,FALSE)))</f>
        <v>0</v>
      </c>
      <c r="K210" s="15">
        <f>IFERROR(VLOOKUP($C210,Sheet3!$H$2:$O$200,K$1,FALSE),IFERROR(VLOOKUP($D210,Sheet3!$H$2:$O$200,K$1,FALSE),VLOOKUP($E210,Sheet3!$H$2:$O$200,K$1,FALSE)))</f>
        <v>0</v>
      </c>
      <c r="L210" s="15" t="str">
        <f>IFERROR(VLOOKUP($C210,Sheet3!$H$2:$O$200,L$1,FALSE),IFERROR(VLOOKUP($D210,Sheet3!$H$2:$O$200,L$1,FALSE),VLOOKUP($E210,Sheet3!$H$2:$O$200,L$1,FALSE)))</f>
        <v>orange juice</v>
      </c>
      <c r="M210" s="15">
        <f>IFERROR(VLOOKUP($C210,Sheet3!$H$2:$O$200,M$1,FALSE),IFERROR(VLOOKUP($D210,Sheet3!$H$2:$O$200,M$1,FALSE),VLOOKUP($E210,Sheet3!$H$2:$O$200,M$1,FALSE)))</f>
        <v>0</v>
      </c>
      <c r="N210" s="15">
        <f>IFERROR(VLOOKUP($C210,Sheet3!$H$2:$O$200,N$1,FALSE),IFERROR(VLOOKUP($D210,Sheet3!$H$2:$O$200,N$1,FALSE),VLOOKUP($E210,Sheet3!$H$2:$O$200,N$1,FALSE)))</f>
        <v>0</v>
      </c>
      <c r="O210" s="15">
        <f>IFERROR(VLOOKUP($C210,Sheet3!$H$2:$O$200,O$1,FALSE),IFERROR(VLOOKUP($D210,Sheet3!$H$2:$O$200,O$1,FALSE),VLOOKUP($E210,Sheet3!$H$2:$O$200,O$1,FALSE)))</f>
        <v>0</v>
      </c>
      <c r="P210" s="15">
        <f>IFERROR(VLOOKUP($C210,Sheet3!$H$2:$O$200,P$1,FALSE),IFERROR(VLOOKUP($D210,Sheet3!$H$2:$O$200,P$1,FALSE),VLOOKUP($E210,Sheet3!$H$2:$O$200,P$1,FALSE)))</f>
        <v>0</v>
      </c>
      <c r="Q210" s="15">
        <f>IFERROR(IF(ISBLANK(J210),IFERROR(VLOOKUP($D210,Sheet3!$H$2:$O$200,Q$1,FALSE),IFERROR(VLOOKUP($E210,Sheet3!$H$2:$O$200,Q$1,FALSE),VLOOKUP($F210,Sheet3!$H$2:$O$200,Q$1,FALSE))),$I$1),$I$1)</f>
        <v>0</v>
      </c>
      <c r="R210" s="15">
        <f>IFERROR(IF(ISBLANK(K210),IFERROR(VLOOKUP($D210,Sheet3!$H$2:$O$200,R$1,FALSE),IFERROR(VLOOKUP($E210,Sheet3!$H$2:$O$200,R$1,FALSE),VLOOKUP($F210,Sheet3!$H$2:$O$200,R$1,FALSE))),$I$1),$I$1)</f>
        <v>0</v>
      </c>
      <c r="S210" s="15">
        <f>IFERROR(IF(ISBLANK(L210),IFERROR(VLOOKUP($D210,Sheet3!$H$2:$O$200,S$1,FALSE),IFERROR(VLOOKUP($E210,Sheet3!$H$2:$O$200,S$1,FALSE),VLOOKUP($F210,Sheet3!$H$2:$O$200,S$1,FALSE))),$I$1),$I$1)</f>
        <v>0</v>
      </c>
      <c r="T210" s="15">
        <f>IFERROR(IF(ISBLANK(M210),IFERROR(VLOOKUP($D210,Sheet3!$H$2:$O$200,T$1,FALSE),IFERROR(VLOOKUP($E210,Sheet3!$H$2:$O$200,T$1,FALSE),VLOOKUP($F210,Sheet3!$H$2:$O$200,T$1,FALSE))),$I$1),$I$1)</f>
        <v>0</v>
      </c>
      <c r="U210" s="15">
        <f>IFERROR(IF(ISBLANK(N210),IFERROR(VLOOKUP($D210,Sheet3!$H$2:$O$200,U$1,FALSE),IFERROR(VLOOKUP($E210,Sheet3!$H$2:$O$200,U$1,FALSE),VLOOKUP($F210,Sheet3!$H$2:$O$200,U$1,FALSE))),$I$1),$I$1)</f>
        <v>0</v>
      </c>
      <c r="V210" s="15">
        <f>IFERROR(IF(ISBLANK(O210),IFERROR(VLOOKUP($D210,Sheet3!$H$2:$O$200,V$1,FALSE),IFERROR(VLOOKUP($E210,Sheet3!$H$2:$O$200,V$1,FALSE),VLOOKUP($F210,Sheet3!$H$2:$O$200,V$1,FALSE))),$I$1),$I$1)</f>
        <v>0</v>
      </c>
      <c r="W210" s="15">
        <f>IFERROR(IF(ISBLANK(P210),IFERROR(VLOOKUP($D210,Sheet3!$H$2:$O$200,W$1,FALSE),IFERROR(VLOOKUP($E210,Sheet3!$H$2:$O$200,W$1,FALSE),VLOOKUP($F210,Sheet3!$H$2:$O$200,W$1,FALSE))),$I$1),$I$1)</f>
        <v>0</v>
      </c>
      <c r="X210" s="15">
        <f>IFERROR(IF(ISBLANK(Q210),IFERROR(VLOOKUP($E210,Sheet3!$H$2:$O$200,X$1,FALSE),IFERROR(VLOOKUP($F210,Sheet3!$H$2:$O$200,X$1,FALSE),VLOOKUP($G210,Sheet3!$H$2:$O$200,X$1,FALSE))),$I$1),$I$1)</f>
        <v>0</v>
      </c>
      <c r="Y210" s="15">
        <f>IFERROR(IF(ISBLANK(R210),IFERROR(VLOOKUP($E210,Sheet3!$H$2:$O$200,Y$1,FALSE),IFERROR(VLOOKUP($F210,Sheet3!$H$2:$O$200,Y$1,FALSE),VLOOKUP($G210,Sheet3!$H$2:$O$200,Y$1,FALSE))),$I$1),$I$1)</f>
        <v>0</v>
      </c>
      <c r="Z210" s="15">
        <f>IFERROR(IF(ISBLANK(S210),IFERROR(VLOOKUP($E210,Sheet3!$H$2:$O$200,Z$1,FALSE),IFERROR(VLOOKUP($F210,Sheet3!$H$2:$O$200,Z$1,FALSE),VLOOKUP($G210,Sheet3!$H$2:$O$200,Z$1,FALSE))),$I$1),$I$1)</f>
        <v>0</v>
      </c>
      <c r="AA210" s="15">
        <f>IFERROR(IF(ISBLANK(T210),IFERROR(VLOOKUP($E210,Sheet3!$H$2:$O$200,AA$1,FALSE),IFERROR(VLOOKUP($F210,Sheet3!$H$2:$O$200,AA$1,FALSE),VLOOKUP($G210,Sheet3!$H$2:$O$200,AA$1,FALSE))),$I$1),$I$1)</f>
        <v>0</v>
      </c>
      <c r="AB210" s="15">
        <f>IFERROR(IF(ISBLANK(U210),IFERROR(VLOOKUP($E210,Sheet3!$H$2:$O$200,AB$1,FALSE),IFERROR(VLOOKUP($F210,Sheet3!$H$2:$O$200,AB$1,FALSE),VLOOKUP($G210,Sheet3!$H$2:$O$200,AB$1,FALSE))),$I$1),$I$1)</f>
        <v>0</v>
      </c>
      <c r="AC210" s="15">
        <f>IFERROR(IF(ISBLANK(V210),IFERROR(VLOOKUP($E210,Sheet3!$H$2:$O$200,AC$1,FALSE),IFERROR(VLOOKUP($F210,Sheet3!$H$2:$O$200,AC$1,FALSE),VLOOKUP($G210,Sheet3!$H$2:$O$200,AC$1,FALSE))),$I$1),$I$1)</f>
        <v>0</v>
      </c>
      <c r="AD210" s="15">
        <f>IFERROR(IF(ISBLANK(W210),IFERROR(VLOOKUP($E210,Sheet3!$H$2:$O$200,AD$1,FALSE),IFERROR(VLOOKUP($F210,Sheet3!$H$2:$O$200,AD$1,FALSE),VLOOKUP($G210,Sheet3!$H$2:$O$200,AD$1,FALSE))),$I$1),$I$1)</f>
        <v>0</v>
      </c>
      <c r="AE210" s="15">
        <f>IFERROR(IF(ISBLANK(X210),IFERROR(VLOOKUP($F210,Sheet3!$H$2:$O$200,AE$1,FALSE),VLOOKUP($G210,Sheet3!$H$2:$O$200,AE$1,FALSE)),$I$1),$I$1)</f>
        <v>0</v>
      </c>
      <c r="AF210" s="15">
        <f>IFERROR(IF(ISBLANK(Y210),IFERROR(VLOOKUP($F210,Sheet3!$H$2:$O$200,AF$1,FALSE),VLOOKUP($G210,Sheet3!$H$2:$O$200,AF$1,FALSE)),$I$1),$I$1)</f>
        <v>0</v>
      </c>
      <c r="AG210" s="15">
        <f>IFERROR(IF(ISBLANK(Z210),IFERROR(VLOOKUP($F210,Sheet3!$H$2:$O$200,AG$1,FALSE),VLOOKUP($G210,Sheet3!$H$2:$O$200,AG$1,FALSE)),$I$1),$I$1)</f>
        <v>0</v>
      </c>
      <c r="AH210" s="15">
        <f>IFERROR(IF(ISBLANK(AA210),IFERROR(VLOOKUP($F210,Sheet3!$H$2:$O$200,AH$1,FALSE),VLOOKUP($G210,Sheet3!$H$2:$O$200,AH$1,FALSE)),$I$1),$I$1)</f>
        <v>0</v>
      </c>
      <c r="AI210" s="15">
        <f>IFERROR(IF(ISBLANK(AB210),IFERROR(VLOOKUP($F210,Sheet3!$H$2:$O$200,AI$1,FALSE),VLOOKUP($G210,Sheet3!$H$2:$O$200,AI$1,FALSE)),$I$1),$I$1)</f>
        <v>0</v>
      </c>
      <c r="AJ210" s="15">
        <f>IFERROR(IF(ISBLANK(AC210),IFERROR(VLOOKUP($F210,Sheet3!$H$2:$O$200,AJ$1,FALSE),VLOOKUP($G210,Sheet3!$H$2:$O$200,AJ$1,FALSE)),$I$1),$I$1)</f>
        <v>0</v>
      </c>
      <c r="AK210" s="15">
        <f>IFERROR(IF(ISBLANK(AD210),IFERROR(VLOOKUP($F210,Sheet3!$H$2:$O$200,AK$1,FALSE),VLOOKUP($G210,Sheet3!$H$2:$O$200,AK$1,FALSE)),$I$1),$I$1)</f>
        <v>0</v>
      </c>
      <c r="AL210" s="15">
        <f>IFERROR(IF(ISBLANK(AE210),VLOOKUP($G210,Sheet3!$H$2:$O$200,AL$1,FALSE),$I$1),$I$1)</f>
        <v>0</v>
      </c>
      <c r="AM210" s="15">
        <f>IFERROR(IF(ISBLANK(AF210),VLOOKUP($G210,Sheet3!$H$2:$O$200,AM$1,FALSE),$I$1),$I$1)</f>
        <v>0</v>
      </c>
      <c r="AN210" s="15">
        <f>IFERROR(IF(ISBLANK(AG210),VLOOKUP($G210,Sheet3!$H$2:$O$200,AN$1,FALSE),$I$1),$I$1)</f>
        <v>0</v>
      </c>
      <c r="AO210" s="15">
        <f>IFERROR(IF(ISBLANK(AH210),VLOOKUP($G210,Sheet3!$H$2:$O$200,AO$1,FALSE),$I$1),$I$1)</f>
        <v>0</v>
      </c>
      <c r="AP210" s="15">
        <f>IFERROR(IF(ISBLANK(AI210),VLOOKUP($G210,Sheet3!$H$2:$O$200,AP$1,FALSE),$I$1),$I$1)</f>
        <v>0</v>
      </c>
      <c r="AQ210" s="15">
        <f>IFERROR(IF(ISBLANK(AJ210),VLOOKUP($G210,Sheet3!$H$2:$O$200,AQ$1,FALSE),$I$1),$I$1)</f>
        <v>0</v>
      </c>
      <c r="AR210" s="15">
        <f>IFERROR(IF(ISBLANK(AK210),VLOOKUP($G210,Sheet3!$H$2:$O$200,AR$1,FALSE),$I$1),$I$1)</f>
        <v>0</v>
      </c>
      <c r="AS210" s="15">
        <f t="shared" ref="AS210:AY210" si="218">IFERROR(IF(ISBLANK(J210),IF(ISBLANK(Q210),IF(ISBLANK(X210),IF(ISBLANK(AE210),IF(ISBLANK(AL210),$BB$1,AL210),AE210),X210),Q210),J210),$BB$1)</f>
        <v>0</v>
      </c>
      <c r="AT210" s="15">
        <f t="shared" si="218"/>
        <v>0</v>
      </c>
      <c r="AU210" s="15" t="str">
        <f t="shared" si="218"/>
        <v>orange juice</v>
      </c>
      <c r="AV210" s="15">
        <f t="shared" si="218"/>
        <v>0</v>
      </c>
      <c r="AW210" s="15">
        <f t="shared" si="218"/>
        <v>0</v>
      </c>
      <c r="AX210" s="15">
        <f t="shared" si="218"/>
        <v>0</v>
      </c>
      <c r="AY210" s="15">
        <f t="shared" si="218"/>
        <v>0</v>
      </c>
      <c r="BA210" s="13">
        <f t="shared" si="1"/>
        <v>35</v>
      </c>
      <c r="BB210" s="15" t="b">
        <f t="shared" si="2"/>
        <v>0</v>
      </c>
    </row>
    <row r="211" spans="1:54" x14ac:dyDescent="0.2">
      <c r="A211" s="19" t="s">
        <v>390</v>
      </c>
      <c r="B211" s="19"/>
      <c r="C211" s="19" t="s">
        <v>60</v>
      </c>
      <c r="D211" s="19" t="s">
        <v>90</v>
      </c>
      <c r="E211" s="19" t="s">
        <v>282</v>
      </c>
      <c r="F211" s="19"/>
      <c r="G211" s="19"/>
      <c r="H211" s="19" t="s">
        <v>390</v>
      </c>
      <c r="I211" s="15">
        <v>3</v>
      </c>
      <c r="J211" s="15">
        <f>IFERROR(VLOOKUP($C211,Sheet3!$H$2:$O$200,J$1,FALSE),IFERROR(VLOOKUP($D211,Sheet3!$H$2:$O$200,J$1,FALSE),VLOOKUP($E211,Sheet3!$H$2:$O$200,J$1,FALSE)))</f>
        <v>0</v>
      </c>
      <c r="K211" s="15">
        <f>IFERROR(VLOOKUP($C211,Sheet3!$H$2:$O$200,K$1,FALSE),IFERROR(VLOOKUP($D211,Sheet3!$H$2:$O$200,K$1,FALSE),VLOOKUP($E211,Sheet3!$H$2:$O$200,K$1,FALSE)))</f>
        <v>0</v>
      </c>
      <c r="L211" s="15">
        <f>IFERROR(VLOOKUP($C211,Sheet3!$H$2:$O$200,L$1,FALSE),IFERROR(VLOOKUP($D211,Sheet3!$H$2:$O$200,L$1,FALSE),VLOOKUP($E211,Sheet3!$H$2:$O$200,L$1,FALSE)))</f>
        <v>0</v>
      </c>
      <c r="M211" s="15" t="str">
        <f>IFERROR(VLOOKUP($C211,Sheet3!$H$2:$O$200,M$1,FALSE),IFERROR(VLOOKUP($D211,Sheet3!$H$2:$O$200,M$1,FALSE),VLOOKUP($E211,Sheet3!$H$2:$O$200,M$1,FALSE)))</f>
        <v>apricot brandy</v>
      </c>
      <c r="N211" s="15">
        <f>IFERROR(VLOOKUP($C211,Sheet3!$H$2:$O$200,N$1,FALSE),IFERROR(VLOOKUP($D211,Sheet3!$H$2:$O$200,N$1,FALSE),VLOOKUP($E211,Sheet3!$H$2:$O$200,N$1,FALSE)))</f>
        <v>0</v>
      </c>
      <c r="O211" s="15">
        <f>IFERROR(VLOOKUP($C211,Sheet3!$H$2:$O$200,O$1,FALSE),IFERROR(VLOOKUP($D211,Sheet3!$H$2:$O$200,O$1,FALSE),VLOOKUP($E211,Sheet3!$H$2:$O$200,O$1,FALSE)))</f>
        <v>0</v>
      </c>
      <c r="P211" s="15">
        <f>IFERROR(VLOOKUP($C211,Sheet3!$H$2:$O$200,P$1,FALSE),IFERROR(VLOOKUP($D211,Sheet3!$H$2:$O$200,P$1,FALSE),VLOOKUP($E211,Sheet3!$H$2:$O$200,P$1,FALSE)))</f>
        <v>0</v>
      </c>
      <c r="Q211" s="15">
        <f>IFERROR(IF(ISBLANK(J211),IFERROR(VLOOKUP($D211,Sheet3!$H$2:$O$200,Q$1,FALSE),IFERROR(VLOOKUP($E211,Sheet3!$H$2:$O$200,Q$1,FALSE),VLOOKUP($F211,Sheet3!$H$2:$O$200,Q$1,FALSE))),$I$1),$I$1)</f>
        <v>0</v>
      </c>
      <c r="R211" s="15">
        <f>IFERROR(IF(ISBLANK(K211),IFERROR(VLOOKUP($D211,Sheet3!$H$2:$O$200,R$1,FALSE),IFERROR(VLOOKUP($E211,Sheet3!$H$2:$O$200,R$1,FALSE),VLOOKUP($F211,Sheet3!$H$2:$O$200,R$1,FALSE))),$I$1),$I$1)</f>
        <v>0</v>
      </c>
      <c r="S211" s="15">
        <f>IFERROR(IF(ISBLANK(L211),IFERROR(VLOOKUP($D211,Sheet3!$H$2:$O$200,S$1,FALSE),IFERROR(VLOOKUP($E211,Sheet3!$H$2:$O$200,S$1,FALSE),VLOOKUP($F211,Sheet3!$H$2:$O$200,S$1,FALSE))),$I$1),$I$1)</f>
        <v>0</v>
      </c>
      <c r="T211" s="15">
        <f>IFERROR(IF(ISBLANK(M211),IFERROR(VLOOKUP($D211,Sheet3!$H$2:$O$200,T$1,FALSE),IFERROR(VLOOKUP($E211,Sheet3!$H$2:$O$200,T$1,FALSE),VLOOKUP($F211,Sheet3!$H$2:$O$200,T$1,FALSE))),$I$1),$I$1)</f>
        <v>0</v>
      </c>
      <c r="U211" s="15">
        <f>IFERROR(IF(ISBLANK(N211),IFERROR(VLOOKUP($D211,Sheet3!$H$2:$O$200,U$1,FALSE),IFERROR(VLOOKUP($E211,Sheet3!$H$2:$O$200,U$1,FALSE),VLOOKUP($F211,Sheet3!$H$2:$O$200,U$1,FALSE))),$I$1),$I$1)</f>
        <v>0</v>
      </c>
      <c r="V211" s="15">
        <f>IFERROR(IF(ISBLANK(O211),IFERROR(VLOOKUP($D211,Sheet3!$H$2:$O$200,V$1,FALSE),IFERROR(VLOOKUP($E211,Sheet3!$H$2:$O$200,V$1,FALSE),VLOOKUP($F211,Sheet3!$H$2:$O$200,V$1,FALSE))),$I$1),$I$1)</f>
        <v>0</v>
      </c>
      <c r="W211" s="15">
        <f>IFERROR(IF(ISBLANK(P211),IFERROR(VLOOKUP($D211,Sheet3!$H$2:$O$200,W$1,FALSE),IFERROR(VLOOKUP($E211,Sheet3!$H$2:$O$200,W$1,FALSE),VLOOKUP($F211,Sheet3!$H$2:$O$200,W$1,FALSE))),$I$1),$I$1)</f>
        <v>0</v>
      </c>
      <c r="X211" s="15">
        <f>IFERROR(IF(ISBLANK(Q211),IFERROR(VLOOKUP($E211,Sheet3!$H$2:$O$200,X$1,FALSE),IFERROR(VLOOKUP($F211,Sheet3!$H$2:$O$200,X$1,FALSE),VLOOKUP($G211,Sheet3!$H$2:$O$200,X$1,FALSE))),$I$1),$I$1)</f>
        <v>0</v>
      </c>
      <c r="Y211" s="15">
        <f>IFERROR(IF(ISBLANK(R211),IFERROR(VLOOKUP($E211,Sheet3!$H$2:$O$200,Y$1,FALSE),IFERROR(VLOOKUP($F211,Sheet3!$H$2:$O$200,Y$1,FALSE),VLOOKUP($G211,Sheet3!$H$2:$O$200,Y$1,FALSE))),$I$1),$I$1)</f>
        <v>0</v>
      </c>
      <c r="Z211" s="15">
        <f>IFERROR(IF(ISBLANK(S211),IFERROR(VLOOKUP($E211,Sheet3!$H$2:$O$200,Z$1,FALSE),IFERROR(VLOOKUP($F211,Sheet3!$H$2:$O$200,Z$1,FALSE),VLOOKUP($G211,Sheet3!$H$2:$O$200,Z$1,FALSE))),$I$1),$I$1)</f>
        <v>0</v>
      </c>
      <c r="AA211" s="15">
        <f>IFERROR(IF(ISBLANK(T211),IFERROR(VLOOKUP($E211,Sheet3!$H$2:$O$200,AA$1,FALSE),IFERROR(VLOOKUP($F211,Sheet3!$H$2:$O$200,AA$1,FALSE),VLOOKUP($G211,Sheet3!$H$2:$O$200,AA$1,FALSE))),$I$1),$I$1)</f>
        <v>0</v>
      </c>
      <c r="AB211" s="15">
        <f>IFERROR(IF(ISBLANK(U211),IFERROR(VLOOKUP($E211,Sheet3!$H$2:$O$200,AB$1,FALSE),IFERROR(VLOOKUP($F211,Sheet3!$H$2:$O$200,AB$1,FALSE),VLOOKUP($G211,Sheet3!$H$2:$O$200,AB$1,FALSE))),$I$1),$I$1)</f>
        <v>0</v>
      </c>
      <c r="AC211" s="15">
        <f>IFERROR(IF(ISBLANK(V211),IFERROR(VLOOKUP($E211,Sheet3!$H$2:$O$200,AC$1,FALSE),IFERROR(VLOOKUP($F211,Sheet3!$H$2:$O$200,AC$1,FALSE),VLOOKUP($G211,Sheet3!$H$2:$O$200,AC$1,FALSE))),$I$1),$I$1)</f>
        <v>0</v>
      </c>
      <c r="AD211" s="15">
        <f>IFERROR(IF(ISBLANK(W211),IFERROR(VLOOKUP($E211,Sheet3!$H$2:$O$200,AD$1,FALSE),IFERROR(VLOOKUP($F211,Sheet3!$H$2:$O$200,AD$1,FALSE),VLOOKUP($G211,Sheet3!$H$2:$O$200,AD$1,FALSE))),$I$1),$I$1)</f>
        <v>0</v>
      </c>
      <c r="AE211" s="15">
        <f>IFERROR(IF(ISBLANK(X211),IFERROR(VLOOKUP($F211,Sheet3!$H$2:$O$200,AE$1,FALSE),VLOOKUP($G211,Sheet3!$H$2:$O$200,AE$1,FALSE)),$I$1),$I$1)</f>
        <v>0</v>
      </c>
      <c r="AF211" s="15">
        <f>IFERROR(IF(ISBLANK(Y211),IFERROR(VLOOKUP($F211,Sheet3!$H$2:$O$200,AF$1,FALSE),VLOOKUP($G211,Sheet3!$H$2:$O$200,AF$1,FALSE)),$I$1),$I$1)</f>
        <v>0</v>
      </c>
      <c r="AG211" s="15">
        <f>IFERROR(IF(ISBLANK(Z211),IFERROR(VLOOKUP($F211,Sheet3!$H$2:$O$200,AG$1,FALSE),VLOOKUP($G211,Sheet3!$H$2:$O$200,AG$1,FALSE)),$I$1),$I$1)</f>
        <v>0</v>
      </c>
      <c r="AH211" s="15">
        <f>IFERROR(IF(ISBLANK(AA211),IFERROR(VLOOKUP($F211,Sheet3!$H$2:$O$200,AH$1,FALSE),VLOOKUP($G211,Sheet3!$H$2:$O$200,AH$1,FALSE)),$I$1),$I$1)</f>
        <v>0</v>
      </c>
      <c r="AI211" s="15">
        <f>IFERROR(IF(ISBLANK(AB211),IFERROR(VLOOKUP($F211,Sheet3!$H$2:$O$200,AI$1,FALSE),VLOOKUP($G211,Sheet3!$H$2:$O$200,AI$1,FALSE)),$I$1),$I$1)</f>
        <v>0</v>
      </c>
      <c r="AJ211" s="15">
        <f>IFERROR(IF(ISBLANK(AC211),IFERROR(VLOOKUP($F211,Sheet3!$H$2:$O$200,AJ$1,FALSE),VLOOKUP($G211,Sheet3!$H$2:$O$200,AJ$1,FALSE)),$I$1),$I$1)</f>
        <v>0</v>
      </c>
      <c r="AK211" s="15">
        <f>IFERROR(IF(ISBLANK(AD211),IFERROR(VLOOKUP($F211,Sheet3!$H$2:$O$200,AK$1,FALSE),VLOOKUP($G211,Sheet3!$H$2:$O$200,AK$1,FALSE)),$I$1),$I$1)</f>
        <v>0</v>
      </c>
      <c r="AL211" s="15">
        <f>IFERROR(IF(ISBLANK(AE211),VLOOKUP($G211,Sheet3!$H$2:$O$200,AL$1,FALSE),$I$1),$I$1)</f>
        <v>0</v>
      </c>
      <c r="AM211" s="15">
        <f>IFERROR(IF(ISBLANK(AF211),VLOOKUP($G211,Sheet3!$H$2:$O$200,AM$1,FALSE),$I$1),$I$1)</f>
        <v>0</v>
      </c>
      <c r="AN211" s="15">
        <f>IFERROR(IF(ISBLANK(AG211),VLOOKUP($G211,Sheet3!$H$2:$O$200,AN$1,FALSE),$I$1),$I$1)</f>
        <v>0</v>
      </c>
      <c r="AO211" s="15">
        <f>IFERROR(IF(ISBLANK(AH211),VLOOKUP($G211,Sheet3!$H$2:$O$200,AO$1,FALSE),$I$1),$I$1)</f>
        <v>0</v>
      </c>
      <c r="AP211" s="15">
        <f>IFERROR(IF(ISBLANK(AI211),VLOOKUP($G211,Sheet3!$H$2:$O$200,AP$1,FALSE),$I$1),$I$1)</f>
        <v>0</v>
      </c>
      <c r="AQ211" s="15">
        <f>IFERROR(IF(ISBLANK(AJ211),VLOOKUP($G211,Sheet3!$H$2:$O$200,AQ$1,FALSE),$I$1),$I$1)</f>
        <v>0</v>
      </c>
      <c r="AR211" s="15">
        <f>IFERROR(IF(ISBLANK(AK211),VLOOKUP($G211,Sheet3!$H$2:$O$200,AR$1,FALSE),$I$1),$I$1)</f>
        <v>0</v>
      </c>
      <c r="AS211" s="15">
        <f t="shared" ref="AS211:AY211" si="219">IFERROR(IF(ISBLANK(J211),IF(ISBLANK(Q211),IF(ISBLANK(X211),IF(ISBLANK(AE211),IF(ISBLANK(AL211),$BB$1,AL211),AE211),X211),Q211),J211),$BB$1)</f>
        <v>0</v>
      </c>
      <c r="AT211" s="15">
        <f t="shared" si="219"/>
        <v>0</v>
      </c>
      <c r="AU211" s="15">
        <f t="shared" si="219"/>
        <v>0</v>
      </c>
      <c r="AV211" s="15" t="str">
        <f t="shared" si="219"/>
        <v>apricot brandy</v>
      </c>
      <c r="AW211" s="15">
        <f t="shared" si="219"/>
        <v>0</v>
      </c>
      <c r="AX211" s="15">
        <f t="shared" si="219"/>
        <v>0</v>
      </c>
      <c r="AY211" s="15">
        <f t="shared" si="219"/>
        <v>0</v>
      </c>
      <c r="BA211" s="13">
        <f t="shared" si="1"/>
        <v>35</v>
      </c>
      <c r="BB211" s="15" t="b">
        <f t="shared" si="2"/>
        <v>0</v>
      </c>
    </row>
    <row r="212" spans="1:54" x14ac:dyDescent="0.2">
      <c r="AS212" s="15">
        <f t="shared" ref="AS212:AY212" si="220">IFERROR(IF(ISBLANK(J212),IF(ISBLANK(Q212),IF(ISBLANK(X212),IF(ISBLANK(AE212),IF(ISBLANK(AL212),$BB$1,AL212),AE212),X212),Q212),J212),$BB$1)</f>
        <v>0</v>
      </c>
      <c r="AT212" s="15">
        <f t="shared" si="220"/>
        <v>0</v>
      </c>
      <c r="AU212" s="15">
        <f t="shared" si="220"/>
        <v>0</v>
      </c>
      <c r="AV212" s="15">
        <f t="shared" si="220"/>
        <v>0</v>
      </c>
      <c r="AW212" s="15">
        <f t="shared" si="220"/>
        <v>0</v>
      </c>
      <c r="AX212" s="15">
        <f t="shared" si="220"/>
        <v>0</v>
      </c>
      <c r="AY212" s="15">
        <f t="shared" si="220"/>
        <v>0</v>
      </c>
    </row>
    <row r="213" spans="1:54" x14ac:dyDescent="0.2">
      <c r="AS213" s="15">
        <f t="shared" ref="AS213:AY213" si="221">IFERROR(IF(ISBLANK(J213),IF(ISBLANK(Q213),IF(ISBLANK(X213),IF(ISBLANK(AE213),IF(ISBLANK(AL213),$BB$1,AL213),AE213),X213),Q213),J213),$BB$1)</f>
        <v>0</v>
      </c>
      <c r="AT213" s="15">
        <f t="shared" si="221"/>
        <v>0</v>
      </c>
      <c r="AU213" s="15">
        <f t="shared" si="221"/>
        <v>0</v>
      </c>
      <c r="AV213" s="15">
        <f t="shared" si="221"/>
        <v>0</v>
      </c>
      <c r="AW213" s="15">
        <f t="shared" si="221"/>
        <v>0</v>
      </c>
      <c r="AX213" s="15">
        <f t="shared" si="221"/>
        <v>0</v>
      </c>
      <c r="AY213" s="15">
        <f t="shared" si="221"/>
        <v>0</v>
      </c>
    </row>
    <row r="214" spans="1:54" x14ac:dyDescent="0.2">
      <c r="AS214" s="15">
        <f t="shared" ref="AS214:AY214" si="222">IFERROR(IF(ISBLANK(J214),IF(ISBLANK(Q214),IF(ISBLANK(X214),IF(ISBLANK(AE214),IF(ISBLANK(AL214),$BB$1,AL214),AE214),X214),Q214),J214),$BB$1)</f>
        <v>0</v>
      </c>
      <c r="AT214" s="15">
        <f t="shared" si="222"/>
        <v>0</v>
      </c>
      <c r="AU214" s="15">
        <f t="shared" si="222"/>
        <v>0</v>
      </c>
      <c r="AV214" s="15">
        <f t="shared" si="222"/>
        <v>0</v>
      </c>
      <c r="AW214" s="15">
        <f t="shared" si="222"/>
        <v>0</v>
      </c>
      <c r="AX214" s="15">
        <f t="shared" si="222"/>
        <v>0</v>
      </c>
      <c r="AY214" s="15">
        <f t="shared" si="222"/>
        <v>0</v>
      </c>
    </row>
    <row r="215" spans="1:54" x14ac:dyDescent="0.2">
      <c r="AS215" s="15">
        <f t="shared" ref="AS215:AY215" si="223">IFERROR(IF(ISBLANK(J215),IF(ISBLANK(Q215),IF(ISBLANK(X215),IF(ISBLANK(AE215),IF(ISBLANK(AL215),$BB$1,AL215),AE215),X215),Q215),J215),$BB$1)</f>
        <v>0</v>
      </c>
      <c r="AT215" s="15">
        <f t="shared" si="223"/>
        <v>0</v>
      </c>
      <c r="AU215" s="15">
        <f t="shared" si="223"/>
        <v>0</v>
      </c>
      <c r="AV215" s="15">
        <f t="shared" si="223"/>
        <v>0</v>
      </c>
      <c r="AW215" s="15">
        <f t="shared" si="223"/>
        <v>0</v>
      </c>
      <c r="AX215" s="15">
        <f t="shared" si="223"/>
        <v>0</v>
      </c>
      <c r="AY215" s="15">
        <f t="shared" si="223"/>
        <v>0</v>
      </c>
    </row>
    <row r="216" spans="1:54" x14ac:dyDescent="0.2">
      <c r="AS216" s="15">
        <f t="shared" ref="AS216:AY216" si="224">IFERROR(IF(ISBLANK(J216),IF(ISBLANK(Q216),IF(ISBLANK(X216),IF(ISBLANK(AE216),IF(ISBLANK(AL216),$BB$1,AL216),AE216),X216),Q216),J216),$BB$1)</f>
        <v>0</v>
      </c>
      <c r="AT216" s="15">
        <f t="shared" si="224"/>
        <v>0</v>
      </c>
      <c r="AU216" s="15">
        <f t="shared" si="224"/>
        <v>0</v>
      </c>
      <c r="AV216" s="15">
        <f t="shared" si="224"/>
        <v>0</v>
      </c>
      <c r="AW216" s="15">
        <f t="shared" si="224"/>
        <v>0</v>
      </c>
      <c r="AX216" s="15">
        <f t="shared" si="224"/>
        <v>0</v>
      </c>
      <c r="AY216" s="15">
        <f t="shared" si="224"/>
        <v>0</v>
      </c>
    </row>
    <row r="217" spans="1:54" x14ac:dyDescent="0.2">
      <c r="AS217" s="15">
        <f t="shared" ref="AS217:AY217" si="225">IFERROR(IF(ISBLANK(J217),IF(ISBLANK(Q217),IF(ISBLANK(X217),IF(ISBLANK(AE217),IF(ISBLANK(AL217),$BB$1,AL217),AE217),X217),Q217),J217),$BB$1)</f>
        <v>0</v>
      </c>
      <c r="AT217" s="15">
        <f t="shared" si="225"/>
        <v>0</v>
      </c>
      <c r="AU217" s="15">
        <f t="shared" si="225"/>
        <v>0</v>
      </c>
      <c r="AV217" s="15">
        <f t="shared" si="225"/>
        <v>0</v>
      </c>
      <c r="AW217" s="15">
        <f t="shared" si="225"/>
        <v>0</v>
      </c>
      <c r="AX217" s="15">
        <f t="shared" si="225"/>
        <v>0</v>
      </c>
      <c r="AY217" s="15">
        <f t="shared" si="225"/>
        <v>0</v>
      </c>
    </row>
    <row r="218" spans="1:54" x14ac:dyDescent="0.2">
      <c r="AS218" s="15">
        <f t="shared" ref="AS218:AY218" si="226">IFERROR(IF(ISBLANK(J218),IF(ISBLANK(Q218),IF(ISBLANK(X218),IF(ISBLANK(AE218),IF(ISBLANK(AL218),$BB$1,AL218),AE218),X218),Q218),J218),$BB$1)</f>
        <v>0</v>
      </c>
      <c r="AT218" s="15">
        <f t="shared" si="226"/>
        <v>0</v>
      </c>
      <c r="AU218" s="15">
        <f t="shared" si="226"/>
        <v>0</v>
      </c>
      <c r="AV218" s="15">
        <f t="shared" si="226"/>
        <v>0</v>
      </c>
      <c r="AW218" s="15">
        <f t="shared" si="226"/>
        <v>0</v>
      </c>
      <c r="AX218" s="15">
        <f t="shared" si="226"/>
        <v>0</v>
      </c>
      <c r="AY218" s="15">
        <f t="shared" si="226"/>
        <v>0</v>
      </c>
    </row>
    <row r="219" spans="1:54" x14ac:dyDescent="0.2">
      <c r="AS219" s="15">
        <f t="shared" ref="AS219:AY219" si="227">IFERROR(IF(ISBLANK(J219),IF(ISBLANK(Q219),IF(ISBLANK(X219),IF(ISBLANK(AE219),IF(ISBLANK(AL219),$BB$1,AL219),AE219),X219),Q219),J219),$BB$1)</f>
        <v>0</v>
      </c>
      <c r="AT219" s="15">
        <f t="shared" si="227"/>
        <v>0</v>
      </c>
      <c r="AU219" s="15">
        <f t="shared" si="227"/>
        <v>0</v>
      </c>
      <c r="AV219" s="15">
        <f t="shared" si="227"/>
        <v>0</v>
      </c>
      <c r="AW219" s="15">
        <f t="shared" si="227"/>
        <v>0</v>
      </c>
      <c r="AX219" s="15">
        <f t="shared" si="227"/>
        <v>0</v>
      </c>
      <c r="AY219" s="15">
        <f t="shared" si="227"/>
        <v>0</v>
      </c>
    </row>
    <row r="220" spans="1:54" x14ac:dyDescent="0.2">
      <c r="AS220" s="15">
        <f t="shared" ref="AS220:AY220" si="228">IFERROR(IF(ISBLANK(J220),IF(ISBLANK(Q220),IF(ISBLANK(X220),IF(ISBLANK(AE220),IF(ISBLANK(AL220),$BB$1,AL220),AE220),X220),Q220),J220),$BB$1)</f>
        <v>0</v>
      </c>
      <c r="AT220" s="15">
        <f t="shared" si="228"/>
        <v>0</v>
      </c>
      <c r="AU220" s="15">
        <f t="shared" si="228"/>
        <v>0</v>
      </c>
      <c r="AV220" s="15">
        <f t="shared" si="228"/>
        <v>0</v>
      </c>
      <c r="AW220" s="15">
        <f t="shared" si="228"/>
        <v>0</v>
      </c>
      <c r="AX220" s="15">
        <f t="shared" si="228"/>
        <v>0</v>
      </c>
      <c r="AY220" s="15">
        <f t="shared" si="228"/>
        <v>0</v>
      </c>
    </row>
    <row r="221" spans="1:54" x14ac:dyDescent="0.2">
      <c r="AS221" s="15">
        <f t="shared" ref="AS221:AY221" si="229">IFERROR(IF(ISBLANK(J221),IF(ISBLANK(Q221),IF(ISBLANK(X221),IF(ISBLANK(AE221),IF(ISBLANK(AL221),$BB$1,AL221),AE221),X221),Q221),J221),$BB$1)</f>
        <v>0</v>
      </c>
      <c r="AT221" s="15">
        <f t="shared" si="229"/>
        <v>0</v>
      </c>
      <c r="AU221" s="15">
        <f t="shared" si="229"/>
        <v>0</v>
      </c>
      <c r="AV221" s="15">
        <f t="shared" si="229"/>
        <v>0</v>
      </c>
      <c r="AW221" s="15">
        <f t="shared" si="229"/>
        <v>0</v>
      </c>
      <c r="AX221" s="15">
        <f t="shared" si="229"/>
        <v>0</v>
      </c>
      <c r="AY221" s="15">
        <f t="shared" si="229"/>
        <v>0</v>
      </c>
    </row>
    <row r="222" spans="1:54" x14ac:dyDescent="0.2">
      <c r="AS222" s="15">
        <f t="shared" ref="AS222:AY222" si="230">IFERROR(IF(ISBLANK(J222),IF(ISBLANK(Q222),IF(ISBLANK(X222),IF(ISBLANK(AE222),IF(ISBLANK(AL222),$BB$1,AL222),AE222),X222),Q222),J222),$BB$1)</f>
        <v>0</v>
      </c>
      <c r="AT222" s="15">
        <f t="shared" si="230"/>
        <v>0</v>
      </c>
      <c r="AU222" s="15">
        <f t="shared" si="230"/>
        <v>0</v>
      </c>
      <c r="AV222" s="15">
        <f t="shared" si="230"/>
        <v>0</v>
      </c>
      <c r="AW222" s="15">
        <f t="shared" si="230"/>
        <v>0</v>
      </c>
      <c r="AX222" s="15">
        <f t="shared" si="230"/>
        <v>0</v>
      </c>
      <c r="AY222" s="15">
        <f t="shared" si="230"/>
        <v>0</v>
      </c>
    </row>
    <row r="223" spans="1:54" x14ac:dyDescent="0.2">
      <c r="AS223" s="15">
        <f t="shared" ref="AS223:AY223" si="231">IFERROR(IF(ISBLANK(J223),IF(ISBLANK(Q223),IF(ISBLANK(X223),IF(ISBLANK(AE223),IF(ISBLANK(AL223),$BB$1,AL223),AE223),X223),Q223),J223),$BB$1)</f>
        <v>0</v>
      </c>
      <c r="AT223" s="15">
        <f t="shared" si="231"/>
        <v>0</v>
      </c>
      <c r="AU223" s="15">
        <f t="shared" si="231"/>
        <v>0</v>
      </c>
      <c r="AV223" s="15">
        <f t="shared" si="231"/>
        <v>0</v>
      </c>
      <c r="AW223" s="15">
        <f t="shared" si="231"/>
        <v>0</v>
      </c>
      <c r="AX223" s="15">
        <f t="shared" si="231"/>
        <v>0</v>
      </c>
      <c r="AY223" s="15">
        <f t="shared" si="231"/>
        <v>0</v>
      </c>
    </row>
    <row r="224" spans="1:54" x14ac:dyDescent="0.2">
      <c r="AS224" s="15">
        <f t="shared" ref="AS224:AY224" si="232">IFERROR(IF(ISBLANK(J224),IF(ISBLANK(Q224),IF(ISBLANK(X224),IF(ISBLANK(AE224),IF(ISBLANK(AL224),$BB$1,AL224),AE224),X224),Q224),J224),$BB$1)</f>
        <v>0</v>
      </c>
      <c r="AT224" s="15">
        <f t="shared" si="232"/>
        <v>0</v>
      </c>
      <c r="AU224" s="15">
        <f t="shared" si="232"/>
        <v>0</v>
      </c>
      <c r="AV224" s="15">
        <f t="shared" si="232"/>
        <v>0</v>
      </c>
      <c r="AW224" s="15">
        <f t="shared" si="232"/>
        <v>0</v>
      </c>
      <c r="AX224" s="15">
        <f t="shared" si="232"/>
        <v>0</v>
      </c>
      <c r="AY224" s="15">
        <f t="shared" si="232"/>
        <v>0</v>
      </c>
    </row>
    <row r="225" spans="45:51" x14ac:dyDescent="0.2">
      <c r="AS225" s="15">
        <f t="shared" ref="AS225:AY225" si="233">IFERROR(IF(ISBLANK(J225),IF(ISBLANK(Q225),IF(ISBLANK(X225),IF(ISBLANK(AE225),IF(ISBLANK(AL225),$BB$1,AL225),AE225),X225),Q225),J225),$BB$1)</f>
        <v>0</v>
      </c>
      <c r="AT225" s="15">
        <f t="shared" si="233"/>
        <v>0</v>
      </c>
      <c r="AU225" s="15">
        <f t="shared" si="233"/>
        <v>0</v>
      </c>
      <c r="AV225" s="15">
        <f t="shared" si="233"/>
        <v>0</v>
      </c>
      <c r="AW225" s="15">
        <f t="shared" si="233"/>
        <v>0</v>
      </c>
      <c r="AX225" s="15">
        <f t="shared" si="233"/>
        <v>0</v>
      </c>
      <c r="AY225" s="15">
        <f t="shared" si="233"/>
        <v>0</v>
      </c>
    </row>
    <row r="226" spans="45:51" x14ac:dyDescent="0.2">
      <c r="AS226" s="15">
        <f t="shared" ref="AS226:AY226" si="234">IFERROR(IF(ISBLANK(J226),IF(ISBLANK(Q226),IF(ISBLANK(X226),IF(ISBLANK(AE226),IF(ISBLANK(AL226),$BB$1,AL226),AE226),X226),Q226),J226),$BB$1)</f>
        <v>0</v>
      </c>
      <c r="AT226" s="15">
        <f t="shared" si="234"/>
        <v>0</v>
      </c>
      <c r="AU226" s="15">
        <f t="shared" si="234"/>
        <v>0</v>
      </c>
      <c r="AV226" s="15">
        <f t="shared" si="234"/>
        <v>0</v>
      </c>
      <c r="AW226" s="15">
        <f t="shared" si="234"/>
        <v>0</v>
      </c>
      <c r="AX226" s="15">
        <f t="shared" si="234"/>
        <v>0</v>
      </c>
      <c r="AY226" s="15">
        <f t="shared" si="234"/>
        <v>0</v>
      </c>
    </row>
    <row r="227" spans="45:51" x14ac:dyDescent="0.2">
      <c r="AS227" s="15">
        <f t="shared" ref="AS227:AY227" si="235">IFERROR(IF(ISBLANK(J227),IF(ISBLANK(Q227),IF(ISBLANK(X227),IF(ISBLANK(AE227),IF(ISBLANK(AL227),$BB$1,AL227),AE227),X227),Q227),J227),$BB$1)</f>
        <v>0</v>
      </c>
      <c r="AT227" s="15">
        <f t="shared" si="235"/>
        <v>0</v>
      </c>
      <c r="AU227" s="15">
        <f t="shared" si="235"/>
        <v>0</v>
      </c>
      <c r="AV227" s="15">
        <f t="shared" si="235"/>
        <v>0</v>
      </c>
      <c r="AW227" s="15">
        <f t="shared" si="235"/>
        <v>0</v>
      </c>
      <c r="AX227" s="15">
        <f t="shared" si="235"/>
        <v>0</v>
      </c>
      <c r="AY227" s="15">
        <f t="shared" si="235"/>
        <v>0</v>
      </c>
    </row>
    <row r="228" spans="45:51" x14ac:dyDescent="0.2">
      <c r="AS228" s="15">
        <f t="shared" ref="AS228:AY228" si="236">IFERROR(IF(ISBLANK(J228),IF(ISBLANK(Q228),IF(ISBLANK(X228),IF(ISBLANK(AE228),IF(ISBLANK(AL228),$BB$1,AL228),AE228),X228),Q228),J228),$BB$1)</f>
        <v>0</v>
      </c>
      <c r="AT228" s="15">
        <f t="shared" si="236"/>
        <v>0</v>
      </c>
      <c r="AU228" s="15">
        <f t="shared" si="236"/>
        <v>0</v>
      </c>
      <c r="AV228" s="15">
        <f t="shared" si="236"/>
        <v>0</v>
      </c>
      <c r="AW228" s="15">
        <f t="shared" si="236"/>
        <v>0</v>
      </c>
      <c r="AX228" s="15">
        <f t="shared" si="236"/>
        <v>0</v>
      </c>
      <c r="AY228" s="15">
        <f t="shared" si="236"/>
        <v>0</v>
      </c>
    </row>
    <row r="229" spans="45:51" x14ac:dyDescent="0.2">
      <c r="AS229" s="15">
        <f t="shared" ref="AS229:AY229" si="237">IFERROR(IF(ISBLANK(J229),IF(ISBLANK(Q229),IF(ISBLANK(X229),IF(ISBLANK(AE229),IF(ISBLANK(AL229),$BB$1,AL229),AE229),X229),Q229),J229),$BB$1)</f>
        <v>0</v>
      </c>
      <c r="AT229" s="15">
        <f t="shared" si="237"/>
        <v>0</v>
      </c>
      <c r="AU229" s="15">
        <f t="shared" si="237"/>
        <v>0</v>
      </c>
      <c r="AV229" s="15">
        <f t="shared" si="237"/>
        <v>0</v>
      </c>
      <c r="AW229" s="15">
        <f t="shared" si="237"/>
        <v>0</v>
      </c>
      <c r="AX229" s="15">
        <f t="shared" si="237"/>
        <v>0</v>
      </c>
      <c r="AY229" s="15">
        <f t="shared" si="237"/>
        <v>0</v>
      </c>
    </row>
    <row r="230" spans="45:51" x14ac:dyDescent="0.2">
      <c r="AS230" s="15">
        <f t="shared" ref="AS230:AY230" si="238">IFERROR(IF(ISBLANK(J230),IF(ISBLANK(Q230),IF(ISBLANK(X230),IF(ISBLANK(AE230),IF(ISBLANK(AL230),$BB$1,AL230),AE230),X230),Q230),J230),$BB$1)</f>
        <v>0</v>
      </c>
      <c r="AT230" s="15">
        <f t="shared" si="238"/>
        <v>0</v>
      </c>
      <c r="AU230" s="15">
        <f t="shared" si="238"/>
        <v>0</v>
      </c>
      <c r="AV230" s="15">
        <f t="shared" si="238"/>
        <v>0</v>
      </c>
      <c r="AW230" s="15">
        <f t="shared" si="238"/>
        <v>0</v>
      </c>
      <c r="AX230" s="15">
        <f t="shared" si="238"/>
        <v>0</v>
      </c>
      <c r="AY230" s="15">
        <f t="shared" si="238"/>
        <v>0</v>
      </c>
    </row>
    <row r="231" spans="45:51" x14ac:dyDescent="0.2">
      <c r="AS231" s="15">
        <f t="shared" ref="AS231:AY231" si="239">IFERROR(IF(ISBLANK(J231),IF(ISBLANK(Q231),IF(ISBLANK(X231),IF(ISBLANK(AE231),IF(ISBLANK(AL231),$BB$1,AL231),AE231),X231),Q231),J231),$BB$1)</f>
        <v>0</v>
      </c>
      <c r="AT231" s="15">
        <f t="shared" si="239"/>
        <v>0</v>
      </c>
      <c r="AU231" s="15">
        <f t="shared" si="239"/>
        <v>0</v>
      </c>
      <c r="AV231" s="15">
        <f t="shared" si="239"/>
        <v>0</v>
      </c>
      <c r="AW231" s="15">
        <f t="shared" si="239"/>
        <v>0</v>
      </c>
      <c r="AX231" s="15">
        <f t="shared" si="239"/>
        <v>0</v>
      </c>
      <c r="AY231" s="15">
        <f t="shared" si="239"/>
        <v>0</v>
      </c>
    </row>
    <row r="232" spans="45:51" x14ac:dyDescent="0.2">
      <c r="AS232" s="15">
        <f t="shared" ref="AS232:AY232" si="240">IFERROR(IF(ISBLANK(J232),IF(ISBLANK(Q232),IF(ISBLANK(X232),IF(ISBLANK(AE232),IF(ISBLANK(AL232),$BB$1,AL232),AE232),X232),Q232),J232),$BB$1)</f>
        <v>0</v>
      </c>
      <c r="AT232" s="15">
        <f t="shared" si="240"/>
        <v>0</v>
      </c>
      <c r="AU232" s="15">
        <f t="shared" si="240"/>
        <v>0</v>
      </c>
      <c r="AV232" s="15">
        <f t="shared" si="240"/>
        <v>0</v>
      </c>
      <c r="AW232" s="15">
        <f t="shared" si="240"/>
        <v>0</v>
      </c>
      <c r="AX232" s="15">
        <f t="shared" si="240"/>
        <v>0</v>
      </c>
      <c r="AY232" s="15">
        <f t="shared" si="240"/>
        <v>0</v>
      </c>
    </row>
    <row r="233" spans="45:51" x14ac:dyDescent="0.2">
      <c r="AS233" s="15">
        <f t="shared" ref="AS233:AY233" si="241">IFERROR(IF(ISBLANK(J233),IF(ISBLANK(Q233),IF(ISBLANK(X233),IF(ISBLANK(AE233),IF(ISBLANK(AL233),$BB$1,AL233),AE233),X233),Q233),J233),$BB$1)</f>
        <v>0</v>
      </c>
      <c r="AT233" s="15">
        <f t="shared" si="241"/>
        <v>0</v>
      </c>
      <c r="AU233" s="15">
        <f t="shared" si="241"/>
        <v>0</v>
      </c>
      <c r="AV233" s="15">
        <f t="shared" si="241"/>
        <v>0</v>
      </c>
      <c r="AW233" s="15">
        <f t="shared" si="241"/>
        <v>0</v>
      </c>
      <c r="AX233" s="15">
        <f t="shared" si="241"/>
        <v>0</v>
      </c>
      <c r="AY233" s="15">
        <f t="shared" si="241"/>
        <v>0</v>
      </c>
    </row>
    <row r="234" spans="45:51" x14ac:dyDescent="0.2">
      <c r="AS234" s="15">
        <f t="shared" ref="AS234:AY234" si="242">IFERROR(IF(ISBLANK(J234),IF(ISBLANK(Q234),IF(ISBLANK(X234),IF(ISBLANK(AE234),IF(ISBLANK(AL234),$BB$1,AL234),AE234),X234),Q234),J234),$BB$1)</f>
        <v>0</v>
      </c>
      <c r="AT234" s="15">
        <f t="shared" si="242"/>
        <v>0</v>
      </c>
      <c r="AU234" s="15">
        <f t="shared" si="242"/>
        <v>0</v>
      </c>
      <c r="AV234" s="15">
        <f t="shared" si="242"/>
        <v>0</v>
      </c>
      <c r="AW234" s="15">
        <f t="shared" si="242"/>
        <v>0</v>
      </c>
      <c r="AX234" s="15">
        <f t="shared" si="242"/>
        <v>0</v>
      </c>
      <c r="AY234" s="15">
        <f t="shared" si="242"/>
        <v>0</v>
      </c>
    </row>
    <row r="235" spans="45:51" x14ac:dyDescent="0.2">
      <c r="AS235" s="15">
        <f t="shared" ref="AS235:AY235" si="243">IFERROR(IF(ISBLANK(J235),IF(ISBLANK(Q235),IF(ISBLANK(X235),IF(ISBLANK(AE235),IF(ISBLANK(AL235),$BB$1,AL235),AE235),X235),Q235),J235),$BB$1)</f>
        <v>0</v>
      </c>
      <c r="AT235" s="15">
        <f t="shared" si="243"/>
        <v>0</v>
      </c>
      <c r="AU235" s="15">
        <f t="shared" si="243"/>
        <v>0</v>
      </c>
      <c r="AV235" s="15">
        <f t="shared" si="243"/>
        <v>0</v>
      </c>
      <c r="AW235" s="15">
        <f t="shared" si="243"/>
        <v>0</v>
      </c>
      <c r="AX235" s="15">
        <f t="shared" si="243"/>
        <v>0</v>
      </c>
      <c r="AY235" s="15">
        <f t="shared" si="243"/>
        <v>0</v>
      </c>
    </row>
    <row r="236" spans="45:51" x14ac:dyDescent="0.2">
      <c r="AS236" s="15">
        <f t="shared" ref="AS236:AY236" si="244">IFERROR(IF(ISBLANK(J236),IF(ISBLANK(Q236),IF(ISBLANK(X236),IF(ISBLANK(AE236),IF(ISBLANK(AL236),$BB$1,AL236),AE236),X236),Q236),J236),$BB$1)</f>
        <v>0</v>
      </c>
      <c r="AT236" s="15">
        <f t="shared" si="244"/>
        <v>0</v>
      </c>
      <c r="AU236" s="15">
        <f t="shared" si="244"/>
        <v>0</v>
      </c>
      <c r="AV236" s="15">
        <f t="shared" si="244"/>
        <v>0</v>
      </c>
      <c r="AW236" s="15">
        <f t="shared" si="244"/>
        <v>0</v>
      </c>
      <c r="AX236" s="15">
        <f t="shared" si="244"/>
        <v>0</v>
      </c>
      <c r="AY236" s="15">
        <f t="shared" si="244"/>
        <v>0</v>
      </c>
    </row>
    <row r="237" spans="45:51" x14ac:dyDescent="0.2">
      <c r="AS237" s="15">
        <f t="shared" ref="AS237:AY237" si="245">IFERROR(IF(ISBLANK(J237),IF(ISBLANK(Q237),IF(ISBLANK(X237),IF(ISBLANK(AE237),IF(ISBLANK(AL237),$BB$1,AL237),AE237),X237),Q237),J237),$BB$1)</f>
        <v>0</v>
      </c>
      <c r="AT237" s="15">
        <f t="shared" si="245"/>
        <v>0</v>
      </c>
      <c r="AU237" s="15">
        <f t="shared" si="245"/>
        <v>0</v>
      </c>
      <c r="AV237" s="15">
        <f t="shared" si="245"/>
        <v>0</v>
      </c>
      <c r="AW237" s="15">
        <f t="shared" si="245"/>
        <v>0</v>
      </c>
      <c r="AX237" s="15">
        <f t="shared" si="245"/>
        <v>0</v>
      </c>
      <c r="AY237" s="15">
        <f t="shared" si="245"/>
        <v>0</v>
      </c>
    </row>
    <row r="238" spans="45:51" x14ac:dyDescent="0.2">
      <c r="AS238" s="15">
        <f t="shared" ref="AS238:AY238" si="246">IFERROR(IF(ISBLANK(J238),IF(ISBLANK(Q238),IF(ISBLANK(X238),IF(ISBLANK(AE238),IF(ISBLANK(AL238),$BB$1,AL238),AE238),X238),Q238),J238),$BB$1)</f>
        <v>0</v>
      </c>
      <c r="AT238" s="15">
        <f t="shared" si="246"/>
        <v>0</v>
      </c>
      <c r="AU238" s="15">
        <f t="shared" si="246"/>
        <v>0</v>
      </c>
      <c r="AV238" s="15">
        <f t="shared" si="246"/>
        <v>0</v>
      </c>
      <c r="AW238" s="15">
        <f t="shared" si="246"/>
        <v>0</v>
      </c>
      <c r="AX238" s="15">
        <f t="shared" si="246"/>
        <v>0</v>
      </c>
      <c r="AY238" s="15">
        <f t="shared" si="246"/>
        <v>0</v>
      </c>
    </row>
    <row r="239" spans="45:51" x14ac:dyDescent="0.2">
      <c r="AS239" s="15">
        <f t="shared" ref="AS239:AY239" si="247">IFERROR(IF(ISBLANK(J239),IF(ISBLANK(Q239),IF(ISBLANK(X239),IF(ISBLANK(AE239),IF(ISBLANK(AL239),$BB$1,AL239),AE239),X239),Q239),J239),$BB$1)</f>
        <v>0</v>
      </c>
      <c r="AT239" s="15">
        <f t="shared" si="247"/>
        <v>0</v>
      </c>
      <c r="AU239" s="15">
        <f t="shared" si="247"/>
        <v>0</v>
      </c>
      <c r="AV239" s="15">
        <f t="shared" si="247"/>
        <v>0</v>
      </c>
      <c r="AW239" s="15">
        <f t="shared" si="247"/>
        <v>0</v>
      </c>
      <c r="AX239" s="15">
        <f t="shared" si="247"/>
        <v>0</v>
      </c>
      <c r="AY239" s="15">
        <f t="shared" si="247"/>
        <v>0</v>
      </c>
    </row>
    <row r="240" spans="45:51" x14ac:dyDescent="0.2">
      <c r="AS240" s="15">
        <f t="shared" ref="AS240:AY240" si="248">IFERROR(IF(ISBLANK(J240),IF(ISBLANK(Q240),IF(ISBLANK(X240),IF(ISBLANK(AE240),IF(ISBLANK(AL240),$BB$1,AL240),AE240),X240),Q240),J240),$BB$1)</f>
        <v>0</v>
      </c>
      <c r="AT240" s="15">
        <f t="shared" si="248"/>
        <v>0</v>
      </c>
      <c r="AU240" s="15">
        <f t="shared" si="248"/>
        <v>0</v>
      </c>
      <c r="AV240" s="15">
        <f t="shared" si="248"/>
        <v>0</v>
      </c>
      <c r="AW240" s="15">
        <f t="shared" si="248"/>
        <v>0</v>
      </c>
      <c r="AX240" s="15">
        <f t="shared" si="248"/>
        <v>0</v>
      </c>
      <c r="AY240" s="15">
        <f t="shared" si="248"/>
        <v>0</v>
      </c>
    </row>
    <row r="241" spans="45:51" x14ac:dyDescent="0.2">
      <c r="AS241" s="15">
        <f t="shared" ref="AS241:AY241" si="249">IFERROR(IF(ISBLANK(J241),IF(ISBLANK(Q241),IF(ISBLANK(X241),IF(ISBLANK(AE241),IF(ISBLANK(AL241),$BB$1,AL241),AE241),X241),Q241),J241),$BB$1)</f>
        <v>0</v>
      </c>
      <c r="AT241" s="15">
        <f t="shared" si="249"/>
        <v>0</v>
      </c>
      <c r="AU241" s="15">
        <f t="shared" si="249"/>
        <v>0</v>
      </c>
      <c r="AV241" s="15">
        <f t="shared" si="249"/>
        <v>0</v>
      </c>
      <c r="AW241" s="15">
        <f t="shared" si="249"/>
        <v>0</v>
      </c>
      <c r="AX241" s="15">
        <f t="shared" si="249"/>
        <v>0</v>
      </c>
      <c r="AY241" s="15">
        <f t="shared" si="249"/>
        <v>0</v>
      </c>
    </row>
    <row r="242" spans="45:51" x14ac:dyDescent="0.2">
      <c r="AS242" s="15">
        <f t="shared" ref="AS242:AY242" si="250">IFERROR(IF(ISBLANK(J242),IF(ISBLANK(Q242),IF(ISBLANK(X242),IF(ISBLANK(AE242),IF(ISBLANK(AL242),$BB$1,AL242),AE242),X242),Q242),J242),$BB$1)</f>
        <v>0</v>
      </c>
      <c r="AT242" s="15">
        <f t="shared" si="250"/>
        <v>0</v>
      </c>
      <c r="AU242" s="15">
        <f t="shared" si="250"/>
        <v>0</v>
      </c>
      <c r="AV242" s="15">
        <f t="shared" si="250"/>
        <v>0</v>
      </c>
      <c r="AW242" s="15">
        <f t="shared" si="250"/>
        <v>0</v>
      </c>
      <c r="AX242" s="15">
        <f t="shared" si="250"/>
        <v>0</v>
      </c>
      <c r="AY242" s="15">
        <f t="shared" si="250"/>
        <v>0</v>
      </c>
    </row>
    <row r="243" spans="45:51" x14ac:dyDescent="0.2">
      <c r="AS243" s="15">
        <f t="shared" ref="AS243:AY243" si="251">IFERROR(IF(ISBLANK(J243),IF(ISBLANK(Q243),IF(ISBLANK(X243),IF(ISBLANK(AE243),IF(ISBLANK(AL243),$BB$1,AL243),AE243),X243),Q243),J243),$BB$1)</f>
        <v>0</v>
      </c>
      <c r="AT243" s="15">
        <f t="shared" si="251"/>
        <v>0</v>
      </c>
      <c r="AU243" s="15">
        <f t="shared" si="251"/>
        <v>0</v>
      </c>
      <c r="AV243" s="15">
        <f t="shared" si="251"/>
        <v>0</v>
      </c>
      <c r="AW243" s="15">
        <f t="shared" si="251"/>
        <v>0</v>
      </c>
      <c r="AX243" s="15">
        <f t="shared" si="251"/>
        <v>0</v>
      </c>
      <c r="AY243" s="15">
        <f t="shared" si="251"/>
        <v>0</v>
      </c>
    </row>
    <row r="244" spans="45:51" x14ac:dyDescent="0.2">
      <c r="AS244" s="15">
        <f t="shared" ref="AS244:AY244" si="252">IFERROR(IF(ISBLANK(J244),IF(ISBLANK(Q244),IF(ISBLANK(X244),IF(ISBLANK(AE244),IF(ISBLANK(AL244),$BB$1,AL244),AE244),X244),Q244),J244),$BB$1)</f>
        <v>0</v>
      </c>
      <c r="AT244" s="15">
        <f t="shared" si="252"/>
        <v>0</v>
      </c>
      <c r="AU244" s="15">
        <f t="shared" si="252"/>
        <v>0</v>
      </c>
      <c r="AV244" s="15">
        <f t="shared" si="252"/>
        <v>0</v>
      </c>
      <c r="AW244" s="15">
        <f t="shared" si="252"/>
        <v>0</v>
      </c>
      <c r="AX244" s="15">
        <f t="shared" si="252"/>
        <v>0</v>
      </c>
      <c r="AY244" s="15">
        <f t="shared" si="252"/>
        <v>0</v>
      </c>
    </row>
    <row r="245" spans="45:51" x14ac:dyDescent="0.2">
      <c r="AS245" s="15">
        <f t="shared" ref="AS245:AY245" si="253">IFERROR(IF(ISBLANK(J245),IF(ISBLANK(Q245),IF(ISBLANK(X245),IF(ISBLANK(AE245),IF(ISBLANK(AL245),$BB$1,AL245),AE245),X245),Q245),J245),$BB$1)</f>
        <v>0</v>
      </c>
      <c r="AT245" s="15">
        <f t="shared" si="253"/>
        <v>0</v>
      </c>
      <c r="AU245" s="15">
        <f t="shared" si="253"/>
        <v>0</v>
      </c>
      <c r="AV245" s="15">
        <f t="shared" si="253"/>
        <v>0</v>
      </c>
      <c r="AW245" s="15">
        <f t="shared" si="253"/>
        <v>0</v>
      </c>
      <c r="AX245" s="15">
        <f t="shared" si="253"/>
        <v>0</v>
      </c>
      <c r="AY245" s="15">
        <f t="shared" si="253"/>
        <v>0</v>
      </c>
    </row>
    <row r="246" spans="45:51" x14ac:dyDescent="0.2">
      <c r="AS246" s="15">
        <f t="shared" ref="AS246:AY246" si="254">IFERROR(IF(ISBLANK(J246),IF(ISBLANK(Q246),IF(ISBLANK(X246),IF(ISBLANK(AE246),IF(ISBLANK(AL246),$BB$1,AL246),AE246),X246),Q246),J246),$BB$1)</f>
        <v>0</v>
      </c>
      <c r="AT246" s="15">
        <f t="shared" si="254"/>
        <v>0</v>
      </c>
      <c r="AU246" s="15">
        <f t="shared" si="254"/>
        <v>0</v>
      </c>
      <c r="AV246" s="15">
        <f t="shared" si="254"/>
        <v>0</v>
      </c>
      <c r="AW246" s="15">
        <f t="shared" si="254"/>
        <v>0</v>
      </c>
      <c r="AX246" s="15">
        <f t="shared" si="254"/>
        <v>0</v>
      </c>
      <c r="AY246" s="15">
        <f t="shared" si="254"/>
        <v>0</v>
      </c>
    </row>
    <row r="247" spans="45:51" x14ac:dyDescent="0.2">
      <c r="AS247" s="15">
        <f t="shared" ref="AS247:AY247" si="255">IFERROR(IF(ISBLANK(J247),IF(ISBLANK(Q247),IF(ISBLANK(X247),IF(ISBLANK(AE247),IF(ISBLANK(AL247),$BB$1,AL247),AE247),X247),Q247),J247),$BB$1)</f>
        <v>0</v>
      </c>
      <c r="AT247" s="15">
        <f t="shared" si="255"/>
        <v>0</v>
      </c>
      <c r="AU247" s="15">
        <f t="shared" si="255"/>
        <v>0</v>
      </c>
      <c r="AV247" s="15">
        <f t="shared" si="255"/>
        <v>0</v>
      </c>
      <c r="AW247" s="15">
        <f t="shared" si="255"/>
        <v>0</v>
      </c>
      <c r="AX247" s="15">
        <f t="shared" si="255"/>
        <v>0</v>
      </c>
      <c r="AY247" s="15">
        <f t="shared" si="255"/>
        <v>0</v>
      </c>
    </row>
    <row r="248" spans="45:51" x14ac:dyDescent="0.2">
      <c r="AS248" s="15">
        <f t="shared" ref="AS248:AY248" si="256">IFERROR(IF(ISBLANK(J248),IF(ISBLANK(Q248),IF(ISBLANK(X248),IF(ISBLANK(AE248),IF(ISBLANK(AL248),$BB$1,AL248),AE248),X248),Q248),J248),$BB$1)</f>
        <v>0</v>
      </c>
      <c r="AT248" s="15">
        <f t="shared" si="256"/>
        <v>0</v>
      </c>
      <c r="AU248" s="15">
        <f t="shared" si="256"/>
        <v>0</v>
      </c>
      <c r="AV248" s="15">
        <f t="shared" si="256"/>
        <v>0</v>
      </c>
      <c r="AW248" s="15">
        <f t="shared" si="256"/>
        <v>0</v>
      </c>
      <c r="AX248" s="15">
        <f t="shared" si="256"/>
        <v>0</v>
      </c>
      <c r="AY248" s="15">
        <f t="shared" si="256"/>
        <v>0</v>
      </c>
    </row>
    <row r="249" spans="45:51" x14ac:dyDescent="0.2">
      <c r="AS249" s="15">
        <f t="shared" ref="AS249:AY249" si="257">IFERROR(IF(ISBLANK(J249),IF(ISBLANK(Q249),IF(ISBLANK(X249),IF(ISBLANK(AE249),IF(ISBLANK(AL249),$BB$1,AL249),AE249),X249),Q249),J249),$BB$1)</f>
        <v>0</v>
      </c>
      <c r="AT249" s="15">
        <f t="shared" si="257"/>
        <v>0</v>
      </c>
      <c r="AU249" s="15">
        <f t="shared" si="257"/>
        <v>0</v>
      </c>
      <c r="AV249" s="15">
        <f t="shared" si="257"/>
        <v>0</v>
      </c>
      <c r="AW249" s="15">
        <f t="shared" si="257"/>
        <v>0</v>
      </c>
      <c r="AX249" s="15">
        <f t="shared" si="257"/>
        <v>0</v>
      </c>
      <c r="AY249" s="15">
        <f t="shared" si="257"/>
        <v>0</v>
      </c>
    </row>
    <row r="250" spans="45:51" x14ac:dyDescent="0.2">
      <c r="AS250" s="15">
        <f t="shared" ref="AS250:AY250" si="258">IFERROR(IF(ISBLANK(J250),IF(ISBLANK(Q250),IF(ISBLANK(X250),IF(ISBLANK(AE250),IF(ISBLANK(AL250),$BB$1,AL250),AE250),X250),Q250),J250),$BB$1)</f>
        <v>0</v>
      </c>
      <c r="AT250" s="15">
        <f t="shared" si="258"/>
        <v>0</v>
      </c>
      <c r="AU250" s="15">
        <f t="shared" si="258"/>
        <v>0</v>
      </c>
      <c r="AV250" s="15">
        <f t="shared" si="258"/>
        <v>0</v>
      </c>
      <c r="AW250" s="15">
        <f t="shared" si="258"/>
        <v>0</v>
      </c>
      <c r="AX250" s="15">
        <f t="shared" si="258"/>
        <v>0</v>
      </c>
      <c r="AY250" s="15">
        <f t="shared" si="258"/>
        <v>0</v>
      </c>
    </row>
    <row r="251" spans="45:51" x14ac:dyDescent="0.2">
      <c r="AS251" s="15">
        <f t="shared" ref="AS251:AY251" si="259">IFERROR(IF(ISBLANK(J251),IF(ISBLANK(Q251),IF(ISBLANK(X251),IF(ISBLANK(AE251),IF(ISBLANK(AL251),$BB$1,AL251),AE251),X251),Q251),J251),$BB$1)</f>
        <v>0</v>
      </c>
      <c r="AT251" s="15">
        <f t="shared" si="259"/>
        <v>0</v>
      </c>
      <c r="AU251" s="15">
        <f t="shared" si="259"/>
        <v>0</v>
      </c>
      <c r="AV251" s="15">
        <f t="shared" si="259"/>
        <v>0</v>
      </c>
      <c r="AW251" s="15">
        <f t="shared" si="259"/>
        <v>0</v>
      </c>
      <c r="AX251" s="15">
        <f t="shared" si="259"/>
        <v>0</v>
      </c>
      <c r="AY251" s="15">
        <f t="shared" si="259"/>
        <v>0</v>
      </c>
    </row>
    <row r="252" spans="45:51" x14ac:dyDescent="0.2">
      <c r="AS252" s="15">
        <f t="shared" ref="AS252:AY252" si="260">IFERROR(IF(ISBLANK(J252),IF(ISBLANK(Q252),IF(ISBLANK(X252),IF(ISBLANK(AE252),IF(ISBLANK(AL252),$BB$1,AL252),AE252),X252),Q252),J252),$BB$1)</f>
        <v>0</v>
      </c>
      <c r="AT252" s="15">
        <f t="shared" si="260"/>
        <v>0</v>
      </c>
      <c r="AU252" s="15">
        <f t="shared" si="260"/>
        <v>0</v>
      </c>
      <c r="AV252" s="15">
        <f t="shared" si="260"/>
        <v>0</v>
      </c>
      <c r="AW252" s="15">
        <f t="shared" si="260"/>
        <v>0</v>
      </c>
      <c r="AX252" s="15">
        <f t="shared" si="260"/>
        <v>0</v>
      </c>
      <c r="AY252" s="15">
        <f t="shared" si="260"/>
        <v>0</v>
      </c>
    </row>
    <row r="253" spans="45:51" x14ac:dyDescent="0.2">
      <c r="AS253" s="15">
        <f t="shared" ref="AS253:AY253" si="261">IFERROR(IF(ISBLANK(J253),IF(ISBLANK(Q253),IF(ISBLANK(X253),IF(ISBLANK(AE253),IF(ISBLANK(AL253),$BB$1,AL253),AE253),X253),Q253),J253),$BB$1)</f>
        <v>0</v>
      </c>
      <c r="AT253" s="15">
        <f t="shared" si="261"/>
        <v>0</v>
      </c>
      <c r="AU253" s="15">
        <f t="shared" si="261"/>
        <v>0</v>
      </c>
      <c r="AV253" s="15">
        <f t="shared" si="261"/>
        <v>0</v>
      </c>
      <c r="AW253" s="15">
        <f t="shared" si="261"/>
        <v>0</v>
      </c>
      <c r="AX253" s="15">
        <f t="shared" si="261"/>
        <v>0</v>
      </c>
      <c r="AY253" s="15">
        <f t="shared" si="26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5.1640625" customWidth="1"/>
    <col min="2" max="2" width="14.5" customWidth="1"/>
    <col min="3" max="3" width="17.1640625" customWidth="1"/>
    <col min="4" max="4" width="21.5" customWidth="1"/>
    <col min="5" max="5" width="15.83203125" customWidth="1"/>
    <col min="6" max="6" width="13.5" customWidth="1"/>
    <col min="7" max="8" width="9.5" customWidth="1"/>
    <col min="9" max="10" width="14.5" customWidth="1"/>
    <col min="11" max="11" width="18.5" customWidth="1"/>
  </cols>
  <sheetData>
    <row r="1" spans="1:22" x14ac:dyDescent="0.2">
      <c r="A1" s="16" t="s">
        <v>10</v>
      </c>
      <c r="B1" s="16" t="s">
        <v>11</v>
      </c>
      <c r="C1" s="16" t="s">
        <v>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6" t="s">
        <v>11</v>
      </c>
      <c r="K1" s="16" t="s">
        <v>18</v>
      </c>
      <c r="L1" s="17" t="s">
        <v>19</v>
      </c>
      <c r="M1" s="17" t="s">
        <v>20</v>
      </c>
      <c r="N1" s="17" t="s">
        <v>21</v>
      </c>
      <c r="O1" s="17" t="s">
        <v>22</v>
      </c>
      <c r="P1" s="17" t="s">
        <v>23</v>
      </c>
      <c r="Q1" s="17" t="s">
        <v>24</v>
      </c>
      <c r="R1" s="11" t="s">
        <v>25</v>
      </c>
      <c r="S1" s="11" t="s">
        <v>26</v>
      </c>
      <c r="T1" s="11" t="s">
        <v>27</v>
      </c>
      <c r="U1" s="11" t="s">
        <v>28</v>
      </c>
    </row>
    <row r="2" spans="1:22" x14ac:dyDescent="0.2">
      <c r="A2" s="18">
        <v>1</v>
      </c>
      <c r="B2" s="19" t="s">
        <v>29</v>
      </c>
      <c r="C2" s="19" t="s">
        <v>30</v>
      </c>
      <c r="D2" s="19" t="s">
        <v>31</v>
      </c>
      <c r="E2" s="19"/>
      <c r="F2" s="19" t="s">
        <v>32</v>
      </c>
      <c r="G2" s="19" t="s">
        <v>33</v>
      </c>
      <c r="H2" s="19" t="s">
        <v>33</v>
      </c>
      <c r="I2" s="19">
        <f t="shared" ref="I2:I210" si="0">L2*M2*N2*O2*P2*Q2</f>
        <v>1</v>
      </c>
      <c r="J2" s="19" t="s">
        <v>29</v>
      </c>
      <c r="K2" s="19" t="s">
        <v>34</v>
      </c>
      <c r="L2" s="15" t="b">
        <f>OR(C2='Cocktail Finder'!$B$2,ISBLANK('Cocktail Finder'!$B$2))</f>
        <v>1</v>
      </c>
      <c r="M2" s="15" t="b">
        <f>OR(D2='Cocktail Finder'!$B$7,ISBLANK('Cocktail Finder'!$B$7))</f>
        <v>1</v>
      </c>
      <c r="N2" s="15" t="b">
        <f>OR(E2='Cocktail Finder'!$B$5,ISBLANK('Cocktail Finder'!$B$5))</f>
        <v>1</v>
      </c>
      <c r="O2" s="15" t="b">
        <f>OR(F2='Cocktail Finder'!$B$4,ISBLANK('Cocktail Finder'!$B$4))</f>
        <v>1</v>
      </c>
      <c r="P2" s="15" t="b">
        <f>OR(G2='Cocktail Finder'!$B$3,ISBLANK('Cocktail Finder'!$B$3))</f>
        <v>1</v>
      </c>
      <c r="Q2" s="15" t="b">
        <f>OR(H2='Cocktail Finder'!$B$6,ISBLANK('Cocktail Finder'!$B$6))</f>
        <v>1</v>
      </c>
      <c r="R2" s="15" t="str">
        <f t="shared" ref="R2:T2" si="1">IFERROR(FIND("juice",E2),"")</f>
        <v/>
      </c>
      <c r="S2" s="15" t="str">
        <f t="shared" si="1"/>
        <v/>
      </c>
      <c r="T2" s="15" t="str">
        <f t="shared" si="1"/>
        <v/>
      </c>
      <c r="U2" s="15" t="str">
        <f t="shared" ref="U2:U210" si="2">IF(ISBLANK(E2),IF(ISBLANK(S2),IF(ISBLANK(T2),"",T2),S2),E2)</f>
        <v/>
      </c>
    </row>
    <row r="3" spans="1:22" x14ac:dyDescent="0.2">
      <c r="A3" s="19">
        <f t="shared" ref="A3:A210" si="3">A2+1</f>
        <v>2</v>
      </c>
      <c r="B3" s="19" t="s">
        <v>35</v>
      </c>
      <c r="C3" s="19" t="s">
        <v>30</v>
      </c>
      <c r="D3" s="19" t="s">
        <v>36</v>
      </c>
      <c r="E3" s="19"/>
      <c r="F3" s="19" t="s">
        <v>32</v>
      </c>
      <c r="G3" s="19" t="s">
        <v>33</v>
      </c>
      <c r="H3" s="19" t="s">
        <v>33</v>
      </c>
      <c r="I3" s="19">
        <f t="shared" si="0"/>
        <v>1</v>
      </c>
      <c r="J3" s="19" t="s">
        <v>35</v>
      </c>
      <c r="K3" s="19" t="s">
        <v>34</v>
      </c>
      <c r="L3" s="15" t="b">
        <f>OR(C3='Cocktail Finder'!$B$2,ISBLANK('Cocktail Finder'!$B$2))</f>
        <v>1</v>
      </c>
      <c r="M3" s="15" t="b">
        <f>OR(D3='Cocktail Finder'!$B$7,ISBLANK('Cocktail Finder'!$B$7))</f>
        <v>1</v>
      </c>
      <c r="N3" s="15" t="b">
        <f>OR(E3='Cocktail Finder'!$B$5,ISBLANK('Cocktail Finder'!$B$5))</f>
        <v>1</v>
      </c>
      <c r="O3" s="15" t="b">
        <f>OR(F3='Cocktail Finder'!$B$4,ISBLANK('Cocktail Finder'!$B$4))</f>
        <v>1</v>
      </c>
      <c r="P3" s="15" t="b">
        <f>OR(G3='Cocktail Finder'!$B$3,ISBLANK('Cocktail Finder'!$B$3))</f>
        <v>1</v>
      </c>
      <c r="Q3" s="15" t="b">
        <f>OR(H3='Cocktail Finder'!$B$6,ISBLANK('Cocktail Finder'!$B$6))</f>
        <v>1</v>
      </c>
      <c r="R3" s="15" t="str">
        <f t="shared" ref="R3:T3" si="4">IFERROR(FIND("juice",E3),"")</f>
        <v/>
      </c>
      <c r="S3" s="15" t="str">
        <f t="shared" si="4"/>
        <v/>
      </c>
      <c r="T3" s="15" t="str">
        <f t="shared" si="4"/>
        <v/>
      </c>
      <c r="U3" s="15" t="str">
        <f t="shared" si="2"/>
        <v/>
      </c>
    </row>
    <row r="4" spans="1:22" x14ac:dyDescent="0.2">
      <c r="A4" s="19">
        <f t="shared" si="3"/>
        <v>3</v>
      </c>
      <c r="B4" s="19" t="s">
        <v>37</v>
      </c>
      <c r="C4" s="19" t="s">
        <v>30</v>
      </c>
      <c r="D4" s="19"/>
      <c r="E4" s="19" t="s">
        <v>38</v>
      </c>
      <c r="F4" s="19" t="s">
        <v>33</v>
      </c>
      <c r="G4" s="19" t="s">
        <v>33</v>
      </c>
      <c r="H4" s="19" t="s">
        <v>33</v>
      </c>
      <c r="I4" s="19">
        <f t="shared" si="0"/>
        <v>1</v>
      </c>
      <c r="J4" s="19" t="s">
        <v>37</v>
      </c>
      <c r="K4" s="19" t="s">
        <v>39</v>
      </c>
      <c r="L4" s="15" t="b">
        <f>OR(C4='Cocktail Finder'!$B$2,ISBLANK('Cocktail Finder'!$B$2))</f>
        <v>1</v>
      </c>
      <c r="M4" s="15" t="b">
        <f>OR(D4='Cocktail Finder'!$B$7,ISBLANK('Cocktail Finder'!$B$7))</f>
        <v>1</v>
      </c>
      <c r="N4" s="15" t="b">
        <f>OR(E4='Cocktail Finder'!$B$5,ISBLANK('Cocktail Finder'!$B$5))</f>
        <v>1</v>
      </c>
      <c r="O4" s="15" t="b">
        <f>OR(F4='Cocktail Finder'!$B$4,ISBLANK('Cocktail Finder'!$B$4))</f>
        <v>1</v>
      </c>
      <c r="P4" s="15" t="b">
        <f>OR(G4='Cocktail Finder'!$B$3,ISBLANK('Cocktail Finder'!$B$3))</f>
        <v>1</v>
      </c>
      <c r="Q4" s="15" t="b">
        <f>OR(H4='Cocktail Finder'!$B$6,ISBLANK('Cocktail Finder'!$B$6))</f>
        <v>1</v>
      </c>
      <c r="R4" s="15">
        <f t="shared" ref="R4:T4" si="5">IFERROR(FIND("juice",E4),"")</f>
        <v>7</v>
      </c>
      <c r="S4" s="15" t="str">
        <f t="shared" si="5"/>
        <v/>
      </c>
      <c r="T4" s="15" t="str">
        <f t="shared" si="5"/>
        <v/>
      </c>
      <c r="U4" s="15" t="str">
        <f t="shared" si="2"/>
        <v>lemon juice</v>
      </c>
    </row>
    <row r="5" spans="1:22" ht="25" x14ac:dyDescent="0.2">
      <c r="A5" s="19">
        <f t="shared" si="3"/>
        <v>4</v>
      </c>
      <c r="B5" s="19" t="s">
        <v>40</v>
      </c>
      <c r="C5" s="19" t="s">
        <v>41</v>
      </c>
      <c r="D5" s="19" t="s">
        <v>42</v>
      </c>
      <c r="E5" s="19" t="s">
        <v>43</v>
      </c>
      <c r="F5" s="19" t="s">
        <v>33</v>
      </c>
      <c r="G5" s="19" t="s">
        <v>33</v>
      </c>
      <c r="H5" s="19" t="s">
        <v>33</v>
      </c>
      <c r="I5" s="19">
        <f t="shared" si="0"/>
        <v>1</v>
      </c>
      <c r="J5" s="19" t="s">
        <v>40</v>
      </c>
      <c r="K5" s="19" t="s">
        <v>44</v>
      </c>
      <c r="L5" s="15" t="b">
        <f>OR(C5='Cocktail Finder'!$B$2,ISBLANK('Cocktail Finder'!$B$2))</f>
        <v>1</v>
      </c>
      <c r="M5" s="15" t="b">
        <f>OR(D5='Cocktail Finder'!$B$7,ISBLANK('Cocktail Finder'!$B$7))</f>
        <v>1</v>
      </c>
      <c r="N5" s="15" t="b">
        <f>OR(E5='Cocktail Finder'!$B$5,ISBLANK('Cocktail Finder'!$B$5))</f>
        <v>1</v>
      </c>
      <c r="O5" s="15" t="b">
        <f>OR(F5='Cocktail Finder'!$B$4,ISBLANK('Cocktail Finder'!$B$4))</f>
        <v>1</v>
      </c>
      <c r="P5" s="15" t="b">
        <f>OR(G5='Cocktail Finder'!$B$3,ISBLANK('Cocktail Finder'!$B$3))</f>
        <v>1</v>
      </c>
      <c r="Q5" s="15" t="b">
        <f>OR(H5='Cocktail Finder'!$B$6,ISBLANK('Cocktail Finder'!$B$6))</f>
        <v>1</v>
      </c>
      <c r="R5" s="15">
        <f t="shared" ref="R5:T5" si="6">IFERROR(FIND("juice",E5),"")</f>
        <v>6</v>
      </c>
      <c r="S5" s="15" t="str">
        <f t="shared" si="6"/>
        <v/>
      </c>
      <c r="T5" s="15" t="str">
        <f t="shared" si="6"/>
        <v/>
      </c>
      <c r="U5" s="15" t="str">
        <f t="shared" si="2"/>
        <v>lime juice, cranberry juice</v>
      </c>
      <c r="V5" s="11" t="s">
        <v>45</v>
      </c>
    </row>
    <row r="6" spans="1:22" ht="25" x14ac:dyDescent="0.2">
      <c r="A6" s="19">
        <f t="shared" si="3"/>
        <v>5</v>
      </c>
      <c r="B6" s="19" t="s">
        <v>46</v>
      </c>
      <c r="C6" s="19" t="s">
        <v>47</v>
      </c>
      <c r="D6" s="19" t="s">
        <v>48</v>
      </c>
      <c r="E6" s="19"/>
      <c r="F6" s="19" t="s">
        <v>49</v>
      </c>
      <c r="G6" s="19" t="s">
        <v>33</v>
      </c>
      <c r="H6" s="19" t="s">
        <v>33</v>
      </c>
      <c r="I6" s="19">
        <f t="shared" si="0"/>
        <v>1</v>
      </c>
      <c r="J6" s="19" t="s">
        <v>46</v>
      </c>
      <c r="K6" s="19" t="s">
        <v>50</v>
      </c>
      <c r="L6" s="15" t="b">
        <f>OR(C6='Cocktail Finder'!$B$2,ISBLANK('Cocktail Finder'!$B$2))</f>
        <v>1</v>
      </c>
      <c r="M6" s="15" t="b">
        <f>OR(D6='Cocktail Finder'!$B$7,ISBLANK('Cocktail Finder'!$B$7))</f>
        <v>1</v>
      </c>
      <c r="N6" s="15" t="b">
        <f>OR(E6='Cocktail Finder'!$B$5,ISBLANK('Cocktail Finder'!$B$5))</f>
        <v>1</v>
      </c>
      <c r="O6" s="15" t="b">
        <f>OR(F6='Cocktail Finder'!$B$4,ISBLANK('Cocktail Finder'!$B$4))</f>
        <v>1</v>
      </c>
      <c r="P6" s="15" t="b">
        <f>OR(G6='Cocktail Finder'!$B$3,ISBLANK('Cocktail Finder'!$B$3))</f>
        <v>1</v>
      </c>
      <c r="Q6" s="15" t="b">
        <f>OR(H6='Cocktail Finder'!$B$6,ISBLANK('Cocktail Finder'!$B$6))</f>
        <v>1</v>
      </c>
      <c r="R6" s="15" t="str">
        <f t="shared" ref="R6:T6" si="7">IFERROR(FIND("juice",E6),"")</f>
        <v/>
      </c>
      <c r="S6" s="15" t="str">
        <f t="shared" si="7"/>
        <v/>
      </c>
      <c r="T6" s="15" t="str">
        <f t="shared" si="7"/>
        <v/>
      </c>
      <c r="U6" s="15" t="str">
        <f t="shared" si="2"/>
        <v/>
      </c>
    </row>
    <row r="7" spans="1:22" ht="25" x14ac:dyDescent="0.2">
      <c r="A7" s="19">
        <f t="shared" si="3"/>
        <v>6</v>
      </c>
      <c r="B7" s="19" t="s">
        <v>51</v>
      </c>
      <c r="C7" s="19" t="s">
        <v>47</v>
      </c>
      <c r="D7" s="19" t="s">
        <v>52</v>
      </c>
      <c r="E7" s="19"/>
      <c r="F7" s="19" t="s">
        <v>53</v>
      </c>
      <c r="G7" s="19" t="s">
        <v>33</v>
      </c>
      <c r="H7" s="19" t="s">
        <v>33</v>
      </c>
      <c r="I7" s="19">
        <f t="shared" si="0"/>
        <v>1</v>
      </c>
      <c r="J7" s="19" t="s">
        <v>51</v>
      </c>
      <c r="K7" s="19" t="s">
        <v>50</v>
      </c>
      <c r="L7" s="15" t="b">
        <f>OR(C7='Cocktail Finder'!$B$2,ISBLANK('Cocktail Finder'!$B$2))</f>
        <v>1</v>
      </c>
      <c r="M7" s="15" t="b">
        <f>OR(D7='Cocktail Finder'!$B$7,ISBLANK('Cocktail Finder'!$B$7))</f>
        <v>1</v>
      </c>
      <c r="N7" s="15" t="b">
        <f>OR(E7='Cocktail Finder'!$B$5,ISBLANK('Cocktail Finder'!$B$5))</f>
        <v>1</v>
      </c>
      <c r="O7" s="15" t="b">
        <f>OR(F7='Cocktail Finder'!$B$4,ISBLANK('Cocktail Finder'!$B$4))</f>
        <v>1</v>
      </c>
      <c r="P7" s="15" t="b">
        <f>OR(G7='Cocktail Finder'!$B$3,ISBLANK('Cocktail Finder'!$B$3))</f>
        <v>1</v>
      </c>
      <c r="Q7" s="15" t="b">
        <f>OR(H7='Cocktail Finder'!$B$6,ISBLANK('Cocktail Finder'!$B$6))</f>
        <v>1</v>
      </c>
      <c r="R7" s="15" t="str">
        <f t="shared" ref="R7:T7" si="8">IFERROR(FIND("juice",E7),"")</f>
        <v/>
      </c>
      <c r="S7" s="15" t="str">
        <f t="shared" si="8"/>
        <v/>
      </c>
      <c r="T7" s="15" t="str">
        <f t="shared" si="8"/>
        <v/>
      </c>
      <c r="U7" s="15" t="str">
        <f t="shared" si="2"/>
        <v/>
      </c>
    </row>
    <row r="8" spans="1:22" x14ac:dyDescent="0.2">
      <c r="A8" s="19">
        <f t="shared" si="3"/>
        <v>7</v>
      </c>
      <c r="B8" s="19" t="s">
        <v>54</v>
      </c>
      <c r="C8" s="19" t="s">
        <v>47</v>
      </c>
      <c r="D8" s="19"/>
      <c r="E8" s="19" t="s">
        <v>38</v>
      </c>
      <c r="F8" s="19" t="s">
        <v>55</v>
      </c>
      <c r="G8" s="19" t="s">
        <v>33</v>
      </c>
      <c r="H8" s="19" t="s">
        <v>33</v>
      </c>
      <c r="I8" s="19">
        <f t="shared" si="0"/>
        <v>1</v>
      </c>
      <c r="J8" s="19" t="s">
        <v>54</v>
      </c>
      <c r="K8" s="19" t="s">
        <v>39</v>
      </c>
      <c r="L8" s="15" t="b">
        <f>OR(C8='Cocktail Finder'!$B$2,ISBLANK('Cocktail Finder'!$B$2))</f>
        <v>1</v>
      </c>
      <c r="M8" s="15" t="b">
        <f>OR(D8='Cocktail Finder'!$B$7,ISBLANK('Cocktail Finder'!$B$7))</f>
        <v>1</v>
      </c>
      <c r="N8" s="15" t="b">
        <f>OR(E8='Cocktail Finder'!$B$5,ISBLANK('Cocktail Finder'!$B$5))</f>
        <v>1</v>
      </c>
      <c r="O8" s="15" t="b">
        <f>OR(F8='Cocktail Finder'!$B$4,ISBLANK('Cocktail Finder'!$B$4))</f>
        <v>1</v>
      </c>
      <c r="P8" s="15" t="b">
        <f>OR(G8='Cocktail Finder'!$B$3,ISBLANK('Cocktail Finder'!$B$3))</f>
        <v>1</v>
      </c>
      <c r="Q8" s="15" t="b">
        <f>OR(H8='Cocktail Finder'!$B$6,ISBLANK('Cocktail Finder'!$B$6))</f>
        <v>1</v>
      </c>
      <c r="R8" s="15">
        <f t="shared" ref="R8:T8" si="9">IFERROR(FIND("juice",E8),"")</f>
        <v>7</v>
      </c>
      <c r="S8" s="15" t="str">
        <f t="shared" si="9"/>
        <v/>
      </c>
      <c r="T8" s="15" t="str">
        <f t="shared" si="9"/>
        <v/>
      </c>
      <c r="U8" s="15" t="str">
        <f t="shared" si="2"/>
        <v>lemon juice</v>
      </c>
    </row>
    <row r="9" spans="1:22" x14ac:dyDescent="0.2">
      <c r="A9" s="19">
        <f t="shared" si="3"/>
        <v>8</v>
      </c>
      <c r="B9" s="19" t="s">
        <v>56</v>
      </c>
      <c r="C9" s="19" t="s">
        <v>47</v>
      </c>
      <c r="D9" s="19" t="s">
        <v>57</v>
      </c>
      <c r="E9" s="19" t="s">
        <v>38</v>
      </c>
      <c r="F9" s="19" t="s">
        <v>33</v>
      </c>
      <c r="G9" s="19" t="s">
        <v>33</v>
      </c>
      <c r="H9" s="19" t="s">
        <v>33</v>
      </c>
      <c r="I9" s="19">
        <f t="shared" si="0"/>
        <v>1</v>
      </c>
      <c r="J9" s="19" t="s">
        <v>56</v>
      </c>
      <c r="K9" s="19" t="s">
        <v>58</v>
      </c>
      <c r="L9" s="15" t="b">
        <f>OR(C9='Cocktail Finder'!$B$2,ISBLANK('Cocktail Finder'!$B$2))</f>
        <v>1</v>
      </c>
      <c r="M9" s="15" t="b">
        <f>OR(D9='Cocktail Finder'!$B$7,ISBLANK('Cocktail Finder'!$B$7))</f>
        <v>1</v>
      </c>
      <c r="N9" s="15" t="b">
        <f>OR(E9='Cocktail Finder'!$B$5,ISBLANK('Cocktail Finder'!$B$5))</f>
        <v>1</v>
      </c>
      <c r="O9" s="15" t="b">
        <f>OR(F9='Cocktail Finder'!$B$4,ISBLANK('Cocktail Finder'!$B$4))</f>
        <v>1</v>
      </c>
      <c r="P9" s="15" t="b">
        <f>OR(G9='Cocktail Finder'!$B$3,ISBLANK('Cocktail Finder'!$B$3))</f>
        <v>1</v>
      </c>
      <c r="Q9" s="15" t="b">
        <f>OR(H9='Cocktail Finder'!$B$6,ISBLANK('Cocktail Finder'!$B$6))</f>
        <v>1</v>
      </c>
      <c r="R9" s="15">
        <f t="shared" ref="R9:T9" si="10">IFERROR(FIND("juice",E9),"")</f>
        <v>7</v>
      </c>
      <c r="S9" s="15" t="str">
        <f t="shared" si="10"/>
        <v/>
      </c>
      <c r="T9" s="15" t="str">
        <f t="shared" si="10"/>
        <v/>
      </c>
      <c r="U9" s="15" t="str">
        <f t="shared" si="2"/>
        <v>lemon juice</v>
      </c>
    </row>
    <row r="10" spans="1:22" x14ac:dyDescent="0.2">
      <c r="A10" s="19">
        <f t="shared" si="3"/>
        <v>9</v>
      </c>
      <c r="B10" s="19" t="s">
        <v>59</v>
      </c>
      <c r="C10" s="19" t="s">
        <v>60</v>
      </c>
      <c r="D10" s="19"/>
      <c r="E10" s="19" t="s">
        <v>38</v>
      </c>
      <c r="F10" s="19" t="s">
        <v>33</v>
      </c>
      <c r="G10" s="19" t="s">
        <v>33</v>
      </c>
      <c r="H10" s="19" t="s">
        <v>33</v>
      </c>
      <c r="I10" s="19">
        <f t="shared" si="0"/>
        <v>1</v>
      </c>
      <c r="J10" s="19" t="s">
        <v>59</v>
      </c>
      <c r="K10" s="19" t="s">
        <v>39</v>
      </c>
      <c r="L10" s="15" t="b">
        <f>OR(C10='Cocktail Finder'!$B$2,ISBLANK('Cocktail Finder'!$B$2))</f>
        <v>1</v>
      </c>
      <c r="M10" s="15" t="b">
        <f>OR(D10='Cocktail Finder'!$B$7,ISBLANK('Cocktail Finder'!$B$7))</f>
        <v>1</v>
      </c>
      <c r="N10" s="15" t="b">
        <f>OR(E10='Cocktail Finder'!$B$5,ISBLANK('Cocktail Finder'!$B$5))</f>
        <v>1</v>
      </c>
      <c r="O10" s="15" t="b">
        <f>OR(F10='Cocktail Finder'!$B$4,ISBLANK('Cocktail Finder'!$B$4))</f>
        <v>1</v>
      </c>
      <c r="P10" s="15" t="b">
        <f>OR(G10='Cocktail Finder'!$B$3,ISBLANK('Cocktail Finder'!$B$3))</f>
        <v>1</v>
      </c>
      <c r="Q10" s="15" t="b">
        <f>OR(H10='Cocktail Finder'!$B$6,ISBLANK('Cocktail Finder'!$B$6))</f>
        <v>1</v>
      </c>
      <c r="R10" s="15">
        <f t="shared" ref="R10:T10" si="11">IFERROR(FIND("juice",E10),"")</f>
        <v>7</v>
      </c>
      <c r="S10" s="15" t="str">
        <f t="shared" si="11"/>
        <v/>
      </c>
      <c r="T10" s="15" t="str">
        <f t="shared" si="11"/>
        <v/>
      </c>
      <c r="U10" s="15" t="str">
        <f t="shared" si="2"/>
        <v>lemon juice</v>
      </c>
    </row>
    <row r="11" spans="1:22" x14ac:dyDescent="0.2">
      <c r="A11" s="19">
        <f t="shared" si="3"/>
        <v>10</v>
      </c>
      <c r="B11" s="19" t="s">
        <v>61</v>
      </c>
      <c r="C11" s="19" t="s">
        <v>60</v>
      </c>
      <c r="D11" s="19"/>
      <c r="E11" s="19" t="s">
        <v>38</v>
      </c>
      <c r="F11" s="19" t="s">
        <v>62</v>
      </c>
      <c r="G11" s="19" t="s">
        <v>33</v>
      </c>
      <c r="H11" s="19" t="s">
        <v>33</v>
      </c>
      <c r="I11" s="19">
        <f t="shared" si="0"/>
        <v>1</v>
      </c>
      <c r="J11" s="19" t="s">
        <v>61</v>
      </c>
      <c r="K11" s="19" t="s">
        <v>63</v>
      </c>
      <c r="L11" s="15" t="b">
        <f>OR(C11='Cocktail Finder'!$B$2,ISBLANK('Cocktail Finder'!$B$2))</f>
        <v>1</v>
      </c>
      <c r="M11" s="15" t="b">
        <f>OR(D11='Cocktail Finder'!$B$7,ISBLANK('Cocktail Finder'!$B$7))</f>
        <v>1</v>
      </c>
      <c r="N11" s="15" t="b">
        <f>OR(E11='Cocktail Finder'!$B$5,ISBLANK('Cocktail Finder'!$B$5))</f>
        <v>1</v>
      </c>
      <c r="O11" s="15" t="b">
        <f>OR(F11='Cocktail Finder'!$B$4,ISBLANK('Cocktail Finder'!$B$4))</f>
        <v>1</v>
      </c>
      <c r="P11" s="15" t="b">
        <f>OR(G11='Cocktail Finder'!$B$3,ISBLANK('Cocktail Finder'!$B$3))</f>
        <v>1</v>
      </c>
      <c r="Q11" s="15" t="b">
        <f>OR(H11='Cocktail Finder'!$B$6,ISBLANK('Cocktail Finder'!$B$6))</f>
        <v>1</v>
      </c>
      <c r="R11" s="15">
        <f t="shared" ref="R11:T11" si="12">IFERROR(FIND("juice",E11),"")</f>
        <v>7</v>
      </c>
      <c r="S11" s="15" t="str">
        <f t="shared" si="12"/>
        <v/>
      </c>
      <c r="T11" s="15" t="str">
        <f t="shared" si="12"/>
        <v/>
      </c>
      <c r="U11" s="15" t="str">
        <f t="shared" si="2"/>
        <v>lemon juice</v>
      </c>
    </row>
    <row r="12" spans="1:22" ht="25" x14ac:dyDescent="0.2">
      <c r="A12" s="19">
        <f t="shared" si="3"/>
        <v>11</v>
      </c>
      <c r="B12" s="20" t="s">
        <v>64</v>
      </c>
      <c r="C12" s="20" t="s">
        <v>65</v>
      </c>
      <c r="D12" s="20" t="s">
        <v>48</v>
      </c>
      <c r="E12" s="20"/>
      <c r="F12" s="20" t="s">
        <v>66</v>
      </c>
      <c r="G12" s="20" t="s">
        <v>33</v>
      </c>
      <c r="H12" s="20" t="s">
        <v>33</v>
      </c>
      <c r="I12" s="19">
        <f t="shared" si="0"/>
        <v>1</v>
      </c>
      <c r="J12" s="20" t="s">
        <v>64</v>
      </c>
      <c r="K12" s="20" t="s">
        <v>50</v>
      </c>
      <c r="L12" s="15" t="b">
        <f>OR(C12='Cocktail Finder'!$B$2,ISBLANK('Cocktail Finder'!$B$2))</f>
        <v>1</v>
      </c>
      <c r="M12" s="15" t="b">
        <f>OR(D12='Cocktail Finder'!$B$7,ISBLANK('Cocktail Finder'!$B$7))</f>
        <v>1</v>
      </c>
      <c r="N12" s="15" t="b">
        <f>OR(E12='Cocktail Finder'!$B$5,ISBLANK('Cocktail Finder'!$B$5))</f>
        <v>1</v>
      </c>
      <c r="O12" s="15" t="b">
        <f>OR(F12='Cocktail Finder'!$B$4,ISBLANK('Cocktail Finder'!$B$4))</f>
        <v>1</v>
      </c>
      <c r="P12" s="15" t="b">
        <f>OR(G12='Cocktail Finder'!$B$3,ISBLANK('Cocktail Finder'!$B$3))</f>
        <v>1</v>
      </c>
      <c r="Q12" s="15" t="b">
        <f>OR(H12='Cocktail Finder'!$B$6,ISBLANK('Cocktail Finder'!$B$6))</f>
        <v>1</v>
      </c>
      <c r="R12" s="15" t="str">
        <f t="shared" ref="R12:T12" si="13">IFERROR(FIND("juice",E12),"")</f>
        <v/>
      </c>
      <c r="S12" s="15" t="str">
        <f t="shared" si="13"/>
        <v/>
      </c>
      <c r="T12" s="15" t="str">
        <f t="shared" si="13"/>
        <v/>
      </c>
      <c r="U12" s="15" t="str">
        <f t="shared" si="2"/>
        <v/>
      </c>
    </row>
    <row r="13" spans="1:22" ht="25" x14ac:dyDescent="0.2">
      <c r="A13" s="19">
        <f t="shared" si="3"/>
        <v>12</v>
      </c>
      <c r="B13" s="19" t="s">
        <v>67</v>
      </c>
      <c r="C13" s="19" t="s">
        <v>65</v>
      </c>
      <c r="D13" s="19" t="s">
        <v>48</v>
      </c>
      <c r="E13" s="19"/>
      <c r="F13" s="19" t="s">
        <v>68</v>
      </c>
      <c r="G13" s="19" t="s">
        <v>66</v>
      </c>
      <c r="H13" s="19" t="s">
        <v>33</v>
      </c>
      <c r="I13" s="19">
        <f t="shared" si="0"/>
        <v>1</v>
      </c>
      <c r="J13" s="19" t="s">
        <v>67</v>
      </c>
      <c r="K13" s="19" t="s">
        <v>50</v>
      </c>
      <c r="L13" s="15" t="b">
        <f>OR(C13='Cocktail Finder'!$B$2,ISBLANK('Cocktail Finder'!$B$2))</f>
        <v>1</v>
      </c>
      <c r="M13" s="15" t="b">
        <f>OR(D13='Cocktail Finder'!$B$7,ISBLANK('Cocktail Finder'!$B$7))</f>
        <v>1</v>
      </c>
      <c r="N13" s="15" t="b">
        <f>OR(E13='Cocktail Finder'!$B$5,ISBLANK('Cocktail Finder'!$B$5))</f>
        <v>1</v>
      </c>
      <c r="O13" s="15" t="b">
        <f>OR(F13='Cocktail Finder'!$B$4,ISBLANK('Cocktail Finder'!$B$4))</f>
        <v>1</v>
      </c>
      <c r="P13" s="15" t="b">
        <f>OR(G13='Cocktail Finder'!$B$3,ISBLANK('Cocktail Finder'!$B$3))</f>
        <v>1</v>
      </c>
      <c r="Q13" s="15" t="b">
        <f>OR(H13='Cocktail Finder'!$B$6,ISBLANK('Cocktail Finder'!$B$6))</f>
        <v>1</v>
      </c>
      <c r="R13" s="15" t="str">
        <f t="shared" ref="R13:T13" si="14">IFERROR(FIND("juice",E13),"")</f>
        <v/>
      </c>
      <c r="S13" s="15" t="str">
        <f t="shared" si="14"/>
        <v/>
      </c>
      <c r="T13" s="15" t="str">
        <f t="shared" si="14"/>
        <v/>
      </c>
      <c r="U13" s="15" t="str">
        <f t="shared" si="2"/>
        <v/>
      </c>
    </row>
    <row r="14" spans="1:22" ht="25" x14ac:dyDescent="0.2">
      <c r="A14" s="19">
        <f t="shared" si="3"/>
        <v>13</v>
      </c>
      <c r="B14" s="19" t="s">
        <v>69</v>
      </c>
      <c r="C14" s="19" t="s">
        <v>65</v>
      </c>
      <c r="D14" s="19" t="s">
        <v>48</v>
      </c>
      <c r="E14" s="19"/>
      <c r="F14" s="19" t="s">
        <v>70</v>
      </c>
      <c r="G14" s="19" t="s">
        <v>71</v>
      </c>
      <c r="H14" s="19" t="s">
        <v>33</v>
      </c>
      <c r="I14" s="19">
        <f t="shared" si="0"/>
        <v>1</v>
      </c>
      <c r="J14" s="19" t="s">
        <v>69</v>
      </c>
      <c r="K14" s="19" t="s">
        <v>50</v>
      </c>
      <c r="L14" s="15" t="b">
        <f>OR(C14='Cocktail Finder'!$B$2,ISBLANK('Cocktail Finder'!$B$2))</f>
        <v>1</v>
      </c>
      <c r="M14" s="15" t="b">
        <f>OR(D14='Cocktail Finder'!$B$7,ISBLANK('Cocktail Finder'!$B$7))</f>
        <v>1</v>
      </c>
      <c r="N14" s="15" t="b">
        <f>OR(E14='Cocktail Finder'!$B$5,ISBLANK('Cocktail Finder'!$B$5))</f>
        <v>1</v>
      </c>
      <c r="O14" s="15" t="b">
        <f>OR(F14='Cocktail Finder'!$B$4,ISBLANK('Cocktail Finder'!$B$4))</f>
        <v>1</v>
      </c>
      <c r="P14" s="15" t="b">
        <f>OR(G14='Cocktail Finder'!$B$3,ISBLANK('Cocktail Finder'!$B$3))</f>
        <v>1</v>
      </c>
      <c r="Q14" s="15" t="b">
        <f>OR(H14='Cocktail Finder'!$B$6,ISBLANK('Cocktail Finder'!$B$6))</f>
        <v>1</v>
      </c>
      <c r="R14" s="15" t="str">
        <f t="shared" ref="R14:T14" si="15">IFERROR(FIND("juice",E14),"")</f>
        <v/>
      </c>
      <c r="S14" s="15" t="str">
        <f t="shared" si="15"/>
        <v/>
      </c>
      <c r="T14" s="15" t="str">
        <f t="shared" si="15"/>
        <v/>
      </c>
      <c r="U14" s="15" t="str">
        <f t="shared" si="2"/>
        <v/>
      </c>
    </row>
    <row r="15" spans="1:22" ht="25" x14ac:dyDescent="0.2">
      <c r="A15" s="19">
        <f t="shared" si="3"/>
        <v>14</v>
      </c>
      <c r="B15" s="19" t="s">
        <v>72</v>
      </c>
      <c r="C15" s="19" t="s">
        <v>65</v>
      </c>
      <c r="D15" s="19" t="s">
        <v>48</v>
      </c>
      <c r="E15" s="19"/>
      <c r="F15" s="19" t="s">
        <v>73</v>
      </c>
      <c r="G15" s="19" t="s">
        <v>74</v>
      </c>
      <c r="H15" s="19" t="s">
        <v>33</v>
      </c>
      <c r="I15" s="19">
        <f t="shared" si="0"/>
        <v>1</v>
      </c>
      <c r="J15" s="19" t="s">
        <v>72</v>
      </c>
      <c r="K15" s="19" t="s">
        <v>50</v>
      </c>
      <c r="L15" s="15" t="b">
        <f>OR(C15='Cocktail Finder'!$B$2,ISBLANK('Cocktail Finder'!$B$2))</f>
        <v>1</v>
      </c>
      <c r="M15" s="15" t="b">
        <f>OR(D15='Cocktail Finder'!$B$7,ISBLANK('Cocktail Finder'!$B$7))</f>
        <v>1</v>
      </c>
      <c r="N15" s="15" t="b">
        <f>OR(E15='Cocktail Finder'!$B$5,ISBLANK('Cocktail Finder'!$B$5))</f>
        <v>1</v>
      </c>
      <c r="O15" s="15" t="b">
        <f>OR(F15='Cocktail Finder'!$B$4,ISBLANK('Cocktail Finder'!$B$4))</f>
        <v>1</v>
      </c>
      <c r="P15" s="15" t="b">
        <f>OR(G15='Cocktail Finder'!$B$3,ISBLANK('Cocktail Finder'!$B$3))</f>
        <v>1</v>
      </c>
      <c r="Q15" s="15" t="b">
        <f>OR(H15='Cocktail Finder'!$B$6,ISBLANK('Cocktail Finder'!$B$6))</f>
        <v>1</v>
      </c>
      <c r="R15" s="15" t="str">
        <f t="shared" ref="R15:T15" si="16">IFERROR(FIND("juice",E15),"")</f>
        <v/>
      </c>
      <c r="S15" s="15" t="str">
        <f t="shared" si="16"/>
        <v/>
      </c>
      <c r="T15" s="15" t="str">
        <f t="shared" si="16"/>
        <v/>
      </c>
      <c r="U15" s="15" t="str">
        <f t="shared" si="2"/>
        <v/>
      </c>
    </row>
    <row r="16" spans="1:22" ht="25" x14ac:dyDescent="0.2">
      <c r="A16" s="19">
        <f t="shared" si="3"/>
        <v>15</v>
      </c>
      <c r="B16" s="19" t="s">
        <v>75</v>
      </c>
      <c r="C16" s="19" t="s">
        <v>65</v>
      </c>
      <c r="D16" s="19" t="s">
        <v>48</v>
      </c>
      <c r="E16" s="19"/>
      <c r="F16" s="19" t="s">
        <v>76</v>
      </c>
      <c r="G16" s="19" t="s">
        <v>66</v>
      </c>
      <c r="H16" s="19" t="s">
        <v>33</v>
      </c>
      <c r="I16" s="19">
        <f t="shared" si="0"/>
        <v>1</v>
      </c>
      <c r="J16" s="19" t="s">
        <v>75</v>
      </c>
      <c r="K16" s="19" t="s">
        <v>50</v>
      </c>
      <c r="L16" s="15" t="b">
        <f>OR(C16='Cocktail Finder'!$B$2,ISBLANK('Cocktail Finder'!$B$2))</f>
        <v>1</v>
      </c>
      <c r="M16" s="15" t="b">
        <f>OR(D16='Cocktail Finder'!$B$7,ISBLANK('Cocktail Finder'!$B$7))</f>
        <v>1</v>
      </c>
      <c r="N16" s="15" t="b">
        <f>OR(E16='Cocktail Finder'!$B$5,ISBLANK('Cocktail Finder'!$B$5))</f>
        <v>1</v>
      </c>
      <c r="O16" s="15" t="b">
        <f>OR(F16='Cocktail Finder'!$B$4,ISBLANK('Cocktail Finder'!$B$4))</f>
        <v>1</v>
      </c>
      <c r="P16" s="15" t="b">
        <f>OR(G16='Cocktail Finder'!$B$3,ISBLANK('Cocktail Finder'!$B$3))</f>
        <v>1</v>
      </c>
      <c r="Q16" s="15" t="b">
        <f>OR(H16='Cocktail Finder'!$B$6,ISBLANK('Cocktail Finder'!$B$6))</f>
        <v>1</v>
      </c>
      <c r="R16" s="15" t="str">
        <f t="shared" ref="R16:T16" si="17">IFERROR(FIND("juice",E16),"")</f>
        <v/>
      </c>
      <c r="S16" s="15" t="str">
        <f t="shared" si="17"/>
        <v/>
      </c>
      <c r="T16" s="15" t="str">
        <f t="shared" si="17"/>
        <v/>
      </c>
      <c r="U16" s="15" t="str">
        <f t="shared" si="2"/>
        <v/>
      </c>
    </row>
    <row r="17" spans="1:21" ht="25" x14ac:dyDescent="0.2">
      <c r="A17" s="19">
        <f t="shared" si="3"/>
        <v>16</v>
      </c>
      <c r="B17" s="19" t="s">
        <v>77</v>
      </c>
      <c r="C17" s="19" t="s">
        <v>65</v>
      </c>
      <c r="D17" s="19" t="s">
        <v>52</v>
      </c>
      <c r="E17" s="19" t="s">
        <v>78</v>
      </c>
      <c r="F17" s="19" t="s">
        <v>79</v>
      </c>
      <c r="G17" s="19" t="s">
        <v>66</v>
      </c>
      <c r="H17" s="19" t="s">
        <v>33</v>
      </c>
      <c r="I17" s="19">
        <f t="shared" si="0"/>
        <v>1</v>
      </c>
      <c r="J17" s="19" t="s">
        <v>77</v>
      </c>
      <c r="K17" s="19" t="s">
        <v>50</v>
      </c>
      <c r="L17" s="15" t="b">
        <f>OR(C17='Cocktail Finder'!$B$2,ISBLANK('Cocktail Finder'!$B$2))</f>
        <v>1</v>
      </c>
      <c r="M17" s="15" t="b">
        <f>OR(D17='Cocktail Finder'!$B$7,ISBLANK('Cocktail Finder'!$B$7))</f>
        <v>1</v>
      </c>
      <c r="N17" s="15" t="b">
        <f>OR(E17='Cocktail Finder'!$B$5,ISBLANK('Cocktail Finder'!$B$5))</f>
        <v>1</v>
      </c>
      <c r="O17" s="15" t="b">
        <f>OR(F17='Cocktail Finder'!$B$4,ISBLANK('Cocktail Finder'!$B$4))</f>
        <v>1</v>
      </c>
      <c r="P17" s="15" t="b">
        <f>OR(G17='Cocktail Finder'!$B$3,ISBLANK('Cocktail Finder'!$B$3))</f>
        <v>1</v>
      </c>
      <c r="Q17" s="15" t="b">
        <f>OR(H17='Cocktail Finder'!$B$6,ISBLANK('Cocktail Finder'!$B$6))</f>
        <v>1</v>
      </c>
      <c r="R17" s="15">
        <f t="shared" ref="R17:T17" si="18">IFERROR(FIND("juice",E17),"")</f>
        <v>11</v>
      </c>
      <c r="S17" s="15">
        <f t="shared" si="18"/>
        <v>10</v>
      </c>
      <c r="T17" s="15" t="str">
        <f t="shared" si="18"/>
        <v/>
      </c>
      <c r="U17" s="15" t="str">
        <f t="shared" si="2"/>
        <v>pineapple juice</v>
      </c>
    </row>
    <row r="18" spans="1:21" x14ac:dyDescent="0.2">
      <c r="A18" s="19">
        <f t="shared" si="3"/>
        <v>17</v>
      </c>
      <c r="B18" s="19" t="s">
        <v>80</v>
      </c>
      <c r="C18" s="19" t="s">
        <v>65</v>
      </c>
      <c r="D18" s="19" t="s">
        <v>81</v>
      </c>
      <c r="E18" s="19"/>
      <c r="F18" s="19" t="s">
        <v>33</v>
      </c>
      <c r="G18" s="19" t="s">
        <v>33</v>
      </c>
      <c r="H18" s="19" t="s">
        <v>33</v>
      </c>
      <c r="I18" s="19">
        <f t="shared" si="0"/>
        <v>1</v>
      </c>
      <c r="J18" s="19" t="s">
        <v>80</v>
      </c>
      <c r="K18" s="19" t="s">
        <v>82</v>
      </c>
      <c r="L18" s="15" t="b">
        <f>OR(C18='Cocktail Finder'!$B$2,ISBLANK('Cocktail Finder'!$B$2))</f>
        <v>1</v>
      </c>
      <c r="M18" s="15" t="b">
        <f>OR(D18='Cocktail Finder'!$B$7,ISBLANK('Cocktail Finder'!$B$7))</f>
        <v>1</v>
      </c>
      <c r="N18" s="15" t="b">
        <f>OR(E18='Cocktail Finder'!$B$5,ISBLANK('Cocktail Finder'!$B$5))</f>
        <v>1</v>
      </c>
      <c r="O18" s="15" t="b">
        <f>OR(F18='Cocktail Finder'!$B$4,ISBLANK('Cocktail Finder'!$B$4))</f>
        <v>1</v>
      </c>
      <c r="P18" s="15" t="b">
        <f>OR(G18='Cocktail Finder'!$B$3,ISBLANK('Cocktail Finder'!$B$3))</f>
        <v>1</v>
      </c>
      <c r="Q18" s="15" t="b">
        <f>OR(H18='Cocktail Finder'!$B$6,ISBLANK('Cocktail Finder'!$B$6))</f>
        <v>1</v>
      </c>
      <c r="R18" s="15" t="str">
        <f t="shared" ref="R18:T18" si="19">IFERROR(FIND("juice",E18),"")</f>
        <v/>
      </c>
      <c r="S18" s="15" t="str">
        <f t="shared" si="19"/>
        <v/>
      </c>
      <c r="T18" s="15" t="str">
        <f t="shared" si="19"/>
        <v/>
      </c>
      <c r="U18" s="15" t="str">
        <f t="shared" si="2"/>
        <v/>
      </c>
    </row>
    <row r="19" spans="1:21" x14ac:dyDescent="0.2">
      <c r="A19" s="19">
        <f t="shared" si="3"/>
        <v>18</v>
      </c>
      <c r="B19" s="19" t="s">
        <v>83</v>
      </c>
      <c r="C19" s="19" t="s">
        <v>65</v>
      </c>
      <c r="D19" s="19" t="s">
        <v>84</v>
      </c>
      <c r="E19" s="19"/>
      <c r="F19" s="19" t="s">
        <v>33</v>
      </c>
      <c r="G19" s="19" t="s">
        <v>33</v>
      </c>
      <c r="H19" s="19" t="s">
        <v>33</v>
      </c>
      <c r="I19" s="19">
        <f t="shared" si="0"/>
        <v>1</v>
      </c>
      <c r="J19" s="19" t="s">
        <v>83</v>
      </c>
      <c r="K19" s="19" t="s">
        <v>82</v>
      </c>
      <c r="L19" s="15" t="b">
        <f>OR(C19='Cocktail Finder'!$B$2,ISBLANK('Cocktail Finder'!$B$2))</f>
        <v>1</v>
      </c>
      <c r="M19" s="15" t="b">
        <f>OR(D19='Cocktail Finder'!$B$7,ISBLANK('Cocktail Finder'!$B$7))</f>
        <v>1</v>
      </c>
      <c r="N19" s="15" t="b">
        <f>OR(E19='Cocktail Finder'!$B$5,ISBLANK('Cocktail Finder'!$B$5))</f>
        <v>1</v>
      </c>
      <c r="O19" s="15" t="b">
        <f>OR(F19='Cocktail Finder'!$B$4,ISBLANK('Cocktail Finder'!$B$4))</f>
        <v>1</v>
      </c>
      <c r="P19" s="15" t="b">
        <f>OR(G19='Cocktail Finder'!$B$3,ISBLANK('Cocktail Finder'!$B$3))</f>
        <v>1</v>
      </c>
      <c r="Q19" s="15" t="b">
        <f>OR(H19='Cocktail Finder'!$B$6,ISBLANK('Cocktail Finder'!$B$6))</f>
        <v>1</v>
      </c>
      <c r="R19" s="15" t="str">
        <f t="shared" ref="R19:T19" si="20">IFERROR(FIND("juice",E19),"")</f>
        <v/>
      </c>
      <c r="S19" s="15" t="str">
        <f t="shared" si="20"/>
        <v/>
      </c>
      <c r="T19" s="15" t="str">
        <f t="shared" si="20"/>
        <v/>
      </c>
      <c r="U19" s="15" t="str">
        <f t="shared" si="2"/>
        <v/>
      </c>
    </row>
    <row r="20" spans="1:21" x14ac:dyDescent="0.2">
      <c r="A20" s="19">
        <f t="shared" si="3"/>
        <v>19</v>
      </c>
      <c r="B20" s="19" t="s">
        <v>85</v>
      </c>
      <c r="C20" s="19" t="s">
        <v>65</v>
      </c>
      <c r="D20" s="19"/>
      <c r="E20" s="19" t="s">
        <v>38</v>
      </c>
      <c r="F20" s="19" t="s">
        <v>86</v>
      </c>
      <c r="G20" s="19" t="s">
        <v>33</v>
      </c>
      <c r="H20" s="19" t="s">
        <v>33</v>
      </c>
      <c r="I20" s="19">
        <f t="shared" si="0"/>
        <v>1</v>
      </c>
      <c r="J20" s="19" t="s">
        <v>85</v>
      </c>
      <c r="K20" s="19" t="s">
        <v>39</v>
      </c>
      <c r="L20" s="15" t="b">
        <f>OR(C20='Cocktail Finder'!$B$2,ISBLANK('Cocktail Finder'!$B$2))</f>
        <v>1</v>
      </c>
      <c r="M20" s="15" t="b">
        <f>OR(D20='Cocktail Finder'!$B$7,ISBLANK('Cocktail Finder'!$B$7))</f>
        <v>1</v>
      </c>
      <c r="N20" s="15" t="b">
        <f>OR(E20='Cocktail Finder'!$B$5,ISBLANK('Cocktail Finder'!$B$5))</f>
        <v>1</v>
      </c>
      <c r="O20" s="15" t="b">
        <f>OR(F20='Cocktail Finder'!$B$4,ISBLANK('Cocktail Finder'!$B$4))</f>
        <v>1</v>
      </c>
      <c r="P20" s="15" t="b">
        <f>OR(G20='Cocktail Finder'!$B$3,ISBLANK('Cocktail Finder'!$B$3))</f>
        <v>1</v>
      </c>
      <c r="Q20" s="15" t="b">
        <f>OR(H20='Cocktail Finder'!$B$6,ISBLANK('Cocktail Finder'!$B$6))</f>
        <v>1</v>
      </c>
      <c r="R20" s="15">
        <f t="shared" ref="R20:T20" si="21">IFERROR(FIND("juice",E20),"")</f>
        <v>7</v>
      </c>
      <c r="S20" s="15" t="str">
        <f t="shared" si="21"/>
        <v/>
      </c>
      <c r="T20" s="15" t="str">
        <f t="shared" si="21"/>
        <v/>
      </c>
      <c r="U20" s="15" t="str">
        <f t="shared" si="2"/>
        <v>lemon juice</v>
      </c>
    </row>
    <row r="21" spans="1:21" ht="15.75" customHeight="1" x14ac:dyDescent="0.2">
      <c r="A21" s="19">
        <f t="shared" si="3"/>
        <v>20</v>
      </c>
      <c r="B21" s="19" t="s">
        <v>87</v>
      </c>
      <c r="C21" s="19" t="s">
        <v>65</v>
      </c>
      <c r="D21" s="19"/>
      <c r="E21" s="19" t="s">
        <v>38</v>
      </c>
      <c r="F21" s="19" t="s">
        <v>88</v>
      </c>
      <c r="G21" s="19" t="s">
        <v>52</v>
      </c>
      <c r="H21" s="19" t="s">
        <v>33</v>
      </c>
      <c r="I21" s="19">
        <f t="shared" si="0"/>
        <v>1</v>
      </c>
      <c r="J21" s="19" t="s">
        <v>87</v>
      </c>
      <c r="K21" s="19" t="s">
        <v>39</v>
      </c>
      <c r="L21" s="15" t="b">
        <f>OR(C21='Cocktail Finder'!$B$2,ISBLANK('Cocktail Finder'!$B$2))</f>
        <v>1</v>
      </c>
      <c r="M21" s="15" t="b">
        <f>OR(D21='Cocktail Finder'!$B$7,ISBLANK('Cocktail Finder'!$B$7))</f>
        <v>1</v>
      </c>
      <c r="N21" s="15" t="b">
        <f>OR(E21='Cocktail Finder'!$B$5,ISBLANK('Cocktail Finder'!$B$5))</f>
        <v>1</v>
      </c>
      <c r="O21" s="15" t="b">
        <f>OR(F21='Cocktail Finder'!$B$4,ISBLANK('Cocktail Finder'!$B$4))</f>
        <v>1</v>
      </c>
      <c r="P21" s="15" t="b">
        <f>OR(G21='Cocktail Finder'!$B$3,ISBLANK('Cocktail Finder'!$B$3))</f>
        <v>1</v>
      </c>
      <c r="Q21" s="15" t="b">
        <f>OR(H21='Cocktail Finder'!$B$6,ISBLANK('Cocktail Finder'!$B$6))</f>
        <v>1</v>
      </c>
      <c r="R21" s="15">
        <f t="shared" ref="R21:T21" si="22">IFERROR(FIND("juice",E21),"")</f>
        <v>7</v>
      </c>
      <c r="S21" s="15" t="str">
        <f t="shared" si="22"/>
        <v/>
      </c>
      <c r="T21" s="15" t="str">
        <f t="shared" si="22"/>
        <v/>
      </c>
      <c r="U21" s="15" t="str">
        <f t="shared" si="2"/>
        <v>lemon juice</v>
      </c>
    </row>
    <row r="22" spans="1:21" ht="15.75" customHeight="1" x14ac:dyDescent="0.2">
      <c r="A22" s="19">
        <f t="shared" si="3"/>
        <v>21</v>
      </c>
      <c r="B22" s="19" t="s">
        <v>89</v>
      </c>
      <c r="C22" s="19" t="s">
        <v>65</v>
      </c>
      <c r="D22" s="19" t="s">
        <v>30</v>
      </c>
      <c r="E22" s="19" t="s">
        <v>90</v>
      </c>
      <c r="F22" s="19" t="s">
        <v>33</v>
      </c>
      <c r="G22" s="19" t="s">
        <v>33</v>
      </c>
      <c r="H22" s="19" t="s">
        <v>33</v>
      </c>
      <c r="I22" s="19">
        <f t="shared" si="0"/>
        <v>1</v>
      </c>
      <c r="J22" s="19" t="s">
        <v>89</v>
      </c>
      <c r="K22" s="19" t="s">
        <v>44</v>
      </c>
      <c r="L22" s="15" t="b">
        <f>OR(C22='Cocktail Finder'!$B$2,ISBLANK('Cocktail Finder'!$B$2))</f>
        <v>1</v>
      </c>
      <c r="M22" s="15" t="b">
        <f>OR(D22='Cocktail Finder'!$B$7,ISBLANK('Cocktail Finder'!$B$7))</f>
        <v>1</v>
      </c>
      <c r="N22" s="15" t="b">
        <f>OR(E22='Cocktail Finder'!$B$5,ISBLANK('Cocktail Finder'!$B$5))</f>
        <v>1</v>
      </c>
      <c r="O22" s="15" t="b">
        <f>OR(F22='Cocktail Finder'!$B$4,ISBLANK('Cocktail Finder'!$B$4))</f>
        <v>1</v>
      </c>
      <c r="P22" s="15" t="b">
        <f>OR(G22='Cocktail Finder'!$B$3,ISBLANK('Cocktail Finder'!$B$3))</f>
        <v>1</v>
      </c>
      <c r="Q22" s="15" t="b">
        <f>OR(H22='Cocktail Finder'!$B$6,ISBLANK('Cocktail Finder'!$B$6))</f>
        <v>1</v>
      </c>
      <c r="R22" s="15">
        <f t="shared" ref="R22:T22" si="23">IFERROR(FIND("juice",E22),"")</f>
        <v>6</v>
      </c>
      <c r="S22" s="15" t="str">
        <f t="shared" si="23"/>
        <v/>
      </c>
      <c r="T22" s="15" t="str">
        <f t="shared" si="23"/>
        <v/>
      </c>
      <c r="U22" s="15" t="str">
        <f t="shared" si="2"/>
        <v>lime juice</v>
      </c>
    </row>
    <row r="23" spans="1:21" ht="15.75" customHeight="1" x14ac:dyDescent="0.2">
      <c r="A23" s="19">
        <f t="shared" si="3"/>
        <v>22</v>
      </c>
      <c r="B23" s="19" t="s">
        <v>91</v>
      </c>
      <c r="C23" s="19" t="s">
        <v>65</v>
      </c>
      <c r="D23" s="19" t="s">
        <v>92</v>
      </c>
      <c r="E23" s="19" t="s">
        <v>38</v>
      </c>
      <c r="F23" s="19" t="s">
        <v>86</v>
      </c>
      <c r="G23" s="19" t="s">
        <v>33</v>
      </c>
      <c r="H23" s="19" t="s">
        <v>33</v>
      </c>
      <c r="I23" s="19">
        <f t="shared" si="0"/>
        <v>1</v>
      </c>
      <c r="J23" s="19" t="s">
        <v>91</v>
      </c>
      <c r="K23" s="19" t="s">
        <v>44</v>
      </c>
      <c r="L23" s="15" t="b">
        <f>OR(C23='Cocktail Finder'!$B$2,ISBLANK('Cocktail Finder'!$B$2))</f>
        <v>1</v>
      </c>
      <c r="M23" s="15" t="b">
        <f>OR(D23='Cocktail Finder'!$B$7,ISBLANK('Cocktail Finder'!$B$7))</f>
        <v>1</v>
      </c>
      <c r="N23" s="15" t="b">
        <f>OR(E23='Cocktail Finder'!$B$5,ISBLANK('Cocktail Finder'!$B$5))</f>
        <v>1</v>
      </c>
      <c r="O23" s="15" t="b">
        <f>OR(F23='Cocktail Finder'!$B$4,ISBLANK('Cocktail Finder'!$B$4))</f>
        <v>1</v>
      </c>
      <c r="P23" s="15" t="b">
        <f>OR(G23='Cocktail Finder'!$B$3,ISBLANK('Cocktail Finder'!$B$3))</f>
        <v>1</v>
      </c>
      <c r="Q23" s="15" t="b">
        <f>OR(H23='Cocktail Finder'!$B$6,ISBLANK('Cocktail Finder'!$B$6))</f>
        <v>1</v>
      </c>
      <c r="R23" s="15">
        <f t="shared" ref="R23:T23" si="24">IFERROR(FIND("juice",E23),"")</f>
        <v>7</v>
      </c>
      <c r="S23" s="15" t="str">
        <f t="shared" si="24"/>
        <v/>
      </c>
      <c r="T23" s="15" t="str">
        <f t="shared" si="24"/>
        <v/>
      </c>
      <c r="U23" s="15" t="str">
        <f t="shared" si="2"/>
        <v>lemon juice</v>
      </c>
    </row>
    <row r="24" spans="1:21" ht="15.75" customHeight="1" x14ac:dyDescent="0.2">
      <c r="A24" s="19">
        <f t="shared" si="3"/>
        <v>23</v>
      </c>
      <c r="B24" s="19" t="s">
        <v>93</v>
      </c>
      <c r="C24" s="19" t="s">
        <v>65</v>
      </c>
      <c r="D24" s="19" t="s">
        <v>86</v>
      </c>
      <c r="E24" s="19" t="s">
        <v>38</v>
      </c>
      <c r="F24" s="19" t="s">
        <v>62</v>
      </c>
      <c r="G24" s="19" t="s">
        <v>33</v>
      </c>
      <c r="H24" s="19" t="s">
        <v>33</v>
      </c>
      <c r="I24" s="19">
        <f t="shared" si="0"/>
        <v>1</v>
      </c>
      <c r="J24" s="19" t="s">
        <v>93</v>
      </c>
      <c r="K24" s="19" t="s">
        <v>63</v>
      </c>
      <c r="L24" s="15" t="b">
        <f>OR(C24='Cocktail Finder'!$B$2,ISBLANK('Cocktail Finder'!$B$2))</f>
        <v>1</v>
      </c>
      <c r="M24" s="15" t="b">
        <f>OR(D24='Cocktail Finder'!$B$7,ISBLANK('Cocktail Finder'!$B$7))</f>
        <v>1</v>
      </c>
      <c r="N24" s="15" t="b">
        <f>OR(E24='Cocktail Finder'!$B$5,ISBLANK('Cocktail Finder'!$B$5))</f>
        <v>1</v>
      </c>
      <c r="O24" s="15" t="b">
        <f>OR(F24='Cocktail Finder'!$B$4,ISBLANK('Cocktail Finder'!$B$4))</f>
        <v>1</v>
      </c>
      <c r="P24" s="15" t="b">
        <f>OR(G24='Cocktail Finder'!$B$3,ISBLANK('Cocktail Finder'!$B$3))</f>
        <v>1</v>
      </c>
      <c r="Q24" s="15" t="b">
        <f>OR(H24='Cocktail Finder'!$B$6,ISBLANK('Cocktail Finder'!$B$6))</f>
        <v>1</v>
      </c>
      <c r="R24" s="15">
        <f t="shared" ref="R24:T24" si="25">IFERROR(FIND("juice",E24),"")</f>
        <v>7</v>
      </c>
      <c r="S24" s="15" t="str">
        <f t="shared" si="25"/>
        <v/>
      </c>
      <c r="T24" s="15" t="str">
        <f t="shared" si="25"/>
        <v/>
      </c>
      <c r="U24" s="15" t="str">
        <f t="shared" si="2"/>
        <v>lemon juice</v>
      </c>
    </row>
    <row r="25" spans="1:21" ht="15.75" customHeight="1" x14ac:dyDescent="0.2">
      <c r="A25" s="19">
        <f t="shared" si="3"/>
        <v>24</v>
      </c>
      <c r="B25" s="19" t="s">
        <v>94</v>
      </c>
      <c r="C25" s="19" t="s">
        <v>65</v>
      </c>
      <c r="D25" s="19" t="s">
        <v>57</v>
      </c>
      <c r="E25" s="19" t="s">
        <v>38</v>
      </c>
      <c r="F25" s="19" t="s">
        <v>33</v>
      </c>
      <c r="G25" s="19" t="s">
        <v>33</v>
      </c>
      <c r="H25" s="19" t="s">
        <v>33</v>
      </c>
      <c r="I25" s="19">
        <f t="shared" si="0"/>
        <v>1</v>
      </c>
      <c r="J25" s="19" t="s">
        <v>94</v>
      </c>
      <c r="K25" s="19" t="s">
        <v>58</v>
      </c>
      <c r="L25" s="15" t="b">
        <f>OR(C25='Cocktail Finder'!$B$2,ISBLANK('Cocktail Finder'!$B$2))</f>
        <v>1</v>
      </c>
      <c r="M25" s="15" t="b">
        <f>OR(D25='Cocktail Finder'!$B$7,ISBLANK('Cocktail Finder'!$B$7))</f>
        <v>1</v>
      </c>
      <c r="N25" s="15" t="b">
        <f>OR(E25='Cocktail Finder'!$B$5,ISBLANK('Cocktail Finder'!$B$5))</f>
        <v>1</v>
      </c>
      <c r="O25" s="15" t="b">
        <f>OR(F25='Cocktail Finder'!$B$4,ISBLANK('Cocktail Finder'!$B$4))</f>
        <v>1</v>
      </c>
      <c r="P25" s="15" t="b">
        <f>OR(G25='Cocktail Finder'!$B$3,ISBLANK('Cocktail Finder'!$B$3))</f>
        <v>1</v>
      </c>
      <c r="Q25" s="15" t="b">
        <f>OR(H25='Cocktail Finder'!$B$6,ISBLANK('Cocktail Finder'!$B$6))</f>
        <v>1</v>
      </c>
      <c r="R25" s="15">
        <f t="shared" ref="R25:T25" si="26">IFERROR(FIND("juice",E25),"")</f>
        <v>7</v>
      </c>
      <c r="S25" s="15" t="str">
        <f t="shared" si="26"/>
        <v/>
      </c>
      <c r="T25" s="15" t="str">
        <f t="shared" si="26"/>
        <v/>
      </c>
      <c r="U25" s="15" t="str">
        <f t="shared" si="2"/>
        <v>lemon juice</v>
      </c>
    </row>
    <row r="26" spans="1:21" ht="15.75" customHeight="1" x14ac:dyDescent="0.2">
      <c r="A26" s="19">
        <f t="shared" si="3"/>
        <v>25</v>
      </c>
      <c r="B26" s="20" t="s">
        <v>95</v>
      </c>
      <c r="C26" s="20" t="s">
        <v>65</v>
      </c>
      <c r="D26" s="20"/>
      <c r="E26" s="20"/>
      <c r="F26" s="20" t="s">
        <v>86</v>
      </c>
      <c r="G26" s="20" t="s">
        <v>96</v>
      </c>
      <c r="H26" s="20" t="s">
        <v>33</v>
      </c>
      <c r="I26" s="19">
        <f t="shared" si="0"/>
        <v>1</v>
      </c>
      <c r="J26" s="20" t="s">
        <v>95</v>
      </c>
      <c r="K26" s="20" t="s">
        <v>97</v>
      </c>
      <c r="L26" s="15" t="b">
        <f>OR(C26='Cocktail Finder'!$B$2,ISBLANK('Cocktail Finder'!$B$2))</f>
        <v>1</v>
      </c>
      <c r="M26" s="15" t="b">
        <f>OR(D26='Cocktail Finder'!$B$7,ISBLANK('Cocktail Finder'!$B$7))</f>
        <v>1</v>
      </c>
      <c r="N26" s="15" t="b">
        <f>OR(E26='Cocktail Finder'!$B$5,ISBLANK('Cocktail Finder'!$B$5))</f>
        <v>1</v>
      </c>
      <c r="O26" s="15" t="b">
        <f>OR(F26='Cocktail Finder'!$B$4,ISBLANK('Cocktail Finder'!$B$4))</f>
        <v>1</v>
      </c>
      <c r="P26" s="15" t="b">
        <f>OR(G26='Cocktail Finder'!$B$3,ISBLANK('Cocktail Finder'!$B$3))</f>
        <v>1</v>
      </c>
      <c r="Q26" s="15" t="b">
        <f>OR(H26='Cocktail Finder'!$B$6,ISBLANK('Cocktail Finder'!$B$6))</f>
        <v>1</v>
      </c>
      <c r="R26" s="15" t="str">
        <f t="shared" ref="R26:T26" si="27">IFERROR(FIND("juice",E26),"")</f>
        <v/>
      </c>
      <c r="S26" s="15" t="str">
        <f t="shared" si="27"/>
        <v/>
      </c>
      <c r="T26" s="15" t="str">
        <f t="shared" si="27"/>
        <v/>
      </c>
      <c r="U26" s="15" t="str">
        <f t="shared" si="2"/>
        <v/>
      </c>
    </row>
    <row r="27" spans="1:21" ht="15.75" customHeight="1" x14ac:dyDescent="0.2">
      <c r="A27" s="19">
        <f t="shared" si="3"/>
        <v>26</v>
      </c>
      <c r="B27" s="19" t="s">
        <v>98</v>
      </c>
      <c r="C27" s="19" t="s">
        <v>99</v>
      </c>
      <c r="D27" s="19" t="s">
        <v>100</v>
      </c>
      <c r="E27" s="19" t="s">
        <v>38</v>
      </c>
      <c r="F27" s="19" t="s">
        <v>33</v>
      </c>
      <c r="G27" s="19" t="s">
        <v>33</v>
      </c>
      <c r="H27" s="19" t="s">
        <v>33</v>
      </c>
      <c r="I27" s="19">
        <f t="shared" si="0"/>
        <v>1</v>
      </c>
      <c r="J27" s="19" t="s">
        <v>98</v>
      </c>
      <c r="K27" s="19" t="s">
        <v>101</v>
      </c>
      <c r="L27" s="15" t="b">
        <f>OR(C27='Cocktail Finder'!$B$2,ISBLANK('Cocktail Finder'!$B$2))</f>
        <v>1</v>
      </c>
      <c r="M27" s="15" t="b">
        <f>OR(D27='Cocktail Finder'!$B$7,ISBLANK('Cocktail Finder'!$B$7))</f>
        <v>1</v>
      </c>
      <c r="N27" s="15" t="b">
        <f>OR(E27='Cocktail Finder'!$B$5,ISBLANK('Cocktail Finder'!$B$5))</f>
        <v>1</v>
      </c>
      <c r="O27" s="15" t="b">
        <f>OR(F27='Cocktail Finder'!$B$4,ISBLANK('Cocktail Finder'!$B$4))</f>
        <v>1</v>
      </c>
      <c r="P27" s="15" t="b">
        <f>OR(G27='Cocktail Finder'!$B$3,ISBLANK('Cocktail Finder'!$B$3))</f>
        <v>1</v>
      </c>
      <c r="Q27" s="15" t="b">
        <f>OR(H27='Cocktail Finder'!$B$6,ISBLANK('Cocktail Finder'!$B$6))</f>
        <v>1</v>
      </c>
      <c r="R27" s="15">
        <f t="shared" ref="R27:T27" si="28">IFERROR(FIND("juice",E27),"")</f>
        <v>7</v>
      </c>
      <c r="S27" s="15" t="str">
        <f t="shared" si="28"/>
        <v/>
      </c>
      <c r="T27" s="15" t="str">
        <f t="shared" si="28"/>
        <v/>
      </c>
      <c r="U27" s="15" t="str">
        <f t="shared" si="2"/>
        <v>lemon juice</v>
      </c>
    </row>
    <row r="28" spans="1:21" ht="15.75" customHeight="1" x14ac:dyDescent="0.2">
      <c r="A28" s="19">
        <f t="shared" si="3"/>
        <v>27</v>
      </c>
      <c r="B28" s="19" t="s">
        <v>102</v>
      </c>
      <c r="C28" s="19" t="s">
        <v>49</v>
      </c>
      <c r="D28" s="19" t="s">
        <v>31</v>
      </c>
      <c r="E28" s="19"/>
      <c r="F28" s="19" t="s">
        <v>33</v>
      </c>
      <c r="G28" s="19" t="s">
        <v>33</v>
      </c>
      <c r="H28" s="19" t="s">
        <v>33</v>
      </c>
      <c r="I28" s="19">
        <f t="shared" si="0"/>
        <v>1</v>
      </c>
      <c r="J28" s="19" t="s">
        <v>102</v>
      </c>
      <c r="K28" s="19" t="s">
        <v>34</v>
      </c>
      <c r="L28" s="15" t="b">
        <f>OR(C28='Cocktail Finder'!$B$2,ISBLANK('Cocktail Finder'!$B$2))</f>
        <v>1</v>
      </c>
      <c r="M28" s="15" t="b">
        <f>OR(D28='Cocktail Finder'!$B$7,ISBLANK('Cocktail Finder'!$B$7))</f>
        <v>1</v>
      </c>
      <c r="N28" s="15" t="b">
        <f>OR(E28='Cocktail Finder'!$B$5,ISBLANK('Cocktail Finder'!$B$5))</f>
        <v>1</v>
      </c>
      <c r="O28" s="15" t="b">
        <f>OR(F28='Cocktail Finder'!$B$4,ISBLANK('Cocktail Finder'!$B$4))</f>
        <v>1</v>
      </c>
      <c r="P28" s="15" t="b">
        <f>OR(G28='Cocktail Finder'!$B$3,ISBLANK('Cocktail Finder'!$B$3))</f>
        <v>1</v>
      </c>
      <c r="Q28" s="15" t="b">
        <f>OR(H28='Cocktail Finder'!$B$6,ISBLANK('Cocktail Finder'!$B$6))</f>
        <v>1</v>
      </c>
      <c r="R28" s="15" t="str">
        <f t="shared" ref="R28:T28" si="29">IFERROR(FIND("juice",E28),"")</f>
        <v/>
      </c>
      <c r="S28" s="15" t="str">
        <f t="shared" si="29"/>
        <v/>
      </c>
      <c r="T28" s="15" t="str">
        <f t="shared" si="29"/>
        <v/>
      </c>
      <c r="U28" s="15" t="str">
        <f t="shared" si="2"/>
        <v/>
      </c>
    </row>
    <row r="29" spans="1:21" ht="15.75" customHeight="1" x14ac:dyDescent="0.2">
      <c r="A29" s="19">
        <f t="shared" si="3"/>
        <v>28</v>
      </c>
      <c r="B29" s="19" t="s">
        <v>103</v>
      </c>
      <c r="C29" s="19" t="s">
        <v>49</v>
      </c>
      <c r="D29" s="19" t="s">
        <v>53</v>
      </c>
      <c r="E29" s="19"/>
      <c r="F29" s="19" t="s">
        <v>104</v>
      </c>
      <c r="G29" s="19" t="s">
        <v>33</v>
      </c>
      <c r="H29" s="19" t="s">
        <v>33</v>
      </c>
      <c r="I29" s="19">
        <f t="shared" si="0"/>
        <v>1</v>
      </c>
      <c r="J29" s="19" t="s">
        <v>103</v>
      </c>
      <c r="K29" s="19" t="s">
        <v>50</v>
      </c>
      <c r="L29" s="15" t="b">
        <f>OR(C29='Cocktail Finder'!$B$2,ISBLANK('Cocktail Finder'!$B$2))</f>
        <v>1</v>
      </c>
      <c r="M29" s="15" t="b">
        <f>OR(D29='Cocktail Finder'!$B$7,ISBLANK('Cocktail Finder'!$B$7))</f>
        <v>1</v>
      </c>
      <c r="N29" s="15" t="b">
        <f>OR(E29='Cocktail Finder'!$B$5,ISBLANK('Cocktail Finder'!$B$5))</f>
        <v>1</v>
      </c>
      <c r="O29" s="15" t="b">
        <f>OR(F29='Cocktail Finder'!$B$4,ISBLANK('Cocktail Finder'!$B$4))</f>
        <v>1</v>
      </c>
      <c r="P29" s="15" t="b">
        <f>OR(G29='Cocktail Finder'!$B$3,ISBLANK('Cocktail Finder'!$B$3))</f>
        <v>1</v>
      </c>
      <c r="Q29" s="15" t="b">
        <f>OR(H29='Cocktail Finder'!$B$6,ISBLANK('Cocktail Finder'!$B$6))</f>
        <v>1</v>
      </c>
      <c r="R29" s="15" t="str">
        <f t="shared" ref="R29:T29" si="30">IFERROR(FIND("juice",E29),"")</f>
        <v/>
      </c>
      <c r="S29" s="15" t="str">
        <f t="shared" si="30"/>
        <v/>
      </c>
      <c r="T29" s="15" t="str">
        <f t="shared" si="30"/>
        <v/>
      </c>
      <c r="U29" s="15" t="str">
        <f t="shared" si="2"/>
        <v/>
      </c>
    </row>
    <row r="30" spans="1:21" ht="15.75" customHeight="1" x14ac:dyDescent="0.2">
      <c r="A30" s="19">
        <f t="shared" si="3"/>
        <v>29</v>
      </c>
      <c r="B30" s="19" t="s">
        <v>105</v>
      </c>
      <c r="C30" s="19" t="s">
        <v>49</v>
      </c>
      <c r="D30" s="19" t="s">
        <v>52</v>
      </c>
      <c r="E30" s="19"/>
      <c r="F30" s="19" t="s">
        <v>100</v>
      </c>
      <c r="G30" s="19" t="s">
        <v>66</v>
      </c>
      <c r="H30" s="19" t="s">
        <v>3</v>
      </c>
      <c r="I30" s="19">
        <f t="shared" si="0"/>
        <v>1</v>
      </c>
      <c r="J30" s="19" t="s">
        <v>105</v>
      </c>
      <c r="K30" s="19" t="s">
        <v>50</v>
      </c>
      <c r="L30" s="15" t="b">
        <f>OR(C30='Cocktail Finder'!$B$2,ISBLANK('Cocktail Finder'!$B$2))</f>
        <v>1</v>
      </c>
      <c r="M30" s="15" t="b">
        <f>OR(D30='Cocktail Finder'!$B$7,ISBLANK('Cocktail Finder'!$B$7))</f>
        <v>1</v>
      </c>
      <c r="N30" s="15" t="b">
        <f>OR(E30='Cocktail Finder'!$B$5,ISBLANK('Cocktail Finder'!$B$5))</f>
        <v>1</v>
      </c>
      <c r="O30" s="15" t="b">
        <f>OR(F30='Cocktail Finder'!$B$4,ISBLANK('Cocktail Finder'!$B$4))</f>
        <v>1</v>
      </c>
      <c r="P30" s="15" t="b">
        <f>OR(G30='Cocktail Finder'!$B$3,ISBLANK('Cocktail Finder'!$B$3))</f>
        <v>1</v>
      </c>
      <c r="Q30" s="15" t="b">
        <f>OR(H30='Cocktail Finder'!$B$6,ISBLANK('Cocktail Finder'!$B$6))</f>
        <v>1</v>
      </c>
      <c r="R30" s="15" t="str">
        <f t="shared" ref="R30:T30" si="31">IFERROR(FIND("juice",E30),"")</f>
        <v/>
      </c>
      <c r="S30" s="15" t="str">
        <f t="shared" si="31"/>
        <v/>
      </c>
      <c r="T30" s="15" t="str">
        <f t="shared" si="31"/>
        <v/>
      </c>
      <c r="U30" s="15" t="str">
        <f t="shared" si="2"/>
        <v/>
      </c>
    </row>
    <row r="31" spans="1:21" ht="15.75" customHeight="1" x14ac:dyDescent="0.2">
      <c r="A31" s="19">
        <f t="shared" si="3"/>
        <v>30</v>
      </c>
      <c r="B31" s="19" t="s">
        <v>106</v>
      </c>
      <c r="C31" s="19" t="s">
        <v>49</v>
      </c>
      <c r="D31" s="19" t="s">
        <v>107</v>
      </c>
      <c r="E31" s="19"/>
      <c r="F31" s="19" t="s">
        <v>108</v>
      </c>
      <c r="G31" s="19" t="s">
        <v>74</v>
      </c>
      <c r="H31" s="19" t="s">
        <v>3</v>
      </c>
      <c r="I31" s="19">
        <f t="shared" si="0"/>
        <v>1</v>
      </c>
      <c r="J31" s="19" t="s">
        <v>106</v>
      </c>
      <c r="K31" s="19" t="s">
        <v>50</v>
      </c>
      <c r="L31" s="15" t="b">
        <f>OR(C31='Cocktail Finder'!$B$2,ISBLANK('Cocktail Finder'!$B$2))</f>
        <v>1</v>
      </c>
      <c r="M31" s="15" t="b">
        <f>OR(D31='Cocktail Finder'!$B$7,ISBLANK('Cocktail Finder'!$B$7))</f>
        <v>1</v>
      </c>
      <c r="N31" s="15" t="b">
        <f>OR(E31='Cocktail Finder'!$B$5,ISBLANK('Cocktail Finder'!$B$5))</f>
        <v>1</v>
      </c>
      <c r="O31" s="15" t="b">
        <f>OR(F31='Cocktail Finder'!$B$4,ISBLANK('Cocktail Finder'!$B$4))</f>
        <v>1</v>
      </c>
      <c r="P31" s="15" t="b">
        <f>OR(G31='Cocktail Finder'!$B$3,ISBLANK('Cocktail Finder'!$B$3))</f>
        <v>1</v>
      </c>
      <c r="Q31" s="15" t="b">
        <f>OR(H31='Cocktail Finder'!$B$6,ISBLANK('Cocktail Finder'!$B$6))</f>
        <v>1</v>
      </c>
      <c r="R31" s="15" t="str">
        <f t="shared" ref="R31:T31" si="32">IFERROR(FIND("juice",E31),"")</f>
        <v/>
      </c>
      <c r="S31" s="15" t="str">
        <f t="shared" si="32"/>
        <v/>
      </c>
      <c r="T31" s="15" t="str">
        <f t="shared" si="32"/>
        <v/>
      </c>
      <c r="U31" s="15" t="str">
        <f t="shared" si="2"/>
        <v/>
      </c>
    </row>
    <row r="32" spans="1:21" ht="15.75" customHeight="1" x14ac:dyDescent="0.2">
      <c r="A32" s="19">
        <f t="shared" si="3"/>
        <v>31</v>
      </c>
      <c r="B32" s="19" t="s">
        <v>109</v>
      </c>
      <c r="C32" s="19" t="s">
        <v>49</v>
      </c>
      <c r="D32" s="19" t="s">
        <v>62</v>
      </c>
      <c r="E32" s="19"/>
      <c r="F32" s="19" t="s">
        <v>33</v>
      </c>
      <c r="G32" s="19" t="s">
        <v>33</v>
      </c>
      <c r="H32" s="19" t="s">
        <v>33</v>
      </c>
      <c r="I32" s="19">
        <f t="shared" si="0"/>
        <v>1</v>
      </c>
      <c r="J32" s="19" t="s">
        <v>109</v>
      </c>
      <c r="K32" s="19" t="s">
        <v>82</v>
      </c>
      <c r="L32" s="15" t="b">
        <f>OR(C32='Cocktail Finder'!$B$2,ISBLANK('Cocktail Finder'!$B$2))</f>
        <v>1</v>
      </c>
      <c r="M32" s="15" t="b">
        <f>OR(D32='Cocktail Finder'!$B$7,ISBLANK('Cocktail Finder'!$B$7))</f>
        <v>1</v>
      </c>
      <c r="N32" s="15" t="b">
        <f>OR(E32='Cocktail Finder'!$B$5,ISBLANK('Cocktail Finder'!$B$5))</f>
        <v>1</v>
      </c>
      <c r="O32" s="15" t="b">
        <f>OR(F32='Cocktail Finder'!$B$4,ISBLANK('Cocktail Finder'!$B$4))</f>
        <v>1</v>
      </c>
      <c r="P32" s="15" t="b">
        <f>OR(G32='Cocktail Finder'!$B$3,ISBLANK('Cocktail Finder'!$B$3))</f>
        <v>1</v>
      </c>
      <c r="Q32" s="15" t="b">
        <f>OR(H32='Cocktail Finder'!$B$6,ISBLANK('Cocktail Finder'!$B$6))</f>
        <v>1</v>
      </c>
      <c r="R32" s="15" t="str">
        <f t="shared" ref="R32:T32" si="33">IFERROR(FIND("juice",E32),"")</f>
        <v/>
      </c>
      <c r="S32" s="15" t="str">
        <f t="shared" si="33"/>
        <v/>
      </c>
      <c r="T32" s="15" t="str">
        <f t="shared" si="33"/>
        <v/>
      </c>
      <c r="U32" s="15" t="str">
        <f t="shared" si="2"/>
        <v/>
      </c>
    </row>
    <row r="33" spans="1:22" ht="15.75" customHeight="1" x14ac:dyDescent="0.2">
      <c r="A33" s="19">
        <f t="shared" si="3"/>
        <v>32</v>
      </c>
      <c r="B33" s="19" t="s">
        <v>110</v>
      </c>
      <c r="C33" s="19" t="s">
        <v>49</v>
      </c>
      <c r="D33" s="19" t="s">
        <v>108</v>
      </c>
      <c r="E33" s="19" t="s">
        <v>38</v>
      </c>
      <c r="F33" s="19" t="s">
        <v>52</v>
      </c>
      <c r="G33" s="19" t="s">
        <v>33</v>
      </c>
      <c r="H33" s="19" t="s">
        <v>33</v>
      </c>
      <c r="I33" s="19">
        <f t="shared" si="0"/>
        <v>1</v>
      </c>
      <c r="J33" s="19" t="s">
        <v>110</v>
      </c>
      <c r="K33" s="19" t="s">
        <v>44</v>
      </c>
      <c r="L33" s="15" t="b">
        <f>OR(C33='Cocktail Finder'!$B$2,ISBLANK('Cocktail Finder'!$B$2))</f>
        <v>1</v>
      </c>
      <c r="M33" s="15" t="b">
        <f>OR(D33='Cocktail Finder'!$B$7,ISBLANK('Cocktail Finder'!$B$7))</f>
        <v>1</v>
      </c>
      <c r="N33" s="15" t="b">
        <f>OR(E33='Cocktail Finder'!$B$5,ISBLANK('Cocktail Finder'!$B$5))</f>
        <v>1</v>
      </c>
      <c r="O33" s="15" t="b">
        <f>OR(F33='Cocktail Finder'!$B$4,ISBLANK('Cocktail Finder'!$B$4))</f>
        <v>1</v>
      </c>
      <c r="P33" s="15" t="b">
        <f>OR(G33='Cocktail Finder'!$B$3,ISBLANK('Cocktail Finder'!$B$3))</f>
        <v>1</v>
      </c>
      <c r="Q33" s="15" t="b">
        <f>OR(H33='Cocktail Finder'!$B$6,ISBLANK('Cocktail Finder'!$B$6))</f>
        <v>1</v>
      </c>
      <c r="R33" s="15">
        <f t="shared" ref="R33:T33" si="34">IFERROR(FIND("juice",E33),"")</f>
        <v>7</v>
      </c>
      <c r="S33" s="15" t="str">
        <f t="shared" si="34"/>
        <v/>
      </c>
      <c r="T33" s="15" t="str">
        <f t="shared" si="34"/>
        <v/>
      </c>
      <c r="U33" s="15" t="str">
        <f t="shared" si="2"/>
        <v>lemon juice</v>
      </c>
    </row>
    <row r="34" spans="1:22" ht="15.75" customHeight="1" x14ac:dyDescent="0.2">
      <c r="A34" s="19">
        <f t="shared" si="3"/>
        <v>33</v>
      </c>
      <c r="B34" s="19" t="s">
        <v>111</v>
      </c>
      <c r="C34" s="19" t="s">
        <v>49</v>
      </c>
      <c r="D34" s="19" t="s">
        <v>112</v>
      </c>
      <c r="E34" s="19" t="s">
        <v>113</v>
      </c>
      <c r="F34" s="19" t="s">
        <v>114</v>
      </c>
      <c r="G34" s="19" t="s">
        <v>33</v>
      </c>
      <c r="H34" s="19" t="s">
        <v>33</v>
      </c>
      <c r="I34" s="19">
        <f t="shared" si="0"/>
        <v>1</v>
      </c>
      <c r="J34" s="19" t="s">
        <v>111</v>
      </c>
      <c r="K34" s="19" t="s">
        <v>44</v>
      </c>
      <c r="L34" s="15" t="b">
        <f>OR(C34='Cocktail Finder'!$B$2,ISBLANK('Cocktail Finder'!$B$2))</f>
        <v>1</v>
      </c>
      <c r="M34" s="15" t="b">
        <f>OR(D34='Cocktail Finder'!$B$7,ISBLANK('Cocktail Finder'!$B$7))</f>
        <v>1</v>
      </c>
      <c r="N34" s="15" t="b">
        <f>OR(E34='Cocktail Finder'!$B$5,ISBLANK('Cocktail Finder'!$B$5))</f>
        <v>1</v>
      </c>
      <c r="O34" s="15" t="b">
        <f>OR(F34='Cocktail Finder'!$B$4,ISBLANK('Cocktail Finder'!$B$4))</f>
        <v>1</v>
      </c>
      <c r="P34" s="15" t="b">
        <f>OR(G34='Cocktail Finder'!$B$3,ISBLANK('Cocktail Finder'!$B$3))</f>
        <v>1</v>
      </c>
      <c r="Q34" s="15" t="b">
        <f>OR(H34='Cocktail Finder'!$B$6,ISBLANK('Cocktail Finder'!$B$6))</f>
        <v>1</v>
      </c>
      <c r="R34" s="15">
        <f t="shared" ref="R34:T34" si="35">IFERROR(FIND("juice",E34),"")</f>
        <v>7</v>
      </c>
      <c r="S34" s="15" t="str">
        <f t="shared" si="35"/>
        <v/>
      </c>
      <c r="T34" s="15" t="str">
        <f t="shared" si="35"/>
        <v/>
      </c>
      <c r="U34" s="15" t="str">
        <f t="shared" si="2"/>
        <v>lemon juice, tangerine juice</v>
      </c>
      <c r="V34" s="11" t="s">
        <v>115</v>
      </c>
    </row>
    <row r="35" spans="1:22" ht="15.75" customHeight="1" x14ac:dyDescent="0.2">
      <c r="A35" s="19">
        <f t="shared" si="3"/>
        <v>34</v>
      </c>
      <c r="B35" s="20" t="s">
        <v>116</v>
      </c>
      <c r="C35" s="20" t="s">
        <v>49</v>
      </c>
      <c r="D35" s="20" t="s">
        <v>100</v>
      </c>
      <c r="E35" s="20" t="s">
        <v>38</v>
      </c>
      <c r="F35" s="20" t="s">
        <v>33</v>
      </c>
      <c r="G35" s="20" t="s">
        <v>33</v>
      </c>
      <c r="H35" s="20" t="s">
        <v>33</v>
      </c>
      <c r="I35" s="19">
        <f t="shared" si="0"/>
        <v>1</v>
      </c>
      <c r="J35" s="20" t="s">
        <v>116</v>
      </c>
      <c r="K35" s="20" t="s">
        <v>101</v>
      </c>
      <c r="L35" s="15" t="b">
        <f>OR(C35='Cocktail Finder'!$B$2,ISBLANK('Cocktail Finder'!$B$2))</f>
        <v>1</v>
      </c>
      <c r="M35" s="15" t="b">
        <f>OR(D35='Cocktail Finder'!$B$7,ISBLANK('Cocktail Finder'!$B$7))</f>
        <v>1</v>
      </c>
      <c r="N35" s="15" t="b">
        <f>OR(E35='Cocktail Finder'!$B$5,ISBLANK('Cocktail Finder'!$B$5))</f>
        <v>1</v>
      </c>
      <c r="O35" s="15" t="b">
        <f>OR(F35='Cocktail Finder'!$B$4,ISBLANK('Cocktail Finder'!$B$4))</f>
        <v>1</v>
      </c>
      <c r="P35" s="15" t="b">
        <f>OR(G35='Cocktail Finder'!$B$3,ISBLANK('Cocktail Finder'!$B$3))</f>
        <v>1</v>
      </c>
      <c r="Q35" s="15" t="b">
        <f>OR(H35='Cocktail Finder'!$B$6,ISBLANK('Cocktail Finder'!$B$6))</f>
        <v>1</v>
      </c>
      <c r="R35" s="15">
        <f t="shared" ref="R35:T35" si="36">IFERROR(FIND("juice",E35),"")</f>
        <v>7</v>
      </c>
      <c r="S35" s="15" t="str">
        <f t="shared" si="36"/>
        <v/>
      </c>
      <c r="T35" s="15" t="str">
        <f t="shared" si="36"/>
        <v/>
      </c>
      <c r="U35" s="15" t="str">
        <f t="shared" si="2"/>
        <v>lemon juice</v>
      </c>
    </row>
    <row r="36" spans="1:22" ht="15.75" customHeight="1" x14ac:dyDescent="0.2">
      <c r="A36" s="19">
        <f t="shared" si="3"/>
        <v>35</v>
      </c>
      <c r="B36" s="19" t="s">
        <v>117</v>
      </c>
      <c r="C36" s="19" t="s">
        <v>49</v>
      </c>
      <c r="D36" s="19" t="s">
        <v>100</v>
      </c>
      <c r="E36" s="19" t="s">
        <v>38</v>
      </c>
      <c r="F36" s="19" t="s">
        <v>118</v>
      </c>
      <c r="G36" s="19" t="s">
        <v>33</v>
      </c>
      <c r="H36" s="19" t="s">
        <v>33</v>
      </c>
      <c r="I36" s="19">
        <f t="shared" si="0"/>
        <v>1</v>
      </c>
      <c r="J36" s="19" t="s">
        <v>117</v>
      </c>
      <c r="K36" s="19" t="s">
        <v>101</v>
      </c>
      <c r="L36" s="15" t="b">
        <f>OR(C36='Cocktail Finder'!$B$2,ISBLANK('Cocktail Finder'!$B$2))</f>
        <v>1</v>
      </c>
      <c r="M36" s="15" t="b">
        <f>OR(D36='Cocktail Finder'!$B$7,ISBLANK('Cocktail Finder'!$B$7))</f>
        <v>1</v>
      </c>
      <c r="N36" s="15" t="b">
        <f>OR(E36='Cocktail Finder'!$B$5,ISBLANK('Cocktail Finder'!$B$5))</f>
        <v>1</v>
      </c>
      <c r="O36" s="15" t="b">
        <f>OR(F36='Cocktail Finder'!$B$4,ISBLANK('Cocktail Finder'!$B$4))</f>
        <v>1</v>
      </c>
      <c r="P36" s="15" t="b">
        <f>OR(G36='Cocktail Finder'!$B$3,ISBLANK('Cocktail Finder'!$B$3))</f>
        <v>1</v>
      </c>
      <c r="Q36" s="15" t="b">
        <f>OR(H36='Cocktail Finder'!$B$6,ISBLANK('Cocktail Finder'!$B$6))</f>
        <v>1</v>
      </c>
      <c r="R36" s="15">
        <f t="shared" ref="R36:T36" si="37">IFERROR(FIND("juice",E36),"")</f>
        <v>7</v>
      </c>
      <c r="S36" s="15" t="str">
        <f t="shared" si="37"/>
        <v/>
      </c>
      <c r="T36" s="15" t="str">
        <f t="shared" si="37"/>
        <v/>
      </c>
      <c r="U36" s="15" t="str">
        <f t="shared" si="2"/>
        <v>lemon juice</v>
      </c>
    </row>
    <row r="37" spans="1:22" ht="15.75" customHeight="1" x14ac:dyDescent="0.2">
      <c r="A37" s="19">
        <f t="shared" si="3"/>
        <v>36</v>
      </c>
      <c r="B37" s="19" t="s">
        <v>119</v>
      </c>
      <c r="C37" s="19" t="s">
        <v>49</v>
      </c>
      <c r="D37" s="19" t="s">
        <v>100</v>
      </c>
      <c r="E37" s="19" t="s">
        <v>38</v>
      </c>
      <c r="F37" s="19" t="s">
        <v>120</v>
      </c>
      <c r="G37" s="19" t="s">
        <v>33</v>
      </c>
      <c r="H37" s="19" t="s">
        <v>33</v>
      </c>
      <c r="I37" s="19">
        <f t="shared" si="0"/>
        <v>1</v>
      </c>
      <c r="J37" s="19" t="s">
        <v>119</v>
      </c>
      <c r="K37" s="19" t="s">
        <v>101</v>
      </c>
      <c r="L37" s="15" t="b">
        <f>OR(C37='Cocktail Finder'!$B$2,ISBLANK('Cocktail Finder'!$B$2))</f>
        <v>1</v>
      </c>
      <c r="M37" s="15" t="b">
        <f>OR(D37='Cocktail Finder'!$B$7,ISBLANK('Cocktail Finder'!$B$7))</f>
        <v>1</v>
      </c>
      <c r="N37" s="15" t="b">
        <f>OR(E37='Cocktail Finder'!$B$5,ISBLANK('Cocktail Finder'!$B$5))</f>
        <v>1</v>
      </c>
      <c r="O37" s="15" t="b">
        <f>OR(F37='Cocktail Finder'!$B$4,ISBLANK('Cocktail Finder'!$B$4))</f>
        <v>1</v>
      </c>
      <c r="P37" s="15" t="b">
        <f>OR(G37='Cocktail Finder'!$B$3,ISBLANK('Cocktail Finder'!$B$3))</f>
        <v>1</v>
      </c>
      <c r="Q37" s="15" t="b">
        <f>OR(H37='Cocktail Finder'!$B$6,ISBLANK('Cocktail Finder'!$B$6))</f>
        <v>1</v>
      </c>
      <c r="R37" s="15">
        <f t="shared" ref="R37:T37" si="38">IFERROR(FIND("juice",E37),"")</f>
        <v>7</v>
      </c>
      <c r="S37" s="15" t="str">
        <f t="shared" si="38"/>
        <v/>
      </c>
      <c r="T37" s="15" t="str">
        <f t="shared" si="38"/>
        <v/>
      </c>
      <c r="U37" s="15" t="str">
        <f t="shared" si="2"/>
        <v>lemon juice</v>
      </c>
    </row>
    <row r="38" spans="1:22" ht="15.75" customHeight="1" x14ac:dyDescent="0.2">
      <c r="A38" s="19">
        <f t="shared" si="3"/>
        <v>37</v>
      </c>
      <c r="B38" s="19" t="s">
        <v>121</v>
      </c>
      <c r="C38" s="19" t="s">
        <v>49</v>
      </c>
      <c r="D38" s="19" t="s">
        <v>100</v>
      </c>
      <c r="E38" s="19" t="s">
        <v>38</v>
      </c>
      <c r="F38" s="19" t="s">
        <v>70</v>
      </c>
      <c r="G38" s="19" t="s">
        <v>33</v>
      </c>
      <c r="H38" s="19" t="s">
        <v>33</v>
      </c>
      <c r="I38" s="19">
        <f t="shared" si="0"/>
        <v>1</v>
      </c>
      <c r="J38" s="19" t="s">
        <v>121</v>
      </c>
      <c r="K38" s="19" t="s">
        <v>101</v>
      </c>
      <c r="L38" s="15" t="b">
        <f>OR(C38='Cocktail Finder'!$B$2,ISBLANK('Cocktail Finder'!$B$2))</f>
        <v>1</v>
      </c>
      <c r="M38" s="15" t="b">
        <f>OR(D38='Cocktail Finder'!$B$7,ISBLANK('Cocktail Finder'!$B$7))</f>
        <v>1</v>
      </c>
      <c r="N38" s="15" t="b">
        <f>OR(E38='Cocktail Finder'!$B$5,ISBLANK('Cocktail Finder'!$B$5))</f>
        <v>1</v>
      </c>
      <c r="O38" s="15" t="b">
        <f>OR(F38='Cocktail Finder'!$B$4,ISBLANK('Cocktail Finder'!$B$4))</f>
        <v>1</v>
      </c>
      <c r="P38" s="15" t="b">
        <f>OR(G38='Cocktail Finder'!$B$3,ISBLANK('Cocktail Finder'!$B$3))</f>
        <v>1</v>
      </c>
      <c r="Q38" s="15" t="b">
        <f>OR(H38='Cocktail Finder'!$B$6,ISBLANK('Cocktail Finder'!$B$6))</f>
        <v>1</v>
      </c>
      <c r="R38" s="15">
        <f t="shared" ref="R38:T38" si="39">IFERROR(FIND("juice",E38),"")</f>
        <v>7</v>
      </c>
      <c r="S38" s="15" t="str">
        <f t="shared" si="39"/>
        <v/>
      </c>
      <c r="T38" s="15" t="str">
        <f t="shared" si="39"/>
        <v/>
      </c>
      <c r="U38" s="15" t="str">
        <f t="shared" si="2"/>
        <v>lemon juice</v>
      </c>
    </row>
    <row r="39" spans="1:22" ht="15.75" customHeight="1" x14ac:dyDescent="0.2">
      <c r="A39" s="19">
        <f t="shared" si="3"/>
        <v>38</v>
      </c>
      <c r="B39" s="19" t="s">
        <v>122</v>
      </c>
      <c r="C39" s="19" t="s">
        <v>49</v>
      </c>
      <c r="D39" s="19" t="s">
        <v>100</v>
      </c>
      <c r="E39" s="19" t="s">
        <v>38</v>
      </c>
      <c r="F39" s="19" t="s">
        <v>66</v>
      </c>
      <c r="G39" s="19" t="s">
        <v>78</v>
      </c>
      <c r="H39" s="19" t="s">
        <v>33</v>
      </c>
      <c r="I39" s="19">
        <f t="shared" si="0"/>
        <v>1</v>
      </c>
      <c r="J39" s="19" t="s">
        <v>122</v>
      </c>
      <c r="K39" s="19" t="s">
        <v>101</v>
      </c>
      <c r="L39" s="15" t="b">
        <f>OR(C39='Cocktail Finder'!$B$2,ISBLANK('Cocktail Finder'!$B$2))</f>
        <v>1</v>
      </c>
      <c r="M39" s="15" t="b">
        <f>OR(D39='Cocktail Finder'!$B$7,ISBLANK('Cocktail Finder'!$B$7))</f>
        <v>1</v>
      </c>
      <c r="N39" s="15" t="b">
        <f>OR(E39='Cocktail Finder'!$B$5,ISBLANK('Cocktail Finder'!$B$5))</f>
        <v>1</v>
      </c>
      <c r="O39" s="15" t="b">
        <f>OR(F39='Cocktail Finder'!$B$4,ISBLANK('Cocktail Finder'!$B$4))</f>
        <v>1</v>
      </c>
      <c r="P39" s="15" t="b">
        <f>OR(G39='Cocktail Finder'!$B$3,ISBLANK('Cocktail Finder'!$B$3))</f>
        <v>1</v>
      </c>
      <c r="Q39" s="15" t="b">
        <f>OR(H39='Cocktail Finder'!$B$6,ISBLANK('Cocktail Finder'!$B$6))</f>
        <v>1</v>
      </c>
      <c r="R39" s="15">
        <f t="shared" ref="R39:T39" si="40">IFERROR(FIND("juice",E39),"")</f>
        <v>7</v>
      </c>
      <c r="S39" s="15" t="str">
        <f t="shared" si="40"/>
        <v/>
      </c>
      <c r="T39" s="15">
        <f t="shared" si="40"/>
        <v>11</v>
      </c>
      <c r="U39" s="15" t="str">
        <f t="shared" si="2"/>
        <v>lemon juice</v>
      </c>
    </row>
    <row r="40" spans="1:22" ht="15.75" customHeight="1" x14ac:dyDescent="0.2">
      <c r="A40" s="19">
        <f t="shared" si="3"/>
        <v>39</v>
      </c>
      <c r="B40" s="19" t="s">
        <v>123</v>
      </c>
      <c r="C40" s="19" t="s">
        <v>49</v>
      </c>
      <c r="D40" s="19" t="s">
        <v>57</v>
      </c>
      <c r="E40" s="19" t="s">
        <v>38</v>
      </c>
      <c r="F40" s="19" t="s">
        <v>33</v>
      </c>
      <c r="G40" s="19" t="s">
        <v>33</v>
      </c>
      <c r="H40" s="19" t="s">
        <v>33</v>
      </c>
      <c r="I40" s="19">
        <f t="shared" si="0"/>
        <v>1</v>
      </c>
      <c r="J40" s="19" t="s">
        <v>123</v>
      </c>
      <c r="K40" s="19" t="s">
        <v>58</v>
      </c>
      <c r="L40" s="15" t="b">
        <f>OR(C40='Cocktail Finder'!$B$2,ISBLANK('Cocktail Finder'!$B$2))</f>
        <v>1</v>
      </c>
      <c r="M40" s="15" t="b">
        <f>OR(D40='Cocktail Finder'!$B$7,ISBLANK('Cocktail Finder'!$B$7))</f>
        <v>1</v>
      </c>
      <c r="N40" s="15" t="b">
        <f>OR(E40='Cocktail Finder'!$B$5,ISBLANK('Cocktail Finder'!$B$5))</f>
        <v>1</v>
      </c>
      <c r="O40" s="15" t="b">
        <f>OR(F40='Cocktail Finder'!$B$4,ISBLANK('Cocktail Finder'!$B$4))</f>
        <v>1</v>
      </c>
      <c r="P40" s="15" t="b">
        <f>OR(G40='Cocktail Finder'!$B$3,ISBLANK('Cocktail Finder'!$B$3))</f>
        <v>1</v>
      </c>
      <c r="Q40" s="15" t="b">
        <f>OR(H40='Cocktail Finder'!$B$6,ISBLANK('Cocktail Finder'!$B$6))</f>
        <v>1</v>
      </c>
      <c r="R40" s="15">
        <f t="shared" ref="R40:T40" si="41">IFERROR(FIND("juice",E40),"")</f>
        <v>7</v>
      </c>
      <c r="S40" s="15" t="str">
        <f t="shared" si="41"/>
        <v/>
      </c>
      <c r="T40" s="15" t="str">
        <f t="shared" si="41"/>
        <v/>
      </c>
      <c r="U40" s="15" t="str">
        <f t="shared" si="2"/>
        <v>lemon juice</v>
      </c>
    </row>
    <row r="41" spans="1:22" ht="15.75" customHeight="1" x14ac:dyDescent="0.2">
      <c r="A41" s="19">
        <f t="shared" si="3"/>
        <v>40</v>
      </c>
      <c r="B41" s="19" t="s">
        <v>124</v>
      </c>
      <c r="C41" s="19" t="s">
        <v>125</v>
      </c>
      <c r="D41" s="19" t="s">
        <v>100</v>
      </c>
      <c r="E41" s="19" t="s">
        <v>38</v>
      </c>
      <c r="F41" s="19" t="s">
        <v>74</v>
      </c>
      <c r="G41" s="19" t="s">
        <v>126</v>
      </c>
      <c r="H41" s="19" t="s">
        <v>33</v>
      </c>
      <c r="I41" s="19">
        <f t="shared" si="0"/>
        <v>1</v>
      </c>
      <c r="J41" s="19" t="s">
        <v>124</v>
      </c>
      <c r="K41" s="19" t="s">
        <v>101</v>
      </c>
      <c r="L41" s="15" t="b">
        <f>OR(C41='Cocktail Finder'!$B$2,ISBLANK('Cocktail Finder'!$B$2))</f>
        <v>1</v>
      </c>
      <c r="M41" s="15" t="b">
        <f>OR(D41='Cocktail Finder'!$B$7,ISBLANK('Cocktail Finder'!$B$7))</f>
        <v>1</v>
      </c>
      <c r="N41" s="15" t="b">
        <f>OR(E41='Cocktail Finder'!$B$5,ISBLANK('Cocktail Finder'!$B$5))</f>
        <v>1</v>
      </c>
      <c r="O41" s="15" t="b">
        <f>OR(F41='Cocktail Finder'!$B$4,ISBLANK('Cocktail Finder'!$B$4))</f>
        <v>1</v>
      </c>
      <c r="P41" s="15" t="b">
        <f>OR(G41='Cocktail Finder'!$B$3,ISBLANK('Cocktail Finder'!$B$3))</f>
        <v>1</v>
      </c>
      <c r="Q41" s="15" t="b">
        <f>OR(H41='Cocktail Finder'!$B$6,ISBLANK('Cocktail Finder'!$B$6))</f>
        <v>1</v>
      </c>
      <c r="R41" s="15">
        <f t="shared" ref="R41:T41" si="42">IFERROR(FIND("juice",E41),"")</f>
        <v>7</v>
      </c>
      <c r="S41" s="15" t="str">
        <f t="shared" si="42"/>
        <v/>
      </c>
      <c r="T41" s="15">
        <f t="shared" si="42"/>
        <v>8</v>
      </c>
      <c r="U41" s="15" t="str">
        <f t="shared" si="2"/>
        <v>lemon juice</v>
      </c>
    </row>
    <row r="42" spans="1:22" ht="15.75" customHeight="1" x14ac:dyDescent="0.2">
      <c r="A42" s="19">
        <f t="shared" si="3"/>
        <v>41</v>
      </c>
      <c r="B42" s="19" t="s">
        <v>127</v>
      </c>
      <c r="C42" s="19" t="s">
        <v>128</v>
      </c>
      <c r="D42" s="19" t="s">
        <v>100</v>
      </c>
      <c r="E42" s="19" t="s">
        <v>90</v>
      </c>
      <c r="F42" s="19" t="s">
        <v>66</v>
      </c>
      <c r="G42" s="19" t="s">
        <v>129</v>
      </c>
      <c r="H42" s="19" t="s">
        <v>33</v>
      </c>
      <c r="I42" s="19">
        <f t="shared" si="0"/>
        <v>1</v>
      </c>
      <c r="J42" s="19" t="s">
        <v>127</v>
      </c>
      <c r="K42" s="19" t="s">
        <v>101</v>
      </c>
      <c r="L42" s="15" t="b">
        <f>OR(C42='Cocktail Finder'!$B$2,ISBLANK('Cocktail Finder'!$B$2))</f>
        <v>1</v>
      </c>
      <c r="M42" s="15" t="b">
        <f>OR(D42='Cocktail Finder'!$B$7,ISBLANK('Cocktail Finder'!$B$7))</f>
        <v>1</v>
      </c>
      <c r="N42" s="15" t="b">
        <f>OR(E42='Cocktail Finder'!$B$5,ISBLANK('Cocktail Finder'!$B$5))</f>
        <v>1</v>
      </c>
      <c r="O42" s="15" t="b">
        <f>OR(F42='Cocktail Finder'!$B$4,ISBLANK('Cocktail Finder'!$B$4))</f>
        <v>1</v>
      </c>
      <c r="P42" s="15" t="b">
        <f>OR(G42='Cocktail Finder'!$B$3,ISBLANK('Cocktail Finder'!$B$3))</f>
        <v>1</v>
      </c>
      <c r="Q42" s="15" t="b">
        <f>OR(H42='Cocktail Finder'!$B$6,ISBLANK('Cocktail Finder'!$B$6))</f>
        <v>1</v>
      </c>
      <c r="R42" s="15">
        <f t="shared" ref="R42:T42" si="43">IFERROR(FIND("juice",E42),"")</f>
        <v>6</v>
      </c>
      <c r="S42" s="15" t="str">
        <f t="shared" si="43"/>
        <v/>
      </c>
      <c r="T42" s="15">
        <f t="shared" si="43"/>
        <v>11</v>
      </c>
      <c r="U42" s="15" t="str">
        <f t="shared" si="2"/>
        <v>lime juice</v>
      </c>
    </row>
    <row r="43" spans="1:22" ht="15.75" customHeight="1" x14ac:dyDescent="0.2">
      <c r="A43" s="19">
        <f t="shared" si="3"/>
        <v>42</v>
      </c>
      <c r="B43" s="19" t="s">
        <v>130</v>
      </c>
      <c r="C43" s="19" t="s">
        <v>131</v>
      </c>
      <c r="D43" s="19"/>
      <c r="E43" s="19" t="s">
        <v>38</v>
      </c>
      <c r="F43" s="19" t="s">
        <v>86</v>
      </c>
      <c r="G43" s="19" t="s">
        <v>33</v>
      </c>
      <c r="H43" s="19" t="s">
        <v>33</v>
      </c>
      <c r="I43" s="19">
        <f t="shared" si="0"/>
        <v>1</v>
      </c>
      <c r="J43" s="19" t="s">
        <v>130</v>
      </c>
      <c r="K43" s="19" t="s">
        <v>39</v>
      </c>
      <c r="L43" s="15" t="b">
        <f>OR(C43='Cocktail Finder'!$B$2,ISBLANK('Cocktail Finder'!$B$2))</f>
        <v>1</v>
      </c>
      <c r="M43" s="15" t="b">
        <f>OR(D43='Cocktail Finder'!$B$7,ISBLANK('Cocktail Finder'!$B$7))</f>
        <v>1</v>
      </c>
      <c r="N43" s="15" t="b">
        <f>OR(E43='Cocktail Finder'!$B$5,ISBLANK('Cocktail Finder'!$B$5))</f>
        <v>1</v>
      </c>
      <c r="O43" s="15" t="b">
        <f>OR(F43='Cocktail Finder'!$B$4,ISBLANK('Cocktail Finder'!$B$4))</f>
        <v>1</v>
      </c>
      <c r="P43" s="15" t="b">
        <f>OR(G43='Cocktail Finder'!$B$3,ISBLANK('Cocktail Finder'!$B$3))</f>
        <v>1</v>
      </c>
      <c r="Q43" s="15" t="b">
        <f>OR(H43='Cocktail Finder'!$B$6,ISBLANK('Cocktail Finder'!$B$6))</f>
        <v>1</v>
      </c>
      <c r="R43" s="15">
        <f t="shared" ref="R43:T43" si="44">IFERROR(FIND("juice",E43),"")</f>
        <v>7</v>
      </c>
      <c r="S43" s="15" t="str">
        <f t="shared" si="44"/>
        <v/>
      </c>
      <c r="T43" s="15" t="str">
        <f t="shared" si="44"/>
        <v/>
      </c>
      <c r="U43" s="15" t="str">
        <f t="shared" si="2"/>
        <v>lemon juice</v>
      </c>
    </row>
    <row r="44" spans="1:22" ht="15.75" customHeight="1" x14ac:dyDescent="0.2">
      <c r="A44" s="19">
        <f t="shared" si="3"/>
        <v>43</v>
      </c>
      <c r="B44" s="20" t="s">
        <v>132</v>
      </c>
      <c r="C44" s="20" t="s">
        <v>131</v>
      </c>
      <c r="D44" s="20" t="s">
        <v>100</v>
      </c>
      <c r="E44" s="20" t="s">
        <v>90</v>
      </c>
      <c r="F44" s="20" t="s">
        <v>45</v>
      </c>
      <c r="G44" s="20" t="s">
        <v>33</v>
      </c>
      <c r="H44" s="20" t="s">
        <v>33</v>
      </c>
      <c r="I44" s="19">
        <f t="shared" si="0"/>
        <v>1</v>
      </c>
      <c r="J44" s="20" t="s">
        <v>132</v>
      </c>
      <c r="K44" s="20" t="s">
        <v>101</v>
      </c>
      <c r="L44" s="15" t="b">
        <f>OR(C44='Cocktail Finder'!$B$2,ISBLANK('Cocktail Finder'!$B$2))</f>
        <v>1</v>
      </c>
      <c r="M44" s="15" t="b">
        <f>OR(D44='Cocktail Finder'!$B$7,ISBLANK('Cocktail Finder'!$B$7))</f>
        <v>1</v>
      </c>
      <c r="N44" s="15" t="b">
        <f>OR(E44='Cocktail Finder'!$B$5,ISBLANK('Cocktail Finder'!$B$5))</f>
        <v>1</v>
      </c>
      <c r="O44" s="15" t="b">
        <f>OR(F44='Cocktail Finder'!$B$4,ISBLANK('Cocktail Finder'!$B$4))</f>
        <v>1</v>
      </c>
      <c r="P44" s="15" t="b">
        <f>OR(G44='Cocktail Finder'!$B$3,ISBLANK('Cocktail Finder'!$B$3))</f>
        <v>1</v>
      </c>
      <c r="Q44" s="15" t="b">
        <f>OR(H44='Cocktail Finder'!$B$6,ISBLANK('Cocktail Finder'!$B$6))</f>
        <v>1</v>
      </c>
      <c r="R44" s="15">
        <f t="shared" ref="R44:T44" si="45">IFERROR(FIND("juice",E44),"")</f>
        <v>6</v>
      </c>
      <c r="S44" s="15">
        <f t="shared" si="45"/>
        <v>11</v>
      </c>
      <c r="T44" s="15" t="str">
        <f t="shared" si="45"/>
        <v/>
      </c>
      <c r="U44" s="15" t="str">
        <f t="shared" si="2"/>
        <v>lime juice</v>
      </c>
    </row>
    <row r="45" spans="1:22" ht="15.75" customHeight="1" x14ac:dyDescent="0.2">
      <c r="A45" s="19">
        <f t="shared" si="3"/>
        <v>44</v>
      </c>
      <c r="B45" s="19" t="s">
        <v>133</v>
      </c>
      <c r="C45" s="19" t="s">
        <v>131</v>
      </c>
      <c r="D45" s="19" t="s">
        <v>100</v>
      </c>
      <c r="E45" s="19" t="s">
        <v>90</v>
      </c>
      <c r="F45" s="19" t="s">
        <v>134</v>
      </c>
      <c r="G45" s="19" t="s">
        <v>33</v>
      </c>
      <c r="H45" s="19" t="s">
        <v>33</v>
      </c>
      <c r="I45" s="19">
        <f t="shared" si="0"/>
        <v>1</v>
      </c>
      <c r="J45" s="19" t="s">
        <v>133</v>
      </c>
      <c r="K45" s="19" t="s">
        <v>101</v>
      </c>
      <c r="L45" s="15" t="b">
        <f>OR(C45='Cocktail Finder'!$B$2,ISBLANK('Cocktail Finder'!$B$2))</f>
        <v>1</v>
      </c>
      <c r="M45" s="15" t="b">
        <f>OR(D45='Cocktail Finder'!$B$7,ISBLANK('Cocktail Finder'!$B$7))</f>
        <v>1</v>
      </c>
      <c r="N45" s="15" t="b">
        <f>OR(E45='Cocktail Finder'!$B$5,ISBLANK('Cocktail Finder'!$B$5))</f>
        <v>1</v>
      </c>
      <c r="O45" s="15" t="b">
        <f>OR(F45='Cocktail Finder'!$B$4,ISBLANK('Cocktail Finder'!$B$4))</f>
        <v>1</v>
      </c>
      <c r="P45" s="15" t="b">
        <f>OR(G45='Cocktail Finder'!$B$3,ISBLANK('Cocktail Finder'!$B$3))</f>
        <v>1</v>
      </c>
      <c r="Q45" s="15" t="b">
        <f>OR(H45='Cocktail Finder'!$B$6,ISBLANK('Cocktail Finder'!$B$6))</f>
        <v>1</v>
      </c>
      <c r="R45" s="15">
        <f t="shared" ref="R45:T45" si="46">IFERROR(FIND("juice",E45),"")</f>
        <v>6</v>
      </c>
      <c r="S45" s="15">
        <f t="shared" si="46"/>
        <v>12</v>
      </c>
      <c r="T45" s="15" t="str">
        <f t="shared" si="46"/>
        <v/>
      </c>
      <c r="U45" s="15" t="str">
        <f t="shared" si="2"/>
        <v>lime juice</v>
      </c>
    </row>
    <row r="46" spans="1:22" ht="15.75" customHeight="1" x14ac:dyDescent="0.2">
      <c r="A46" s="19">
        <f t="shared" si="3"/>
        <v>45</v>
      </c>
      <c r="B46" s="19" t="s">
        <v>135</v>
      </c>
      <c r="C46" s="19" t="s">
        <v>136</v>
      </c>
      <c r="D46" s="19" t="s">
        <v>137</v>
      </c>
      <c r="E46" s="19"/>
      <c r="F46" s="19" t="s">
        <v>32</v>
      </c>
      <c r="G46" s="19" t="s">
        <v>33</v>
      </c>
      <c r="H46" s="19" t="s">
        <v>33</v>
      </c>
      <c r="I46" s="19">
        <f t="shared" si="0"/>
        <v>1</v>
      </c>
      <c r="J46" s="19" t="s">
        <v>135</v>
      </c>
      <c r="K46" s="19" t="s">
        <v>34</v>
      </c>
      <c r="L46" s="15" t="b">
        <f>OR(C46='Cocktail Finder'!$B$2,ISBLANK('Cocktail Finder'!$B$2))</f>
        <v>1</v>
      </c>
      <c r="M46" s="15" t="b">
        <f>OR(D46='Cocktail Finder'!$B$7,ISBLANK('Cocktail Finder'!$B$7))</f>
        <v>1</v>
      </c>
      <c r="N46" s="15" t="b">
        <f>OR(E46='Cocktail Finder'!$B$5,ISBLANK('Cocktail Finder'!$B$5))</f>
        <v>1</v>
      </c>
      <c r="O46" s="15" t="b">
        <f>OR(F46='Cocktail Finder'!$B$4,ISBLANK('Cocktail Finder'!$B$4))</f>
        <v>1</v>
      </c>
      <c r="P46" s="15" t="b">
        <f>OR(G46='Cocktail Finder'!$B$3,ISBLANK('Cocktail Finder'!$B$3))</f>
        <v>1</v>
      </c>
      <c r="Q46" s="15" t="b">
        <f>OR(H46='Cocktail Finder'!$B$6,ISBLANK('Cocktail Finder'!$B$6))</f>
        <v>1</v>
      </c>
      <c r="R46" s="15" t="str">
        <f t="shared" ref="R46:T46" si="47">IFERROR(FIND("juice",E46),"")</f>
        <v/>
      </c>
      <c r="S46" s="15" t="str">
        <f t="shared" si="47"/>
        <v/>
      </c>
      <c r="T46" s="15" t="str">
        <f t="shared" si="47"/>
        <v/>
      </c>
      <c r="U46" s="15" t="str">
        <f t="shared" si="2"/>
        <v/>
      </c>
    </row>
    <row r="47" spans="1:22" ht="15.75" customHeight="1" x14ac:dyDescent="0.2">
      <c r="A47" s="19">
        <f t="shared" si="3"/>
        <v>46</v>
      </c>
      <c r="B47" s="19" t="s">
        <v>138</v>
      </c>
      <c r="C47" s="19" t="s">
        <v>136</v>
      </c>
      <c r="D47" s="19" t="s">
        <v>139</v>
      </c>
      <c r="E47" s="19"/>
      <c r="F47" s="19" t="s">
        <v>33</v>
      </c>
      <c r="G47" s="19" t="s">
        <v>33</v>
      </c>
      <c r="H47" s="19" t="s">
        <v>33</v>
      </c>
      <c r="I47" s="19">
        <f t="shared" si="0"/>
        <v>1</v>
      </c>
      <c r="J47" s="19" t="s">
        <v>138</v>
      </c>
      <c r="K47" s="19" t="s">
        <v>34</v>
      </c>
      <c r="L47" s="15" t="b">
        <f>OR(C47='Cocktail Finder'!$B$2,ISBLANK('Cocktail Finder'!$B$2))</f>
        <v>1</v>
      </c>
      <c r="M47" s="15" t="b">
        <f>OR(D47='Cocktail Finder'!$B$7,ISBLANK('Cocktail Finder'!$B$7))</f>
        <v>1</v>
      </c>
      <c r="N47" s="15" t="b">
        <f>OR(E47='Cocktail Finder'!$B$5,ISBLANK('Cocktail Finder'!$B$5))</f>
        <v>1</v>
      </c>
      <c r="O47" s="15" t="b">
        <f>OR(F47='Cocktail Finder'!$B$4,ISBLANK('Cocktail Finder'!$B$4))</f>
        <v>1</v>
      </c>
      <c r="P47" s="15" t="b">
        <f>OR(G47='Cocktail Finder'!$B$3,ISBLANK('Cocktail Finder'!$B$3))</f>
        <v>1</v>
      </c>
      <c r="Q47" s="15" t="b">
        <f>OR(H47='Cocktail Finder'!$B$6,ISBLANK('Cocktail Finder'!$B$6))</f>
        <v>1</v>
      </c>
      <c r="R47" s="15" t="str">
        <f t="shared" ref="R47:T47" si="48">IFERROR(FIND("juice",E47),"")</f>
        <v/>
      </c>
      <c r="S47" s="15" t="str">
        <f t="shared" si="48"/>
        <v/>
      </c>
      <c r="T47" s="15" t="str">
        <f t="shared" si="48"/>
        <v/>
      </c>
      <c r="U47" s="15" t="str">
        <f t="shared" si="2"/>
        <v/>
      </c>
    </row>
    <row r="48" spans="1:22" ht="15.75" customHeight="1" x14ac:dyDescent="0.2">
      <c r="A48" s="19">
        <f t="shared" si="3"/>
        <v>47</v>
      </c>
      <c r="B48" s="19" t="s">
        <v>140</v>
      </c>
      <c r="C48" s="19" t="s">
        <v>136</v>
      </c>
      <c r="D48" s="19" t="s">
        <v>104</v>
      </c>
      <c r="E48" s="19"/>
      <c r="F48" s="19" t="s">
        <v>33</v>
      </c>
      <c r="G48" s="19" t="s">
        <v>33</v>
      </c>
      <c r="H48" s="19" t="s">
        <v>33</v>
      </c>
      <c r="I48" s="19">
        <f t="shared" si="0"/>
        <v>1</v>
      </c>
      <c r="J48" s="19" t="s">
        <v>140</v>
      </c>
      <c r="K48" s="19" t="s">
        <v>34</v>
      </c>
      <c r="L48" s="15" t="b">
        <f>OR(C48='Cocktail Finder'!$B$2,ISBLANK('Cocktail Finder'!$B$2))</f>
        <v>1</v>
      </c>
      <c r="M48" s="15" t="b">
        <f>OR(D48='Cocktail Finder'!$B$7,ISBLANK('Cocktail Finder'!$B$7))</f>
        <v>1</v>
      </c>
      <c r="N48" s="15" t="b">
        <f>OR(E48='Cocktail Finder'!$B$5,ISBLANK('Cocktail Finder'!$B$5))</f>
        <v>1</v>
      </c>
      <c r="O48" s="15" t="b">
        <f>OR(F48='Cocktail Finder'!$B$4,ISBLANK('Cocktail Finder'!$B$4))</f>
        <v>1</v>
      </c>
      <c r="P48" s="15" t="b">
        <f>OR(G48='Cocktail Finder'!$B$3,ISBLANK('Cocktail Finder'!$B$3))</f>
        <v>1</v>
      </c>
      <c r="Q48" s="15" t="b">
        <f>OR(H48='Cocktail Finder'!$B$6,ISBLANK('Cocktail Finder'!$B$6))</f>
        <v>1</v>
      </c>
      <c r="R48" s="15" t="str">
        <f t="shared" ref="R48:T48" si="49">IFERROR(FIND("juice",E48),"")</f>
        <v/>
      </c>
      <c r="S48" s="15" t="str">
        <f t="shared" si="49"/>
        <v/>
      </c>
      <c r="T48" s="15" t="str">
        <f t="shared" si="49"/>
        <v/>
      </c>
      <c r="U48" s="15" t="str">
        <f t="shared" si="2"/>
        <v/>
      </c>
    </row>
    <row r="49" spans="1:21" ht="15.75" customHeight="1" x14ac:dyDescent="0.2">
      <c r="A49" s="19">
        <f t="shared" si="3"/>
        <v>48</v>
      </c>
      <c r="B49" s="19" t="s">
        <v>141</v>
      </c>
      <c r="C49" s="19" t="s">
        <v>136</v>
      </c>
      <c r="D49" s="19" t="s">
        <v>114</v>
      </c>
      <c r="E49" s="19"/>
      <c r="F49" s="19" t="s">
        <v>33</v>
      </c>
      <c r="G49" s="19" t="s">
        <v>33</v>
      </c>
      <c r="H49" s="19" t="s">
        <v>33</v>
      </c>
      <c r="I49" s="19">
        <f t="shared" si="0"/>
        <v>1</v>
      </c>
      <c r="J49" s="19" t="s">
        <v>141</v>
      </c>
      <c r="K49" s="19" t="s">
        <v>34</v>
      </c>
      <c r="L49" s="15" t="b">
        <f>OR(C49='Cocktail Finder'!$B$2,ISBLANK('Cocktail Finder'!$B$2))</f>
        <v>1</v>
      </c>
      <c r="M49" s="15" t="b">
        <f>OR(D49='Cocktail Finder'!$B$7,ISBLANK('Cocktail Finder'!$B$7))</f>
        <v>1</v>
      </c>
      <c r="N49" s="15" t="b">
        <f>OR(E49='Cocktail Finder'!$B$5,ISBLANK('Cocktail Finder'!$B$5))</f>
        <v>1</v>
      </c>
      <c r="O49" s="15" t="b">
        <f>OR(F49='Cocktail Finder'!$B$4,ISBLANK('Cocktail Finder'!$B$4))</f>
        <v>1</v>
      </c>
      <c r="P49" s="15" t="b">
        <f>OR(G49='Cocktail Finder'!$B$3,ISBLANK('Cocktail Finder'!$B$3))</f>
        <v>1</v>
      </c>
      <c r="Q49" s="15" t="b">
        <f>OR(H49='Cocktail Finder'!$B$6,ISBLANK('Cocktail Finder'!$B$6))</f>
        <v>1</v>
      </c>
      <c r="R49" s="15" t="str">
        <f t="shared" ref="R49:T49" si="50">IFERROR(FIND("juice",E49),"")</f>
        <v/>
      </c>
      <c r="S49" s="15" t="str">
        <f t="shared" si="50"/>
        <v/>
      </c>
      <c r="T49" s="15" t="str">
        <f t="shared" si="50"/>
        <v/>
      </c>
      <c r="U49" s="15" t="str">
        <f t="shared" si="2"/>
        <v/>
      </c>
    </row>
    <row r="50" spans="1:21" ht="15.75" customHeight="1" x14ac:dyDescent="0.2">
      <c r="A50" s="19">
        <f t="shared" si="3"/>
        <v>49</v>
      </c>
      <c r="B50" s="19" t="s">
        <v>142</v>
      </c>
      <c r="C50" s="19" t="s">
        <v>57</v>
      </c>
      <c r="D50" s="19" t="s">
        <v>31</v>
      </c>
      <c r="E50" s="19"/>
      <c r="F50" s="19" t="s">
        <v>32</v>
      </c>
      <c r="G50" s="19" t="s">
        <v>33</v>
      </c>
      <c r="H50" s="19" t="s">
        <v>33</v>
      </c>
      <c r="I50" s="19">
        <f t="shared" si="0"/>
        <v>1</v>
      </c>
      <c r="J50" s="19" t="s">
        <v>142</v>
      </c>
      <c r="K50" s="19" t="s">
        <v>34</v>
      </c>
      <c r="L50" s="15" t="b">
        <f>OR(C50='Cocktail Finder'!$B$2,ISBLANK('Cocktail Finder'!$B$2))</f>
        <v>1</v>
      </c>
      <c r="M50" s="15" t="b">
        <f>OR(D50='Cocktail Finder'!$B$7,ISBLANK('Cocktail Finder'!$B$7))</f>
        <v>1</v>
      </c>
      <c r="N50" s="15" t="b">
        <f>OR(E50='Cocktail Finder'!$B$5,ISBLANK('Cocktail Finder'!$B$5))</f>
        <v>1</v>
      </c>
      <c r="O50" s="15" t="b">
        <f>OR(F50='Cocktail Finder'!$B$4,ISBLANK('Cocktail Finder'!$B$4))</f>
        <v>1</v>
      </c>
      <c r="P50" s="15" t="b">
        <f>OR(G50='Cocktail Finder'!$B$3,ISBLANK('Cocktail Finder'!$B$3))</f>
        <v>1</v>
      </c>
      <c r="Q50" s="15" t="b">
        <f>OR(H50='Cocktail Finder'!$B$6,ISBLANK('Cocktail Finder'!$B$6))</f>
        <v>1</v>
      </c>
      <c r="R50" s="15" t="str">
        <f t="shared" ref="R50:T50" si="51">IFERROR(FIND("juice",E50),"")</f>
        <v/>
      </c>
      <c r="S50" s="15" t="str">
        <f t="shared" si="51"/>
        <v/>
      </c>
      <c r="T50" s="15" t="str">
        <f t="shared" si="51"/>
        <v/>
      </c>
      <c r="U50" s="15" t="str">
        <f t="shared" si="2"/>
        <v/>
      </c>
    </row>
    <row r="51" spans="1:21" ht="15.75" customHeight="1" x14ac:dyDescent="0.2">
      <c r="A51" s="19">
        <f t="shared" si="3"/>
        <v>50</v>
      </c>
      <c r="B51" s="19" t="s">
        <v>143</v>
      </c>
      <c r="C51" s="19" t="s">
        <v>144</v>
      </c>
      <c r="D51" s="19" t="s">
        <v>100</v>
      </c>
      <c r="E51" s="19" t="s">
        <v>90</v>
      </c>
      <c r="F51" s="19" t="s">
        <v>45</v>
      </c>
      <c r="G51" s="19" t="s">
        <v>33</v>
      </c>
      <c r="H51" s="19" t="s">
        <v>33</v>
      </c>
      <c r="I51" s="19">
        <f t="shared" si="0"/>
        <v>1</v>
      </c>
      <c r="J51" s="19" t="s">
        <v>143</v>
      </c>
      <c r="K51" s="19" t="s">
        <v>101</v>
      </c>
      <c r="L51" s="15" t="b">
        <f>OR(C51='Cocktail Finder'!$B$2,ISBLANK('Cocktail Finder'!$B$2))</f>
        <v>1</v>
      </c>
      <c r="M51" s="15" t="b">
        <f>OR(D51='Cocktail Finder'!$B$7,ISBLANK('Cocktail Finder'!$B$7))</f>
        <v>1</v>
      </c>
      <c r="N51" s="15" t="b">
        <f>OR(E51='Cocktail Finder'!$B$5,ISBLANK('Cocktail Finder'!$B$5))</f>
        <v>1</v>
      </c>
      <c r="O51" s="15" t="b">
        <f>OR(F51='Cocktail Finder'!$B$4,ISBLANK('Cocktail Finder'!$B$4))</f>
        <v>1</v>
      </c>
      <c r="P51" s="15" t="b">
        <f>OR(G51='Cocktail Finder'!$B$3,ISBLANK('Cocktail Finder'!$B$3))</f>
        <v>1</v>
      </c>
      <c r="Q51" s="15" t="b">
        <f>OR(H51='Cocktail Finder'!$B$6,ISBLANK('Cocktail Finder'!$B$6))</f>
        <v>1</v>
      </c>
      <c r="R51" s="15">
        <f t="shared" ref="R51:T51" si="52">IFERROR(FIND("juice",E51),"")</f>
        <v>6</v>
      </c>
      <c r="S51" s="15">
        <f t="shared" si="52"/>
        <v>11</v>
      </c>
      <c r="T51" s="15" t="str">
        <f t="shared" si="52"/>
        <v/>
      </c>
      <c r="U51" s="15" t="str">
        <f t="shared" si="2"/>
        <v>lime juice</v>
      </c>
    </row>
    <row r="52" spans="1:21" ht="15.75" customHeight="1" x14ac:dyDescent="0.2">
      <c r="A52" s="19">
        <f t="shared" si="3"/>
        <v>51</v>
      </c>
      <c r="B52" s="19" t="s">
        <v>145</v>
      </c>
      <c r="C52" s="19" t="s">
        <v>146</v>
      </c>
      <c r="D52" s="19" t="s">
        <v>31</v>
      </c>
      <c r="E52" s="19"/>
      <c r="F52" s="19" t="s">
        <v>32</v>
      </c>
      <c r="G52" s="19" t="s">
        <v>33</v>
      </c>
      <c r="H52" s="19" t="s">
        <v>33</v>
      </c>
      <c r="I52" s="19">
        <f t="shared" si="0"/>
        <v>1</v>
      </c>
      <c r="J52" s="19" t="s">
        <v>145</v>
      </c>
      <c r="K52" s="19" t="s">
        <v>34</v>
      </c>
      <c r="L52" s="15" t="b">
        <f>OR(C52='Cocktail Finder'!$B$2,ISBLANK('Cocktail Finder'!$B$2))</f>
        <v>1</v>
      </c>
      <c r="M52" s="15" t="b">
        <f>OR(D52='Cocktail Finder'!$B$7,ISBLANK('Cocktail Finder'!$B$7))</f>
        <v>1</v>
      </c>
      <c r="N52" s="15" t="b">
        <f>OR(E52='Cocktail Finder'!$B$5,ISBLANK('Cocktail Finder'!$B$5))</f>
        <v>1</v>
      </c>
      <c r="O52" s="15" t="b">
        <f>OR(F52='Cocktail Finder'!$B$4,ISBLANK('Cocktail Finder'!$B$4))</f>
        <v>1</v>
      </c>
      <c r="P52" s="15" t="b">
        <f>OR(G52='Cocktail Finder'!$B$3,ISBLANK('Cocktail Finder'!$B$3))</f>
        <v>1</v>
      </c>
      <c r="Q52" s="15" t="b">
        <f>OR(H52='Cocktail Finder'!$B$6,ISBLANK('Cocktail Finder'!$B$6))</f>
        <v>1</v>
      </c>
      <c r="R52" s="15" t="str">
        <f t="shared" ref="R52:T52" si="53">IFERROR(FIND("juice",E52),"")</f>
        <v/>
      </c>
      <c r="S52" s="15" t="str">
        <f t="shared" si="53"/>
        <v/>
      </c>
      <c r="T52" s="15" t="str">
        <f t="shared" si="53"/>
        <v/>
      </c>
      <c r="U52" s="15" t="str">
        <f t="shared" si="2"/>
        <v/>
      </c>
    </row>
    <row r="53" spans="1:21" ht="15.75" customHeight="1" x14ac:dyDescent="0.2">
      <c r="A53" s="19">
        <f t="shared" si="3"/>
        <v>52</v>
      </c>
      <c r="B53" s="19" t="s">
        <v>147</v>
      </c>
      <c r="C53" s="19" t="s">
        <v>148</v>
      </c>
      <c r="D53" s="19" t="s">
        <v>31</v>
      </c>
      <c r="E53" s="19"/>
      <c r="F53" s="19" t="s">
        <v>32</v>
      </c>
      <c r="G53" s="19" t="s">
        <v>33</v>
      </c>
      <c r="H53" s="19" t="s">
        <v>33</v>
      </c>
      <c r="I53" s="19">
        <f t="shared" si="0"/>
        <v>1</v>
      </c>
      <c r="J53" s="19" t="s">
        <v>147</v>
      </c>
      <c r="K53" s="19" t="s">
        <v>34</v>
      </c>
      <c r="L53" s="15" t="b">
        <f>OR(C53='Cocktail Finder'!$B$2,ISBLANK('Cocktail Finder'!$B$2))</f>
        <v>1</v>
      </c>
      <c r="M53" s="15" t="b">
        <f>OR(D53='Cocktail Finder'!$B$7,ISBLANK('Cocktail Finder'!$B$7))</f>
        <v>1</v>
      </c>
      <c r="N53" s="15" t="b">
        <f>OR(E53='Cocktail Finder'!$B$5,ISBLANK('Cocktail Finder'!$B$5))</f>
        <v>1</v>
      </c>
      <c r="O53" s="15" t="b">
        <f>OR(F53='Cocktail Finder'!$B$4,ISBLANK('Cocktail Finder'!$B$4))</f>
        <v>1</v>
      </c>
      <c r="P53" s="15" t="b">
        <f>OR(G53='Cocktail Finder'!$B$3,ISBLANK('Cocktail Finder'!$B$3))</f>
        <v>1</v>
      </c>
      <c r="Q53" s="15" t="b">
        <f>OR(H53='Cocktail Finder'!$B$6,ISBLANK('Cocktail Finder'!$B$6))</f>
        <v>1</v>
      </c>
      <c r="R53" s="15" t="str">
        <f t="shared" ref="R53:T53" si="54">IFERROR(FIND("juice",E53),"")</f>
        <v/>
      </c>
      <c r="S53" s="15" t="str">
        <f t="shared" si="54"/>
        <v/>
      </c>
      <c r="T53" s="15" t="str">
        <f t="shared" si="54"/>
        <v/>
      </c>
      <c r="U53" s="15" t="str">
        <f t="shared" si="2"/>
        <v/>
      </c>
    </row>
    <row r="54" spans="1:21" ht="15.75" customHeight="1" x14ac:dyDescent="0.2">
      <c r="A54" s="19">
        <f t="shared" si="3"/>
        <v>53</v>
      </c>
      <c r="B54" s="19" t="s">
        <v>149</v>
      </c>
      <c r="C54" s="19" t="s">
        <v>148</v>
      </c>
      <c r="D54" s="19" t="s">
        <v>53</v>
      </c>
      <c r="E54" s="19"/>
      <c r="F54" s="19" t="s">
        <v>33</v>
      </c>
      <c r="G54" s="19" t="s">
        <v>33</v>
      </c>
      <c r="H54" s="19" t="s">
        <v>33</v>
      </c>
      <c r="I54" s="19">
        <f t="shared" si="0"/>
        <v>1</v>
      </c>
      <c r="J54" s="19" t="s">
        <v>149</v>
      </c>
      <c r="K54" s="19" t="s">
        <v>34</v>
      </c>
      <c r="L54" s="15" t="b">
        <f>OR(C54='Cocktail Finder'!$B$2,ISBLANK('Cocktail Finder'!$B$2))</f>
        <v>1</v>
      </c>
      <c r="M54" s="15" t="b">
        <f>OR(D54='Cocktail Finder'!$B$7,ISBLANK('Cocktail Finder'!$B$7))</f>
        <v>1</v>
      </c>
      <c r="N54" s="15" t="b">
        <f>OR(E54='Cocktail Finder'!$B$5,ISBLANK('Cocktail Finder'!$B$5))</f>
        <v>1</v>
      </c>
      <c r="O54" s="15" t="b">
        <f>OR(F54='Cocktail Finder'!$B$4,ISBLANK('Cocktail Finder'!$B$4))</f>
        <v>1</v>
      </c>
      <c r="P54" s="15" t="b">
        <f>OR(G54='Cocktail Finder'!$B$3,ISBLANK('Cocktail Finder'!$B$3))</f>
        <v>1</v>
      </c>
      <c r="Q54" s="15" t="b">
        <f>OR(H54='Cocktail Finder'!$B$6,ISBLANK('Cocktail Finder'!$B$6))</f>
        <v>1</v>
      </c>
      <c r="R54" s="15" t="str">
        <f t="shared" ref="R54:T54" si="55">IFERROR(FIND("juice",E54),"")</f>
        <v/>
      </c>
      <c r="S54" s="15" t="str">
        <f t="shared" si="55"/>
        <v/>
      </c>
      <c r="T54" s="15" t="str">
        <f t="shared" si="55"/>
        <v/>
      </c>
      <c r="U54" s="15" t="str">
        <f t="shared" si="2"/>
        <v/>
      </c>
    </row>
    <row r="55" spans="1:21" ht="15.75" customHeight="1" x14ac:dyDescent="0.2">
      <c r="A55" s="19">
        <f t="shared" si="3"/>
        <v>54</v>
      </c>
      <c r="B55" s="19" t="s">
        <v>150</v>
      </c>
      <c r="C55" s="19" t="s">
        <v>148</v>
      </c>
      <c r="D55" s="19" t="s">
        <v>151</v>
      </c>
      <c r="E55" s="19"/>
      <c r="F55" s="19" t="s">
        <v>33</v>
      </c>
      <c r="G55" s="19" t="s">
        <v>33</v>
      </c>
      <c r="H55" s="19" t="s">
        <v>33</v>
      </c>
      <c r="I55" s="19">
        <f t="shared" si="0"/>
        <v>1</v>
      </c>
      <c r="J55" s="19" t="s">
        <v>150</v>
      </c>
      <c r="K55" s="19" t="s">
        <v>34</v>
      </c>
      <c r="L55" s="15" t="b">
        <f>OR(C55='Cocktail Finder'!$B$2,ISBLANK('Cocktail Finder'!$B$2))</f>
        <v>1</v>
      </c>
      <c r="M55" s="15" t="b">
        <f>OR(D55='Cocktail Finder'!$B$7,ISBLANK('Cocktail Finder'!$B$7))</f>
        <v>1</v>
      </c>
      <c r="N55" s="15" t="b">
        <f>OR(E55='Cocktail Finder'!$B$5,ISBLANK('Cocktail Finder'!$B$5))</f>
        <v>1</v>
      </c>
      <c r="O55" s="15" t="b">
        <f>OR(F55='Cocktail Finder'!$B$4,ISBLANK('Cocktail Finder'!$B$4))</f>
        <v>1</v>
      </c>
      <c r="P55" s="15" t="b">
        <f>OR(G55='Cocktail Finder'!$B$3,ISBLANK('Cocktail Finder'!$B$3))</f>
        <v>1</v>
      </c>
      <c r="Q55" s="15" t="b">
        <f>OR(H55='Cocktail Finder'!$B$6,ISBLANK('Cocktail Finder'!$B$6))</f>
        <v>1</v>
      </c>
      <c r="R55" s="15" t="str">
        <f t="shared" ref="R55:T55" si="56">IFERROR(FIND("juice",E55),"")</f>
        <v/>
      </c>
      <c r="S55" s="15" t="str">
        <f t="shared" si="56"/>
        <v/>
      </c>
      <c r="T55" s="15" t="str">
        <f t="shared" si="56"/>
        <v/>
      </c>
      <c r="U55" s="15" t="str">
        <f t="shared" si="2"/>
        <v/>
      </c>
    </row>
    <row r="56" spans="1:21" ht="15.75" customHeight="1" x14ac:dyDescent="0.2">
      <c r="A56" s="19">
        <f t="shared" si="3"/>
        <v>55</v>
      </c>
      <c r="B56" s="19" t="s">
        <v>152</v>
      </c>
      <c r="C56" s="19" t="s">
        <v>148</v>
      </c>
      <c r="D56" s="19" t="s">
        <v>153</v>
      </c>
      <c r="E56" s="19"/>
      <c r="F56" s="19" t="s">
        <v>33</v>
      </c>
      <c r="G56" s="19" t="s">
        <v>33</v>
      </c>
      <c r="H56" s="19" t="s">
        <v>33</v>
      </c>
      <c r="I56" s="19">
        <f t="shared" si="0"/>
        <v>1</v>
      </c>
      <c r="J56" s="19" t="s">
        <v>152</v>
      </c>
      <c r="K56" s="19" t="s">
        <v>34</v>
      </c>
      <c r="L56" s="15" t="b">
        <f>OR(C56='Cocktail Finder'!$B$2,ISBLANK('Cocktail Finder'!$B$2))</f>
        <v>1</v>
      </c>
      <c r="M56" s="15" t="b">
        <f>OR(D56='Cocktail Finder'!$B$7,ISBLANK('Cocktail Finder'!$B$7))</f>
        <v>1</v>
      </c>
      <c r="N56" s="15" t="b">
        <f>OR(E56='Cocktail Finder'!$B$5,ISBLANK('Cocktail Finder'!$B$5))</f>
        <v>1</v>
      </c>
      <c r="O56" s="15" t="b">
        <f>OR(F56='Cocktail Finder'!$B$4,ISBLANK('Cocktail Finder'!$B$4))</f>
        <v>1</v>
      </c>
      <c r="P56" s="15" t="b">
        <f>OR(G56='Cocktail Finder'!$B$3,ISBLANK('Cocktail Finder'!$B$3))</f>
        <v>1</v>
      </c>
      <c r="Q56" s="15" t="b">
        <f>OR(H56='Cocktail Finder'!$B$6,ISBLANK('Cocktail Finder'!$B$6))</f>
        <v>1</v>
      </c>
      <c r="R56" s="15" t="str">
        <f t="shared" ref="R56:T56" si="57">IFERROR(FIND("juice",E56),"")</f>
        <v/>
      </c>
      <c r="S56" s="15" t="str">
        <f t="shared" si="57"/>
        <v/>
      </c>
      <c r="T56" s="15" t="str">
        <f t="shared" si="57"/>
        <v/>
      </c>
      <c r="U56" s="15" t="str">
        <f t="shared" si="2"/>
        <v/>
      </c>
    </row>
    <row r="57" spans="1:21" ht="15.75" customHeight="1" x14ac:dyDescent="0.2">
      <c r="A57" s="19">
        <f t="shared" si="3"/>
        <v>56</v>
      </c>
      <c r="B57" s="19" t="s">
        <v>154</v>
      </c>
      <c r="C57" s="19" t="s">
        <v>148</v>
      </c>
      <c r="D57" s="19" t="s">
        <v>62</v>
      </c>
      <c r="E57" s="19" t="s">
        <v>90</v>
      </c>
      <c r="F57" s="19" t="s">
        <v>33</v>
      </c>
      <c r="G57" s="19" t="s">
        <v>33</v>
      </c>
      <c r="H57" s="19" t="s">
        <v>33</v>
      </c>
      <c r="I57" s="19">
        <f t="shared" si="0"/>
        <v>1</v>
      </c>
      <c r="J57" s="19" t="s">
        <v>154</v>
      </c>
      <c r="K57" s="19" t="s">
        <v>82</v>
      </c>
      <c r="L57" s="15" t="b">
        <f>OR(C57='Cocktail Finder'!$B$2,ISBLANK('Cocktail Finder'!$B$2))</f>
        <v>1</v>
      </c>
      <c r="M57" s="15" t="b">
        <f>OR(D57='Cocktail Finder'!$B$7,ISBLANK('Cocktail Finder'!$B$7))</f>
        <v>1</v>
      </c>
      <c r="N57" s="15" t="b">
        <f>OR(E57='Cocktail Finder'!$B$5,ISBLANK('Cocktail Finder'!$B$5))</f>
        <v>1</v>
      </c>
      <c r="O57" s="15" t="b">
        <f>OR(F57='Cocktail Finder'!$B$4,ISBLANK('Cocktail Finder'!$B$4))</f>
        <v>1</v>
      </c>
      <c r="P57" s="15" t="b">
        <f>OR(G57='Cocktail Finder'!$B$3,ISBLANK('Cocktail Finder'!$B$3))</f>
        <v>1</v>
      </c>
      <c r="Q57" s="15" t="b">
        <f>OR(H57='Cocktail Finder'!$B$6,ISBLANK('Cocktail Finder'!$B$6))</f>
        <v>1</v>
      </c>
      <c r="R57" s="15">
        <f t="shared" ref="R57:T57" si="58">IFERROR(FIND("juice",E57),"")</f>
        <v>6</v>
      </c>
      <c r="S57" s="15" t="str">
        <f t="shared" si="58"/>
        <v/>
      </c>
      <c r="T57" s="15" t="str">
        <f t="shared" si="58"/>
        <v/>
      </c>
      <c r="U57" s="15" t="str">
        <f t="shared" si="2"/>
        <v>lime juice</v>
      </c>
    </row>
    <row r="58" spans="1:21" ht="15.75" customHeight="1" x14ac:dyDescent="0.2">
      <c r="A58" s="19">
        <f t="shared" si="3"/>
        <v>57</v>
      </c>
      <c r="B58" s="19" t="s">
        <v>155</v>
      </c>
      <c r="C58" s="19" t="s">
        <v>148</v>
      </c>
      <c r="D58" s="19" t="s">
        <v>156</v>
      </c>
      <c r="E58" s="19"/>
      <c r="F58" s="19" t="s">
        <v>33</v>
      </c>
      <c r="G58" s="19" t="s">
        <v>33</v>
      </c>
      <c r="H58" s="19" t="s">
        <v>33</v>
      </c>
      <c r="I58" s="19">
        <f t="shared" si="0"/>
        <v>1</v>
      </c>
      <c r="J58" s="19" t="s">
        <v>155</v>
      </c>
      <c r="K58" s="19" t="s">
        <v>82</v>
      </c>
      <c r="L58" s="15" t="b">
        <f>OR(C58='Cocktail Finder'!$B$2,ISBLANK('Cocktail Finder'!$B$2))</f>
        <v>1</v>
      </c>
      <c r="M58" s="15" t="b">
        <f>OR(D58='Cocktail Finder'!$B$7,ISBLANK('Cocktail Finder'!$B$7))</f>
        <v>1</v>
      </c>
      <c r="N58" s="15" t="b">
        <f>OR(E58='Cocktail Finder'!$B$5,ISBLANK('Cocktail Finder'!$B$5))</f>
        <v>1</v>
      </c>
      <c r="O58" s="15" t="b">
        <f>OR(F58='Cocktail Finder'!$B$4,ISBLANK('Cocktail Finder'!$B$4))</f>
        <v>1</v>
      </c>
      <c r="P58" s="15" t="b">
        <f>OR(G58='Cocktail Finder'!$B$3,ISBLANK('Cocktail Finder'!$B$3))</f>
        <v>1</v>
      </c>
      <c r="Q58" s="15" t="b">
        <f>OR(H58='Cocktail Finder'!$B$6,ISBLANK('Cocktail Finder'!$B$6))</f>
        <v>1</v>
      </c>
      <c r="R58" s="15" t="str">
        <f t="shared" ref="R58:T58" si="59">IFERROR(FIND("juice",E58),"")</f>
        <v/>
      </c>
      <c r="S58" s="15" t="str">
        <f t="shared" si="59"/>
        <v/>
      </c>
      <c r="T58" s="15" t="str">
        <f t="shared" si="59"/>
        <v/>
      </c>
      <c r="U58" s="15" t="str">
        <f t="shared" si="2"/>
        <v/>
      </c>
    </row>
    <row r="59" spans="1:21" ht="15.75" customHeight="1" x14ac:dyDescent="0.2">
      <c r="A59" s="19">
        <f t="shared" si="3"/>
        <v>58</v>
      </c>
      <c r="B59" s="19" t="s">
        <v>157</v>
      </c>
      <c r="C59" s="19" t="s">
        <v>148</v>
      </c>
      <c r="D59" s="19" t="s">
        <v>158</v>
      </c>
      <c r="E59" s="19"/>
      <c r="F59" s="19" t="s">
        <v>33</v>
      </c>
      <c r="G59" s="19" t="s">
        <v>33</v>
      </c>
      <c r="H59" s="19" t="s">
        <v>33</v>
      </c>
      <c r="I59" s="19">
        <f t="shared" si="0"/>
        <v>1</v>
      </c>
      <c r="J59" s="19" t="s">
        <v>157</v>
      </c>
      <c r="K59" s="19" t="s">
        <v>82</v>
      </c>
      <c r="L59" s="15" t="b">
        <f>OR(C59='Cocktail Finder'!$B$2,ISBLANK('Cocktail Finder'!$B$2))</f>
        <v>1</v>
      </c>
      <c r="M59" s="15" t="b">
        <f>OR(D59='Cocktail Finder'!$B$7,ISBLANK('Cocktail Finder'!$B$7))</f>
        <v>1</v>
      </c>
      <c r="N59" s="15" t="b">
        <f>OR(E59='Cocktail Finder'!$B$5,ISBLANK('Cocktail Finder'!$B$5))</f>
        <v>1</v>
      </c>
      <c r="O59" s="15" t="b">
        <f>OR(F59='Cocktail Finder'!$B$4,ISBLANK('Cocktail Finder'!$B$4))</f>
        <v>1</v>
      </c>
      <c r="P59" s="15" t="b">
        <f>OR(G59='Cocktail Finder'!$B$3,ISBLANK('Cocktail Finder'!$B$3))</f>
        <v>1</v>
      </c>
      <c r="Q59" s="15" t="b">
        <f>OR(H59='Cocktail Finder'!$B$6,ISBLANK('Cocktail Finder'!$B$6))</f>
        <v>1</v>
      </c>
      <c r="R59" s="15" t="str">
        <f t="shared" ref="R59:T59" si="60">IFERROR(FIND("juice",E59),"")</f>
        <v/>
      </c>
      <c r="S59" s="15" t="str">
        <f t="shared" si="60"/>
        <v/>
      </c>
      <c r="T59" s="15" t="str">
        <f t="shared" si="60"/>
        <v/>
      </c>
      <c r="U59" s="15" t="str">
        <f t="shared" si="2"/>
        <v/>
      </c>
    </row>
    <row r="60" spans="1:21" ht="15.75" customHeight="1" x14ac:dyDescent="0.2">
      <c r="A60" s="19">
        <f t="shared" si="3"/>
        <v>59</v>
      </c>
      <c r="B60" s="19" t="s">
        <v>159</v>
      </c>
      <c r="C60" s="19" t="s">
        <v>148</v>
      </c>
      <c r="D60" s="19"/>
      <c r="E60" s="19" t="s">
        <v>90</v>
      </c>
      <c r="F60" s="19" t="s">
        <v>86</v>
      </c>
      <c r="G60" s="19" t="s">
        <v>33</v>
      </c>
      <c r="H60" s="19" t="s">
        <v>33</v>
      </c>
      <c r="I60" s="19">
        <f t="shared" si="0"/>
        <v>1</v>
      </c>
      <c r="J60" s="19" t="s">
        <v>159</v>
      </c>
      <c r="K60" s="19" t="s">
        <v>39</v>
      </c>
      <c r="L60" s="15" t="b">
        <f>OR(C60='Cocktail Finder'!$B$2,ISBLANK('Cocktail Finder'!$B$2))</f>
        <v>1</v>
      </c>
      <c r="M60" s="15" t="b">
        <f>OR(D60='Cocktail Finder'!$B$7,ISBLANK('Cocktail Finder'!$B$7))</f>
        <v>1</v>
      </c>
      <c r="N60" s="15" t="b">
        <f>OR(E60='Cocktail Finder'!$B$5,ISBLANK('Cocktail Finder'!$B$5))</f>
        <v>1</v>
      </c>
      <c r="O60" s="15" t="b">
        <f>OR(F60='Cocktail Finder'!$B$4,ISBLANK('Cocktail Finder'!$B$4))</f>
        <v>1</v>
      </c>
      <c r="P60" s="15" t="b">
        <f>OR(G60='Cocktail Finder'!$B$3,ISBLANK('Cocktail Finder'!$B$3))</f>
        <v>1</v>
      </c>
      <c r="Q60" s="15" t="b">
        <f>OR(H60='Cocktail Finder'!$B$6,ISBLANK('Cocktail Finder'!$B$6))</f>
        <v>1</v>
      </c>
      <c r="R60" s="15">
        <f t="shared" ref="R60:T60" si="61">IFERROR(FIND("juice",E60),"")</f>
        <v>6</v>
      </c>
      <c r="S60" s="15" t="str">
        <f t="shared" si="61"/>
        <v/>
      </c>
      <c r="T60" s="15" t="str">
        <f t="shared" si="61"/>
        <v/>
      </c>
      <c r="U60" s="15" t="str">
        <f t="shared" si="2"/>
        <v>lime juice</v>
      </c>
    </row>
    <row r="61" spans="1:21" ht="15.75" customHeight="1" x14ac:dyDescent="0.2">
      <c r="A61" s="19">
        <f t="shared" si="3"/>
        <v>60</v>
      </c>
      <c r="B61" s="19" t="s">
        <v>160</v>
      </c>
      <c r="C61" s="19" t="s">
        <v>148</v>
      </c>
      <c r="D61" s="19"/>
      <c r="E61" s="19" t="s">
        <v>90</v>
      </c>
      <c r="F61" s="18" t="s">
        <v>86</v>
      </c>
      <c r="G61" s="18" t="s">
        <v>66</v>
      </c>
      <c r="H61" s="19" t="s">
        <v>33</v>
      </c>
      <c r="I61" s="19">
        <f t="shared" si="0"/>
        <v>1</v>
      </c>
      <c r="J61" s="19" t="s">
        <v>160</v>
      </c>
      <c r="K61" s="19" t="s">
        <v>39</v>
      </c>
      <c r="L61" s="15" t="b">
        <f>OR(C61='Cocktail Finder'!$B$2,ISBLANK('Cocktail Finder'!$B$2))</f>
        <v>1</v>
      </c>
      <c r="M61" s="15" t="b">
        <f>OR(D61='Cocktail Finder'!$B$7,ISBLANK('Cocktail Finder'!$B$7))</f>
        <v>1</v>
      </c>
      <c r="N61" s="15" t="b">
        <f>OR(E61='Cocktail Finder'!$B$5,ISBLANK('Cocktail Finder'!$B$5))</f>
        <v>1</v>
      </c>
      <c r="O61" s="15" t="b">
        <f>OR(F61='Cocktail Finder'!$B$4,ISBLANK('Cocktail Finder'!$B$4))</f>
        <v>1</v>
      </c>
      <c r="P61" s="15" t="b">
        <f>OR(G61='Cocktail Finder'!$B$3,ISBLANK('Cocktail Finder'!$B$3))</f>
        <v>1</v>
      </c>
      <c r="Q61" s="15" t="b">
        <f>OR(H61='Cocktail Finder'!$B$6,ISBLANK('Cocktail Finder'!$B$6))</f>
        <v>1</v>
      </c>
      <c r="R61" s="15">
        <f t="shared" ref="R61:T61" si="62">IFERROR(FIND("juice",E61),"")</f>
        <v>6</v>
      </c>
      <c r="S61" s="15" t="str">
        <f t="shared" si="62"/>
        <v/>
      </c>
      <c r="T61" s="15" t="str">
        <f t="shared" si="62"/>
        <v/>
      </c>
      <c r="U61" s="15" t="str">
        <f t="shared" si="2"/>
        <v>lime juice</v>
      </c>
    </row>
    <row r="62" spans="1:21" ht="15.75" customHeight="1" x14ac:dyDescent="0.2">
      <c r="A62" s="19">
        <f t="shared" si="3"/>
        <v>61</v>
      </c>
      <c r="B62" s="19" t="s">
        <v>161</v>
      </c>
      <c r="C62" s="19" t="s">
        <v>148</v>
      </c>
      <c r="D62" s="19"/>
      <c r="E62" s="19" t="s">
        <v>38</v>
      </c>
      <c r="F62" s="19" t="s">
        <v>162</v>
      </c>
      <c r="G62" s="19" t="s">
        <v>163</v>
      </c>
      <c r="H62" s="19" t="s">
        <v>33</v>
      </c>
      <c r="I62" s="19">
        <f t="shared" si="0"/>
        <v>1</v>
      </c>
      <c r="J62" s="19" t="s">
        <v>161</v>
      </c>
      <c r="K62" s="19" t="s">
        <v>39</v>
      </c>
      <c r="L62" s="15" t="b">
        <f>OR(C62='Cocktail Finder'!$B$2,ISBLANK('Cocktail Finder'!$B$2))</f>
        <v>1</v>
      </c>
      <c r="M62" s="15" t="b">
        <f>OR(D62='Cocktail Finder'!$B$7,ISBLANK('Cocktail Finder'!$B$7))</f>
        <v>1</v>
      </c>
      <c r="N62" s="15" t="b">
        <f>OR(E62='Cocktail Finder'!$B$5,ISBLANK('Cocktail Finder'!$B$5))</f>
        <v>1</v>
      </c>
      <c r="O62" s="15" t="b">
        <f>OR(F62='Cocktail Finder'!$B$4,ISBLANK('Cocktail Finder'!$B$4))</f>
        <v>1</v>
      </c>
      <c r="P62" s="15" t="b">
        <f>OR(G62='Cocktail Finder'!$B$3,ISBLANK('Cocktail Finder'!$B$3))</f>
        <v>1</v>
      </c>
      <c r="Q62" s="15" t="b">
        <f>OR(H62='Cocktail Finder'!$B$6,ISBLANK('Cocktail Finder'!$B$6))</f>
        <v>1</v>
      </c>
      <c r="R62" s="15">
        <f t="shared" ref="R62:T62" si="63">IFERROR(FIND("juice",E62),"")</f>
        <v>7</v>
      </c>
      <c r="S62" s="15" t="str">
        <f t="shared" si="63"/>
        <v/>
      </c>
      <c r="T62" s="15" t="str">
        <f t="shared" si="63"/>
        <v/>
      </c>
      <c r="U62" s="15" t="str">
        <f t="shared" si="2"/>
        <v>lemon juice</v>
      </c>
    </row>
    <row r="63" spans="1:21" ht="15.75" customHeight="1" x14ac:dyDescent="0.2">
      <c r="A63" s="19">
        <f t="shared" si="3"/>
        <v>62</v>
      </c>
      <c r="B63" s="19" t="s">
        <v>164</v>
      </c>
      <c r="C63" s="19" t="s">
        <v>148</v>
      </c>
      <c r="D63" s="19" t="s">
        <v>30</v>
      </c>
      <c r="E63" s="19" t="s">
        <v>38</v>
      </c>
      <c r="F63" s="19" t="s">
        <v>66</v>
      </c>
      <c r="G63" s="19" t="s">
        <v>33</v>
      </c>
      <c r="H63" s="19" t="s">
        <v>33</v>
      </c>
      <c r="I63" s="19">
        <f t="shared" si="0"/>
        <v>1</v>
      </c>
      <c r="J63" s="19" t="s">
        <v>164</v>
      </c>
      <c r="K63" s="19" t="s">
        <v>44</v>
      </c>
      <c r="L63" s="15" t="b">
        <f>OR(C63='Cocktail Finder'!$B$2,ISBLANK('Cocktail Finder'!$B$2))</f>
        <v>1</v>
      </c>
      <c r="M63" s="15" t="b">
        <f>OR(D63='Cocktail Finder'!$B$7,ISBLANK('Cocktail Finder'!$B$7))</f>
        <v>1</v>
      </c>
      <c r="N63" s="15" t="b">
        <f>OR(E63='Cocktail Finder'!$B$5,ISBLANK('Cocktail Finder'!$B$5))</f>
        <v>1</v>
      </c>
      <c r="O63" s="15" t="b">
        <f>OR(F63='Cocktail Finder'!$B$4,ISBLANK('Cocktail Finder'!$B$4))</f>
        <v>1</v>
      </c>
      <c r="P63" s="15" t="b">
        <f>OR(G63='Cocktail Finder'!$B$3,ISBLANK('Cocktail Finder'!$B$3))</f>
        <v>1</v>
      </c>
      <c r="Q63" s="15" t="b">
        <f>OR(H63='Cocktail Finder'!$B$6,ISBLANK('Cocktail Finder'!$B$6))</f>
        <v>1</v>
      </c>
      <c r="R63" s="15">
        <f t="shared" ref="R63:T63" si="64">IFERROR(FIND("juice",E63),"")</f>
        <v>7</v>
      </c>
      <c r="S63" s="15" t="str">
        <f t="shared" si="64"/>
        <v/>
      </c>
      <c r="T63" s="15" t="str">
        <f t="shared" si="64"/>
        <v/>
      </c>
      <c r="U63" s="15" t="str">
        <f t="shared" si="2"/>
        <v>lemon juice</v>
      </c>
    </row>
    <row r="64" spans="1:21" ht="15.75" customHeight="1" x14ac:dyDescent="0.2">
      <c r="A64" s="19">
        <f t="shared" si="3"/>
        <v>63</v>
      </c>
      <c r="B64" s="19" t="s">
        <v>165</v>
      </c>
      <c r="C64" s="19" t="s">
        <v>148</v>
      </c>
      <c r="D64" s="19" t="s">
        <v>60</v>
      </c>
      <c r="E64" s="19" t="s">
        <v>38</v>
      </c>
      <c r="F64" s="19" t="s">
        <v>52</v>
      </c>
      <c r="G64" s="19" t="s">
        <v>55</v>
      </c>
      <c r="H64" s="19" t="s">
        <v>33</v>
      </c>
      <c r="I64" s="19">
        <f t="shared" si="0"/>
        <v>1</v>
      </c>
      <c r="J64" s="19" t="s">
        <v>165</v>
      </c>
      <c r="K64" s="19" t="s">
        <v>44</v>
      </c>
      <c r="L64" s="15" t="b">
        <f>OR(C64='Cocktail Finder'!$B$2,ISBLANK('Cocktail Finder'!$B$2))</f>
        <v>1</v>
      </c>
      <c r="M64" s="15" t="b">
        <f>OR(D64='Cocktail Finder'!$B$7,ISBLANK('Cocktail Finder'!$B$7))</f>
        <v>1</v>
      </c>
      <c r="N64" s="15" t="b">
        <f>OR(E64='Cocktail Finder'!$B$5,ISBLANK('Cocktail Finder'!$B$5))</f>
        <v>1</v>
      </c>
      <c r="O64" s="15" t="b">
        <f>OR(F64='Cocktail Finder'!$B$4,ISBLANK('Cocktail Finder'!$B$4))</f>
        <v>1</v>
      </c>
      <c r="P64" s="15" t="b">
        <f>OR(G64='Cocktail Finder'!$B$3,ISBLANK('Cocktail Finder'!$B$3))</f>
        <v>1</v>
      </c>
      <c r="Q64" s="15" t="b">
        <f>OR(H64='Cocktail Finder'!$B$6,ISBLANK('Cocktail Finder'!$B$6))</f>
        <v>1</v>
      </c>
      <c r="R64" s="15">
        <f t="shared" ref="R64:T64" si="65">IFERROR(FIND("juice",E64),"")</f>
        <v>7</v>
      </c>
      <c r="S64" s="15" t="str">
        <f t="shared" si="65"/>
        <v/>
      </c>
      <c r="T64" s="15" t="str">
        <f t="shared" si="65"/>
        <v/>
      </c>
      <c r="U64" s="15" t="str">
        <f t="shared" si="2"/>
        <v>lemon juice</v>
      </c>
    </row>
    <row r="65" spans="1:22" ht="15.75" customHeight="1" x14ac:dyDescent="0.2">
      <c r="A65" s="19">
        <f t="shared" si="3"/>
        <v>64</v>
      </c>
      <c r="B65" s="19" t="s">
        <v>166</v>
      </c>
      <c r="C65" s="19" t="s">
        <v>148</v>
      </c>
      <c r="D65" s="19" t="s">
        <v>60</v>
      </c>
      <c r="E65" s="19" t="s">
        <v>38</v>
      </c>
      <c r="F65" s="19" t="s">
        <v>126</v>
      </c>
      <c r="G65" s="19" t="s">
        <v>33</v>
      </c>
      <c r="H65" s="19" t="s">
        <v>33</v>
      </c>
      <c r="I65" s="19">
        <f t="shared" si="0"/>
        <v>1</v>
      </c>
      <c r="J65" s="19" t="s">
        <v>166</v>
      </c>
      <c r="K65" s="19" t="s">
        <v>44</v>
      </c>
      <c r="L65" s="15" t="b">
        <f>OR(C65='Cocktail Finder'!$B$2,ISBLANK('Cocktail Finder'!$B$2))</f>
        <v>1</v>
      </c>
      <c r="M65" s="15" t="b">
        <f>OR(D65='Cocktail Finder'!$B$7,ISBLANK('Cocktail Finder'!$B$7))</f>
        <v>1</v>
      </c>
      <c r="N65" s="15" t="b">
        <f>OR(E65='Cocktail Finder'!$B$5,ISBLANK('Cocktail Finder'!$B$5))</f>
        <v>1</v>
      </c>
      <c r="O65" s="15" t="b">
        <f>OR(F65='Cocktail Finder'!$B$4,ISBLANK('Cocktail Finder'!$B$4))</f>
        <v>1</v>
      </c>
      <c r="P65" s="15" t="b">
        <f>OR(G65='Cocktail Finder'!$B$3,ISBLANK('Cocktail Finder'!$B$3))</f>
        <v>1</v>
      </c>
      <c r="Q65" s="15" t="b">
        <f>OR(H65='Cocktail Finder'!$B$6,ISBLANK('Cocktail Finder'!$B$6))</f>
        <v>1</v>
      </c>
      <c r="R65" s="15">
        <f t="shared" ref="R65:T65" si="66">IFERROR(FIND("juice",E65),"")</f>
        <v>7</v>
      </c>
      <c r="S65" s="15">
        <f t="shared" si="66"/>
        <v>8</v>
      </c>
      <c r="T65" s="15" t="str">
        <f t="shared" si="66"/>
        <v/>
      </c>
      <c r="U65" s="15" t="str">
        <f t="shared" si="2"/>
        <v>lemon juice</v>
      </c>
    </row>
    <row r="66" spans="1:22" ht="15.75" customHeight="1" x14ac:dyDescent="0.2">
      <c r="A66" s="19">
        <f t="shared" si="3"/>
        <v>65</v>
      </c>
      <c r="B66" s="19" t="s">
        <v>167</v>
      </c>
      <c r="C66" s="19" t="s">
        <v>148</v>
      </c>
      <c r="D66" s="19" t="s">
        <v>31</v>
      </c>
      <c r="E66" s="19" t="s">
        <v>38</v>
      </c>
      <c r="F66" s="19" t="s">
        <v>52</v>
      </c>
      <c r="G66" s="19" t="s">
        <v>33</v>
      </c>
      <c r="H66" s="19" t="s">
        <v>33</v>
      </c>
      <c r="I66" s="19">
        <f t="shared" si="0"/>
        <v>1</v>
      </c>
      <c r="J66" s="19" t="s">
        <v>167</v>
      </c>
      <c r="K66" s="19" t="s">
        <v>44</v>
      </c>
      <c r="L66" s="15" t="b">
        <f>OR(C66='Cocktail Finder'!$B$2,ISBLANK('Cocktail Finder'!$B$2))</f>
        <v>1</v>
      </c>
      <c r="M66" s="15" t="b">
        <f>OR(D66='Cocktail Finder'!$B$7,ISBLANK('Cocktail Finder'!$B$7))</f>
        <v>1</v>
      </c>
      <c r="N66" s="15" t="b">
        <f>OR(E66='Cocktail Finder'!$B$5,ISBLANK('Cocktail Finder'!$B$5))</f>
        <v>1</v>
      </c>
      <c r="O66" s="15" t="b">
        <f>OR(F66='Cocktail Finder'!$B$4,ISBLANK('Cocktail Finder'!$B$4))</f>
        <v>1</v>
      </c>
      <c r="P66" s="15" t="b">
        <f>OR(G66='Cocktail Finder'!$B$3,ISBLANK('Cocktail Finder'!$B$3))</f>
        <v>1</v>
      </c>
      <c r="Q66" s="15" t="b">
        <f>OR(H66='Cocktail Finder'!$B$6,ISBLANK('Cocktail Finder'!$B$6))</f>
        <v>1</v>
      </c>
      <c r="R66" s="15">
        <f t="shared" ref="R66:T66" si="67">IFERROR(FIND("juice",E66),"")</f>
        <v>7</v>
      </c>
      <c r="S66" s="15" t="str">
        <f t="shared" si="67"/>
        <v/>
      </c>
      <c r="T66" s="15" t="str">
        <f t="shared" si="67"/>
        <v/>
      </c>
      <c r="U66" s="15" t="str">
        <f t="shared" si="2"/>
        <v>lemon juice</v>
      </c>
    </row>
    <row r="67" spans="1:22" ht="15.75" customHeight="1" x14ac:dyDescent="0.2">
      <c r="A67" s="19">
        <f t="shared" si="3"/>
        <v>66</v>
      </c>
      <c r="B67" s="19" t="s">
        <v>168</v>
      </c>
      <c r="C67" s="19" t="s">
        <v>148</v>
      </c>
      <c r="D67" s="19" t="s">
        <v>120</v>
      </c>
      <c r="E67" s="19" t="s">
        <v>38</v>
      </c>
      <c r="F67" s="19" t="s">
        <v>33</v>
      </c>
      <c r="G67" s="19" t="s">
        <v>33</v>
      </c>
      <c r="H67" s="19" t="s">
        <v>33</v>
      </c>
      <c r="I67" s="19">
        <f t="shared" si="0"/>
        <v>1</v>
      </c>
      <c r="J67" s="19" t="s">
        <v>168</v>
      </c>
      <c r="K67" s="19" t="s">
        <v>44</v>
      </c>
      <c r="L67" s="15" t="b">
        <f>OR(C67='Cocktail Finder'!$B$2,ISBLANK('Cocktail Finder'!$B$2))</f>
        <v>1</v>
      </c>
      <c r="M67" s="15" t="b">
        <f>OR(D67='Cocktail Finder'!$B$7,ISBLANK('Cocktail Finder'!$B$7))</f>
        <v>1</v>
      </c>
      <c r="N67" s="15" t="b">
        <f>OR(E67='Cocktail Finder'!$B$5,ISBLANK('Cocktail Finder'!$B$5))</f>
        <v>1</v>
      </c>
      <c r="O67" s="15" t="b">
        <f>OR(F67='Cocktail Finder'!$B$4,ISBLANK('Cocktail Finder'!$B$4))</f>
        <v>1</v>
      </c>
      <c r="P67" s="15" t="b">
        <f>OR(G67='Cocktail Finder'!$B$3,ISBLANK('Cocktail Finder'!$B$3))</f>
        <v>1</v>
      </c>
      <c r="Q67" s="15" t="b">
        <f>OR(H67='Cocktail Finder'!$B$6,ISBLANK('Cocktail Finder'!$B$6))</f>
        <v>1</v>
      </c>
      <c r="R67" s="15">
        <f t="shared" ref="R67:T67" si="68">IFERROR(FIND("juice",E67),"")</f>
        <v>7</v>
      </c>
      <c r="S67" s="15" t="str">
        <f t="shared" si="68"/>
        <v/>
      </c>
      <c r="T67" s="15" t="str">
        <f t="shared" si="68"/>
        <v/>
      </c>
      <c r="U67" s="15" t="str">
        <f t="shared" si="2"/>
        <v>lemon juice</v>
      </c>
    </row>
    <row r="68" spans="1:22" ht="15.75" customHeight="1" x14ac:dyDescent="0.2">
      <c r="A68" s="19">
        <f t="shared" si="3"/>
        <v>67</v>
      </c>
      <c r="B68" s="19" t="s">
        <v>169</v>
      </c>
      <c r="C68" s="19" t="s">
        <v>148</v>
      </c>
      <c r="D68" s="19" t="s">
        <v>120</v>
      </c>
      <c r="E68" s="18" t="s">
        <v>90</v>
      </c>
      <c r="F68" s="19" t="s">
        <v>170</v>
      </c>
      <c r="G68" s="19" t="s">
        <v>86</v>
      </c>
      <c r="H68" s="18" t="s">
        <v>134</v>
      </c>
      <c r="I68" s="19">
        <f t="shared" si="0"/>
        <v>1</v>
      </c>
      <c r="J68" s="19" t="s">
        <v>169</v>
      </c>
      <c r="K68" s="19" t="s">
        <v>44</v>
      </c>
      <c r="L68" s="15" t="b">
        <f>OR(C68='Cocktail Finder'!$B$2,ISBLANK('Cocktail Finder'!$B$2))</f>
        <v>1</v>
      </c>
      <c r="M68" s="15" t="b">
        <f>OR(D68='Cocktail Finder'!$B$7,ISBLANK('Cocktail Finder'!$B$7))</f>
        <v>1</v>
      </c>
      <c r="N68" s="15" t="b">
        <f>OR(E68='Cocktail Finder'!$B$5,ISBLANK('Cocktail Finder'!$B$5))</f>
        <v>1</v>
      </c>
      <c r="O68" s="15" t="b">
        <f>OR(F68='Cocktail Finder'!$B$4,ISBLANK('Cocktail Finder'!$B$4))</f>
        <v>1</v>
      </c>
      <c r="P68" s="15" t="b">
        <f>OR(G68='Cocktail Finder'!$B$3,ISBLANK('Cocktail Finder'!$B$3))</f>
        <v>1</v>
      </c>
      <c r="Q68" s="15" t="b">
        <f>OR(H68='Cocktail Finder'!$B$6,ISBLANK('Cocktail Finder'!$B$6))</f>
        <v>1</v>
      </c>
      <c r="R68" s="15">
        <f t="shared" ref="R68:T68" si="69">IFERROR(FIND("juice",E68),"")</f>
        <v>6</v>
      </c>
      <c r="S68" s="15" t="str">
        <f t="shared" si="69"/>
        <v/>
      </c>
      <c r="T68" s="15" t="str">
        <f t="shared" si="69"/>
        <v/>
      </c>
      <c r="U68" s="15" t="str">
        <f t="shared" si="2"/>
        <v>lime juice</v>
      </c>
      <c r="V68" s="11" t="s">
        <v>134</v>
      </c>
    </row>
    <row r="69" spans="1:22" ht="15.75" customHeight="1" x14ac:dyDescent="0.2">
      <c r="A69" s="19">
        <f t="shared" si="3"/>
        <v>68</v>
      </c>
      <c r="B69" s="19" t="s">
        <v>171</v>
      </c>
      <c r="C69" s="19" t="s">
        <v>148</v>
      </c>
      <c r="D69" s="19" t="s">
        <v>139</v>
      </c>
      <c r="E69" s="19" t="s">
        <v>38</v>
      </c>
      <c r="F69" s="19" t="s">
        <v>48</v>
      </c>
      <c r="G69" s="19" t="s">
        <v>33</v>
      </c>
      <c r="H69" s="19" t="s">
        <v>33</v>
      </c>
      <c r="I69" s="19">
        <f t="shared" si="0"/>
        <v>1</v>
      </c>
      <c r="J69" s="19" t="s">
        <v>171</v>
      </c>
      <c r="K69" s="19" t="s">
        <v>44</v>
      </c>
      <c r="L69" s="15" t="b">
        <f>OR(C69='Cocktail Finder'!$B$2,ISBLANK('Cocktail Finder'!$B$2))</f>
        <v>1</v>
      </c>
      <c r="M69" s="15" t="b">
        <f>OR(D69='Cocktail Finder'!$B$7,ISBLANK('Cocktail Finder'!$B$7))</f>
        <v>1</v>
      </c>
      <c r="N69" s="15" t="b">
        <f>OR(E69='Cocktail Finder'!$B$5,ISBLANK('Cocktail Finder'!$B$5))</f>
        <v>1</v>
      </c>
      <c r="O69" s="15" t="b">
        <f>OR(F69='Cocktail Finder'!$B$4,ISBLANK('Cocktail Finder'!$B$4))</f>
        <v>1</v>
      </c>
      <c r="P69" s="15" t="b">
        <f>OR(G69='Cocktail Finder'!$B$3,ISBLANK('Cocktail Finder'!$B$3))</f>
        <v>1</v>
      </c>
      <c r="Q69" s="15" t="b">
        <f>OR(H69='Cocktail Finder'!$B$6,ISBLANK('Cocktail Finder'!$B$6))</f>
        <v>1</v>
      </c>
      <c r="R69" s="15">
        <f t="shared" ref="R69:T69" si="70">IFERROR(FIND("juice",E69),"")</f>
        <v>7</v>
      </c>
      <c r="S69" s="15" t="str">
        <f t="shared" si="70"/>
        <v/>
      </c>
      <c r="T69" s="15" t="str">
        <f t="shared" si="70"/>
        <v/>
      </c>
      <c r="U69" s="15" t="str">
        <f t="shared" si="2"/>
        <v>lemon juice</v>
      </c>
    </row>
    <row r="70" spans="1:22" ht="15.75" customHeight="1" x14ac:dyDescent="0.2">
      <c r="A70" s="19">
        <f t="shared" si="3"/>
        <v>69</v>
      </c>
      <c r="B70" s="19" t="s">
        <v>172</v>
      </c>
      <c r="C70" s="19" t="s">
        <v>148</v>
      </c>
      <c r="D70" s="19" t="s">
        <v>173</v>
      </c>
      <c r="E70" s="19" t="s">
        <v>38</v>
      </c>
      <c r="F70" s="19" t="s">
        <v>33</v>
      </c>
      <c r="G70" s="19" t="s">
        <v>33</v>
      </c>
      <c r="H70" s="19" t="s">
        <v>33</v>
      </c>
      <c r="I70" s="19">
        <f t="shared" si="0"/>
        <v>1</v>
      </c>
      <c r="J70" s="19" t="s">
        <v>172</v>
      </c>
      <c r="K70" s="19" t="s">
        <v>44</v>
      </c>
      <c r="L70" s="15" t="b">
        <f>OR(C70='Cocktail Finder'!$B$2,ISBLANK('Cocktail Finder'!$B$2))</f>
        <v>1</v>
      </c>
      <c r="M70" s="15" t="b">
        <f>OR(D70='Cocktail Finder'!$B$7,ISBLANK('Cocktail Finder'!$B$7))</f>
        <v>1</v>
      </c>
      <c r="N70" s="15" t="b">
        <f>OR(E70='Cocktail Finder'!$B$5,ISBLANK('Cocktail Finder'!$B$5))</f>
        <v>1</v>
      </c>
      <c r="O70" s="15" t="b">
        <f>OR(F70='Cocktail Finder'!$B$4,ISBLANK('Cocktail Finder'!$B$4))</f>
        <v>1</v>
      </c>
      <c r="P70" s="15" t="b">
        <f>OR(G70='Cocktail Finder'!$B$3,ISBLANK('Cocktail Finder'!$B$3))</f>
        <v>1</v>
      </c>
      <c r="Q70" s="15" t="b">
        <f>OR(H70='Cocktail Finder'!$B$6,ISBLANK('Cocktail Finder'!$B$6))</f>
        <v>1</v>
      </c>
      <c r="R70" s="15">
        <f t="shared" ref="R70:T70" si="71">IFERROR(FIND("juice",E70),"")</f>
        <v>7</v>
      </c>
      <c r="S70" s="15" t="str">
        <f t="shared" si="71"/>
        <v/>
      </c>
      <c r="T70" s="15" t="str">
        <f t="shared" si="71"/>
        <v/>
      </c>
      <c r="U70" s="15" t="str">
        <f t="shared" si="2"/>
        <v>lemon juice</v>
      </c>
    </row>
    <row r="71" spans="1:22" ht="15.75" customHeight="1" x14ac:dyDescent="0.2">
      <c r="A71" s="19">
        <f t="shared" si="3"/>
        <v>70</v>
      </c>
      <c r="B71" s="19" t="s">
        <v>174</v>
      </c>
      <c r="C71" s="19" t="s">
        <v>148</v>
      </c>
      <c r="D71" s="19" t="s">
        <v>100</v>
      </c>
      <c r="E71" s="19" t="s">
        <v>90</v>
      </c>
      <c r="F71" s="19" t="s">
        <v>33</v>
      </c>
      <c r="G71" s="19" t="s">
        <v>33</v>
      </c>
      <c r="H71" s="19" t="s">
        <v>33</v>
      </c>
      <c r="I71" s="19">
        <f t="shared" si="0"/>
        <v>1</v>
      </c>
      <c r="J71" s="19" t="s">
        <v>174</v>
      </c>
      <c r="K71" s="19" t="s">
        <v>101</v>
      </c>
      <c r="L71" s="15" t="b">
        <f>OR(C71='Cocktail Finder'!$B$2,ISBLANK('Cocktail Finder'!$B$2))</f>
        <v>1</v>
      </c>
      <c r="M71" s="15" t="b">
        <f>OR(D71='Cocktail Finder'!$B$7,ISBLANK('Cocktail Finder'!$B$7))</f>
        <v>1</v>
      </c>
      <c r="N71" s="15" t="b">
        <f>OR(E71='Cocktail Finder'!$B$5,ISBLANK('Cocktail Finder'!$B$5))</f>
        <v>1</v>
      </c>
      <c r="O71" s="15" t="b">
        <f>OR(F71='Cocktail Finder'!$B$4,ISBLANK('Cocktail Finder'!$B$4))</f>
        <v>1</v>
      </c>
      <c r="P71" s="15" t="b">
        <f>OR(G71='Cocktail Finder'!$B$3,ISBLANK('Cocktail Finder'!$B$3))</f>
        <v>1</v>
      </c>
      <c r="Q71" s="15" t="b">
        <f>OR(H71='Cocktail Finder'!$B$6,ISBLANK('Cocktail Finder'!$B$6))</f>
        <v>1</v>
      </c>
      <c r="R71" s="15">
        <f t="shared" ref="R71:T71" si="72">IFERROR(FIND("juice",E71),"")</f>
        <v>6</v>
      </c>
      <c r="S71" s="15" t="str">
        <f t="shared" si="72"/>
        <v/>
      </c>
      <c r="T71" s="15" t="str">
        <f t="shared" si="72"/>
        <v/>
      </c>
      <c r="U71" s="15" t="str">
        <f t="shared" si="2"/>
        <v>lime juice</v>
      </c>
    </row>
    <row r="72" spans="1:22" ht="15.75" customHeight="1" x14ac:dyDescent="0.2">
      <c r="A72" s="19">
        <f t="shared" si="3"/>
        <v>71</v>
      </c>
      <c r="B72" s="19" t="s">
        <v>175</v>
      </c>
      <c r="C72" s="19" t="s">
        <v>148</v>
      </c>
      <c r="D72" s="19" t="s">
        <v>100</v>
      </c>
      <c r="E72" s="19" t="s">
        <v>90</v>
      </c>
      <c r="F72" s="18" t="s">
        <v>66</v>
      </c>
      <c r="G72" s="18" t="s">
        <v>74</v>
      </c>
      <c r="H72" s="19" t="s">
        <v>33</v>
      </c>
      <c r="I72" s="19">
        <f t="shared" si="0"/>
        <v>1</v>
      </c>
      <c r="J72" s="19" t="s">
        <v>175</v>
      </c>
      <c r="K72" s="19" t="s">
        <v>101</v>
      </c>
      <c r="L72" s="15" t="b">
        <f>OR(C72='Cocktail Finder'!$B$2,ISBLANK('Cocktail Finder'!$B$2))</f>
        <v>1</v>
      </c>
      <c r="M72" s="15" t="b">
        <f>OR(D72='Cocktail Finder'!$B$7,ISBLANK('Cocktail Finder'!$B$7))</f>
        <v>1</v>
      </c>
      <c r="N72" s="15" t="b">
        <f>OR(E72='Cocktail Finder'!$B$5,ISBLANK('Cocktail Finder'!$B$5))</f>
        <v>1</v>
      </c>
      <c r="O72" s="15" t="b">
        <f>OR(F72='Cocktail Finder'!$B$4,ISBLANK('Cocktail Finder'!$B$4))</f>
        <v>1</v>
      </c>
      <c r="P72" s="15" t="b">
        <f>OR(G72='Cocktail Finder'!$B$3,ISBLANK('Cocktail Finder'!$B$3))</f>
        <v>1</v>
      </c>
      <c r="Q72" s="15" t="b">
        <f>OR(H72='Cocktail Finder'!$B$6,ISBLANK('Cocktail Finder'!$B$6))</f>
        <v>1</v>
      </c>
      <c r="R72" s="15">
        <f t="shared" ref="R72:T72" si="73">IFERROR(FIND("juice",E72),"")</f>
        <v>6</v>
      </c>
      <c r="S72" s="15" t="str">
        <f t="shared" si="73"/>
        <v/>
      </c>
      <c r="T72" s="15" t="str">
        <f t="shared" si="73"/>
        <v/>
      </c>
      <c r="U72" s="15" t="str">
        <f t="shared" si="2"/>
        <v>lime juice</v>
      </c>
    </row>
    <row r="73" spans="1:22" ht="15.75" customHeight="1" x14ac:dyDescent="0.2">
      <c r="A73" s="19">
        <f t="shared" si="3"/>
        <v>72</v>
      </c>
      <c r="B73" s="19" t="s">
        <v>176</v>
      </c>
      <c r="C73" s="19" t="s">
        <v>148</v>
      </c>
      <c r="D73" s="19" t="s">
        <v>100</v>
      </c>
      <c r="E73" s="19" t="s">
        <v>38</v>
      </c>
      <c r="F73" s="19" t="s">
        <v>55</v>
      </c>
      <c r="G73" s="19" t="s">
        <v>33</v>
      </c>
      <c r="H73" s="19" t="s">
        <v>33</v>
      </c>
      <c r="I73" s="19">
        <f t="shared" si="0"/>
        <v>1</v>
      </c>
      <c r="J73" s="19" t="s">
        <v>176</v>
      </c>
      <c r="K73" s="19" t="s">
        <v>101</v>
      </c>
      <c r="L73" s="15" t="b">
        <f>OR(C73='Cocktail Finder'!$B$2,ISBLANK('Cocktail Finder'!$B$2))</f>
        <v>1</v>
      </c>
      <c r="M73" s="15" t="b">
        <f>OR(D73='Cocktail Finder'!$B$7,ISBLANK('Cocktail Finder'!$B$7))</f>
        <v>1</v>
      </c>
      <c r="N73" s="15" t="b">
        <f>OR(E73='Cocktail Finder'!$B$5,ISBLANK('Cocktail Finder'!$B$5))</f>
        <v>1</v>
      </c>
      <c r="O73" s="15" t="b">
        <f>OR(F73='Cocktail Finder'!$B$4,ISBLANK('Cocktail Finder'!$B$4))</f>
        <v>1</v>
      </c>
      <c r="P73" s="15" t="b">
        <f>OR(G73='Cocktail Finder'!$B$3,ISBLANK('Cocktail Finder'!$B$3))</f>
        <v>1</v>
      </c>
      <c r="Q73" s="15" t="b">
        <f>OR(H73='Cocktail Finder'!$B$6,ISBLANK('Cocktail Finder'!$B$6))</f>
        <v>1</v>
      </c>
      <c r="R73" s="15">
        <f t="shared" ref="R73:T73" si="74">IFERROR(FIND("juice",E73),"")</f>
        <v>7</v>
      </c>
      <c r="S73" s="15" t="str">
        <f t="shared" si="74"/>
        <v/>
      </c>
      <c r="T73" s="15" t="str">
        <f t="shared" si="74"/>
        <v/>
      </c>
      <c r="U73" s="15" t="str">
        <f t="shared" si="2"/>
        <v>lemon juice</v>
      </c>
    </row>
    <row r="74" spans="1:22" ht="15.75" customHeight="1" x14ac:dyDescent="0.2">
      <c r="A74" s="19">
        <f t="shared" si="3"/>
        <v>73</v>
      </c>
      <c r="B74" s="19" t="s">
        <v>177</v>
      </c>
      <c r="C74" s="19" t="s">
        <v>148</v>
      </c>
      <c r="D74" s="19" t="s">
        <v>100</v>
      </c>
      <c r="E74" s="19" t="s">
        <v>38</v>
      </c>
      <c r="F74" s="19" t="s">
        <v>104</v>
      </c>
      <c r="G74" s="19" t="s">
        <v>178</v>
      </c>
      <c r="H74" s="19" t="s">
        <v>33</v>
      </c>
      <c r="I74" s="19">
        <f t="shared" si="0"/>
        <v>1</v>
      </c>
      <c r="J74" s="19" t="s">
        <v>177</v>
      </c>
      <c r="K74" s="19" t="s">
        <v>101</v>
      </c>
      <c r="L74" s="15" t="b">
        <f>OR(C74='Cocktail Finder'!$B$2,ISBLANK('Cocktail Finder'!$B$2))</f>
        <v>1</v>
      </c>
      <c r="M74" s="15" t="b">
        <f>OR(D74='Cocktail Finder'!$B$7,ISBLANK('Cocktail Finder'!$B$7))</f>
        <v>1</v>
      </c>
      <c r="N74" s="15" t="b">
        <f>OR(E74='Cocktail Finder'!$B$5,ISBLANK('Cocktail Finder'!$B$5))</f>
        <v>1</v>
      </c>
      <c r="O74" s="15" t="b">
        <f>OR(F74='Cocktail Finder'!$B$4,ISBLANK('Cocktail Finder'!$B$4))</f>
        <v>1</v>
      </c>
      <c r="P74" s="15" t="b">
        <f>OR(G74='Cocktail Finder'!$B$3,ISBLANK('Cocktail Finder'!$B$3))</f>
        <v>1</v>
      </c>
      <c r="Q74" s="15" t="b">
        <f>OR(H74='Cocktail Finder'!$B$6,ISBLANK('Cocktail Finder'!$B$6))</f>
        <v>1</v>
      </c>
      <c r="R74" s="15">
        <f t="shared" ref="R74:T74" si="75">IFERROR(FIND("juice",E74),"")</f>
        <v>7</v>
      </c>
      <c r="S74" s="15" t="str">
        <f t="shared" si="75"/>
        <v/>
      </c>
      <c r="T74" s="15" t="str">
        <f t="shared" si="75"/>
        <v/>
      </c>
      <c r="U74" s="15" t="str">
        <f t="shared" si="2"/>
        <v>lemon juice</v>
      </c>
    </row>
    <row r="75" spans="1:22" ht="15.75" customHeight="1" x14ac:dyDescent="0.2">
      <c r="A75" s="19">
        <f t="shared" si="3"/>
        <v>74</v>
      </c>
      <c r="B75" s="19" t="s">
        <v>179</v>
      </c>
      <c r="C75" s="19" t="s">
        <v>148</v>
      </c>
      <c r="D75" s="19" t="s">
        <v>100</v>
      </c>
      <c r="E75" s="19" t="s">
        <v>38</v>
      </c>
      <c r="F75" s="19" t="s">
        <v>66</v>
      </c>
      <c r="G75" s="19" t="s">
        <v>126</v>
      </c>
      <c r="H75" s="19" t="s">
        <v>33</v>
      </c>
      <c r="I75" s="19">
        <f t="shared" si="0"/>
        <v>1</v>
      </c>
      <c r="J75" s="19" t="s">
        <v>179</v>
      </c>
      <c r="K75" s="19" t="s">
        <v>101</v>
      </c>
      <c r="L75" s="15" t="b">
        <f>OR(C75='Cocktail Finder'!$B$2,ISBLANK('Cocktail Finder'!$B$2))</f>
        <v>1</v>
      </c>
      <c r="M75" s="15" t="b">
        <f>OR(D75='Cocktail Finder'!$B$7,ISBLANK('Cocktail Finder'!$B$7))</f>
        <v>1</v>
      </c>
      <c r="N75" s="15" t="b">
        <f>OR(E75='Cocktail Finder'!$B$5,ISBLANK('Cocktail Finder'!$B$5))</f>
        <v>1</v>
      </c>
      <c r="O75" s="15" t="b">
        <f>OR(F75='Cocktail Finder'!$B$4,ISBLANK('Cocktail Finder'!$B$4))</f>
        <v>1</v>
      </c>
      <c r="P75" s="15" t="b">
        <f>OR(G75='Cocktail Finder'!$B$3,ISBLANK('Cocktail Finder'!$B$3))</f>
        <v>1</v>
      </c>
      <c r="Q75" s="15" t="b">
        <f>OR(H75='Cocktail Finder'!$B$6,ISBLANK('Cocktail Finder'!$B$6))</f>
        <v>1</v>
      </c>
      <c r="R75" s="15">
        <f t="shared" ref="R75:T75" si="76">IFERROR(FIND("juice",E75),"")</f>
        <v>7</v>
      </c>
      <c r="S75" s="15" t="str">
        <f t="shared" si="76"/>
        <v/>
      </c>
      <c r="T75" s="15">
        <f t="shared" si="76"/>
        <v>8</v>
      </c>
      <c r="U75" s="15" t="str">
        <f t="shared" si="2"/>
        <v>lemon juice</v>
      </c>
    </row>
    <row r="76" spans="1:22" ht="15.75" customHeight="1" x14ac:dyDescent="0.2">
      <c r="A76" s="19">
        <f t="shared" si="3"/>
        <v>75</v>
      </c>
      <c r="B76" s="19" t="s">
        <v>180</v>
      </c>
      <c r="C76" s="19" t="s">
        <v>148</v>
      </c>
      <c r="D76" s="19" t="s">
        <v>86</v>
      </c>
      <c r="E76" s="19" t="s">
        <v>38</v>
      </c>
      <c r="F76" s="19" t="s">
        <v>62</v>
      </c>
      <c r="G76" s="19" t="s">
        <v>33</v>
      </c>
      <c r="H76" s="19" t="s">
        <v>33</v>
      </c>
      <c r="I76" s="19">
        <f t="shared" si="0"/>
        <v>1</v>
      </c>
      <c r="J76" s="19" t="s">
        <v>180</v>
      </c>
      <c r="K76" s="19" t="s">
        <v>63</v>
      </c>
      <c r="L76" s="15" t="b">
        <f>OR(C76='Cocktail Finder'!$B$2,ISBLANK('Cocktail Finder'!$B$2))</f>
        <v>1</v>
      </c>
      <c r="M76" s="15" t="b">
        <f>OR(D76='Cocktail Finder'!$B$7,ISBLANK('Cocktail Finder'!$B$7))</f>
        <v>1</v>
      </c>
      <c r="N76" s="15" t="b">
        <f>OR(E76='Cocktail Finder'!$B$5,ISBLANK('Cocktail Finder'!$B$5))</f>
        <v>1</v>
      </c>
      <c r="O76" s="15" t="b">
        <f>OR(F76='Cocktail Finder'!$B$4,ISBLANK('Cocktail Finder'!$B$4))</f>
        <v>1</v>
      </c>
      <c r="P76" s="15" t="b">
        <f>OR(G76='Cocktail Finder'!$B$3,ISBLANK('Cocktail Finder'!$B$3))</f>
        <v>1</v>
      </c>
      <c r="Q76" s="15" t="b">
        <f>OR(H76='Cocktail Finder'!$B$6,ISBLANK('Cocktail Finder'!$B$6))</f>
        <v>1</v>
      </c>
      <c r="R76" s="15">
        <f t="shared" ref="R76:T76" si="77">IFERROR(FIND("juice",E76),"")</f>
        <v>7</v>
      </c>
      <c r="S76" s="15" t="str">
        <f t="shared" si="77"/>
        <v/>
      </c>
      <c r="T76" s="15" t="str">
        <f t="shared" si="77"/>
        <v/>
      </c>
      <c r="U76" s="15" t="str">
        <f t="shared" si="2"/>
        <v>lemon juice</v>
      </c>
    </row>
    <row r="77" spans="1:22" ht="15.75" customHeight="1" x14ac:dyDescent="0.2">
      <c r="A77" s="19">
        <f t="shared" si="3"/>
        <v>76</v>
      </c>
      <c r="B77" s="19" t="s">
        <v>181</v>
      </c>
      <c r="C77" s="19" t="s">
        <v>148</v>
      </c>
      <c r="D77" s="19" t="s">
        <v>68</v>
      </c>
      <c r="E77" s="19" t="s">
        <v>38</v>
      </c>
      <c r="F77" s="19" t="s">
        <v>62</v>
      </c>
      <c r="G77" s="19" t="s">
        <v>182</v>
      </c>
      <c r="H77" s="19" t="s">
        <v>183</v>
      </c>
      <c r="I77" s="19">
        <f t="shared" si="0"/>
        <v>1</v>
      </c>
      <c r="J77" s="19" t="s">
        <v>181</v>
      </c>
      <c r="K77" s="19" t="s">
        <v>63</v>
      </c>
      <c r="L77" s="15" t="b">
        <f>OR(C77='Cocktail Finder'!$B$2,ISBLANK('Cocktail Finder'!$B$2))</f>
        <v>1</v>
      </c>
      <c r="M77" s="15" t="b">
        <f>OR(D77='Cocktail Finder'!$B$7,ISBLANK('Cocktail Finder'!$B$7))</f>
        <v>1</v>
      </c>
      <c r="N77" s="15" t="b">
        <f>OR(E77='Cocktail Finder'!$B$5,ISBLANK('Cocktail Finder'!$B$5))</f>
        <v>1</v>
      </c>
      <c r="O77" s="15" t="b">
        <f>OR(F77='Cocktail Finder'!$B$4,ISBLANK('Cocktail Finder'!$B$4))</f>
        <v>1</v>
      </c>
      <c r="P77" s="15" t="b">
        <f>OR(G77='Cocktail Finder'!$B$3,ISBLANK('Cocktail Finder'!$B$3))</f>
        <v>1</v>
      </c>
      <c r="Q77" s="15" t="b">
        <f>OR(H77='Cocktail Finder'!$B$6,ISBLANK('Cocktail Finder'!$B$6))</f>
        <v>1</v>
      </c>
      <c r="R77" s="15">
        <f t="shared" ref="R77:T77" si="78">IFERROR(FIND("juice",E77),"")</f>
        <v>7</v>
      </c>
      <c r="S77" s="15" t="str">
        <f t="shared" si="78"/>
        <v/>
      </c>
      <c r="T77" s="15" t="str">
        <f t="shared" si="78"/>
        <v/>
      </c>
      <c r="U77" s="15" t="str">
        <f t="shared" si="2"/>
        <v>lemon juice</v>
      </c>
    </row>
    <row r="78" spans="1:22" ht="15.75" customHeight="1" x14ac:dyDescent="0.2">
      <c r="A78" s="19">
        <f t="shared" si="3"/>
        <v>77</v>
      </c>
      <c r="B78" s="19" t="s">
        <v>184</v>
      </c>
      <c r="C78" s="19" t="s">
        <v>148</v>
      </c>
      <c r="D78" s="19" t="s">
        <v>185</v>
      </c>
      <c r="E78" s="19" t="s">
        <v>186</v>
      </c>
      <c r="F78" s="19" t="s">
        <v>62</v>
      </c>
      <c r="G78" s="19" t="s">
        <v>187</v>
      </c>
      <c r="H78" s="19" t="s">
        <v>70</v>
      </c>
      <c r="I78" s="19">
        <f t="shared" si="0"/>
        <v>1</v>
      </c>
      <c r="J78" s="19" t="s">
        <v>184</v>
      </c>
      <c r="K78" s="19" t="s">
        <v>63</v>
      </c>
      <c r="L78" s="15" t="b">
        <f>OR(C78='Cocktail Finder'!$B$2,ISBLANK('Cocktail Finder'!$B$2))</f>
        <v>1</v>
      </c>
      <c r="M78" s="15" t="b">
        <f>OR(D78='Cocktail Finder'!$B$7,ISBLANK('Cocktail Finder'!$B$7))</f>
        <v>1</v>
      </c>
      <c r="N78" s="15" t="b">
        <f>OR(E78='Cocktail Finder'!$B$5,ISBLANK('Cocktail Finder'!$B$5))</f>
        <v>1</v>
      </c>
      <c r="O78" s="15" t="b">
        <f>OR(F78='Cocktail Finder'!$B$4,ISBLANK('Cocktail Finder'!$B$4))</f>
        <v>1</v>
      </c>
      <c r="P78" s="15" t="b">
        <f>OR(G78='Cocktail Finder'!$B$3,ISBLANK('Cocktail Finder'!$B$3))</f>
        <v>1</v>
      </c>
      <c r="Q78" s="15" t="b">
        <f>OR(H78='Cocktail Finder'!$B$6,ISBLANK('Cocktail Finder'!$B$6))</f>
        <v>1</v>
      </c>
      <c r="R78" s="15">
        <f t="shared" ref="R78:T78" si="79">IFERROR(FIND("juice",E78),"")</f>
        <v>6</v>
      </c>
      <c r="S78" s="15" t="str">
        <f t="shared" si="79"/>
        <v/>
      </c>
      <c r="T78" s="15" t="str">
        <f t="shared" si="79"/>
        <v/>
      </c>
      <c r="U78" s="15" t="str">
        <f t="shared" si="2"/>
        <v>lime juice, pineapple juice</v>
      </c>
      <c r="V78" s="11" t="s">
        <v>78</v>
      </c>
    </row>
    <row r="79" spans="1:22" ht="15.75" customHeight="1" x14ac:dyDescent="0.2">
      <c r="A79" s="19">
        <f t="shared" si="3"/>
        <v>78</v>
      </c>
      <c r="B79" s="19" t="s">
        <v>188</v>
      </c>
      <c r="C79" s="19" t="s">
        <v>148</v>
      </c>
      <c r="D79" s="19" t="s">
        <v>86</v>
      </c>
      <c r="E79" s="18" t="s">
        <v>90</v>
      </c>
      <c r="F79" s="19" t="s">
        <v>62</v>
      </c>
      <c r="G79" s="19" t="s">
        <v>189</v>
      </c>
      <c r="H79" s="18" t="s">
        <v>38</v>
      </c>
      <c r="I79" s="19">
        <f t="shared" si="0"/>
        <v>1</v>
      </c>
      <c r="J79" s="19" t="s">
        <v>188</v>
      </c>
      <c r="K79" s="19" t="s">
        <v>63</v>
      </c>
      <c r="L79" s="15" t="b">
        <f>OR(C79='Cocktail Finder'!$B$2,ISBLANK('Cocktail Finder'!$B$2))</f>
        <v>1</v>
      </c>
      <c r="M79" s="15" t="b">
        <f>OR(D79='Cocktail Finder'!$B$7,ISBLANK('Cocktail Finder'!$B$7))</f>
        <v>1</v>
      </c>
      <c r="N79" s="15" t="b">
        <f>OR(E79='Cocktail Finder'!$B$5,ISBLANK('Cocktail Finder'!$B$5))</f>
        <v>1</v>
      </c>
      <c r="O79" s="15" t="b">
        <f>OR(F79='Cocktail Finder'!$B$4,ISBLANK('Cocktail Finder'!$B$4))</f>
        <v>1</v>
      </c>
      <c r="P79" s="15" t="b">
        <f>OR(G79='Cocktail Finder'!$B$3,ISBLANK('Cocktail Finder'!$B$3))</f>
        <v>1</v>
      </c>
      <c r="Q79" s="15" t="b">
        <f>OR(H79='Cocktail Finder'!$B$6,ISBLANK('Cocktail Finder'!$B$6))</f>
        <v>1</v>
      </c>
      <c r="R79" s="15">
        <f t="shared" ref="R79:T79" si="80">IFERROR(FIND("juice",E79),"")</f>
        <v>6</v>
      </c>
      <c r="S79" s="15" t="str">
        <f t="shared" si="80"/>
        <v/>
      </c>
      <c r="T79" s="15" t="str">
        <f t="shared" si="80"/>
        <v/>
      </c>
      <c r="U79" s="15" t="str">
        <f t="shared" si="2"/>
        <v>lime juice</v>
      </c>
      <c r="V79" s="11" t="s">
        <v>38</v>
      </c>
    </row>
    <row r="80" spans="1:22" ht="15.75" customHeight="1" x14ac:dyDescent="0.2">
      <c r="A80" s="19">
        <f t="shared" si="3"/>
        <v>79</v>
      </c>
      <c r="B80" s="19" t="s">
        <v>190</v>
      </c>
      <c r="C80" s="19" t="s">
        <v>148</v>
      </c>
      <c r="D80" s="19" t="s">
        <v>68</v>
      </c>
      <c r="E80" s="18" t="s">
        <v>38</v>
      </c>
      <c r="F80" s="19" t="s">
        <v>62</v>
      </c>
      <c r="G80" s="19" t="s">
        <v>191</v>
      </c>
      <c r="H80" s="18" t="s">
        <v>192</v>
      </c>
      <c r="I80" s="19">
        <f t="shared" si="0"/>
        <v>1</v>
      </c>
      <c r="J80" s="19" t="s">
        <v>190</v>
      </c>
      <c r="K80" s="19" t="s">
        <v>63</v>
      </c>
      <c r="L80" s="15" t="b">
        <f>OR(C80='Cocktail Finder'!$B$2,ISBLANK('Cocktail Finder'!$B$2))</f>
        <v>1</v>
      </c>
      <c r="M80" s="15" t="b">
        <f>OR(D80='Cocktail Finder'!$B$7,ISBLANK('Cocktail Finder'!$B$7))</f>
        <v>1</v>
      </c>
      <c r="N80" s="15" t="b">
        <f>OR(E80='Cocktail Finder'!$B$5,ISBLANK('Cocktail Finder'!$B$5))</f>
        <v>1</v>
      </c>
      <c r="O80" s="15" t="b">
        <f>OR(F80='Cocktail Finder'!$B$4,ISBLANK('Cocktail Finder'!$B$4))</f>
        <v>1</v>
      </c>
      <c r="P80" s="15" t="b">
        <f>OR(G80='Cocktail Finder'!$B$3,ISBLANK('Cocktail Finder'!$B$3))</f>
        <v>1</v>
      </c>
      <c r="Q80" s="15" t="b">
        <f>OR(H80='Cocktail Finder'!$B$6,ISBLANK('Cocktail Finder'!$B$6))</f>
        <v>1</v>
      </c>
      <c r="R80" s="15">
        <f t="shared" ref="R80:T80" si="81">IFERROR(FIND("juice",E80),"")</f>
        <v>7</v>
      </c>
      <c r="S80" s="15" t="str">
        <f t="shared" si="81"/>
        <v/>
      </c>
      <c r="T80" s="15">
        <f t="shared" si="81"/>
        <v>21</v>
      </c>
      <c r="U80" s="15" t="str">
        <f t="shared" si="2"/>
        <v>lemon juice</v>
      </c>
      <c r="V80" s="11" t="s">
        <v>192</v>
      </c>
    </row>
    <row r="81" spans="1:21" ht="15.75" customHeight="1" x14ac:dyDescent="0.2">
      <c r="A81" s="19">
        <f t="shared" si="3"/>
        <v>80</v>
      </c>
      <c r="B81" s="19" t="s">
        <v>193</v>
      </c>
      <c r="C81" s="19" t="s">
        <v>148</v>
      </c>
      <c r="D81" s="19" t="s">
        <v>57</v>
      </c>
      <c r="E81" s="19" t="s">
        <v>90</v>
      </c>
      <c r="F81" s="19" t="s">
        <v>33</v>
      </c>
      <c r="G81" s="19" t="s">
        <v>33</v>
      </c>
      <c r="H81" s="19" t="s">
        <v>33</v>
      </c>
      <c r="I81" s="19">
        <f t="shared" si="0"/>
        <v>1</v>
      </c>
      <c r="J81" s="19" t="s">
        <v>193</v>
      </c>
      <c r="K81" s="19" t="s">
        <v>58</v>
      </c>
      <c r="L81" s="15" t="b">
        <f>OR(C81='Cocktail Finder'!$B$2,ISBLANK('Cocktail Finder'!$B$2))</f>
        <v>1</v>
      </c>
      <c r="M81" s="15" t="b">
        <f>OR(D81='Cocktail Finder'!$B$7,ISBLANK('Cocktail Finder'!$B$7))</f>
        <v>1</v>
      </c>
      <c r="N81" s="15" t="b">
        <f>OR(E81='Cocktail Finder'!$B$5,ISBLANK('Cocktail Finder'!$B$5))</f>
        <v>1</v>
      </c>
      <c r="O81" s="15" t="b">
        <f>OR(F81='Cocktail Finder'!$B$4,ISBLANK('Cocktail Finder'!$B$4))</f>
        <v>1</v>
      </c>
      <c r="P81" s="15" t="b">
        <f>OR(G81='Cocktail Finder'!$B$3,ISBLANK('Cocktail Finder'!$B$3))</f>
        <v>1</v>
      </c>
      <c r="Q81" s="15" t="b">
        <f>OR(H81='Cocktail Finder'!$B$6,ISBLANK('Cocktail Finder'!$B$6))</f>
        <v>1</v>
      </c>
      <c r="R81" s="15">
        <f t="shared" ref="R81:T81" si="82">IFERROR(FIND("juice",E81),"")</f>
        <v>6</v>
      </c>
      <c r="S81" s="15" t="str">
        <f t="shared" si="82"/>
        <v/>
      </c>
      <c r="T81" s="15" t="str">
        <f t="shared" si="82"/>
        <v/>
      </c>
      <c r="U81" s="15" t="str">
        <f t="shared" si="2"/>
        <v>lime juice</v>
      </c>
    </row>
    <row r="82" spans="1:21" ht="15.75" customHeight="1" x14ac:dyDescent="0.2">
      <c r="A82" s="19">
        <f t="shared" si="3"/>
        <v>81</v>
      </c>
      <c r="B82" s="20" t="s">
        <v>194</v>
      </c>
      <c r="C82" s="20" t="s">
        <v>148</v>
      </c>
      <c r="D82" s="20" t="s">
        <v>195</v>
      </c>
      <c r="E82" s="20" t="s">
        <v>38</v>
      </c>
      <c r="F82" s="20" t="s">
        <v>86</v>
      </c>
      <c r="G82" s="20" t="s">
        <v>33</v>
      </c>
      <c r="H82" s="20" t="s">
        <v>33</v>
      </c>
      <c r="I82" s="19">
        <f t="shared" si="0"/>
        <v>1</v>
      </c>
      <c r="J82" s="20" t="s">
        <v>194</v>
      </c>
      <c r="K82" s="20" t="s">
        <v>196</v>
      </c>
      <c r="L82" s="15" t="b">
        <f>OR(C82='Cocktail Finder'!$B$2,ISBLANK('Cocktail Finder'!$B$2))</f>
        <v>1</v>
      </c>
      <c r="M82" s="15" t="b">
        <f>OR(D82='Cocktail Finder'!$B$7,ISBLANK('Cocktail Finder'!$B$7))</f>
        <v>1</v>
      </c>
      <c r="N82" s="15" t="b">
        <f>OR(E82='Cocktail Finder'!$B$5,ISBLANK('Cocktail Finder'!$B$5))</f>
        <v>1</v>
      </c>
      <c r="O82" s="15" t="b">
        <f>OR(F82='Cocktail Finder'!$B$4,ISBLANK('Cocktail Finder'!$B$4))</f>
        <v>1</v>
      </c>
      <c r="P82" s="15" t="b">
        <f>OR(G82='Cocktail Finder'!$B$3,ISBLANK('Cocktail Finder'!$B$3))</f>
        <v>1</v>
      </c>
      <c r="Q82" s="15" t="b">
        <f>OR(H82='Cocktail Finder'!$B$6,ISBLANK('Cocktail Finder'!$B$6))</f>
        <v>1</v>
      </c>
      <c r="R82" s="15">
        <f t="shared" ref="R82:T82" si="83">IFERROR(FIND("juice",E82),"")</f>
        <v>7</v>
      </c>
      <c r="S82" s="15" t="str">
        <f t="shared" si="83"/>
        <v/>
      </c>
      <c r="T82" s="15" t="str">
        <f t="shared" si="83"/>
        <v/>
      </c>
      <c r="U82" s="15" t="str">
        <f t="shared" si="2"/>
        <v>lemon juice</v>
      </c>
    </row>
    <row r="83" spans="1:21" ht="15.75" customHeight="1" x14ac:dyDescent="0.2">
      <c r="A83" s="19">
        <f t="shared" si="3"/>
        <v>82</v>
      </c>
      <c r="B83" s="19" t="s">
        <v>197</v>
      </c>
      <c r="C83" s="19" t="s">
        <v>198</v>
      </c>
      <c r="D83" s="19" t="s">
        <v>52</v>
      </c>
      <c r="E83" s="19"/>
      <c r="F83" s="19" t="s">
        <v>104</v>
      </c>
      <c r="G83" s="19" t="s">
        <v>33</v>
      </c>
      <c r="H83" s="19" t="s">
        <v>33</v>
      </c>
      <c r="I83" s="19">
        <f t="shared" si="0"/>
        <v>1</v>
      </c>
      <c r="J83" s="19" t="s">
        <v>197</v>
      </c>
      <c r="K83" s="19" t="s">
        <v>199</v>
      </c>
      <c r="L83" s="15" t="b">
        <f>OR(C83='Cocktail Finder'!$B$2,ISBLANK('Cocktail Finder'!$B$2))</f>
        <v>1</v>
      </c>
      <c r="M83" s="15" t="b">
        <f>OR(D83='Cocktail Finder'!$B$7,ISBLANK('Cocktail Finder'!$B$7))</f>
        <v>1</v>
      </c>
      <c r="N83" s="15" t="b">
        <f>OR(E83='Cocktail Finder'!$B$5,ISBLANK('Cocktail Finder'!$B$5))</f>
        <v>1</v>
      </c>
      <c r="O83" s="15" t="b">
        <f>OR(F83='Cocktail Finder'!$B$4,ISBLANK('Cocktail Finder'!$B$4))</f>
        <v>1</v>
      </c>
      <c r="P83" s="15" t="b">
        <f>OR(G83='Cocktail Finder'!$B$3,ISBLANK('Cocktail Finder'!$B$3))</f>
        <v>1</v>
      </c>
      <c r="Q83" s="15" t="b">
        <f>OR(H83='Cocktail Finder'!$B$6,ISBLANK('Cocktail Finder'!$B$6))</f>
        <v>1</v>
      </c>
      <c r="R83" s="15" t="str">
        <f t="shared" ref="R83:T83" si="84">IFERROR(FIND("juice",E83),"")</f>
        <v/>
      </c>
      <c r="S83" s="15" t="str">
        <f t="shared" si="84"/>
        <v/>
      </c>
      <c r="T83" s="15" t="str">
        <f t="shared" si="84"/>
        <v/>
      </c>
      <c r="U83" s="15" t="str">
        <f t="shared" si="2"/>
        <v/>
      </c>
    </row>
    <row r="84" spans="1:21" ht="15.75" customHeight="1" x14ac:dyDescent="0.2">
      <c r="A84" s="19">
        <f t="shared" si="3"/>
        <v>83</v>
      </c>
      <c r="B84" s="19" t="s">
        <v>200</v>
      </c>
      <c r="C84" s="19" t="s">
        <v>198</v>
      </c>
      <c r="D84" s="19" t="s">
        <v>52</v>
      </c>
      <c r="E84" s="19" t="s">
        <v>126</v>
      </c>
      <c r="F84" s="18" t="s">
        <v>74</v>
      </c>
      <c r="G84" s="18" t="s">
        <v>201</v>
      </c>
      <c r="H84" s="19" t="s">
        <v>33</v>
      </c>
      <c r="I84" s="19">
        <f t="shared" si="0"/>
        <v>1</v>
      </c>
      <c r="J84" s="19" t="s">
        <v>200</v>
      </c>
      <c r="K84" s="19" t="s">
        <v>199</v>
      </c>
      <c r="L84" s="15" t="b">
        <f>OR(C84='Cocktail Finder'!$B$2,ISBLANK('Cocktail Finder'!$B$2))</f>
        <v>1</v>
      </c>
      <c r="M84" s="15" t="b">
        <f>OR(D84='Cocktail Finder'!$B$7,ISBLANK('Cocktail Finder'!$B$7))</f>
        <v>1</v>
      </c>
      <c r="N84" s="15" t="b">
        <f>OR(E84='Cocktail Finder'!$B$5,ISBLANK('Cocktail Finder'!$B$5))</f>
        <v>1</v>
      </c>
      <c r="O84" s="15" t="b">
        <f>OR(F84='Cocktail Finder'!$B$4,ISBLANK('Cocktail Finder'!$B$4))</f>
        <v>1</v>
      </c>
      <c r="P84" s="15" t="b">
        <f>OR(G84='Cocktail Finder'!$B$3,ISBLANK('Cocktail Finder'!$B$3))</f>
        <v>1</v>
      </c>
      <c r="Q84" s="15" t="b">
        <f>OR(H84='Cocktail Finder'!$B$6,ISBLANK('Cocktail Finder'!$B$6))</f>
        <v>1</v>
      </c>
      <c r="R84" s="15">
        <f t="shared" ref="R84:T84" si="85">IFERROR(FIND("juice",E84),"")</f>
        <v>8</v>
      </c>
      <c r="S84" s="15" t="str">
        <f t="shared" si="85"/>
        <v/>
      </c>
      <c r="T84" s="15" t="str">
        <f t="shared" si="85"/>
        <v/>
      </c>
      <c r="U84" s="15" t="str">
        <f t="shared" si="2"/>
        <v>orange juice</v>
      </c>
    </row>
    <row r="85" spans="1:21" ht="15.75" customHeight="1" x14ac:dyDescent="0.2">
      <c r="A85" s="19">
        <f t="shared" si="3"/>
        <v>84</v>
      </c>
      <c r="B85" s="19" t="s">
        <v>202</v>
      </c>
      <c r="C85" s="19" t="s">
        <v>198</v>
      </c>
      <c r="D85" s="19" t="s">
        <v>178</v>
      </c>
      <c r="E85" s="19" t="s">
        <v>126</v>
      </c>
      <c r="F85" s="19" t="s">
        <v>66</v>
      </c>
      <c r="G85" s="19" t="s">
        <v>33</v>
      </c>
      <c r="H85" s="19" t="s">
        <v>33</v>
      </c>
      <c r="I85" s="19">
        <f t="shared" si="0"/>
        <v>1</v>
      </c>
      <c r="J85" s="19" t="s">
        <v>202</v>
      </c>
      <c r="K85" s="19" t="s">
        <v>199</v>
      </c>
      <c r="L85" s="15" t="b">
        <f>OR(C85='Cocktail Finder'!$B$2,ISBLANK('Cocktail Finder'!$B$2))</f>
        <v>1</v>
      </c>
      <c r="M85" s="15" t="b">
        <f>OR(D85='Cocktail Finder'!$B$7,ISBLANK('Cocktail Finder'!$B$7))</f>
        <v>1</v>
      </c>
      <c r="N85" s="15" t="b">
        <f>OR(E85='Cocktail Finder'!$B$5,ISBLANK('Cocktail Finder'!$B$5))</f>
        <v>1</v>
      </c>
      <c r="O85" s="15" t="b">
        <f>OR(F85='Cocktail Finder'!$B$4,ISBLANK('Cocktail Finder'!$B$4))</f>
        <v>1</v>
      </c>
      <c r="P85" s="15" t="b">
        <f>OR(G85='Cocktail Finder'!$B$3,ISBLANK('Cocktail Finder'!$B$3))</f>
        <v>1</v>
      </c>
      <c r="Q85" s="15" t="b">
        <f>OR(H85='Cocktail Finder'!$B$6,ISBLANK('Cocktail Finder'!$B$6))</f>
        <v>1</v>
      </c>
      <c r="R85" s="15">
        <f t="shared" ref="R85:T85" si="86">IFERROR(FIND("juice",E85),"")</f>
        <v>8</v>
      </c>
      <c r="S85" s="15" t="str">
        <f t="shared" si="86"/>
        <v/>
      </c>
      <c r="T85" s="15" t="str">
        <f t="shared" si="86"/>
        <v/>
      </c>
      <c r="U85" s="15" t="str">
        <f t="shared" si="2"/>
        <v>orange juice</v>
      </c>
    </row>
    <row r="86" spans="1:21" ht="15.75" customHeight="1" x14ac:dyDescent="0.2">
      <c r="A86" s="19">
        <f t="shared" si="3"/>
        <v>85</v>
      </c>
      <c r="B86" s="19" t="s">
        <v>203</v>
      </c>
      <c r="C86" s="19" t="s">
        <v>198</v>
      </c>
      <c r="D86" s="19" t="s">
        <v>204</v>
      </c>
      <c r="E86" s="19" t="s">
        <v>126</v>
      </c>
      <c r="F86" s="19" t="s">
        <v>74</v>
      </c>
      <c r="G86" s="19" t="s">
        <v>33</v>
      </c>
      <c r="H86" s="19" t="s">
        <v>33</v>
      </c>
      <c r="I86" s="19">
        <f t="shared" si="0"/>
        <v>1</v>
      </c>
      <c r="J86" s="19" t="s">
        <v>203</v>
      </c>
      <c r="K86" s="19" t="s">
        <v>199</v>
      </c>
      <c r="L86" s="15" t="b">
        <f>OR(C86='Cocktail Finder'!$B$2,ISBLANK('Cocktail Finder'!$B$2))</f>
        <v>1</v>
      </c>
      <c r="M86" s="15" t="b">
        <f>OR(D86='Cocktail Finder'!$B$7,ISBLANK('Cocktail Finder'!$B$7))</f>
        <v>1</v>
      </c>
      <c r="N86" s="15" t="b">
        <f>OR(E86='Cocktail Finder'!$B$5,ISBLANK('Cocktail Finder'!$B$5))</f>
        <v>1</v>
      </c>
      <c r="O86" s="15" t="b">
        <f>OR(F86='Cocktail Finder'!$B$4,ISBLANK('Cocktail Finder'!$B$4))</f>
        <v>1</v>
      </c>
      <c r="P86" s="15" t="b">
        <f>OR(G86='Cocktail Finder'!$B$3,ISBLANK('Cocktail Finder'!$B$3))</f>
        <v>1</v>
      </c>
      <c r="Q86" s="15" t="b">
        <f>OR(H86='Cocktail Finder'!$B$6,ISBLANK('Cocktail Finder'!$B$6))</f>
        <v>1</v>
      </c>
      <c r="R86" s="15">
        <f t="shared" ref="R86:T86" si="87">IFERROR(FIND("juice",E86),"")</f>
        <v>8</v>
      </c>
      <c r="S86" s="15" t="str">
        <f t="shared" si="87"/>
        <v/>
      </c>
      <c r="T86" s="15" t="str">
        <f t="shared" si="87"/>
        <v/>
      </c>
      <c r="U86" s="15" t="str">
        <f t="shared" si="2"/>
        <v>orange juice</v>
      </c>
    </row>
    <row r="87" spans="1:21" ht="15.75" customHeight="1" x14ac:dyDescent="0.2">
      <c r="A87" s="19">
        <f t="shared" si="3"/>
        <v>86</v>
      </c>
      <c r="B87" s="19" t="s">
        <v>205</v>
      </c>
      <c r="C87" s="19" t="s">
        <v>198</v>
      </c>
      <c r="D87" s="19" t="s">
        <v>204</v>
      </c>
      <c r="E87" s="19" t="s">
        <v>126</v>
      </c>
      <c r="F87" s="19" t="s">
        <v>66</v>
      </c>
      <c r="G87" s="19" t="s">
        <v>33</v>
      </c>
      <c r="H87" s="19" t="s">
        <v>33</v>
      </c>
      <c r="I87" s="19">
        <f t="shared" si="0"/>
        <v>1</v>
      </c>
      <c r="J87" s="19" t="s">
        <v>205</v>
      </c>
      <c r="K87" s="19" t="s">
        <v>199</v>
      </c>
      <c r="L87" s="15" t="b">
        <f>OR(C87='Cocktail Finder'!$B$2,ISBLANK('Cocktail Finder'!$B$2))</f>
        <v>1</v>
      </c>
      <c r="M87" s="15" t="b">
        <f>OR(D87='Cocktail Finder'!$B$7,ISBLANK('Cocktail Finder'!$B$7))</f>
        <v>1</v>
      </c>
      <c r="N87" s="15" t="b">
        <f>OR(E87='Cocktail Finder'!$B$5,ISBLANK('Cocktail Finder'!$B$5))</f>
        <v>1</v>
      </c>
      <c r="O87" s="15" t="b">
        <f>OR(F87='Cocktail Finder'!$B$4,ISBLANK('Cocktail Finder'!$B$4))</f>
        <v>1</v>
      </c>
      <c r="P87" s="15" t="b">
        <f>OR(G87='Cocktail Finder'!$B$3,ISBLANK('Cocktail Finder'!$B$3))</f>
        <v>1</v>
      </c>
      <c r="Q87" s="15" t="b">
        <f>OR(H87='Cocktail Finder'!$B$6,ISBLANK('Cocktail Finder'!$B$6))</f>
        <v>1</v>
      </c>
      <c r="R87" s="15">
        <f t="shared" ref="R87:T87" si="88">IFERROR(FIND("juice",E87),"")</f>
        <v>8</v>
      </c>
      <c r="S87" s="15" t="str">
        <f t="shared" si="88"/>
        <v/>
      </c>
      <c r="T87" s="15" t="str">
        <f t="shared" si="88"/>
        <v/>
      </c>
      <c r="U87" s="15" t="str">
        <f t="shared" si="2"/>
        <v>orange juice</v>
      </c>
    </row>
    <row r="88" spans="1:21" ht="15.75" customHeight="1" x14ac:dyDescent="0.2">
      <c r="A88" s="19">
        <f t="shared" si="3"/>
        <v>87</v>
      </c>
      <c r="B88" s="19" t="s">
        <v>206</v>
      </c>
      <c r="C88" s="19" t="s">
        <v>198</v>
      </c>
      <c r="D88" s="19" t="s">
        <v>204</v>
      </c>
      <c r="E88" s="19" t="s">
        <v>126</v>
      </c>
      <c r="F88" s="19" t="s">
        <v>104</v>
      </c>
      <c r="G88" s="19" t="s">
        <v>33</v>
      </c>
      <c r="H88" s="19" t="s">
        <v>33</v>
      </c>
      <c r="I88" s="19">
        <f t="shared" si="0"/>
        <v>1</v>
      </c>
      <c r="J88" s="19" t="s">
        <v>206</v>
      </c>
      <c r="K88" s="19" t="s">
        <v>199</v>
      </c>
      <c r="L88" s="15" t="b">
        <f>OR(C88='Cocktail Finder'!$B$2,ISBLANK('Cocktail Finder'!$B$2))</f>
        <v>1</v>
      </c>
      <c r="M88" s="15" t="b">
        <f>OR(D88='Cocktail Finder'!$B$7,ISBLANK('Cocktail Finder'!$B$7))</f>
        <v>1</v>
      </c>
      <c r="N88" s="15" t="b">
        <f>OR(E88='Cocktail Finder'!$B$5,ISBLANK('Cocktail Finder'!$B$5))</f>
        <v>1</v>
      </c>
      <c r="O88" s="15" t="b">
        <f>OR(F88='Cocktail Finder'!$B$4,ISBLANK('Cocktail Finder'!$B$4))</f>
        <v>1</v>
      </c>
      <c r="P88" s="15" t="b">
        <f>OR(G88='Cocktail Finder'!$B$3,ISBLANK('Cocktail Finder'!$B$3))</f>
        <v>1</v>
      </c>
      <c r="Q88" s="15" t="b">
        <f>OR(H88='Cocktail Finder'!$B$6,ISBLANK('Cocktail Finder'!$B$6))</f>
        <v>1</v>
      </c>
      <c r="R88" s="15">
        <f t="shared" ref="R88:T88" si="89">IFERROR(FIND("juice",E88),"")</f>
        <v>8</v>
      </c>
      <c r="S88" s="15" t="str">
        <f t="shared" si="89"/>
        <v/>
      </c>
      <c r="T88" s="15" t="str">
        <f t="shared" si="89"/>
        <v/>
      </c>
      <c r="U88" s="15" t="str">
        <f t="shared" si="2"/>
        <v>orange juice</v>
      </c>
    </row>
    <row r="89" spans="1:21" ht="15.75" customHeight="1" x14ac:dyDescent="0.2">
      <c r="A89" s="19">
        <f t="shared" si="3"/>
        <v>88</v>
      </c>
      <c r="B89" s="19" t="s">
        <v>207</v>
      </c>
      <c r="C89" s="19" t="s">
        <v>198</v>
      </c>
      <c r="D89" s="19" t="s">
        <v>48</v>
      </c>
      <c r="E89" s="19" t="s">
        <v>134</v>
      </c>
      <c r="F89" s="19" t="s">
        <v>100</v>
      </c>
      <c r="G89" s="19" t="s">
        <v>208</v>
      </c>
      <c r="H89" s="19" t="s">
        <v>33</v>
      </c>
      <c r="I89" s="19">
        <f t="shared" si="0"/>
        <v>1</v>
      </c>
      <c r="J89" s="19" t="s">
        <v>207</v>
      </c>
      <c r="K89" s="19" t="s">
        <v>199</v>
      </c>
      <c r="L89" s="15" t="b">
        <f>OR(C89='Cocktail Finder'!$B$2,ISBLANK('Cocktail Finder'!$B$2))</f>
        <v>1</v>
      </c>
      <c r="M89" s="15" t="b">
        <f>OR(D89='Cocktail Finder'!$B$7,ISBLANK('Cocktail Finder'!$B$7))</f>
        <v>1</v>
      </c>
      <c r="N89" s="15" t="b">
        <f>OR(E89='Cocktail Finder'!$B$5,ISBLANK('Cocktail Finder'!$B$5))</f>
        <v>1</v>
      </c>
      <c r="O89" s="15" t="b">
        <f>OR(F89='Cocktail Finder'!$B$4,ISBLANK('Cocktail Finder'!$B$4))</f>
        <v>1</v>
      </c>
      <c r="P89" s="15" t="b">
        <f>OR(G89='Cocktail Finder'!$B$3,ISBLANK('Cocktail Finder'!$B$3))</f>
        <v>1</v>
      </c>
      <c r="Q89" s="15" t="b">
        <f>OR(H89='Cocktail Finder'!$B$6,ISBLANK('Cocktail Finder'!$B$6))</f>
        <v>1</v>
      </c>
      <c r="R89" s="15">
        <f t="shared" ref="R89:T89" si="90">IFERROR(FIND("juice",E89),"")</f>
        <v>12</v>
      </c>
      <c r="S89" s="15" t="str">
        <f t="shared" si="90"/>
        <v/>
      </c>
      <c r="T89" s="15" t="str">
        <f t="shared" si="90"/>
        <v/>
      </c>
      <c r="U89" s="15" t="str">
        <f t="shared" si="2"/>
        <v>grapefruit juice</v>
      </c>
    </row>
    <row r="90" spans="1:21" ht="15.75" customHeight="1" x14ac:dyDescent="0.2">
      <c r="A90" s="19">
        <f t="shared" si="3"/>
        <v>89</v>
      </c>
      <c r="B90" s="19" t="s">
        <v>209</v>
      </c>
      <c r="C90" s="19" t="s">
        <v>198</v>
      </c>
      <c r="D90" s="19" t="s">
        <v>52</v>
      </c>
      <c r="E90" s="19"/>
      <c r="F90" s="19" t="s">
        <v>100</v>
      </c>
      <c r="G90" s="19" t="s">
        <v>33</v>
      </c>
      <c r="H90" s="19" t="s">
        <v>33</v>
      </c>
      <c r="I90" s="19">
        <f t="shared" si="0"/>
        <v>1</v>
      </c>
      <c r="J90" s="19" t="s">
        <v>209</v>
      </c>
      <c r="K90" s="19" t="s">
        <v>199</v>
      </c>
      <c r="L90" s="15" t="b">
        <f>OR(C90='Cocktail Finder'!$B$2,ISBLANK('Cocktail Finder'!$B$2))</f>
        <v>1</v>
      </c>
      <c r="M90" s="15" t="b">
        <f>OR(D90='Cocktail Finder'!$B$7,ISBLANK('Cocktail Finder'!$B$7))</f>
        <v>1</v>
      </c>
      <c r="N90" s="15" t="b">
        <f>OR(E90='Cocktail Finder'!$B$5,ISBLANK('Cocktail Finder'!$B$5))</f>
        <v>1</v>
      </c>
      <c r="O90" s="15" t="b">
        <f>OR(F90='Cocktail Finder'!$B$4,ISBLANK('Cocktail Finder'!$B$4))</f>
        <v>1</v>
      </c>
      <c r="P90" s="15" t="b">
        <f>OR(G90='Cocktail Finder'!$B$3,ISBLANK('Cocktail Finder'!$B$3))</f>
        <v>1</v>
      </c>
      <c r="Q90" s="15" t="b">
        <f>OR(H90='Cocktail Finder'!$B$6,ISBLANK('Cocktail Finder'!$B$6))</f>
        <v>1</v>
      </c>
      <c r="R90" s="15" t="str">
        <f t="shared" ref="R90:T90" si="91">IFERROR(FIND("juice",E90),"")</f>
        <v/>
      </c>
      <c r="S90" s="15" t="str">
        <f t="shared" si="91"/>
        <v/>
      </c>
      <c r="T90" s="15" t="str">
        <f t="shared" si="91"/>
        <v/>
      </c>
      <c r="U90" s="15" t="str">
        <f t="shared" si="2"/>
        <v/>
      </c>
    </row>
    <row r="91" spans="1:21" ht="15.75" customHeight="1" x14ac:dyDescent="0.2">
      <c r="A91" s="19">
        <f t="shared" si="3"/>
        <v>90</v>
      </c>
      <c r="B91" s="19" t="s">
        <v>210</v>
      </c>
      <c r="C91" s="19" t="s">
        <v>198</v>
      </c>
      <c r="D91" s="19" t="s">
        <v>52</v>
      </c>
      <c r="E91" s="19"/>
      <c r="F91" s="19" t="s">
        <v>100</v>
      </c>
      <c r="G91" s="19" t="s">
        <v>60</v>
      </c>
      <c r="H91" s="19" t="s">
        <v>33</v>
      </c>
      <c r="I91" s="19">
        <f t="shared" si="0"/>
        <v>1</v>
      </c>
      <c r="J91" s="19" t="s">
        <v>210</v>
      </c>
      <c r="K91" s="19" t="s">
        <v>199</v>
      </c>
      <c r="L91" s="15" t="b">
        <f>OR(C91='Cocktail Finder'!$B$2,ISBLANK('Cocktail Finder'!$B$2))</f>
        <v>1</v>
      </c>
      <c r="M91" s="15" t="b">
        <f>OR(D91='Cocktail Finder'!$B$7,ISBLANK('Cocktail Finder'!$B$7))</f>
        <v>1</v>
      </c>
      <c r="N91" s="15" t="b">
        <f>OR(E91='Cocktail Finder'!$B$5,ISBLANK('Cocktail Finder'!$B$5))</f>
        <v>1</v>
      </c>
      <c r="O91" s="15" t="b">
        <f>OR(F91='Cocktail Finder'!$B$4,ISBLANK('Cocktail Finder'!$B$4))</f>
        <v>1</v>
      </c>
      <c r="P91" s="15" t="b">
        <f>OR(G91='Cocktail Finder'!$B$3,ISBLANK('Cocktail Finder'!$B$3))</f>
        <v>1</v>
      </c>
      <c r="Q91" s="15" t="b">
        <f>OR(H91='Cocktail Finder'!$B$6,ISBLANK('Cocktail Finder'!$B$6))</f>
        <v>1</v>
      </c>
      <c r="R91" s="15" t="str">
        <f t="shared" ref="R91:T91" si="92">IFERROR(FIND("juice",E91),"")</f>
        <v/>
      </c>
      <c r="S91" s="15" t="str">
        <f t="shared" si="92"/>
        <v/>
      </c>
      <c r="T91" s="15" t="str">
        <f t="shared" si="92"/>
        <v/>
      </c>
      <c r="U91" s="15" t="str">
        <f t="shared" si="2"/>
        <v/>
      </c>
    </row>
    <row r="92" spans="1:21" ht="15.75" customHeight="1" x14ac:dyDescent="0.2">
      <c r="A92" s="19">
        <f t="shared" si="3"/>
        <v>91</v>
      </c>
      <c r="B92" s="19" t="s">
        <v>211</v>
      </c>
      <c r="C92" s="19" t="s">
        <v>198</v>
      </c>
      <c r="D92" s="19" t="s">
        <v>52</v>
      </c>
      <c r="E92" s="19"/>
      <c r="F92" s="19" t="s">
        <v>108</v>
      </c>
      <c r="G92" s="19" t="s">
        <v>33</v>
      </c>
      <c r="H92" s="19" t="s">
        <v>33</v>
      </c>
      <c r="I92" s="19">
        <f t="shared" si="0"/>
        <v>1</v>
      </c>
      <c r="J92" s="19" t="s">
        <v>211</v>
      </c>
      <c r="K92" s="19" t="s">
        <v>199</v>
      </c>
      <c r="L92" s="15" t="b">
        <f>OR(C92='Cocktail Finder'!$B$2,ISBLANK('Cocktail Finder'!$B$2))</f>
        <v>1</v>
      </c>
      <c r="M92" s="15" t="b">
        <f>OR(D92='Cocktail Finder'!$B$7,ISBLANK('Cocktail Finder'!$B$7))</f>
        <v>1</v>
      </c>
      <c r="N92" s="15" t="b">
        <f>OR(E92='Cocktail Finder'!$B$5,ISBLANK('Cocktail Finder'!$B$5))</f>
        <v>1</v>
      </c>
      <c r="O92" s="15" t="b">
        <f>OR(F92='Cocktail Finder'!$B$4,ISBLANK('Cocktail Finder'!$B$4))</f>
        <v>1</v>
      </c>
      <c r="P92" s="15" t="b">
        <f>OR(G92='Cocktail Finder'!$B$3,ISBLANK('Cocktail Finder'!$B$3))</f>
        <v>1</v>
      </c>
      <c r="Q92" s="15" t="b">
        <f>OR(H92='Cocktail Finder'!$B$6,ISBLANK('Cocktail Finder'!$B$6))</f>
        <v>1</v>
      </c>
      <c r="R92" s="15" t="str">
        <f t="shared" ref="R92:T92" si="93">IFERROR(FIND("juice",E92),"")</f>
        <v/>
      </c>
      <c r="S92" s="15" t="str">
        <f t="shared" si="93"/>
        <v/>
      </c>
      <c r="T92" s="15" t="str">
        <f t="shared" si="93"/>
        <v/>
      </c>
      <c r="U92" s="15" t="str">
        <f t="shared" si="2"/>
        <v/>
      </c>
    </row>
    <row r="93" spans="1:21" ht="15.75" customHeight="1" x14ac:dyDescent="0.2">
      <c r="A93" s="19">
        <f t="shared" si="3"/>
        <v>92</v>
      </c>
      <c r="B93" s="19" t="s">
        <v>212</v>
      </c>
      <c r="C93" s="19" t="s">
        <v>198</v>
      </c>
      <c r="D93" s="19" t="s">
        <v>52</v>
      </c>
      <c r="E93" s="19"/>
      <c r="F93" s="19" t="s">
        <v>213</v>
      </c>
      <c r="G93" s="19" t="s">
        <v>33</v>
      </c>
      <c r="H93" s="19" t="s">
        <v>33</v>
      </c>
      <c r="I93" s="19">
        <f t="shared" si="0"/>
        <v>1</v>
      </c>
      <c r="J93" s="19" t="s">
        <v>212</v>
      </c>
      <c r="K93" s="19" t="s">
        <v>199</v>
      </c>
      <c r="L93" s="15" t="b">
        <f>OR(C93='Cocktail Finder'!$B$2,ISBLANK('Cocktail Finder'!$B$2))</f>
        <v>1</v>
      </c>
      <c r="M93" s="15" t="b">
        <f>OR(D93='Cocktail Finder'!$B$7,ISBLANK('Cocktail Finder'!$B$7))</f>
        <v>1</v>
      </c>
      <c r="N93" s="15" t="b">
        <f>OR(E93='Cocktail Finder'!$B$5,ISBLANK('Cocktail Finder'!$B$5))</f>
        <v>1</v>
      </c>
      <c r="O93" s="15" t="b">
        <f>OR(F93='Cocktail Finder'!$B$4,ISBLANK('Cocktail Finder'!$B$4))</f>
        <v>1</v>
      </c>
      <c r="P93" s="15" t="b">
        <f>OR(G93='Cocktail Finder'!$B$3,ISBLANK('Cocktail Finder'!$B$3))</f>
        <v>1</v>
      </c>
      <c r="Q93" s="15" t="b">
        <f>OR(H93='Cocktail Finder'!$B$6,ISBLANK('Cocktail Finder'!$B$6))</f>
        <v>1</v>
      </c>
      <c r="R93" s="15" t="str">
        <f t="shared" ref="R93:T93" si="94">IFERROR(FIND("juice",E93),"")</f>
        <v/>
      </c>
      <c r="S93" s="15" t="str">
        <f t="shared" si="94"/>
        <v/>
      </c>
      <c r="T93" s="15" t="str">
        <f t="shared" si="94"/>
        <v/>
      </c>
      <c r="U93" s="15" t="str">
        <f t="shared" si="2"/>
        <v/>
      </c>
    </row>
    <row r="94" spans="1:21" ht="15.75" customHeight="1" x14ac:dyDescent="0.2">
      <c r="A94" s="19">
        <f t="shared" si="3"/>
        <v>93</v>
      </c>
      <c r="B94" s="19" t="s">
        <v>214</v>
      </c>
      <c r="C94" s="19" t="s">
        <v>198</v>
      </c>
      <c r="D94" s="19" t="s">
        <v>52</v>
      </c>
      <c r="E94" s="19"/>
      <c r="F94" s="19" t="s">
        <v>215</v>
      </c>
      <c r="G94" s="19" t="s">
        <v>33</v>
      </c>
      <c r="H94" s="19" t="s">
        <v>33</v>
      </c>
      <c r="I94" s="19">
        <f t="shared" si="0"/>
        <v>1</v>
      </c>
      <c r="J94" s="19" t="s">
        <v>214</v>
      </c>
      <c r="K94" s="19" t="s">
        <v>199</v>
      </c>
      <c r="L94" s="15" t="b">
        <f>OR(C94='Cocktail Finder'!$B$2,ISBLANK('Cocktail Finder'!$B$2))</f>
        <v>1</v>
      </c>
      <c r="M94" s="15" t="b">
        <f>OR(D94='Cocktail Finder'!$B$7,ISBLANK('Cocktail Finder'!$B$7))</f>
        <v>1</v>
      </c>
      <c r="N94" s="15" t="b">
        <f>OR(E94='Cocktail Finder'!$B$5,ISBLANK('Cocktail Finder'!$B$5))</f>
        <v>1</v>
      </c>
      <c r="O94" s="15" t="b">
        <f>OR(F94='Cocktail Finder'!$B$4,ISBLANK('Cocktail Finder'!$B$4))</f>
        <v>1</v>
      </c>
      <c r="P94" s="15" t="b">
        <f>OR(G94='Cocktail Finder'!$B$3,ISBLANK('Cocktail Finder'!$B$3))</f>
        <v>1</v>
      </c>
      <c r="Q94" s="15" t="b">
        <f>OR(H94='Cocktail Finder'!$B$6,ISBLANK('Cocktail Finder'!$B$6))</f>
        <v>1</v>
      </c>
      <c r="R94" s="15" t="str">
        <f t="shared" ref="R94:T94" si="95">IFERROR(FIND("juice",E94),"")</f>
        <v/>
      </c>
      <c r="S94" s="15" t="str">
        <f t="shared" si="95"/>
        <v/>
      </c>
      <c r="T94" s="15" t="str">
        <f t="shared" si="95"/>
        <v/>
      </c>
      <c r="U94" s="15" t="str">
        <f t="shared" si="2"/>
        <v/>
      </c>
    </row>
    <row r="95" spans="1:21" ht="15.75" customHeight="1" x14ac:dyDescent="0.2">
      <c r="A95" s="19">
        <f t="shared" si="3"/>
        <v>94</v>
      </c>
      <c r="B95" s="19" t="s">
        <v>216</v>
      </c>
      <c r="C95" s="19" t="s">
        <v>198</v>
      </c>
      <c r="D95" s="19" t="s">
        <v>48</v>
      </c>
      <c r="E95" s="19"/>
      <c r="F95" s="19" t="s">
        <v>73</v>
      </c>
      <c r="G95" s="19" t="s">
        <v>66</v>
      </c>
      <c r="H95" s="19" t="s">
        <v>33</v>
      </c>
      <c r="I95" s="19">
        <f t="shared" si="0"/>
        <v>1</v>
      </c>
      <c r="J95" s="19" t="s">
        <v>216</v>
      </c>
      <c r="K95" s="19" t="s">
        <v>199</v>
      </c>
      <c r="L95" s="15" t="b">
        <f>OR(C95='Cocktail Finder'!$B$2,ISBLANK('Cocktail Finder'!$B$2))</f>
        <v>1</v>
      </c>
      <c r="M95" s="15" t="b">
        <f>OR(D95='Cocktail Finder'!$B$7,ISBLANK('Cocktail Finder'!$B$7))</f>
        <v>1</v>
      </c>
      <c r="N95" s="15" t="b">
        <f>OR(E95='Cocktail Finder'!$B$5,ISBLANK('Cocktail Finder'!$B$5))</f>
        <v>1</v>
      </c>
      <c r="O95" s="15" t="b">
        <f>OR(F95='Cocktail Finder'!$B$4,ISBLANK('Cocktail Finder'!$B$4))</f>
        <v>1</v>
      </c>
      <c r="P95" s="15" t="b">
        <f>OR(G95='Cocktail Finder'!$B$3,ISBLANK('Cocktail Finder'!$B$3))</f>
        <v>1</v>
      </c>
      <c r="Q95" s="15" t="b">
        <f>OR(H95='Cocktail Finder'!$B$6,ISBLANK('Cocktail Finder'!$B$6))</f>
        <v>1</v>
      </c>
      <c r="R95" s="15" t="str">
        <f t="shared" ref="R95:T95" si="96">IFERROR(FIND("juice",E95),"")</f>
        <v/>
      </c>
      <c r="S95" s="15" t="str">
        <f t="shared" si="96"/>
        <v/>
      </c>
      <c r="T95" s="15" t="str">
        <f t="shared" si="96"/>
        <v/>
      </c>
      <c r="U95" s="15" t="str">
        <f t="shared" si="2"/>
        <v/>
      </c>
    </row>
    <row r="96" spans="1:21" ht="15.75" customHeight="1" x14ac:dyDescent="0.2">
      <c r="A96" s="19">
        <f t="shared" si="3"/>
        <v>95</v>
      </c>
      <c r="B96" s="19" t="s">
        <v>217</v>
      </c>
      <c r="C96" s="19" t="s">
        <v>198</v>
      </c>
      <c r="D96" s="19" t="s">
        <v>48</v>
      </c>
      <c r="E96" s="19"/>
      <c r="F96" s="19" t="s">
        <v>60</v>
      </c>
      <c r="G96" s="19" t="s">
        <v>55</v>
      </c>
      <c r="H96" s="19" t="s">
        <v>33</v>
      </c>
      <c r="I96" s="19">
        <f t="shared" si="0"/>
        <v>1</v>
      </c>
      <c r="J96" s="19" t="s">
        <v>217</v>
      </c>
      <c r="K96" s="19" t="s">
        <v>199</v>
      </c>
      <c r="L96" s="15" t="b">
        <f>OR(C96='Cocktail Finder'!$B$2,ISBLANK('Cocktail Finder'!$B$2))</f>
        <v>1</v>
      </c>
      <c r="M96" s="15" t="b">
        <f>OR(D96='Cocktail Finder'!$B$7,ISBLANK('Cocktail Finder'!$B$7))</f>
        <v>1</v>
      </c>
      <c r="N96" s="15" t="b">
        <f>OR(E96='Cocktail Finder'!$B$5,ISBLANK('Cocktail Finder'!$B$5))</f>
        <v>1</v>
      </c>
      <c r="O96" s="15" t="b">
        <f>OR(F96='Cocktail Finder'!$B$4,ISBLANK('Cocktail Finder'!$B$4))</f>
        <v>1</v>
      </c>
      <c r="P96" s="15" t="b">
        <f>OR(G96='Cocktail Finder'!$B$3,ISBLANK('Cocktail Finder'!$B$3))</f>
        <v>1</v>
      </c>
      <c r="Q96" s="15" t="b">
        <f>OR(H96='Cocktail Finder'!$B$6,ISBLANK('Cocktail Finder'!$B$6))</f>
        <v>1</v>
      </c>
      <c r="R96" s="15" t="str">
        <f t="shared" ref="R96:T96" si="97">IFERROR(FIND("juice",E96),"")</f>
        <v/>
      </c>
      <c r="S96" s="15" t="str">
        <f t="shared" si="97"/>
        <v/>
      </c>
      <c r="T96" s="15" t="str">
        <f t="shared" si="97"/>
        <v/>
      </c>
      <c r="U96" s="15" t="str">
        <f t="shared" si="2"/>
        <v/>
      </c>
    </row>
    <row r="97" spans="1:21" ht="15.75" customHeight="1" x14ac:dyDescent="0.2">
      <c r="A97" s="19">
        <f t="shared" si="3"/>
        <v>96</v>
      </c>
      <c r="B97" s="19" t="s">
        <v>218</v>
      </c>
      <c r="C97" s="19" t="s">
        <v>219</v>
      </c>
      <c r="D97" s="19" t="s">
        <v>173</v>
      </c>
      <c r="E97" s="19"/>
      <c r="F97" s="19" t="s">
        <v>33</v>
      </c>
      <c r="G97" s="19" t="s">
        <v>33</v>
      </c>
      <c r="H97" s="19" t="s">
        <v>33</v>
      </c>
      <c r="I97" s="19">
        <f t="shared" si="0"/>
        <v>1</v>
      </c>
      <c r="J97" s="19" t="s">
        <v>218</v>
      </c>
      <c r="K97" s="19" t="s">
        <v>34</v>
      </c>
      <c r="L97" s="15" t="b">
        <f>OR(C97='Cocktail Finder'!$B$2,ISBLANK('Cocktail Finder'!$B$2))</f>
        <v>1</v>
      </c>
      <c r="M97" s="15" t="b">
        <f>OR(D97='Cocktail Finder'!$B$7,ISBLANK('Cocktail Finder'!$B$7))</f>
        <v>1</v>
      </c>
      <c r="N97" s="15" t="b">
        <f>OR(E97='Cocktail Finder'!$B$5,ISBLANK('Cocktail Finder'!$B$5))</f>
        <v>1</v>
      </c>
      <c r="O97" s="15" t="b">
        <f>OR(F97='Cocktail Finder'!$B$4,ISBLANK('Cocktail Finder'!$B$4))</f>
        <v>1</v>
      </c>
      <c r="P97" s="15" t="b">
        <f>OR(G97='Cocktail Finder'!$B$3,ISBLANK('Cocktail Finder'!$B$3))</f>
        <v>1</v>
      </c>
      <c r="Q97" s="15" t="b">
        <f>OR(H97='Cocktail Finder'!$B$6,ISBLANK('Cocktail Finder'!$B$6))</f>
        <v>1</v>
      </c>
      <c r="R97" s="15" t="str">
        <f t="shared" ref="R97:T97" si="98">IFERROR(FIND("juice",E97),"")</f>
        <v/>
      </c>
      <c r="S97" s="15" t="str">
        <f t="shared" si="98"/>
        <v/>
      </c>
      <c r="T97" s="15" t="str">
        <f t="shared" si="98"/>
        <v/>
      </c>
      <c r="U97" s="15" t="str">
        <f t="shared" si="2"/>
        <v/>
      </c>
    </row>
    <row r="98" spans="1:21" ht="15.75" customHeight="1" x14ac:dyDescent="0.2">
      <c r="A98" s="19">
        <f t="shared" si="3"/>
        <v>97</v>
      </c>
      <c r="B98" s="19" t="s">
        <v>220</v>
      </c>
      <c r="C98" s="19" t="s">
        <v>219</v>
      </c>
      <c r="D98" s="19" t="s">
        <v>221</v>
      </c>
      <c r="E98" s="19"/>
      <c r="F98" s="19" t="s">
        <v>33</v>
      </c>
      <c r="G98" s="19" t="s">
        <v>33</v>
      </c>
      <c r="H98" s="19" t="s">
        <v>33</v>
      </c>
      <c r="I98" s="19">
        <f t="shared" si="0"/>
        <v>1</v>
      </c>
      <c r="J98" s="19" t="s">
        <v>220</v>
      </c>
      <c r="K98" s="19" t="s">
        <v>34</v>
      </c>
      <c r="L98" s="15" t="b">
        <f>OR(C98='Cocktail Finder'!$B$2,ISBLANK('Cocktail Finder'!$B$2))</f>
        <v>1</v>
      </c>
      <c r="M98" s="15" t="b">
        <f>OR(D98='Cocktail Finder'!$B$7,ISBLANK('Cocktail Finder'!$B$7))</f>
        <v>1</v>
      </c>
      <c r="N98" s="15" t="b">
        <f>OR(E98='Cocktail Finder'!$B$5,ISBLANK('Cocktail Finder'!$B$5))</f>
        <v>1</v>
      </c>
      <c r="O98" s="15" t="b">
        <f>OR(F98='Cocktail Finder'!$B$4,ISBLANK('Cocktail Finder'!$B$4))</f>
        <v>1</v>
      </c>
      <c r="P98" s="15" t="b">
        <f>OR(G98='Cocktail Finder'!$B$3,ISBLANK('Cocktail Finder'!$B$3))</f>
        <v>1</v>
      </c>
      <c r="Q98" s="15" t="b">
        <f>OR(H98='Cocktail Finder'!$B$6,ISBLANK('Cocktail Finder'!$B$6))</f>
        <v>1</v>
      </c>
      <c r="R98" s="15" t="str">
        <f t="shared" ref="R98:T98" si="99">IFERROR(FIND("juice",E98),"")</f>
        <v/>
      </c>
      <c r="S98" s="15" t="str">
        <f t="shared" si="99"/>
        <v/>
      </c>
      <c r="T98" s="15" t="str">
        <f t="shared" si="99"/>
        <v/>
      </c>
      <c r="U98" s="15" t="str">
        <f t="shared" si="2"/>
        <v/>
      </c>
    </row>
    <row r="99" spans="1:21" ht="15.75" customHeight="1" x14ac:dyDescent="0.2">
      <c r="A99" s="19">
        <f t="shared" si="3"/>
        <v>98</v>
      </c>
      <c r="B99" s="20" t="s">
        <v>222</v>
      </c>
      <c r="C99" s="20" t="s">
        <v>219</v>
      </c>
      <c r="D99" s="20" t="s">
        <v>52</v>
      </c>
      <c r="E99" s="20"/>
      <c r="F99" s="20" t="s">
        <v>33</v>
      </c>
      <c r="G99" s="20" t="s">
        <v>33</v>
      </c>
      <c r="H99" s="20" t="s">
        <v>33</v>
      </c>
      <c r="I99" s="19">
        <f t="shared" si="0"/>
        <v>1</v>
      </c>
      <c r="J99" s="20" t="s">
        <v>222</v>
      </c>
      <c r="K99" s="20" t="s">
        <v>199</v>
      </c>
      <c r="L99" s="15" t="b">
        <f>OR(C99='Cocktail Finder'!$B$2,ISBLANK('Cocktail Finder'!$B$2))</f>
        <v>1</v>
      </c>
      <c r="M99" s="15" t="b">
        <f>OR(D99='Cocktail Finder'!$B$7,ISBLANK('Cocktail Finder'!$B$7))</f>
        <v>1</v>
      </c>
      <c r="N99" s="15" t="b">
        <f>OR(E99='Cocktail Finder'!$B$5,ISBLANK('Cocktail Finder'!$B$5))</f>
        <v>1</v>
      </c>
      <c r="O99" s="15" t="b">
        <f>OR(F99='Cocktail Finder'!$B$4,ISBLANK('Cocktail Finder'!$B$4))</f>
        <v>1</v>
      </c>
      <c r="P99" s="15" t="b">
        <f>OR(G99='Cocktail Finder'!$B$3,ISBLANK('Cocktail Finder'!$B$3))</f>
        <v>1</v>
      </c>
      <c r="Q99" s="15" t="b">
        <f>OR(H99='Cocktail Finder'!$B$6,ISBLANK('Cocktail Finder'!$B$6))</f>
        <v>1</v>
      </c>
      <c r="R99" s="15" t="str">
        <f t="shared" ref="R99:T99" si="100">IFERROR(FIND("juice",E99),"")</f>
        <v/>
      </c>
      <c r="S99" s="15" t="str">
        <f t="shared" si="100"/>
        <v/>
      </c>
      <c r="T99" s="15" t="str">
        <f t="shared" si="100"/>
        <v/>
      </c>
      <c r="U99" s="15" t="str">
        <f t="shared" si="2"/>
        <v/>
      </c>
    </row>
    <row r="100" spans="1:21" ht="15.75" customHeight="1" x14ac:dyDescent="0.2">
      <c r="A100" s="19">
        <f t="shared" si="3"/>
        <v>99</v>
      </c>
      <c r="B100" s="19" t="s">
        <v>223</v>
      </c>
      <c r="C100" s="19" t="s">
        <v>219</v>
      </c>
      <c r="D100" s="19" t="s">
        <v>52</v>
      </c>
      <c r="E100" s="19"/>
      <c r="F100" s="19" t="s">
        <v>224</v>
      </c>
      <c r="G100" s="19" t="s">
        <v>33</v>
      </c>
      <c r="H100" s="19" t="s">
        <v>33</v>
      </c>
      <c r="I100" s="19">
        <f t="shared" si="0"/>
        <v>1</v>
      </c>
      <c r="J100" s="19" t="s">
        <v>223</v>
      </c>
      <c r="K100" s="19" t="s">
        <v>199</v>
      </c>
      <c r="L100" s="15" t="b">
        <f>OR(C100='Cocktail Finder'!$B$2,ISBLANK('Cocktail Finder'!$B$2))</f>
        <v>1</v>
      </c>
      <c r="M100" s="15" t="b">
        <f>OR(D100='Cocktail Finder'!$B$7,ISBLANK('Cocktail Finder'!$B$7))</f>
        <v>1</v>
      </c>
      <c r="N100" s="15" t="b">
        <f>OR(E100='Cocktail Finder'!$B$5,ISBLANK('Cocktail Finder'!$B$5))</f>
        <v>1</v>
      </c>
      <c r="O100" s="15" t="b">
        <f>OR(F100='Cocktail Finder'!$B$4,ISBLANK('Cocktail Finder'!$B$4))</f>
        <v>1</v>
      </c>
      <c r="P100" s="15" t="b">
        <f>OR(G100='Cocktail Finder'!$B$3,ISBLANK('Cocktail Finder'!$B$3))</f>
        <v>1</v>
      </c>
      <c r="Q100" s="15" t="b">
        <f>OR(H100='Cocktail Finder'!$B$6,ISBLANK('Cocktail Finder'!$B$6))</f>
        <v>1</v>
      </c>
      <c r="R100" s="15" t="str">
        <f t="shared" ref="R100:T100" si="101">IFERROR(FIND("juice",E100),"")</f>
        <v/>
      </c>
      <c r="S100" s="15" t="str">
        <f t="shared" si="101"/>
        <v/>
      </c>
      <c r="T100" s="15" t="str">
        <f t="shared" si="101"/>
        <v/>
      </c>
      <c r="U100" s="15" t="str">
        <f t="shared" si="2"/>
        <v/>
      </c>
    </row>
    <row r="101" spans="1:21" ht="15.75" customHeight="1" x14ac:dyDescent="0.2">
      <c r="A101" s="19">
        <f t="shared" si="3"/>
        <v>100</v>
      </c>
      <c r="B101" s="20" t="s">
        <v>225</v>
      </c>
      <c r="C101" s="20" t="s">
        <v>219</v>
      </c>
      <c r="D101" s="20" t="s">
        <v>52</v>
      </c>
      <c r="E101" s="20"/>
      <c r="F101" s="20" t="s">
        <v>226</v>
      </c>
      <c r="G101" s="20" t="s">
        <v>33</v>
      </c>
      <c r="H101" s="20" t="s">
        <v>33</v>
      </c>
      <c r="I101" s="19">
        <f t="shared" si="0"/>
        <v>1</v>
      </c>
      <c r="J101" s="20" t="s">
        <v>225</v>
      </c>
      <c r="K101" s="20" t="s">
        <v>199</v>
      </c>
      <c r="L101" s="15" t="b">
        <f>OR(C101='Cocktail Finder'!$B$2,ISBLANK('Cocktail Finder'!$B$2))</f>
        <v>1</v>
      </c>
      <c r="M101" s="15" t="b">
        <f>OR(D101='Cocktail Finder'!$B$7,ISBLANK('Cocktail Finder'!$B$7))</f>
        <v>1</v>
      </c>
      <c r="N101" s="15" t="b">
        <f>OR(E101='Cocktail Finder'!$B$5,ISBLANK('Cocktail Finder'!$B$5))</f>
        <v>1</v>
      </c>
      <c r="O101" s="15" t="b">
        <f>OR(F101='Cocktail Finder'!$B$4,ISBLANK('Cocktail Finder'!$B$4))</f>
        <v>1</v>
      </c>
      <c r="P101" s="15" t="b">
        <f>OR(G101='Cocktail Finder'!$B$3,ISBLANK('Cocktail Finder'!$B$3))</f>
        <v>1</v>
      </c>
      <c r="Q101" s="15" t="b">
        <f>OR(H101='Cocktail Finder'!$B$6,ISBLANK('Cocktail Finder'!$B$6))</f>
        <v>1</v>
      </c>
      <c r="R101" s="15" t="str">
        <f t="shared" ref="R101:T101" si="102">IFERROR(FIND("juice",E101),"")</f>
        <v/>
      </c>
      <c r="S101" s="15" t="str">
        <f t="shared" si="102"/>
        <v/>
      </c>
      <c r="T101" s="15" t="str">
        <f t="shared" si="102"/>
        <v/>
      </c>
      <c r="U101" s="15" t="str">
        <f t="shared" si="2"/>
        <v/>
      </c>
    </row>
    <row r="102" spans="1:21" ht="15.75" customHeight="1" x14ac:dyDescent="0.2">
      <c r="A102" s="19">
        <f t="shared" si="3"/>
        <v>101</v>
      </c>
      <c r="B102" s="19" t="s">
        <v>227</v>
      </c>
      <c r="C102" s="19" t="s">
        <v>219</v>
      </c>
      <c r="D102" s="19" t="s">
        <v>178</v>
      </c>
      <c r="E102" s="19"/>
      <c r="F102" s="19" t="s">
        <v>33</v>
      </c>
      <c r="G102" s="19" t="s">
        <v>33</v>
      </c>
      <c r="H102" s="19" t="s">
        <v>33</v>
      </c>
      <c r="I102" s="19">
        <f t="shared" si="0"/>
        <v>1</v>
      </c>
      <c r="J102" s="19" t="s">
        <v>227</v>
      </c>
      <c r="K102" s="19" t="s">
        <v>199</v>
      </c>
      <c r="L102" s="15" t="b">
        <f>OR(C102='Cocktail Finder'!$B$2,ISBLANK('Cocktail Finder'!$B$2))</f>
        <v>1</v>
      </c>
      <c r="M102" s="15" t="b">
        <f>OR(D102='Cocktail Finder'!$B$7,ISBLANK('Cocktail Finder'!$B$7))</f>
        <v>1</v>
      </c>
      <c r="N102" s="15" t="b">
        <f>OR(E102='Cocktail Finder'!$B$5,ISBLANK('Cocktail Finder'!$B$5))</f>
        <v>1</v>
      </c>
      <c r="O102" s="15" t="b">
        <f>OR(F102='Cocktail Finder'!$B$4,ISBLANK('Cocktail Finder'!$B$4))</f>
        <v>1</v>
      </c>
      <c r="P102" s="15" t="b">
        <f>OR(G102='Cocktail Finder'!$B$3,ISBLANK('Cocktail Finder'!$B$3))</f>
        <v>1</v>
      </c>
      <c r="Q102" s="15" t="b">
        <f>OR(H102='Cocktail Finder'!$B$6,ISBLANK('Cocktail Finder'!$B$6))</f>
        <v>1</v>
      </c>
      <c r="R102" s="15" t="str">
        <f t="shared" ref="R102:T102" si="103">IFERROR(FIND("juice",E102),"")</f>
        <v/>
      </c>
      <c r="S102" s="15" t="str">
        <f t="shared" si="103"/>
        <v/>
      </c>
      <c r="T102" s="15" t="str">
        <f t="shared" si="103"/>
        <v/>
      </c>
      <c r="U102" s="15" t="str">
        <f t="shared" si="2"/>
        <v/>
      </c>
    </row>
    <row r="103" spans="1:21" ht="15.75" customHeight="1" x14ac:dyDescent="0.2">
      <c r="A103" s="19">
        <f t="shared" si="3"/>
        <v>102</v>
      </c>
      <c r="B103" s="19" t="s">
        <v>228</v>
      </c>
      <c r="C103" s="19" t="s">
        <v>229</v>
      </c>
      <c r="D103" s="19" t="s">
        <v>48</v>
      </c>
      <c r="E103" s="19"/>
      <c r="F103" s="19" t="s">
        <v>66</v>
      </c>
      <c r="G103" s="19" t="s">
        <v>33</v>
      </c>
      <c r="H103" s="19" t="s">
        <v>33</v>
      </c>
      <c r="I103" s="19">
        <f t="shared" si="0"/>
        <v>1</v>
      </c>
      <c r="J103" s="19" t="s">
        <v>228</v>
      </c>
      <c r="K103" s="19" t="s">
        <v>50</v>
      </c>
      <c r="L103" s="15" t="b">
        <f>OR(C103='Cocktail Finder'!$B$2,ISBLANK('Cocktail Finder'!$B$2))</f>
        <v>1</v>
      </c>
      <c r="M103" s="15" t="b">
        <f>OR(D103='Cocktail Finder'!$B$7,ISBLANK('Cocktail Finder'!$B$7))</f>
        <v>1</v>
      </c>
      <c r="N103" s="15" t="b">
        <f>OR(E103='Cocktail Finder'!$B$5,ISBLANK('Cocktail Finder'!$B$5))</f>
        <v>1</v>
      </c>
      <c r="O103" s="15" t="b">
        <f>OR(F103='Cocktail Finder'!$B$4,ISBLANK('Cocktail Finder'!$B$4))</f>
        <v>1</v>
      </c>
      <c r="P103" s="15" t="b">
        <f>OR(G103='Cocktail Finder'!$B$3,ISBLANK('Cocktail Finder'!$B$3))</f>
        <v>1</v>
      </c>
      <c r="Q103" s="15" t="b">
        <f>OR(H103='Cocktail Finder'!$B$6,ISBLANK('Cocktail Finder'!$B$6))</f>
        <v>1</v>
      </c>
      <c r="R103" s="15" t="str">
        <f t="shared" ref="R103:T103" si="104">IFERROR(FIND("juice",E103),"")</f>
        <v/>
      </c>
      <c r="S103" s="15" t="str">
        <f t="shared" si="104"/>
        <v/>
      </c>
      <c r="T103" s="15" t="str">
        <f t="shared" si="104"/>
        <v/>
      </c>
      <c r="U103" s="15" t="str">
        <f t="shared" si="2"/>
        <v/>
      </c>
    </row>
    <row r="104" spans="1:21" ht="15.75" customHeight="1" x14ac:dyDescent="0.2">
      <c r="A104" s="19">
        <f t="shared" si="3"/>
        <v>103</v>
      </c>
      <c r="B104" s="19" t="s">
        <v>230</v>
      </c>
      <c r="C104" s="19" t="s">
        <v>229</v>
      </c>
      <c r="D104" s="19" t="s">
        <v>48</v>
      </c>
      <c r="E104" s="19"/>
      <c r="F104" s="18" t="s">
        <v>104</v>
      </c>
      <c r="G104" s="18" t="s">
        <v>66</v>
      </c>
      <c r="H104" s="19" t="s">
        <v>33</v>
      </c>
      <c r="I104" s="19">
        <f t="shared" si="0"/>
        <v>1</v>
      </c>
      <c r="J104" s="19" t="s">
        <v>230</v>
      </c>
      <c r="K104" s="19" t="s">
        <v>50</v>
      </c>
      <c r="L104" s="15" t="b">
        <f>OR(C104='Cocktail Finder'!$B$2,ISBLANK('Cocktail Finder'!$B$2))</f>
        <v>1</v>
      </c>
      <c r="M104" s="15" t="b">
        <f>OR(D104='Cocktail Finder'!$B$7,ISBLANK('Cocktail Finder'!$B$7))</f>
        <v>1</v>
      </c>
      <c r="N104" s="15" t="b">
        <f>OR(E104='Cocktail Finder'!$B$5,ISBLANK('Cocktail Finder'!$B$5))</f>
        <v>1</v>
      </c>
      <c r="O104" s="15" t="b">
        <f>OR(F104='Cocktail Finder'!$B$4,ISBLANK('Cocktail Finder'!$B$4))</f>
        <v>1</v>
      </c>
      <c r="P104" s="15" t="b">
        <f>OR(G104='Cocktail Finder'!$B$3,ISBLANK('Cocktail Finder'!$B$3))</f>
        <v>1</v>
      </c>
      <c r="Q104" s="15" t="b">
        <f>OR(H104='Cocktail Finder'!$B$6,ISBLANK('Cocktail Finder'!$B$6))</f>
        <v>1</v>
      </c>
      <c r="R104" s="15" t="str">
        <f t="shared" ref="R104:T104" si="105">IFERROR(FIND("juice",E104),"")</f>
        <v/>
      </c>
      <c r="S104" s="15" t="str">
        <f t="shared" si="105"/>
        <v/>
      </c>
      <c r="T104" s="15" t="str">
        <f t="shared" si="105"/>
        <v/>
      </c>
      <c r="U104" s="15" t="str">
        <f t="shared" si="2"/>
        <v/>
      </c>
    </row>
    <row r="105" spans="1:21" ht="15.75" customHeight="1" x14ac:dyDescent="0.2">
      <c r="A105" s="19">
        <f t="shared" si="3"/>
        <v>104</v>
      </c>
      <c r="B105" s="19" t="s">
        <v>231</v>
      </c>
      <c r="C105" s="19" t="s">
        <v>229</v>
      </c>
      <c r="D105" s="19" t="s">
        <v>48</v>
      </c>
      <c r="E105" s="19"/>
      <c r="F105" s="19" t="s">
        <v>139</v>
      </c>
      <c r="G105" s="19" t="s">
        <v>74</v>
      </c>
      <c r="H105" s="19" t="s">
        <v>33</v>
      </c>
      <c r="I105" s="19">
        <f t="shared" si="0"/>
        <v>1</v>
      </c>
      <c r="J105" s="19" t="s">
        <v>231</v>
      </c>
      <c r="K105" s="19" t="s">
        <v>50</v>
      </c>
      <c r="L105" s="15" t="b">
        <f>OR(C105='Cocktail Finder'!$B$2,ISBLANK('Cocktail Finder'!$B$2))</f>
        <v>1</v>
      </c>
      <c r="M105" s="15" t="b">
        <f>OR(D105='Cocktail Finder'!$B$7,ISBLANK('Cocktail Finder'!$B$7))</f>
        <v>1</v>
      </c>
      <c r="N105" s="15" t="b">
        <f>OR(E105='Cocktail Finder'!$B$5,ISBLANK('Cocktail Finder'!$B$5))</f>
        <v>1</v>
      </c>
      <c r="O105" s="15" t="b">
        <f>OR(F105='Cocktail Finder'!$B$4,ISBLANK('Cocktail Finder'!$B$4))</f>
        <v>1</v>
      </c>
      <c r="P105" s="15" t="b">
        <f>OR(G105='Cocktail Finder'!$B$3,ISBLANK('Cocktail Finder'!$B$3))</f>
        <v>1</v>
      </c>
      <c r="Q105" s="15" t="b">
        <f>OR(H105='Cocktail Finder'!$B$6,ISBLANK('Cocktail Finder'!$B$6))</f>
        <v>1</v>
      </c>
      <c r="R105" s="15" t="str">
        <f t="shared" ref="R105:T105" si="106">IFERROR(FIND("juice",E105),"")</f>
        <v/>
      </c>
      <c r="S105" s="15" t="str">
        <f t="shared" si="106"/>
        <v/>
      </c>
      <c r="T105" s="15" t="str">
        <f t="shared" si="106"/>
        <v/>
      </c>
      <c r="U105" s="15" t="str">
        <f t="shared" si="2"/>
        <v/>
      </c>
    </row>
    <row r="106" spans="1:21" ht="15.75" customHeight="1" x14ac:dyDescent="0.2">
      <c r="A106" s="19">
        <f t="shared" si="3"/>
        <v>105</v>
      </c>
      <c r="B106" s="19" t="s">
        <v>232</v>
      </c>
      <c r="C106" s="19" t="s">
        <v>233</v>
      </c>
      <c r="D106" s="19" t="s">
        <v>100</v>
      </c>
      <c r="E106" s="19" t="s">
        <v>90</v>
      </c>
      <c r="F106" s="19" t="s">
        <v>48</v>
      </c>
      <c r="G106" s="19" t="s">
        <v>33</v>
      </c>
      <c r="H106" s="19" t="s">
        <v>33</v>
      </c>
      <c r="I106" s="19">
        <f t="shared" si="0"/>
        <v>1</v>
      </c>
      <c r="J106" s="19" t="s">
        <v>232</v>
      </c>
      <c r="K106" s="19" t="s">
        <v>101</v>
      </c>
      <c r="L106" s="15" t="b">
        <f>OR(C106='Cocktail Finder'!$B$2,ISBLANK('Cocktail Finder'!$B$2))</f>
        <v>1</v>
      </c>
      <c r="M106" s="15" t="b">
        <f>OR(D106='Cocktail Finder'!$B$7,ISBLANK('Cocktail Finder'!$B$7))</f>
        <v>1</v>
      </c>
      <c r="N106" s="15" t="b">
        <f>OR(E106='Cocktail Finder'!$B$5,ISBLANK('Cocktail Finder'!$B$5))</f>
        <v>1</v>
      </c>
      <c r="O106" s="15" t="b">
        <f>OR(F106='Cocktail Finder'!$B$4,ISBLANK('Cocktail Finder'!$B$4))</f>
        <v>1</v>
      </c>
      <c r="P106" s="15" t="b">
        <f>OR(G106='Cocktail Finder'!$B$3,ISBLANK('Cocktail Finder'!$B$3))</f>
        <v>1</v>
      </c>
      <c r="Q106" s="15" t="b">
        <f>OR(H106='Cocktail Finder'!$B$6,ISBLANK('Cocktail Finder'!$B$6))</f>
        <v>1</v>
      </c>
      <c r="R106" s="15">
        <f t="shared" ref="R106:T106" si="107">IFERROR(FIND("juice",E106),"")</f>
        <v>6</v>
      </c>
      <c r="S106" s="15" t="str">
        <f t="shared" si="107"/>
        <v/>
      </c>
      <c r="T106" s="15" t="str">
        <f t="shared" si="107"/>
        <v/>
      </c>
      <c r="U106" s="15" t="str">
        <f t="shared" si="2"/>
        <v>lime juice</v>
      </c>
    </row>
    <row r="107" spans="1:21" ht="15.75" customHeight="1" x14ac:dyDescent="0.2">
      <c r="A107" s="19">
        <f t="shared" si="3"/>
        <v>106</v>
      </c>
      <c r="B107" s="19" t="s">
        <v>234</v>
      </c>
      <c r="C107" s="19" t="s">
        <v>233</v>
      </c>
      <c r="D107" s="19" t="s">
        <v>57</v>
      </c>
      <c r="E107" s="19" t="s">
        <v>38</v>
      </c>
      <c r="F107" s="19" t="s">
        <v>33</v>
      </c>
      <c r="G107" s="19" t="s">
        <v>33</v>
      </c>
      <c r="H107" s="19" t="s">
        <v>33</v>
      </c>
      <c r="I107" s="19">
        <f t="shared" si="0"/>
        <v>1</v>
      </c>
      <c r="J107" s="19" t="s">
        <v>234</v>
      </c>
      <c r="K107" s="19" t="s">
        <v>58</v>
      </c>
      <c r="L107" s="15" t="b">
        <f>OR(C107='Cocktail Finder'!$B$2,ISBLANK('Cocktail Finder'!$B$2))</f>
        <v>1</v>
      </c>
      <c r="M107" s="15" t="b">
        <f>OR(D107='Cocktail Finder'!$B$7,ISBLANK('Cocktail Finder'!$B$7))</f>
        <v>1</v>
      </c>
      <c r="N107" s="15" t="b">
        <f>OR(E107='Cocktail Finder'!$B$5,ISBLANK('Cocktail Finder'!$B$5))</f>
        <v>1</v>
      </c>
      <c r="O107" s="15" t="b">
        <f>OR(F107='Cocktail Finder'!$B$4,ISBLANK('Cocktail Finder'!$B$4))</f>
        <v>1</v>
      </c>
      <c r="P107" s="15" t="b">
        <f>OR(G107='Cocktail Finder'!$B$3,ISBLANK('Cocktail Finder'!$B$3))</f>
        <v>1</v>
      </c>
      <c r="Q107" s="15" t="b">
        <f>OR(H107='Cocktail Finder'!$B$6,ISBLANK('Cocktail Finder'!$B$6))</f>
        <v>1</v>
      </c>
      <c r="R107" s="15">
        <f t="shared" ref="R107:T107" si="108">IFERROR(FIND("juice",E107),"")</f>
        <v>7</v>
      </c>
      <c r="S107" s="15" t="str">
        <f t="shared" si="108"/>
        <v/>
      </c>
      <c r="T107" s="15" t="str">
        <f t="shared" si="108"/>
        <v/>
      </c>
      <c r="U107" s="15" t="str">
        <f t="shared" si="2"/>
        <v>lemon juice</v>
      </c>
    </row>
    <row r="108" spans="1:21" ht="15.75" customHeight="1" x14ac:dyDescent="0.2">
      <c r="A108" s="19">
        <f t="shared" si="3"/>
        <v>107</v>
      </c>
      <c r="B108" s="19" t="s">
        <v>235</v>
      </c>
      <c r="C108" s="19" t="s">
        <v>236</v>
      </c>
      <c r="D108" s="19" t="s">
        <v>84</v>
      </c>
      <c r="E108" s="19"/>
      <c r="F108" s="19" t="s">
        <v>33</v>
      </c>
      <c r="G108" s="19" t="s">
        <v>33</v>
      </c>
      <c r="H108" s="19" t="s">
        <v>33</v>
      </c>
      <c r="I108" s="19">
        <f t="shared" si="0"/>
        <v>1</v>
      </c>
      <c r="J108" s="19" t="s">
        <v>235</v>
      </c>
      <c r="K108" s="19" t="s">
        <v>82</v>
      </c>
      <c r="L108" s="15" t="b">
        <f>OR(C108='Cocktail Finder'!$B$2,ISBLANK('Cocktail Finder'!$B$2))</f>
        <v>1</v>
      </c>
      <c r="M108" s="15" t="b">
        <f>OR(D108='Cocktail Finder'!$B$7,ISBLANK('Cocktail Finder'!$B$7))</f>
        <v>1</v>
      </c>
      <c r="N108" s="15" t="b">
        <f>OR(E108='Cocktail Finder'!$B$5,ISBLANK('Cocktail Finder'!$B$5))</f>
        <v>1</v>
      </c>
      <c r="O108" s="15" t="b">
        <f>OR(F108='Cocktail Finder'!$B$4,ISBLANK('Cocktail Finder'!$B$4))</f>
        <v>1</v>
      </c>
      <c r="P108" s="15" t="b">
        <f>OR(G108='Cocktail Finder'!$B$3,ISBLANK('Cocktail Finder'!$B$3))</f>
        <v>1</v>
      </c>
      <c r="Q108" s="15" t="b">
        <f>OR(H108='Cocktail Finder'!$B$6,ISBLANK('Cocktail Finder'!$B$6))</f>
        <v>1</v>
      </c>
      <c r="R108" s="15" t="str">
        <f t="shared" ref="R108:T108" si="109">IFERROR(FIND("juice",E108),"")</f>
        <v/>
      </c>
      <c r="S108" s="15" t="str">
        <f t="shared" si="109"/>
        <v/>
      </c>
      <c r="T108" s="15" t="str">
        <f t="shared" si="109"/>
        <v/>
      </c>
      <c r="U108" s="15" t="str">
        <f t="shared" si="2"/>
        <v/>
      </c>
    </row>
    <row r="109" spans="1:21" ht="15.75" customHeight="1" x14ac:dyDescent="0.2">
      <c r="A109" s="19">
        <f t="shared" si="3"/>
        <v>108</v>
      </c>
      <c r="B109" s="20" t="s">
        <v>237</v>
      </c>
      <c r="C109" s="20" t="s">
        <v>238</v>
      </c>
      <c r="D109" s="20" t="s">
        <v>62</v>
      </c>
      <c r="E109" s="20"/>
      <c r="F109" s="20" t="s">
        <v>239</v>
      </c>
      <c r="G109" s="20" t="s">
        <v>240</v>
      </c>
      <c r="H109" s="20" t="s">
        <v>241</v>
      </c>
      <c r="I109" s="19">
        <f t="shared" si="0"/>
        <v>1</v>
      </c>
      <c r="J109" s="20" t="s">
        <v>237</v>
      </c>
      <c r="K109" s="20" t="s">
        <v>242</v>
      </c>
      <c r="L109" s="15" t="b">
        <f>OR(C109='Cocktail Finder'!$B$2,ISBLANK('Cocktail Finder'!$B$2))</f>
        <v>1</v>
      </c>
      <c r="M109" s="15" t="b">
        <f>OR(D109='Cocktail Finder'!$B$7,ISBLANK('Cocktail Finder'!$B$7))</f>
        <v>1</v>
      </c>
      <c r="N109" s="15" t="b">
        <f>OR(E109='Cocktail Finder'!$B$5,ISBLANK('Cocktail Finder'!$B$5))</f>
        <v>1</v>
      </c>
      <c r="O109" s="15" t="b">
        <f>OR(F109='Cocktail Finder'!$B$4,ISBLANK('Cocktail Finder'!$B$4))</f>
        <v>1</v>
      </c>
      <c r="P109" s="15" t="b">
        <f>OR(G109='Cocktail Finder'!$B$3,ISBLANK('Cocktail Finder'!$B$3))</f>
        <v>1</v>
      </c>
      <c r="Q109" s="15" t="b">
        <f>OR(H109='Cocktail Finder'!$B$6,ISBLANK('Cocktail Finder'!$B$6))</f>
        <v>1</v>
      </c>
      <c r="R109" s="15" t="str">
        <f t="shared" ref="R109:T109" si="110">IFERROR(FIND("juice",E109),"")</f>
        <v/>
      </c>
      <c r="S109" s="15" t="str">
        <f t="shared" si="110"/>
        <v/>
      </c>
      <c r="T109" s="15" t="str">
        <f t="shared" si="110"/>
        <v/>
      </c>
      <c r="U109" s="15" t="str">
        <f t="shared" si="2"/>
        <v/>
      </c>
    </row>
    <row r="110" spans="1:21" ht="15.75" customHeight="1" x14ac:dyDescent="0.2">
      <c r="A110" s="19">
        <f t="shared" si="3"/>
        <v>109</v>
      </c>
      <c r="B110" s="19" t="s">
        <v>243</v>
      </c>
      <c r="C110" s="19" t="s">
        <v>244</v>
      </c>
      <c r="D110" s="19"/>
      <c r="E110" s="19" t="s">
        <v>38</v>
      </c>
      <c r="F110" s="19" t="s">
        <v>86</v>
      </c>
      <c r="G110" s="19" t="s">
        <v>245</v>
      </c>
      <c r="H110" s="19" t="s">
        <v>33</v>
      </c>
      <c r="I110" s="19">
        <f t="shared" si="0"/>
        <v>1</v>
      </c>
      <c r="J110" s="19" t="s">
        <v>243</v>
      </c>
      <c r="K110" s="19" t="s">
        <v>39</v>
      </c>
      <c r="L110" s="15" t="b">
        <f>OR(C110='Cocktail Finder'!$B$2,ISBLANK('Cocktail Finder'!$B$2))</f>
        <v>1</v>
      </c>
      <c r="M110" s="15" t="b">
        <f>OR(D110='Cocktail Finder'!$B$7,ISBLANK('Cocktail Finder'!$B$7))</f>
        <v>1</v>
      </c>
      <c r="N110" s="15" t="b">
        <f>OR(E110='Cocktail Finder'!$B$5,ISBLANK('Cocktail Finder'!$B$5))</f>
        <v>1</v>
      </c>
      <c r="O110" s="15" t="b">
        <f>OR(F110='Cocktail Finder'!$B$4,ISBLANK('Cocktail Finder'!$B$4))</f>
        <v>1</v>
      </c>
      <c r="P110" s="15" t="b">
        <f>OR(G110='Cocktail Finder'!$B$3,ISBLANK('Cocktail Finder'!$B$3))</f>
        <v>1</v>
      </c>
      <c r="Q110" s="15" t="b">
        <f>OR(H110='Cocktail Finder'!$B$6,ISBLANK('Cocktail Finder'!$B$6))</f>
        <v>1</v>
      </c>
      <c r="R110" s="15">
        <f t="shared" ref="R110:T110" si="111">IFERROR(FIND("juice",E110),"")</f>
        <v>7</v>
      </c>
      <c r="S110" s="15" t="str">
        <f t="shared" si="111"/>
        <v/>
      </c>
      <c r="T110" s="15" t="str">
        <f t="shared" si="111"/>
        <v/>
      </c>
      <c r="U110" s="15" t="str">
        <f t="shared" si="2"/>
        <v>lemon juice</v>
      </c>
    </row>
    <row r="111" spans="1:21" ht="15.75" customHeight="1" x14ac:dyDescent="0.2">
      <c r="A111" s="19">
        <f t="shared" si="3"/>
        <v>110</v>
      </c>
      <c r="B111" s="19" t="s">
        <v>246</v>
      </c>
      <c r="C111" s="19" t="s">
        <v>244</v>
      </c>
      <c r="D111" s="19" t="s">
        <v>100</v>
      </c>
      <c r="E111" s="19" t="s">
        <v>90</v>
      </c>
      <c r="F111" s="19" t="s">
        <v>247</v>
      </c>
      <c r="G111" s="19" t="s">
        <v>45</v>
      </c>
      <c r="H111" s="19" t="s">
        <v>33</v>
      </c>
      <c r="I111" s="19">
        <f t="shared" si="0"/>
        <v>1</v>
      </c>
      <c r="J111" s="19" t="s">
        <v>246</v>
      </c>
      <c r="K111" s="19" t="s">
        <v>101</v>
      </c>
      <c r="L111" s="15" t="b">
        <f>OR(C111='Cocktail Finder'!$B$2,ISBLANK('Cocktail Finder'!$B$2))</f>
        <v>1</v>
      </c>
      <c r="M111" s="15" t="b">
        <f>OR(D111='Cocktail Finder'!$B$7,ISBLANK('Cocktail Finder'!$B$7))</f>
        <v>1</v>
      </c>
      <c r="N111" s="15" t="b">
        <f>OR(E111='Cocktail Finder'!$B$5,ISBLANK('Cocktail Finder'!$B$5))</f>
        <v>1</v>
      </c>
      <c r="O111" s="15" t="b">
        <f>OR(F111='Cocktail Finder'!$B$4,ISBLANK('Cocktail Finder'!$B$4))</f>
        <v>1</v>
      </c>
      <c r="P111" s="15" t="b">
        <f>OR(G111='Cocktail Finder'!$B$3,ISBLANK('Cocktail Finder'!$B$3))</f>
        <v>1</v>
      </c>
      <c r="Q111" s="15" t="b">
        <f>OR(H111='Cocktail Finder'!$B$6,ISBLANK('Cocktail Finder'!$B$6))</f>
        <v>1</v>
      </c>
      <c r="R111" s="15">
        <f t="shared" ref="R111:T111" si="112">IFERROR(FIND("juice",E111),"")</f>
        <v>6</v>
      </c>
      <c r="S111" s="15" t="str">
        <f t="shared" si="112"/>
        <v/>
      </c>
      <c r="T111" s="15">
        <f t="shared" si="112"/>
        <v>11</v>
      </c>
      <c r="U111" s="15" t="str">
        <f t="shared" si="2"/>
        <v>lime juice</v>
      </c>
    </row>
    <row r="112" spans="1:21" ht="15.75" customHeight="1" x14ac:dyDescent="0.2">
      <c r="A112" s="19">
        <f t="shared" si="3"/>
        <v>111</v>
      </c>
      <c r="B112" s="19" t="s">
        <v>248</v>
      </c>
      <c r="C112" s="19" t="s">
        <v>249</v>
      </c>
      <c r="D112" s="19"/>
      <c r="E112" s="19" t="s">
        <v>38</v>
      </c>
      <c r="F112" s="19" t="s">
        <v>250</v>
      </c>
      <c r="G112" s="19" t="s">
        <v>33</v>
      </c>
      <c r="H112" s="19" t="s">
        <v>33</v>
      </c>
      <c r="I112" s="19">
        <f t="shared" si="0"/>
        <v>1</v>
      </c>
      <c r="J112" s="19" t="s">
        <v>248</v>
      </c>
      <c r="K112" s="19" t="s">
        <v>39</v>
      </c>
      <c r="L112" s="15" t="b">
        <f>OR(C112='Cocktail Finder'!$B$2,ISBLANK('Cocktail Finder'!$B$2))</f>
        <v>1</v>
      </c>
      <c r="M112" s="15" t="b">
        <f>OR(D112='Cocktail Finder'!$B$7,ISBLANK('Cocktail Finder'!$B$7))</f>
        <v>1</v>
      </c>
      <c r="N112" s="15" t="b">
        <f>OR(E112='Cocktail Finder'!$B$5,ISBLANK('Cocktail Finder'!$B$5))</f>
        <v>1</v>
      </c>
      <c r="O112" s="15" t="b">
        <f>OR(F112='Cocktail Finder'!$B$4,ISBLANK('Cocktail Finder'!$B$4))</f>
        <v>1</v>
      </c>
      <c r="P112" s="15" t="b">
        <f>OR(G112='Cocktail Finder'!$B$3,ISBLANK('Cocktail Finder'!$B$3))</f>
        <v>1</v>
      </c>
      <c r="Q112" s="15" t="b">
        <f>OR(H112='Cocktail Finder'!$B$6,ISBLANK('Cocktail Finder'!$B$6))</f>
        <v>1</v>
      </c>
      <c r="R112" s="15">
        <f t="shared" ref="R112:T112" si="113">IFERROR(FIND("juice",E112),"")</f>
        <v>7</v>
      </c>
      <c r="S112" s="15" t="str">
        <f t="shared" si="113"/>
        <v/>
      </c>
      <c r="T112" s="15" t="str">
        <f t="shared" si="113"/>
        <v/>
      </c>
      <c r="U112" s="15" t="str">
        <f t="shared" si="2"/>
        <v>lemon juice</v>
      </c>
    </row>
    <row r="113" spans="1:22" ht="15.75" customHeight="1" x14ac:dyDescent="0.2">
      <c r="A113" s="19">
        <f t="shared" si="3"/>
        <v>112</v>
      </c>
      <c r="B113" s="19" t="s">
        <v>251</v>
      </c>
      <c r="C113" s="19" t="s">
        <v>252</v>
      </c>
      <c r="D113" s="19" t="s">
        <v>253</v>
      </c>
      <c r="E113" s="19"/>
      <c r="F113" s="19" t="s">
        <v>33</v>
      </c>
      <c r="G113" s="19" t="s">
        <v>33</v>
      </c>
      <c r="H113" s="19" t="s">
        <v>33</v>
      </c>
      <c r="I113" s="19">
        <f t="shared" si="0"/>
        <v>1</v>
      </c>
      <c r="J113" s="19" t="s">
        <v>251</v>
      </c>
      <c r="K113" s="19" t="s">
        <v>34</v>
      </c>
      <c r="L113" s="15" t="b">
        <f>OR(C113='Cocktail Finder'!$B$2,ISBLANK('Cocktail Finder'!$B$2))</f>
        <v>1</v>
      </c>
      <c r="M113" s="15" t="b">
        <f>OR(D113='Cocktail Finder'!$B$7,ISBLANK('Cocktail Finder'!$B$7))</f>
        <v>1</v>
      </c>
      <c r="N113" s="15" t="b">
        <f>OR(E113='Cocktail Finder'!$B$5,ISBLANK('Cocktail Finder'!$B$5))</f>
        <v>1</v>
      </c>
      <c r="O113" s="15" t="b">
        <f>OR(F113='Cocktail Finder'!$B$4,ISBLANK('Cocktail Finder'!$B$4))</f>
        <v>1</v>
      </c>
      <c r="P113" s="15" t="b">
        <f>OR(G113='Cocktail Finder'!$B$3,ISBLANK('Cocktail Finder'!$B$3))</f>
        <v>1</v>
      </c>
      <c r="Q113" s="15" t="b">
        <f>OR(H113='Cocktail Finder'!$B$6,ISBLANK('Cocktail Finder'!$B$6))</f>
        <v>1</v>
      </c>
      <c r="R113" s="15" t="str">
        <f t="shared" ref="R113:T113" si="114">IFERROR(FIND("juice",E113),"")</f>
        <v/>
      </c>
      <c r="S113" s="15" t="str">
        <f t="shared" si="114"/>
        <v/>
      </c>
      <c r="T113" s="15" t="str">
        <f t="shared" si="114"/>
        <v/>
      </c>
      <c r="U113" s="15" t="str">
        <f t="shared" si="2"/>
        <v/>
      </c>
    </row>
    <row r="114" spans="1:22" ht="15.75" customHeight="1" x14ac:dyDescent="0.2">
      <c r="A114" s="19">
        <f t="shared" si="3"/>
        <v>113</v>
      </c>
      <c r="B114" s="19" t="s">
        <v>254</v>
      </c>
      <c r="C114" s="19" t="s">
        <v>255</v>
      </c>
      <c r="D114" s="19" t="s">
        <v>256</v>
      </c>
      <c r="E114" s="19"/>
      <c r="F114" s="19" t="s">
        <v>33</v>
      </c>
      <c r="G114" s="19" t="s">
        <v>33</v>
      </c>
      <c r="H114" s="19" t="s">
        <v>33</v>
      </c>
      <c r="I114" s="19">
        <f t="shared" si="0"/>
        <v>1</v>
      </c>
      <c r="J114" s="19" t="s">
        <v>254</v>
      </c>
      <c r="K114" s="19" t="s">
        <v>82</v>
      </c>
      <c r="L114" s="15" t="b">
        <f>OR(C114='Cocktail Finder'!$B$2,ISBLANK('Cocktail Finder'!$B$2))</f>
        <v>1</v>
      </c>
      <c r="M114" s="15" t="b">
        <f>OR(D114='Cocktail Finder'!$B$7,ISBLANK('Cocktail Finder'!$B$7))</f>
        <v>1</v>
      </c>
      <c r="N114" s="15" t="b">
        <f>OR(E114='Cocktail Finder'!$B$5,ISBLANK('Cocktail Finder'!$B$5))</f>
        <v>1</v>
      </c>
      <c r="O114" s="15" t="b">
        <f>OR(F114='Cocktail Finder'!$B$4,ISBLANK('Cocktail Finder'!$B$4))</f>
        <v>1</v>
      </c>
      <c r="P114" s="15" t="b">
        <f>OR(G114='Cocktail Finder'!$B$3,ISBLANK('Cocktail Finder'!$B$3))</f>
        <v>1</v>
      </c>
      <c r="Q114" s="15" t="b">
        <f>OR(H114='Cocktail Finder'!$B$6,ISBLANK('Cocktail Finder'!$B$6))</f>
        <v>1</v>
      </c>
      <c r="R114" s="15" t="str">
        <f t="shared" ref="R114:T114" si="115">IFERROR(FIND("juice",E114),"")</f>
        <v/>
      </c>
      <c r="S114" s="15" t="str">
        <f t="shared" si="115"/>
        <v/>
      </c>
      <c r="T114" s="15" t="str">
        <f t="shared" si="115"/>
        <v/>
      </c>
      <c r="U114" s="15" t="str">
        <f t="shared" si="2"/>
        <v/>
      </c>
    </row>
    <row r="115" spans="1:22" ht="15.75" customHeight="1" x14ac:dyDescent="0.2">
      <c r="A115" s="19">
        <f t="shared" si="3"/>
        <v>114</v>
      </c>
      <c r="B115" s="19" t="s">
        <v>257</v>
      </c>
      <c r="C115" s="19" t="s">
        <v>258</v>
      </c>
      <c r="D115" s="19"/>
      <c r="E115" s="19" t="s">
        <v>38</v>
      </c>
      <c r="F115" s="19" t="s">
        <v>86</v>
      </c>
      <c r="G115" s="19" t="s">
        <v>163</v>
      </c>
      <c r="H115" s="18" t="s">
        <v>66</v>
      </c>
      <c r="I115" s="19">
        <f t="shared" si="0"/>
        <v>1</v>
      </c>
      <c r="J115" s="19" t="s">
        <v>257</v>
      </c>
      <c r="K115" s="19" t="s">
        <v>39</v>
      </c>
      <c r="L115" s="15" t="b">
        <f>OR(C115='Cocktail Finder'!$B$2,ISBLANK('Cocktail Finder'!$B$2))</f>
        <v>1</v>
      </c>
      <c r="M115" s="15" t="b">
        <f>OR(D115='Cocktail Finder'!$B$7,ISBLANK('Cocktail Finder'!$B$7))</f>
        <v>1</v>
      </c>
      <c r="N115" s="15" t="b">
        <f>OR(E115='Cocktail Finder'!$B$5,ISBLANK('Cocktail Finder'!$B$5))</f>
        <v>1</v>
      </c>
      <c r="O115" s="15" t="b">
        <f>OR(F115='Cocktail Finder'!$B$4,ISBLANK('Cocktail Finder'!$B$4))</f>
        <v>1</v>
      </c>
      <c r="P115" s="15" t="b">
        <f>OR(G115='Cocktail Finder'!$B$3,ISBLANK('Cocktail Finder'!$B$3))</f>
        <v>1</v>
      </c>
      <c r="Q115" s="15" t="b">
        <f>OR(H115='Cocktail Finder'!$B$6,ISBLANK('Cocktail Finder'!$B$6))</f>
        <v>1</v>
      </c>
      <c r="R115" s="15">
        <f t="shared" ref="R115:T115" si="116">IFERROR(FIND("juice",E115),"")</f>
        <v>7</v>
      </c>
      <c r="S115" s="15" t="str">
        <f t="shared" si="116"/>
        <v/>
      </c>
      <c r="T115" s="15" t="str">
        <f t="shared" si="116"/>
        <v/>
      </c>
      <c r="U115" s="15" t="str">
        <f t="shared" si="2"/>
        <v>lemon juice</v>
      </c>
    </row>
    <row r="116" spans="1:22" ht="15.75" customHeight="1" x14ac:dyDescent="0.2">
      <c r="A116" s="19">
        <f t="shared" si="3"/>
        <v>115</v>
      </c>
      <c r="B116" s="19" t="s">
        <v>259</v>
      </c>
      <c r="C116" s="19" t="s">
        <v>258</v>
      </c>
      <c r="D116" s="19" t="s">
        <v>100</v>
      </c>
      <c r="E116" s="19" t="s">
        <v>90</v>
      </c>
      <c r="F116" s="19" t="s">
        <v>33</v>
      </c>
      <c r="G116" s="19" t="s">
        <v>33</v>
      </c>
      <c r="H116" s="19" t="s">
        <v>33</v>
      </c>
      <c r="I116" s="19">
        <f t="shared" si="0"/>
        <v>1</v>
      </c>
      <c r="J116" s="19" t="s">
        <v>259</v>
      </c>
      <c r="K116" s="19" t="s">
        <v>101</v>
      </c>
      <c r="L116" s="15" t="b">
        <f>OR(C116='Cocktail Finder'!$B$2,ISBLANK('Cocktail Finder'!$B$2))</f>
        <v>1</v>
      </c>
      <c r="M116" s="15" t="b">
        <f>OR(D116='Cocktail Finder'!$B$7,ISBLANK('Cocktail Finder'!$B$7))</f>
        <v>1</v>
      </c>
      <c r="N116" s="15" t="b">
        <f>OR(E116='Cocktail Finder'!$B$5,ISBLANK('Cocktail Finder'!$B$5))</f>
        <v>1</v>
      </c>
      <c r="O116" s="15" t="b">
        <f>OR(F116='Cocktail Finder'!$B$4,ISBLANK('Cocktail Finder'!$B$4))</f>
        <v>1</v>
      </c>
      <c r="P116" s="15" t="b">
        <f>OR(G116='Cocktail Finder'!$B$3,ISBLANK('Cocktail Finder'!$B$3))</f>
        <v>1</v>
      </c>
      <c r="Q116" s="15" t="b">
        <f>OR(H116='Cocktail Finder'!$B$6,ISBLANK('Cocktail Finder'!$B$6))</f>
        <v>1</v>
      </c>
      <c r="R116" s="15">
        <f t="shared" ref="R116:T116" si="117">IFERROR(FIND("juice",E116),"")</f>
        <v>6</v>
      </c>
      <c r="S116" s="15" t="str">
        <f t="shared" si="117"/>
        <v/>
      </c>
      <c r="T116" s="15" t="str">
        <f t="shared" si="117"/>
        <v/>
      </c>
      <c r="U116" s="15" t="str">
        <f t="shared" si="2"/>
        <v>lime juice</v>
      </c>
    </row>
    <row r="117" spans="1:22" ht="15.75" customHeight="1" x14ac:dyDescent="0.2">
      <c r="A117" s="19">
        <f t="shared" si="3"/>
        <v>116</v>
      </c>
      <c r="B117" s="19" t="s">
        <v>260</v>
      </c>
      <c r="C117" s="19" t="s">
        <v>261</v>
      </c>
      <c r="D117" s="19" t="s">
        <v>139</v>
      </c>
      <c r="E117" s="19"/>
      <c r="F117" s="19" t="s">
        <v>33</v>
      </c>
      <c r="G117" s="19" t="s">
        <v>33</v>
      </c>
      <c r="H117" s="19" t="s">
        <v>33</v>
      </c>
      <c r="I117" s="19">
        <f t="shared" si="0"/>
        <v>1</v>
      </c>
      <c r="J117" s="19" t="s">
        <v>260</v>
      </c>
      <c r="K117" s="19" t="s">
        <v>34</v>
      </c>
      <c r="L117" s="15" t="b">
        <f>OR(C117='Cocktail Finder'!$B$2,ISBLANK('Cocktail Finder'!$B$2))</f>
        <v>1</v>
      </c>
      <c r="M117" s="15" t="b">
        <f>OR(D117='Cocktail Finder'!$B$7,ISBLANK('Cocktail Finder'!$B$7))</f>
        <v>1</v>
      </c>
      <c r="N117" s="15" t="b">
        <f>OR(E117='Cocktail Finder'!$B$5,ISBLANK('Cocktail Finder'!$B$5))</f>
        <v>1</v>
      </c>
      <c r="O117" s="15" t="b">
        <f>OR(F117='Cocktail Finder'!$B$4,ISBLANK('Cocktail Finder'!$B$4))</f>
        <v>1</v>
      </c>
      <c r="P117" s="15" t="b">
        <f>OR(G117='Cocktail Finder'!$B$3,ISBLANK('Cocktail Finder'!$B$3))</f>
        <v>1</v>
      </c>
      <c r="Q117" s="15" t="b">
        <f>OR(H117='Cocktail Finder'!$B$6,ISBLANK('Cocktail Finder'!$B$6))</f>
        <v>1</v>
      </c>
      <c r="R117" s="15" t="str">
        <f t="shared" ref="R117:T117" si="118">IFERROR(FIND("juice",E117),"")</f>
        <v/>
      </c>
      <c r="S117" s="15" t="str">
        <f t="shared" si="118"/>
        <v/>
      </c>
      <c r="T117" s="15" t="str">
        <f t="shared" si="118"/>
        <v/>
      </c>
      <c r="U117" s="15" t="str">
        <f t="shared" si="2"/>
        <v/>
      </c>
    </row>
    <row r="118" spans="1:22" ht="15.75" customHeight="1" x14ac:dyDescent="0.2">
      <c r="A118" s="19">
        <f t="shared" si="3"/>
        <v>117</v>
      </c>
      <c r="B118" s="19" t="s">
        <v>262</v>
      </c>
      <c r="C118" s="19" t="s">
        <v>261</v>
      </c>
      <c r="D118" s="19" t="s">
        <v>100</v>
      </c>
      <c r="E118" s="19" t="s">
        <v>90</v>
      </c>
      <c r="F118" s="19" t="s">
        <v>263</v>
      </c>
      <c r="G118" s="19" t="s">
        <v>33</v>
      </c>
      <c r="H118" s="19" t="s">
        <v>33</v>
      </c>
      <c r="I118" s="19">
        <f t="shared" si="0"/>
        <v>1</v>
      </c>
      <c r="J118" s="19" t="s">
        <v>262</v>
      </c>
      <c r="K118" s="19" t="s">
        <v>101</v>
      </c>
      <c r="L118" s="15" t="b">
        <f>OR(C118='Cocktail Finder'!$B$2,ISBLANK('Cocktail Finder'!$B$2))</f>
        <v>1</v>
      </c>
      <c r="M118" s="15" t="b">
        <f>OR(D118='Cocktail Finder'!$B$7,ISBLANK('Cocktail Finder'!$B$7))</f>
        <v>1</v>
      </c>
      <c r="N118" s="15" t="b">
        <f>OR(E118='Cocktail Finder'!$B$5,ISBLANK('Cocktail Finder'!$B$5))</f>
        <v>1</v>
      </c>
      <c r="O118" s="15" t="b">
        <f>OR(F118='Cocktail Finder'!$B$4,ISBLANK('Cocktail Finder'!$B$4))</f>
        <v>1</v>
      </c>
      <c r="P118" s="15" t="b">
        <f>OR(G118='Cocktail Finder'!$B$3,ISBLANK('Cocktail Finder'!$B$3))</f>
        <v>1</v>
      </c>
      <c r="Q118" s="15" t="b">
        <f>OR(H118='Cocktail Finder'!$B$6,ISBLANK('Cocktail Finder'!$B$6))</f>
        <v>1</v>
      </c>
      <c r="R118" s="15">
        <f t="shared" ref="R118:T118" si="119">IFERROR(FIND("juice",E118),"")</f>
        <v>6</v>
      </c>
      <c r="S118" s="15" t="str">
        <f t="shared" si="119"/>
        <v/>
      </c>
      <c r="T118" s="15" t="str">
        <f t="shared" si="119"/>
        <v/>
      </c>
      <c r="U118" s="15" t="str">
        <f t="shared" si="2"/>
        <v>lime juice</v>
      </c>
    </row>
    <row r="119" spans="1:22" ht="15.75" customHeight="1" x14ac:dyDescent="0.2">
      <c r="A119" s="19">
        <f t="shared" si="3"/>
        <v>118</v>
      </c>
      <c r="B119" s="19" t="s">
        <v>264</v>
      </c>
      <c r="C119" s="19" t="s">
        <v>265</v>
      </c>
      <c r="D119" s="19" t="s">
        <v>266</v>
      </c>
      <c r="E119" s="19"/>
      <c r="F119" s="19" t="s">
        <v>33</v>
      </c>
      <c r="G119" s="19" t="s">
        <v>33</v>
      </c>
      <c r="H119" s="19" t="s">
        <v>33</v>
      </c>
      <c r="I119" s="19">
        <f t="shared" si="0"/>
        <v>1</v>
      </c>
      <c r="J119" s="19" t="s">
        <v>264</v>
      </c>
      <c r="K119" s="19" t="s">
        <v>34</v>
      </c>
      <c r="L119" s="15" t="b">
        <f>OR(C119='Cocktail Finder'!$B$2,ISBLANK('Cocktail Finder'!$B$2))</f>
        <v>1</v>
      </c>
      <c r="M119" s="15" t="b">
        <f>OR(D119='Cocktail Finder'!$B$7,ISBLANK('Cocktail Finder'!$B$7))</f>
        <v>1</v>
      </c>
      <c r="N119" s="15" t="b">
        <f>OR(E119='Cocktail Finder'!$B$5,ISBLANK('Cocktail Finder'!$B$5))</f>
        <v>1</v>
      </c>
      <c r="O119" s="15" t="b">
        <f>OR(F119='Cocktail Finder'!$B$4,ISBLANK('Cocktail Finder'!$B$4))</f>
        <v>1</v>
      </c>
      <c r="P119" s="15" t="b">
        <f>OR(G119='Cocktail Finder'!$B$3,ISBLANK('Cocktail Finder'!$B$3))</f>
        <v>1</v>
      </c>
      <c r="Q119" s="15" t="b">
        <f>OR(H119='Cocktail Finder'!$B$6,ISBLANK('Cocktail Finder'!$B$6))</f>
        <v>1</v>
      </c>
      <c r="R119" s="15" t="str">
        <f t="shared" ref="R119:T119" si="120">IFERROR(FIND("juice",E119),"")</f>
        <v/>
      </c>
      <c r="S119" s="15" t="str">
        <f t="shared" si="120"/>
        <v/>
      </c>
      <c r="T119" s="15" t="str">
        <f t="shared" si="120"/>
        <v/>
      </c>
      <c r="U119" s="15" t="str">
        <f t="shared" si="2"/>
        <v/>
      </c>
    </row>
    <row r="120" spans="1:22" ht="15.75" customHeight="1" x14ac:dyDescent="0.2">
      <c r="A120" s="19">
        <f t="shared" si="3"/>
        <v>119</v>
      </c>
      <c r="B120" s="20" t="s">
        <v>267</v>
      </c>
      <c r="C120" s="20" t="s">
        <v>265</v>
      </c>
      <c r="D120" s="20" t="s">
        <v>268</v>
      </c>
      <c r="E120" s="20" t="s">
        <v>90</v>
      </c>
      <c r="F120" s="20" t="s">
        <v>33</v>
      </c>
      <c r="G120" s="20" t="s">
        <v>33</v>
      </c>
      <c r="H120" s="20" t="s">
        <v>33</v>
      </c>
      <c r="I120" s="19">
        <f t="shared" si="0"/>
        <v>1</v>
      </c>
      <c r="J120" s="20" t="s">
        <v>267</v>
      </c>
      <c r="K120" s="20" t="s">
        <v>82</v>
      </c>
      <c r="L120" s="15" t="b">
        <f>OR(C120='Cocktail Finder'!$B$2,ISBLANK('Cocktail Finder'!$B$2))</f>
        <v>1</v>
      </c>
      <c r="M120" s="15" t="b">
        <f>OR(D120='Cocktail Finder'!$B$7,ISBLANK('Cocktail Finder'!$B$7))</f>
        <v>1</v>
      </c>
      <c r="N120" s="15" t="b">
        <f>OR(E120='Cocktail Finder'!$B$5,ISBLANK('Cocktail Finder'!$B$5))</f>
        <v>1</v>
      </c>
      <c r="O120" s="15" t="b">
        <f>OR(F120='Cocktail Finder'!$B$4,ISBLANK('Cocktail Finder'!$B$4))</f>
        <v>1</v>
      </c>
      <c r="P120" s="15" t="b">
        <f>OR(G120='Cocktail Finder'!$B$3,ISBLANK('Cocktail Finder'!$B$3))</f>
        <v>1</v>
      </c>
      <c r="Q120" s="15" t="b">
        <f>OR(H120='Cocktail Finder'!$B$6,ISBLANK('Cocktail Finder'!$B$6))</f>
        <v>1</v>
      </c>
      <c r="R120" s="15">
        <f t="shared" ref="R120:T120" si="121">IFERROR(FIND("juice",E120),"")</f>
        <v>6</v>
      </c>
      <c r="S120" s="15" t="str">
        <f t="shared" si="121"/>
        <v/>
      </c>
      <c r="T120" s="15" t="str">
        <f t="shared" si="121"/>
        <v/>
      </c>
      <c r="U120" s="15" t="str">
        <f t="shared" si="2"/>
        <v>lime juice</v>
      </c>
    </row>
    <row r="121" spans="1:22" ht="15.75" customHeight="1" x14ac:dyDescent="0.2">
      <c r="A121" s="19">
        <f t="shared" si="3"/>
        <v>120</v>
      </c>
      <c r="B121" s="19" t="s">
        <v>269</v>
      </c>
      <c r="C121" s="19" t="s">
        <v>265</v>
      </c>
      <c r="D121" s="19" t="s">
        <v>270</v>
      </c>
      <c r="E121" s="19"/>
      <c r="F121" s="19" t="s">
        <v>33</v>
      </c>
      <c r="G121" s="19" t="s">
        <v>33</v>
      </c>
      <c r="H121" s="19" t="s">
        <v>33</v>
      </c>
      <c r="I121" s="19">
        <f t="shared" si="0"/>
        <v>1</v>
      </c>
      <c r="J121" s="19" t="s">
        <v>269</v>
      </c>
      <c r="K121" s="19" t="s">
        <v>82</v>
      </c>
      <c r="L121" s="15" t="b">
        <f>OR(C121='Cocktail Finder'!$B$2,ISBLANK('Cocktail Finder'!$B$2))</f>
        <v>1</v>
      </c>
      <c r="M121" s="15" t="b">
        <f>OR(D121='Cocktail Finder'!$B$7,ISBLANK('Cocktail Finder'!$B$7))</f>
        <v>1</v>
      </c>
      <c r="N121" s="15" t="b">
        <f>OR(E121='Cocktail Finder'!$B$5,ISBLANK('Cocktail Finder'!$B$5))</f>
        <v>1</v>
      </c>
      <c r="O121" s="15" t="b">
        <f>OR(F121='Cocktail Finder'!$B$4,ISBLANK('Cocktail Finder'!$B$4))</f>
        <v>1</v>
      </c>
      <c r="P121" s="15" t="b">
        <f>OR(G121='Cocktail Finder'!$B$3,ISBLANK('Cocktail Finder'!$B$3))</f>
        <v>1</v>
      </c>
      <c r="Q121" s="15" t="b">
        <f>OR(H121='Cocktail Finder'!$B$6,ISBLANK('Cocktail Finder'!$B$6))</f>
        <v>1</v>
      </c>
      <c r="R121" s="15" t="str">
        <f t="shared" ref="R121:T121" si="122">IFERROR(FIND("juice",E121),"")</f>
        <v/>
      </c>
      <c r="S121" s="15" t="str">
        <f t="shared" si="122"/>
        <v/>
      </c>
      <c r="T121" s="15" t="str">
        <f t="shared" si="122"/>
        <v/>
      </c>
      <c r="U121" s="15" t="str">
        <f t="shared" si="2"/>
        <v/>
      </c>
    </row>
    <row r="122" spans="1:22" ht="15.75" customHeight="1" x14ac:dyDescent="0.2">
      <c r="A122" s="19">
        <f t="shared" si="3"/>
        <v>121</v>
      </c>
      <c r="B122" s="19" t="s">
        <v>271</v>
      </c>
      <c r="C122" s="19" t="s">
        <v>265</v>
      </c>
      <c r="D122" s="19"/>
      <c r="E122" s="19" t="s">
        <v>134</v>
      </c>
      <c r="F122" s="19" t="s">
        <v>239</v>
      </c>
      <c r="G122" s="19" t="s">
        <v>33</v>
      </c>
      <c r="H122" s="19" t="s">
        <v>33</v>
      </c>
      <c r="I122" s="19">
        <f t="shared" si="0"/>
        <v>1</v>
      </c>
      <c r="J122" s="19" t="s">
        <v>271</v>
      </c>
      <c r="K122" s="19" t="s">
        <v>272</v>
      </c>
      <c r="L122" s="15" t="b">
        <f>OR(C122='Cocktail Finder'!$B$2,ISBLANK('Cocktail Finder'!$B$2))</f>
        <v>1</v>
      </c>
      <c r="M122" s="15" t="b">
        <f>OR(D122='Cocktail Finder'!$B$7,ISBLANK('Cocktail Finder'!$B$7))</f>
        <v>1</v>
      </c>
      <c r="N122" s="15" t="b">
        <f>OR(E122='Cocktail Finder'!$B$5,ISBLANK('Cocktail Finder'!$B$5))</f>
        <v>1</v>
      </c>
      <c r="O122" s="15" t="b">
        <f>OR(F122='Cocktail Finder'!$B$4,ISBLANK('Cocktail Finder'!$B$4))</f>
        <v>1</v>
      </c>
      <c r="P122" s="15" t="b">
        <f>OR(G122='Cocktail Finder'!$B$3,ISBLANK('Cocktail Finder'!$B$3))</f>
        <v>1</v>
      </c>
      <c r="Q122" s="15" t="b">
        <f>OR(H122='Cocktail Finder'!$B$6,ISBLANK('Cocktail Finder'!$B$6))</f>
        <v>1</v>
      </c>
      <c r="R122" s="15">
        <f t="shared" ref="R122:T122" si="123">IFERROR(FIND("juice",E122),"")</f>
        <v>12</v>
      </c>
      <c r="S122" s="15" t="str">
        <f t="shared" si="123"/>
        <v/>
      </c>
      <c r="T122" s="15" t="str">
        <f t="shared" si="123"/>
        <v/>
      </c>
      <c r="U122" s="15" t="str">
        <f t="shared" si="2"/>
        <v>grapefruit juice</v>
      </c>
    </row>
    <row r="123" spans="1:22" ht="15.75" customHeight="1" x14ac:dyDescent="0.2">
      <c r="A123" s="19">
        <f t="shared" si="3"/>
        <v>122</v>
      </c>
      <c r="B123" s="19" t="s">
        <v>273</v>
      </c>
      <c r="C123" s="19" t="s">
        <v>265</v>
      </c>
      <c r="D123" s="19"/>
      <c r="E123" s="19" t="s">
        <v>45</v>
      </c>
      <c r="F123" s="19" t="s">
        <v>78</v>
      </c>
      <c r="G123" s="19" t="s">
        <v>33</v>
      </c>
      <c r="H123" s="19" t="s">
        <v>33</v>
      </c>
      <c r="I123" s="19">
        <f t="shared" si="0"/>
        <v>1</v>
      </c>
      <c r="J123" s="19" t="s">
        <v>273</v>
      </c>
      <c r="K123" s="19" t="s">
        <v>274</v>
      </c>
      <c r="L123" s="15" t="b">
        <f>OR(C123='Cocktail Finder'!$B$2,ISBLANK('Cocktail Finder'!$B$2))</f>
        <v>1</v>
      </c>
      <c r="M123" s="15" t="b">
        <f>OR(D123='Cocktail Finder'!$B$7,ISBLANK('Cocktail Finder'!$B$7))</f>
        <v>1</v>
      </c>
      <c r="N123" s="15" t="b">
        <f>OR(E123='Cocktail Finder'!$B$5,ISBLANK('Cocktail Finder'!$B$5))</f>
        <v>1</v>
      </c>
      <c r="O123" s="15" t="b">
        <f>OR(F123='Cocktail Finder'!$B$4,ISBLANK('Cocktail Finder'!$B$4))</f>
        <v>1</v>
      </c>
      <c r="P123" s="15" t="b">
        <f>OR(G123='Cocktail Finder'!$B$3,ISBLANK('Cocktail Finder'!$B$3))</f>
        <v>1</v>
      </c>
      <c r="Q123" s="15" t="b">
        <f>OR(H123='Cocktail Finder'!$B$6,ISBLANK('Cocktail Finder'!$B$6))</f>
        <v>1</v>
      </c>
      <c r="R123" s="15">
        <f t="shared" ref="R123:T123" si="124">IFERROR(FIND("juice",E123),"")</f>
        <v>11</v>
      </c>
      <c r="S123" s="15">
        <f t="shared" si="124"/>
        <v>11</v>
      </c>
      <c r="T123" s="15" t="str">
        <f t="shared" si="124"/>
        <v/>
      </c>
      <c r="U123" s="15" t="str">
        <f t="shared" si="2"/>
        <v>cranberry juice</v>
      </c>
    </row>
    <row r="124" spans="1:22" ht="15.75" customHeight="1" x14ac:dyDescent="0.2">
      <c r="A124" s="19">
        <f t="shared" si="3"/>
        <v>123</v>
      </c>
      <c r="B124" s="19" t="s">
        <v>275</v>
      </c>
      <c r="C124" s="19" t="s">
        <v>265</v>
      </c>
      <c r="D124" s="19"/>
      <c r="E124" s="19" t="s">
        <v>90</v>
      </c>
      <c r="F124" s="19" t="s">
        <v>86</v>
      </c>
      <c r="G124" s="19" t="s">
        <v>33</v>
      </c>
      <c r="H124" s="19" t="s">
        <v>33</v>
      </c>
      <c r="I124" s="19">
        <f t="shared" si="0"/>
        <v>1</v>
      </c>
      <c r="J124" s="19" t="s">
        <v>275</v>
      </c>
      <c r="K124" s="19" t="s">
        <v>39</v>
      </c>
      <c r="L124" s="15" t="b">
        <f>OR(C124='Cocktail Finder'!$B$2,ISBLANK('Cocktail Finder'!$B$2))</f>
        <v>1</v>
      </c>
      <c r="M124" s="15" t="b">
        <f>OR(D124='Cocktail Finder'!$B$7,ISBLANK('Cocktail Finder'!$B$7))</f>
        <v>1</v>
      </c>
      <c r="N124" s="15" t="b">
        <f>OR(E124='Cocktail Finder'!$B$5,ISBLANK('Cocktail Finder'!$B$5))</f>
        <v>1</v>
      </c>
      <c r="O124" s="15" t="b">
        <f>OR(F124='Cocktail Finder'!$B$4,ISBLANK('Cocktail Finder'!$B$4))</f>
        <v>1</v>
      </c>
      <c r="P124" s="15" t="b">
        <f>OR(G124='Cocktail Finder'!$B$3,ISBLANK('Cocktail Finder'!$B$3))</f>
        <v>1</v>
      </c>
      <c r="Q124" s="15" t="b">
        <f>OR(H124='Cocktail Finder'!$B$6,ISBLANK('Cocktail Finder'!$B$6))</f>
        <v>1</v>
      </c>
      <c r="R124" s="15">
        <f t="shared" ref="R124:T124" si="125">IFERROR(FIND("juice",E124),"")</f>
        <v>6</v>
      </c>
      <c r="S124" s="15" t="str">
        <f t="shared" si="125"/>
        <v/>
      </c>
      <c r="T124" s="15" t="str">
        <f t="shared" si="125"/>
        <v/>
      </c>
      <c r="U124" s="15" t="str">
        <f t="shared" si="2"/>
        <v>lime juice</v>
      </c>
    </row>
    <row r="125" spans="1:22" ht="15.75" customHeight="1" x14ac:dyDescent="0.2">
      <c r="A125" s="19">
        <f t="shared" si="3"/>
        <v>124</v>
      </c>
      <c r="B125" s="19" t="s">
        <v>276</v>
      </c>
      <c r="C125" s="19" t="s">
        <v>265</v>
      </c>
      <c r="D125" s="19"/>
      <c r="E125" s="18" t="s">
        <v>90</v>
      </c>
      <c r="F125" s="19" t="s">
        <v>55</v>
      </c>
      <c r="G125" s="18" t="s">
        <v>78</v>
      </c>
      <c r="H125" s="19" t="s">
        <v>33</v>
      </c>
      <c r="I125" s="19">
        <f t="shared" si="0"/>
        <v>1</v>
      </c>
      <c r="J125" s="19" t="s">
        <v>276</v>
      </c>
      <c r="K125" s="19" t="s">
        <v>39</v>
      </c>
      <c r="L125" s="15" t="b">
        <f>OR(C125='Cocktail Finder'!$B$2,ISBLANK('Cocktail Finder'!$B$2))</f>
        <v>1</v>
      </c>
      <c r="M125" s="15" t="b">
        <f>OR(D125='Cocktail Finder'!$B$7,ISBLANK('Cocktail Finder'!$B$7))</f>
        <v>1</v>
      </c>
      <c r="N125" s="15" t="b">
        <f>OR(E125='Cocktail Finder'!$B$5,ISBLANK('Cocktail Finder'!$B$5))</f>
        <v>1</v>
      </c>
      <c r="O125" s="15" t="b">
        <f>OR(F125='Cocktail Finder'!$B$4,ISBLANK('Cocktail Finder'!$B$4))</f>
        <v>1</v>
      </c>
      <c r="P125" s="15" t="b">
        <f>OR(G125='Cocktail Finder'!$B$3,ISBLANK('Cocktail Finder'!$B$3))</f>
        <v>1</v>
      </c>
      <c r="Q125" s="15" t="b">
        <f>OR(H125='Cocktail Finder'!$B$6,ISBLANK('Cocktail Finder'!$B$6))</f>
        <v>1</v>
      </c>
      <c r="R125" s="15">
        <f t="shared" ref="R125:T125" si="126">IFERROR(FIND("juice",E125),"")</f>
        <v>6</v>
      </c>
      <c r="S125" s="15" t="str">
        <f t="shared" si="126"/>
        <v/>
      </c>
      <c r="T125" s="15">
        <f t="shared" si="126"/>
        <v>11</v>
      </c>
      <c r="U125" s="15" t="str">
        <f t="shared" si="2"/>
        <v>lime juice</v>
      </c>
      <c r="V125" s="11" t="s">
        <v>78</v>
      </c>
    </row>
    <row r="126" spans="1:22" ht="15.75" customHeight="1" x14ac:dyDescent="0.2">
      <c r="A126" s="19">
        <f t="shared" si="3"/>
        <v>125</v>
      </c>
      <c r="B126" s="19" t="s">
        <v>277</v>
      </c>
      <c r="C126" s="19" t="s">
        <v>265</v>
      </c>
      <c r="D126" s="19"/>
      <c r="E126" s="18" t="s">
        <v>90</v>
      </c>
      <c r="F126" s="19" t="s">
        <v>55</v>
      </c>
      <c r="G126" s="18" t="s">
        <v>78</v>
      </c>
      <c r="H126" s="18" t="s">
        <v>66</v>
      </c>
      <c r="I126" s="19">
        <f t="shared" si="0"/>
        <v>1</v>
      </c>
      <c r="J126" s="19" t="s">
        <v>277</v>
      </c>
      <c r="K126" s="19" t="s">
        <v>39</v>
      </c>
      <c r="L126" s="15" t="b">
        <f>OR(C126='Cocktail Finder'!$B$2,ISBLANK('Cocktail Finder'!$B$2))</f>
        <v>1</v>
      </c>
      <c r="M126" s="15" t="b">
        <f>OR(D126='Cocktail Finder'!$B$7,ISBLANK('Cocktail Finder'!$B$7))</f>
        <v>1</v>
      </c>
      <c r="N126" s="15" t="b">
        <f>OR(E126='Cocktail Finder'!$B$5,ISBLANK('Cocktail Finder'!$B$5))</f>
        <v>1</v>
      </c>
      <c r="O126" s="15" t="b">
        <f>OR(F126='Cocktail Finder'!$B$4,ISBLANK('Cocktail Finder'!$B$4))</f>
        <v>1</v>
      </c>
      <c r="P126" s="15" t="b">
        <f>OR(G126='Cocktail Finder'!$B$3,ISBLANK('Cocktail Finder'!$B$3))</f>
        <v>1</v>
      </c>
      <c r="Q126" s="15" t="b">
        <f>OR(H126='Cocktail Finder'!$B$6,ISBLANK('Cocktail Finder'!$B$6))</f>
        <v>1</v>
      </c>
      <c r="R126" s="15">
        <f t="shared" ref="R126:T126" si="127">IFERROR(FIND("juice",E126),"")</f>
        <v>6</v>
      </c>
      <c r="S126" s="15" t="str">
        <f t="shared" si="127"/>
        <v/>
      </c>
      <c r="T126" s="15">
        <f t="shared" si="127"/>
        <v>11</v>
      </c>
      <c r="U126" s="15" t="str">
        <f t="shared" si="2"/>
        <v>lime juice</v>
      </c>
      <c r="V126" s="11" t="s">
        <v>78</v>
      </c>
    </row>
    <row r="127" spans="1:22" ht="15.75" customHeight="1" x14ac:dyDescent="0.2">
      <c r="A127" s="19">
        <f t="shared" si="3"/>
        <v>126</v>
      </c>
      <c r="B127" s="19" t="s">
        <v>278</v>
      </c>
      <c r="C127" s="19" t="s">
        <v>265</v>
      </c>
      <c r="D127" s="19"/>
      <c r="E127" s="19" t="s">
        <v>90</v>
      </c>
      <c r="F127" s="19" t="s">
        <v>86</v>
      </c>
      <c r="G127" s="19" t="s">
        <v>45</v>
      </c>
      <c r="H127" s="19" t="s">
        <v>33</v>
      </c>
      <c r="I127" s="19">
        <f t="shared" si="0"/>
        <v>1</v>
      </c>
      <c r="J127" s="19" t="s">
        <v>278</v>
      </c>
      <c r="K127" s="19" t="s">
        <v>39</v>
      </c>
      <c r="L127" s="15" t="b">
        <f>OR(C127='Cocktail Finder'!$B$2,ISBLANK('Cocktail Finder'!$B$2))</f>
        <v>1</v>
      </c>
      <c r="M127" s="15" t="b">
        <f>OR(D127='Cocktail Finder'!$B$7,ISBLANK('Cocktail Finder'!$B$7))</f>
        <v>1</v>
      </c>
      <c r="N127" s="15" t="b">
        <f>OR(E127='Cocktail Finder'!$B$5,ISBLANK('Cocktail Finder'!$B$5))</f>
        <v>1</v>
      </c>
      <c r="O127" s="15" t="b">
        <f>OR(F127='Cocktail Finder'!$B$4,ISBLANK('Cocktail Finder'!$B$4))</f>
        <v>1</v>
      </c>
      <c r="P127" s="15" t="b">
        <f>OR(G127='Cocktail Finder'!$B$3,ISBLANK('Cocktail Finder'!$B$3))</f>
        <v>1</v>
      </c>
      <c r="Q127" s="15" t="b">
        <f>OR(H127='Cocktail Finder'!$B$6,ISBLANK('Cocktail Finder'!$B$6))</f>
        <v>1</v>
      </c>
      <c r="R127" s="15">
        <f t="shared" ref="R127:T127" si="128">IFERROR(FIND("juice",E127),"")</f>
        <v>6</v>
      </c>
      <c r="S127" s="15" t="str">
        <f t="shared" si="128"/>
        <v/>
      </c>
      <c r="T127" s="15">
        <f t="shared" si="128"/>
        <v>11</v>
      </c>
      <c r="U127" s="15" t="str">
        <f t="shared" si="2"/>
        <v>lime juice</v>
      </c>
    </row>
    <row r="128" spans="1:22" ht="15.75" customHeight="1" x14ac:dyDescent="0.2">
      <c r="A128" s="19">
        <f t="shared" si="3"/>
        <v>127</v>
      </c>
      <c r="B128" s="19" t="s">
        <v>279</v>
      </c>
      <c r="C128" s="19" t="s">
        <v>265</v>
      </c>
      <c r="D128" s="19" t="s">
        <v>30</v>
      </c>
      <c r="E128" s="19" t="s">
        <v>90</v>
      </c>
      <c r="F128" s="19" t="s">
        <v>280</v>
      </c>
      <c r="G128" s="19" t="s">
        <v>33</v>
      </c>
      <c r="H128" s="19" t="s">
        <v>33</v>
      </c>
      <c r="I128" s="19">
        <f t="shared" si="0"/>
        <v>1</v>
      </c>
      <c r="J128" s="19" t="s">
        <v>279</v>
      </c>
      <c r="K128" s="19" t="s">
        <v>44</v>
      </c>
      <c r="L128" s="15" t="b">
        <f>OR(C128='Cocktail Finder'!$B$2,ISBLANK('Cocktail Finder'!$B$2))</f>
        <v>1</v>
      </c>
      <c r="M128" s="15" t="b">
        <f>OR(D128='Cocktail Finder'!$B$7,ISBLANK('Cocktail Finder'!$B$7))</f>
        <v>1</v>
      </c>
      <c r="N128" s="15" t="b">
        <f>OR(E128='Cocktail Finder'!$B$5,ISBLANK('Cocktail Finder'!$B$5))</f>
        <v>1</v>
      </c>
      <c r="O128" s="15" t="b">
        <f>OR(F128='Cocktail Finder'!$B$4,ISBLANK('Cocktail Finder'!$B$4))</f>
        <v>1</v>
      </c>
      <c r="P128" s="15" t="b">
        <f>OR(G128='Cocktail Finder'!$B$3,ISBLANK('Cocktail Finder'!$B$3))</f>
        <v>1</v>
      </c>
      <c r="Q128" s="15" t="b">
        <f>OR(H128='Cocktail Finder'!$B$6,ISBLANK('Cocktail Finder'!$B$6))</f>
        <v>1</v>
      </c>
      <c r="R128" s="15">
        <f t="shared" ref="R128:T128" si="129">IFERROR(FIND("juice",E128),"")</f>
        <v>6</v>
      </c>
      <c r="S128" s="15" t="str">
        <f t="shared" si="129"/>
        <v/>
      </c>
      <c r="T128" s="15" t="str">
        <f t="shared" si="129"/>
        <v/>
      </c>
      <c r="U128" s="15" t="str">
        <f t="shared" si="2"/>
        <v>lime juice</v>
      </c>
    </row>
    <row r="129" spans="1:22" ht="15.75" customHeight="1" x14ac:dyDescent="0.2">
      <c r="A129" s="19">
        <f t="shared" si="3"/>
        <v>128</v>
      </c>
      <c r="B129" s="19" t="s">
        <v>281</v>
      </c>
      <c r="C129" s="19" t="s">
        <v>265</v>
      </c>
      <c r="D129" s="19" t="s">
        <v>60</v>
      </c>
      <c r="E129" s="19" t="s">
        <v>90</v>
      </c>
      <c r="F129" s="19" t="s">
        <v>282</v>
      </c>
      <c r="G129" s="19" t="s">
        <v>33</v>
      </c>
      <c r="H129" s="19" t="s">
        <v>33</v>
      </c>
      <c r="I129" s="19">
        <f t="shared" si="0"/>
        <v>1</v>
      </c>
      <c r="J129" s="19" t="s">
        <v>281</v>
      </c>
      <c r="K129" s="19" t="s">
        <v>44</v>
      </c>
      <c r="L129" s="15" t="b">
        <f>OR(C129='Cocktail Finder'!$B$2,ISBLANK('Cocktail Finder'!$B$2))</f>
        <v>1</v>
      </c>
      <c r="M129" s="15" t="b">
        <f>OR(D129='Cocktail Finder'!$B$7,ISBLANK('Cocktail Finder'!$B$7))</f>
        <v>1</v>
      </c>
      <c r="N129" s="15" t="b">
        <f>OR(E129='Cocktail Finder'!$B$5,ISBLANK('Cocktail Finder'!$B$5))</f>
        <v>1</v>
      </c>
      <c r="O129" s="15" t="b">
        <f>OR(F129='Cocktail Finder'!$B$4,ISBLANK('Cocktail Finder'!$B$4))</f>
        <v>1</v>
      </c>
      <c r="P129" s="15" t="b">
        <f>OR(G129='Cocktail Finder'!$B$3,ISBLANK('Cocktail Finder'!$B$3))</f>
        <v>1</v>
      </c>
      <c r="Q129" s="15" t="b">
        <f>OR(H129='Cocktail Finder'!$B$6,ISBLANK('Cocktail Finder'!$B$6))</f>
        <v>1</v>
      </c>
      <c r="R129" s="15">
        <f t="shared" ref="R129:T129" si="130">IFERROR(FIND("juice",E129),"")</f>
        <v>6</v>
      </c>
      <c r="S129" s="15" t="str">
        <f t="shared" si="130"/>
        <v/>
      </c>
      <c r="T129" s="15" t="str">
        <f t="shared" si="130"/>
        <v/>
      </c>
      <c r="U129" s="15" t="str">
        <f t="shared" si="2"/>
        <v>lime juice</v>
      </c>
    </row>
    <row r="130" spans="1:22" ht="15.75" customHeight="1" x14ac:dyDescent="0.2">
      <c r="A130" s="19">
        <f t="shared" si="3"/>
        <v>129</v>
      </c>
      <c r="B130" s="19" t="s">
        <v>283</v>
      </c>
      <c r="C130" s="19" t="s">
        <v>265</v>
      </c>
      <c r="D130" s="19" t="s">
        <v>60</v>
      </c>
      <c r="E130" s="19" t="s">
        <v>90</v>
      </c>
      <c r="F130" s="19" t="s">
        <v>66</v>
      </c>
      <c r="G130" s="19" t="s">
        <v>33</v>
      </c>
      <c r="H130" s="19" t="s">
        <v>33</v>
      </c>
      <c r="I130" s="19">
        <f t="shared" si="0"/>
        <v>1</v>
      </c>
      <c r="J130" s="19" t="s">
        <v>283</v>
      </c>
      <c r="K130" s="19" t="s">
        <v>44</v>
      </c>
      <c r="L130" s="15" t="b">
        <f>OR(C130='Cocktail Finder'!$B$2,ISBLANK('Cocktail Finder'!$B$2))</f>
        <v>1</v>
      </c>
      <c r="M130" s="15" t="b">
        <f>OR(D130='Cocktail Finder'!$B$7,ISBLANK('Cocktail Finder'!$B$7))</f>
        <v>1</v>
      </c>
      <c r="N130" s="15" t="b">
        <f>OR(E130='Cocktail Finder'!$B$5,ISBLANK('Cocktail Finder'!$B$5))</f>
        <v>1</v>
      </c>
      <c r="O130" s="15" t="b">
        <f>OR(F130='Cocktail Finder'!$B$4,ISBLANK('Cocktail Finder'!$B$4))</f>
        <v>1</v>
      </c>
      <c r="P130" s="15" t="b">
        <f>OR(G130='Cocktail Finder'!$B$3,ISBLANK('Cocktail Finder'!$B$3))</f>
        <v>1</v>
      </c>
      <c r="Q130" s="15" t="b">
        <f>OR(H130='Cocktail Finder'!$B$6,ISBLANK('Cocktail Finder'!$B$6))</f>
        <v>1</v>
      </c>
      <c r="R130" s="15">
        <f t="shared" ref="R130:T130" si="131">IFERROR(FIND("juice",E130),"")</f>
        <v>6</v>
      </c>
      <c r="S130" s="15" t="str">
        <f t="shared" si="131"/>
        <v/>
      </c>
      <c r="T130" s="15" t="str">
        <f t="shared" si="131"/>
        <v/>
      </c>
      <c r="U130" s="15" t="str">
        <f t="shared" si="2"/>
        <v>lime juice</v>
      </c>
    </row>
    <row r="131" spans="1:22" ht="15.75" customHeight="1" x14ac:dyDescent="0.2">
      <c r="A131" s="19">
        <f t="shared" si="3"/>
        <v>130</v>
      </c>
      <c r="B131" s="19" t="s">
        <v>284</v>
      </c>
      <c r="C131" s="19" t="s">
        <v>265</v>
      </c>
      <c r="D131" s="19" t="s">
        <v>31</v>
      </c>
      <c r="E131" s="19" t="s">
        <v>90</v>
      </c>
      <c r="F131" s="19" t="s">
        <v>48</v>
      </c>
      <c r="G131" s="19" t="s">
        <v>55</v>
      </c>
      <c r="H131" s="19" t="s">
        <v>33</v>
      </c>
      <c r="I131" s="19">
        <f t="shared" si="0"/>
        <v>1</v>
      </c>
      <c r="J131" s="19" t="s">
        <v>284</v>
      </c>
      <c r="K131" s="19" t="s">
        <v>44</v>
      </c>
      <c r="L131" s="15" t="b">
        <f>OR(C131='Cocktail Finder'!$B$2,ISBLANK('Cocktail Finder'!$B$2))</f>
        <v>1</v>
      </c>
      <c r="M131" s="15" t="b">
        <f>OR(D131='Cocktail Finder'!$B$7,ISBLANK('Cocktail Finder'!$B$7))</f>
        <v>1</v>
      </c>
      <c r="N131" s="15" t="b">
        <f>OR(E131='Cocktail Finder'!$B$5,ISBLANK('Cocktail Finder'!$B$5))</f>
        <v>1</v>
      </c>
      <c r="O131" s="15" t="b">
        <f>OR(F131='Cocktail Finder'!$B$4,ISBLANK('Cocktail Finder'!$B$4))</f>
        <v>1</v>
      </c>
      <c r="P131" s="15" t="b">
        <f>OR(G131='Cocktail Finder'!$B$3,ISBLANK('Cocktail Finder'!$B$3))</f>
        <v>1</v>
      </c>
      <c r="Q131" s="15" t="b">
        <f>OR(H131='Cocktail Finder'!$B$6,ISBLANK('Cocktail Finder'!$B$6))</f>
        <v>1</v>
      </c>
      <c r="R131" s="15">
        <f t="shared" ref="R131:T131" si="132">IFERROR(FIND("juice",E131),"")</f>
        <v>6</v>
      </c>
      <c r="S131" s="15" t="str">
        <f t="shared" si="132"/>
        <v/>
      </c>
      <c r="T131" s="15" t="str">
        <f t="shared" si="132"/>
        <v/>
      </c>
      <c r="U131" s="15" t="str">
        <f t="shared" si="2"/>
        <v>lime juice</v>
      </c>
    </row>
    <row r="132" spans="1:22" ht="15.75" customHeight="1" x14ac:dyDescent="0.2">
      <c r="A132" s="19">
        <f t="shared" si="3"/>
        <v>131</v>
      </c>
      <c r="B132" s="19" t="s">
        <v>285</v>
      </c>
      <c r="C132" s="19" t="s">
        <v>265</v>
      </c>
      <c r="D132" s="19" t="s">
        <v>120</v>
      </c>
      <c r="E132" s="19" t="s">
        <v>90</v>
      </c>
      <c r="F132" s="19" t="s">
        <v>86</v>
      </c>
      <c r="G132" s="19" t="s">
        <v>33</v>
      </c>
      <c r="H132" s="19" t="s">
        <v>33</v>
      </c>
      <c r="I132" s="19">
        <f t="shared" si="0"/>
        <v>1</v>
      </c>
      <c r="J132" s="19" t="s">
        <v>285</v>
      </c>
      <c r="K132" s="19" t="s">
        <v>44</v>
      </c>
      <c r="L132" s="15" t="b">
        <f>OR(C132='Cocktail Finder'!$B$2,ISBLANK('Cocktail Finder'!$B$2))</f>
        <v>1</v>
      </c>
      <c r="M132" s="15" t="b">
        <f>OR(D132='Cocktail Finder'!$B$7,ISBLANK('Cocktail Finder'!$B$7))</f>
        <v>1</v>
      </c>
      <c r="N132" s="15" t="b">
        <f>OR(E132='Cocktail Finder'!$B$5,ISBLANK('Cocktail Finder'!$B$5))</f>
        <v>1</v>
      </c>
      <c r="O132" s="15" t="b">
        <f>OR(F132='Cocktail Finder'!$B$4,ISBLANK('Cocktail Finder'!$B$4))</f>
        <v>1</v>
      </c>
      <c r="P132" s="15" t="b">
        <f>OR(G132='Cocktail Finder'!$B$3,ISBLANK('Cocktail Finder'!$B$3))</f>
        <v>1</v>
      </c>
      <c r="Q132" s="15" t="b">
        <f>OR(H132='Cocktail Finder'!$B$6,ISBLANK('Cocktail Finder'!$B$6))</f>
        <v>1</v>
      </c>
      <c r="R132" s="15">
        <f t="shared" ref="R132:T132" si="133">IFERROR(FIND("juice",E132),"")</f>
        <v>6</v>
      </c>
      <c r="S132" s="15" t="str">
        <f t="shared" si="133"/>
        <v/>
      </c>
      <c r="T132" s="15" t="str">
        <f t="shared" si="133"/>
        <v/>
      </c>
      <c r="U132" s="15" t="str">
        <f t="shared" si="2"/>
        <v>lime juice</v>
      </c>
    </row>
    <row r="133" spans="1:22" ht="15.75" customHeight="1" x14ac:dyDescent="0.2">
      <c r="A133" s="19">
        <f t="shared" si="3"/>
        <v>132</v>
      </c>
      <c r="B133" s="19" t="s">
        <v>286</v>
      </c>
      <c r="C133" s="19" t="s">
        <v>265</v>
      </c>
      <c r="D133" s="19" t="s">
        <v>100</v>
      </c>
      <c r="E133" s="19" t="s">
        <v>90</v>
      </c>
      <c r="F133" s="19" t="s">
        <v>33</v>
      </c>
      <c r="G133" s="19" t="s">
        <v>33</v>
      </c>
      <c r="H133" s="19" t="s">
        <v>33</v>
      </c>
      <c r="I133" s="19">
        <f t="shared" si="0"/>
        <v>1</v>
      </c>
      <c r="J133" s="19" t="s">
        <v>286</v>
      </c>
      <c r="K133" s="19" t="s">
        <v>101</v>
      </c>
      <c r="L133" s="15" t="b">
        <f>OR(C133='Cocktail Finder'!$B$2,ISBLANK('Cocktail Finder'!$B$2))</f>
        <v>1</v>
      </c>
      <c r="M133" s="15" t="b">
        <f>OR(D133='Cocktail Finder'!$B$7,ISBLANK('Cocktail Finder'!$B$7))</f>
        <v>1</v>
      </c>
      <c r="N133" s="15" t="b">
        <f>OR(E133='Cocktail Finder'!$B$5,ISBLANK('Cocktail Finder'!$B$5))</f>
        <v>1</v>
      </c>
      <c r="O133" s="15" t="b">
        <f>OR(F133='Cocktail Finder'!$B$4,ISBLANK('Cocktail Finder'!$B$4))</f>
        <v>1</v>
      </c>
      <c r="P133" s="15" t="b">
        <f>OR(G133='Cocktail Finder'!$B$3,ISBLANK('Cocktail Finder'!$B$3))</f>
        <v>1</v>
      </c>
      <c r="Q133" s="15" t="b">
        <f>OR(H133='Cocktail Finder'!$B$6,ISBLANK('Cocktail Finder'!$B$6))</f>
        <v>1</v>
      </c>
      <c r="R133" s="15">
        <f t="shared" ref="R133:T133" si="134">IFERROR(FIND("juice",E133),"")</f>
        <v>6</v>
      </c>
      <c r="S133" s="15" t="str">
        <f t="shared" si="134"/>
        <v/>
      </c>
      <c r="T133" s="15" t="str">
        <f t="shared" si="134"/>
        <v/>
      </c>
      <c r="U133" s="15" t="str">
        <f t="shared" si="2"/>
        <v>lime juice</v>
      </c>
    </row>
    <row r="134" spans="1:22" ht="15.75" customHeight="1" x14ac:dyDescent="0.2">
      <c r="A134" s="19">
        <f t="shared" si="3"/>
        <v>133</v>
      </c>
      <c r="B134" s="19" t="s">
        <v>287</v>
      </c>
      <c r="C134" s="19" t="s">
        <v>265</v>
      </c>
      <c r="D134" s="19" t="s">
        <v>100</v>
      </c>
      <c r="E134" s="19" t="s">
        <v>38</v>
      </c>
      <c r="F134" s="19" t="s">
        <v>33</v>
      </c>
      <c r="G134" s="19" t="s">
        <v>33</v>
      </c>
      <c r="H134" s="19" t="s">
        <v>33</v>
      </c>
      <c r="I134" s="19">
        <f t="shared" si="0"/>
        <v>1</v>
      </c>
      <c r="J134" s="19" t="s">
        <v>287</v>
      </c>
      <c r="K134" s="19" t="s">
        <v>101</v>
      </c>
      <c r="L134" s="15" t="b">
        <f>OR(C134='Cocktail Finder'!$B$2,ISBLANK('Cocktail Finder'!$B$2))</f>
        <v>1</v>
      </c>
      <c r="M134" s="15" t="b">
        <f>OR(D134='Cocktail Finder'!$B$7,ISBLANK('Cocktail Finder'!$B$7))</f>
        <v>1</v>
      </c>
      <c r="N134" s="15" t="b">
        <f>OR(E134='Cocktail Finder'!$B$5,ISBLANK('Cocktail Finder'!$B$5))</f>
        <v>1</v>
      </c>
      <c r="O134" s="15" t="b">
        <f>OR(F134='Cocktail Finder'!$B$4,ISBLANK('Cocktail Finder'!$B$4))</f>
        <v>1</v>
      </c>
      <c r="P134" s="15" t="b">
        <f>OR(G134='Cocktail Finder'!$B$3,ISBLANK('Cocktail Finder'!$B$3))</f>
        <v>1</v>
      </c>
      <c r="Q134" s="15" t="b">
        <f>OR(H134='Cocktail Finder'!$B$6,ISBLANK('Cocktail Finder'!$B$6))</f>
        <v>1</v>
      </c>
      <c r="R134" s="15">
        <f t="shared" ref="R134:T134" si="135">IFERROR(FIND("juice",E134),"")</f>
        <v>7</v>
      </c>
      <c r="S134" s="15" t="str">
        <f t="shared" si="135"/>
        <v/>
      </c>
      <c r="T134" s="15" t="str">
        <f t="shared" si="135"/>
        <v/>
      </c>
      <c r="U134" s="15" t="str">
        <f t="shared" si="2"/>
        <v>lemon juice</v>
      </c>
    </row>
    <row r="135" spans="1:22" ht="15.75" customHeight="1" x14ac:dyDescent="0.2">
      <c r="A135" s="19">
        <f t="shared" si="3"/>
        <v>134</v>
      </c>
      <c r="B135" s="19" t="s">
        <v>288</v>
      </c>
      <c r="C135" s="19" t="s">
        <v>265</v>
      </c>
      <c r="D135" s="19" t="s">
        <v>100</v>
      </c>
      <c r="E135" s="19" t="s">
        <v>90</v>
      </c>
      <c r="F135" s="19" t="s">
        <v>120</v>
      </c>
      <c r="G135" s="19" t="s">
        <v>33</v>
      </c>
      <c r="H135" s="19" t="s">
        <v>33</v>
      </c>
      <c r="I135" s="19">
        <f t="shared" si="0"/>
        <v>1</v>
      </c>
      <c r="J135" s="19" t="s">
        <v>288</v>
      </c>
      <c r="K135" s="19" t="s">
        <v>101</v>
      </c>
      <c r="L135" s="15" t="b">
        <f>OR(C135='Cocktail Finder'!$B$2,ISBLANK('Cocktail Finder'!$B$2))</f>
        <v>1</v>
      </c>
      <c r="M135" s="15" t="b">
        <f>OR(D135='Cocktail Finder'!$B$7,ISBLANK('Cocktail Finder'!$B$7))</f>
        <v>1</v>
      </c>
      <c r="N135" s="15" t="b">
        <f>OR(E135='Cocktail Finder'!$B$5,ISBLANK('Cocktail Finder'!$B$5))</f>
        <v>1</v>
      </c>
      <c r="O135" s="15" t="b">
        <f>OR(F135='Cocktail Finder'!$B$4,ISBLANK('Cocktail Finder'!$B$4))</f>
        <v>1</v>
      </c>
      <c r="P135" s="15" t="b">
        <f>OR(G135='Cocktail Finder'!$B$3,ISBLANK('Cocktail Finder'!$B$3))</f>
        <v>1</v>
      </c>
      <c r="Q135" s="15" t="b">
        <f>OR(H135='Cocktail Finder'!$B$6,ISBLANK('Cocktail Finder'!$B$6))</f>
        <v>1</v>
      </c>
      <c r="R135" s="15">
        <f t="shared" ref="R135:T135" si="136">IFERROR(FIND("juice",E135),"")</f>
        <v>6</v>
      </c>
      <c r="S135" s="15" t="str">
        <f t="shared" si="136"/>
        <v/>
      </c>
      <c r="T135" s="15" t="str">
        <f t="shared" si="136"/>
        <v/>
      </c>
      <c r="U135" s="15" t="str">
        <f t="shared" si="2"/>
        <v>lime juice</v>
      </c>
    </row>
    <row r="136" spans="1:22" ht="15.75" customHeight="1" x14ac:dyDescent="0.2">
      <c r="A136" s="19">
        <f t="shared" si="3"/>
        <v>135</v>
      </c>
      <c r="B136" s="19" t="s">
        <v>289</v>
      </c>
      <c r="C136" s="19" t="s">
        <v>265</v>
      </c>
      <c r="D136" s="19" t="s">
        <v>282</v>
      </c>
      <c r="E136" s="19" t="s">
        <v>90</v>
      </c>
      <c r="F136" s="19" t="s">
        <v>62</v>
      </c>
      <c r="G136" s="19" t="s">
        <v>33</v>
      </c>
      <c r="H136" s="19" t="s">
        <v>33</v>
      </c>
      <c r="I136" s="19">
        <f t="shared" si="0"/>
        <v>1</v>
      </c>
      <c r="J136" s="19" t="s">
        <v>289</v>
      </c>
      <c r="K136" s="19" t="s">
        <v>63</v>
      </c>
      <c r="L136" s="15" t="b">
        <f>OR(C136='Cocktail Finder'!$B$2,ISBLANK('Cocktail Finder'!$B$2))</f>
        <v>1</v>
      </c>
      <c r="M136" s="15" t="b">
        <f>OR(D136='Cocktail Finder'!$B$7,ISBLANK('Cocktail Finder'!$B$7))</f>
        <v>1</v>
      </c>
      <c r="N136" s="15" t="b">
        <f>OR(E136='Cocktail Finder'!$B$5,ISBLANK('Cocktail Finder'!$B$5))</f>
        <v>1</v>
      </c>
      <c r="O136" s="15" t="b">
        <f>OR(F136='Cocktail Finder'!$B$4,ISBLANK('Cocktail Finder'!$B$4))</f>
        <v>1</v>
      </c>
      <c r="P136" s="15" t="b">
        <f>OR(G136='Cocktail Finder'!$B$3,ISBLANK('Cocktail Finder'!$B$3))</f>
        <v>1</v>
      </c>
      <c r="Q136" s="15" t="b">
        <f>OR(H136='Cocktail Finder'!$B$6,ISBLANK('Cocktail Finder'!$B$6))</f>
        <v>1</v>
      </c>
      <c r="R136" s="15">
        <f t="shared" ref="R136:T136" si="137">IFERROR(FIND("juice",E136),"")</f>
        <v>6</v>
      </c>
      <c r="S136" s="15" t="str">
        <f t="shared" si="137"/>
        <v/>
      </c>
      <c r="T136" s="15" t="str">
        <f t="shared" si="137"/>
        <v/>
      </c>
      <c r="U136" s="15" t="str">
        <f t="shared" si="2"/>
        <v>lime juice</v>
      </c>
    </row>
    <row r="137" spans="1:22" ht="15.75" customHeight="1" x14ac:dyDescent="0.2">
      <c r="A137" s="19">
        <f t="shared" si="3"/>
        <v>136</v>
      </c>
      <c r="B137" s="19" t="s">
        <v>290</v>
      </c>
      <c r="C137" s="19" t="s">
        <v>265</v>
      </c>
      <c r="D137" s="19" t="s">
        <v>57</v>
      </c>
      <c r="E137" s="19" t="s">
        <v>38</v>
      </c>
      <c r="F137" s="19" t="s">
        <v>33</v>
      </c>
      <c r="G137" s="19" t="s">
        <v>33</v>
      </c>
      <c r="H137" s="19" t="s">
        <v>33</v>
      </c>
      <c r="I137" s="19">
        <f t="shared" si="0"/>
        <v>1</v>
      </c>
      <c r="J137" s="19" t="s">
        <v>290</v>
      </c>
      <c r="K137" s="19" t="s">
        <v>58</v>
      </c>
      <c r="L137" s="15" t="b">
        <f>OR(C137='Cocktail Finder'!$B$2,ISBLANK('Cocktail Finder'!$B$2))</f>
        <v>1</v>
      </c>
      <c r="M137" s="15" t="b">
        <f>OR(D137='Cocktail Finder'!$B$7,ISBLANK('Cocktail Finder'!$B$7))</f>
        <v>1</v>
      </c>
      <c r="N137" s="15" t="b">
        <f>OR(E137='Cocktail Finder'!$B$5,ISBLANK('Cocktail Finder'!$B$5))</f>
        <v>1</v>
      </c>
      <c r="O137" s="15" t="b">
        <f>OR(F137='Cocktail Finder'!$B$4,ISBLANK('Cocktail Finder'!$B$4))</f>
        <v>1</v>
      </c>
      <c r="P137" s="15" t="b">
        <f>OR(G137='Cocktail Finder'!$B$3,ISBLANK('Cocktail Finder'!$B$3))</f>
        <v>1</v>
      </c>
      <c r="Q137" s="15" t="b">
        <f>OR(H137='Cocktail Finder'!$B$6,ISBLANK('Cocktail Finder'!$B$6))</f>
        <v>1</v>
      </c>
      <c r="R137" s="15">
        <f t="shared" ref="R137:T137" si="138">IFERROR(FIND("juice",E137),"")</f>
        <v>7</v>
      </c>
      <c r="S137" s="15" t="str">
        <f t="shared" si="138"/>
        <v/>
      </c>
      <c r="T137" s="15" t="str">
        <f t="shared" si="138"/>
        <v/>
      </c>
      <c r="U137" s="15" t="str">
        <f t="shared" si="2"/>
        <v>lemon juice</v>
      </c>
    </row>
    <row r="138" spans="1:22" ht="15.75" customHeight="1" x14ac:dyDescent="0.2">
      <c r="A138" s="19">
        <f t="shared" si="3"/>
        <v>137</v>
      </c>
      <c r="B138" s="19" t="s">
        <v>291</v>
      </c>
      <c r="C138" s="19" t="s">
        <v>292</v>
      </c>
      <c r="D138" s="19"/>
      <c r="E138" s="19" t="s">
        <v>90</v>
      </c>
      <c r="F138" s="19" t="s">
        <v>55</v>
      </c>
      <c r="G138" s="19" t="s">
        <v>33</v>
      </c>
      <c r="H138" s="19" t="s">
        <v>33</v>
      </c>
      <c r="I138" s="19">
        <f t="shared" si="0"/>
        <v>1</v>
      </c>
      <c r="J138" s="19" t="s">
        <v>291</v>
      </c>
      <c r="K138" s="19" t="s">
        <v>39</v>
      </c>
      <c r="L138" s="15" t="b">
        <f>OR(C138='Cocktail Finder'!$B$2,ISBLANK('Cocktail Finder'!$B$2))</f>
        <v>1</v>
      </c>
      <c r="M138" s="15" t="b">
        <f>OR(D138='Cocktail Finder'!$B$7,ISBLANK('Cocktail Finder'!$B$7))</f>
        <v>1</v>
      </c>
      <c r="N138" s="15" t="b">
        <f>OR(E138='Cocktail Finder'!$B$5,ISBLANK('Cocktail Finder'!$B$5))</f>
        <v>1</v>
      </c>
      <c r="O138" s="15" t="b">
        <f>OR(F138='Cocktail Finder'!$B$4,ISBLANK('Cocktail Finder'!$B$4))</f>
        <v>1</v>
      </c>
      <c r="P138" s="15" t="b">
        <f>OR(G138='Cocktail Finder'!$B$3,ISBLANK('Cocktail Finder'!$B$3))</f>
        <v>1</v>
      </c>
      <c r="Q138" s="15" t="b">
        <f>OR(H138='Cocktail Finder'!$B$6,ISBLANK('Cocktail Finder'!$B$6))</f>
        <v>1</v>
      </c>
      <c r="R138" s="15">
        <f t="shared" ref="R138:T138" si="139">IFERROR(FIND("juice",E138),"")</f>
        <v>6</v>
      </c>
      <c r="S138" s="15" t="str">
        <f t="shared" si="139"/>
        <v/>
      </c>
      <c r="T138" s="15" t="str">
        <f t="shared" si="139"/>
        <v/>
      </c>
      <c r="U138" s="15" t="str">
        <f t="shared" si="2"/>
        <v>lime juice</v>
      </c>
    </row>
    <row r="139" spans="1:22" ht="15.75" customHeight="1" x14ac:dyDescent="0.2">
      <c r="A139" s="19">
        <f t="shared" si="3"/>
        <v>138</v>
      </c>
      <c r="B139" s="19" t="s">
        <v>293</v>
      </c>
      <c r="C139" s="19" t="s">
        <v>294</v>
      </c>
      <c r="D139" s="19"/>
      <c r="E139" s="19" t="s">
        <v>295</v>
      </c>
      <c r="F139" s="19" t="s">
        <v>86</v>
      </c>
      <c r="G139" s="19" t="s">
        <v>296</v>
      </c>
      <c r="H139" s="19" t="s">
        <v>33</v>
      </c>
      <c r="I139" s="19">
        <f t="shared" si="0"/>
        <v>1</v>
      </c>
      <c r="J139" s="19" t="s">
        <v>293</v>
      </c>
      <c r="K139" s="19" t="s">
        <v>39</v>
      </c>
      <c r="L139" s="15" t="b">
        <f>OR(C139='Cocktail Finder'!$B$2,ISBLANK('Cocktail Finder'!$B$2))</f>
        <v>1</v>
      </c>
      <c r="M139" s="15" t="b">
        <f>OR(D139='Cocktail Finder'!$B$7,ISBLANK('Cocktail Finder'!$B$7))</f>
        <v>1</v>
      </c>
      <c r="N139" s="15" t="b">
        <f>OR(E139='Cocktail Finder'!$B$5,ISBLANK('Cocktail Finder'!$B$5))</f>
        <v>1</v>
      </c>
      <c r="O139" s="15" t="b">
        <f>OR(F139='Cocktail Finder'!$B$4,ISBLANK('Cocktail Finder'!$B$4))</f>
        <v>1</v>
      </c>
      <c r="P139" s="15" t="b">
        <f>OR(G139='Cocktail Finder'!$B$3,ISBLANK('Cocktail Finder'!$B$3))</f>
        <v>1</v>
      </c>
      <c r="Q139" s="15" t="b">
        <f>OR(H139='Cocktail Finder'!$B$6,ISBLANK('Cocktail Finder'!$B$6))</f>
        <v>1</v>
      </c>
      <c r="R139" s="15">
        <f t="shared" ref="R139:T139" si="140">IFERROR(FIND("juice",E139),"")</f>
        <v>6</v>
      </c>
      <c r="S139" s="15" t="str">
        <f t="shared" si="140"/>
        <v/>
      </c>
      <c r="T139" s="15" t="str">
        <f t="shared" si="140"/>
        <v/>
      </c>
      <c r="U139" s="15" t="str">
        <f t="shared" si="2"/>
        <v>lime juice, lemon juice</v>
      </c>
      <c r="V139" s="11" t="s">
        <v>38</v>
      </c>
    </row>
    <row r="140" spans="1:22" ht="15.75" customHeight="1" x14ac:dyDescent="0.2">
      <c r="A140" s="19">
        <f t="shared" si="3"/>
        <v>139</v>
      </c>
      <c r="B140" s="19" t="s">
        <v>297</v>
      </c>
      <c r="C140" s="19" t="s">
        <v>294</v>
      </c>
      <c r="D140" s="19"/>
      <c r="E140" s="19" t="s">
        <v>90</v>
      </c>
      <c r="F140" s="19" t="s">
        <v>86</v>
      </c>
      <c r="G140" s="19" t="s">
        <v>126</v>
      </c>
      <c r="H140" s="19" t="s">
        <v>33</v>
      </c>
      <c r="I140" s="19">
        <f t="shared" si="0"/>
        <v>1</v>
      </c>
      <c r="J140" s="19" t="s">
        <v>297</v>
      </c>
      <c r="K140" s="19" t="s">
        <v>39</v>
      </c>
      <c r="L140" s="15" t="b">
        <f>OR(C140='Cocktail Finder'!$B$2,ISBLANK('Cocktail Finder'!$B$2))</f>
        <v>1</v>
      </c>
      <c r="M140" s="15" t="b">
        <f>OR(D140='Cocktail Finder'!$B$7,ISBLANK('Cocktail Finder'!$B$7))</f>
        <v>1</v>
      </c>
      <c r="N140" s="15" t="b">
        <f>OR(E140='Cocktail Finder'!$B$5,ISBLANK('Cocktail Finder'!$B$5))</f>
        <v>1</v>
      </c>
      <c r="O140" s="15" t="b">
        <f>OR(F140='Cocktail Finder'!$B$4,ISBLANK('Cocktail Finder'!$B$4))</f>
        <v>1</v>
      </c>
      <c r="P140" s="15" t="b">
        <f>OR(G140='Cocktail Finder'!$B$3,ISBLANK('Cocktail Finder'!$B$3))</f>
        <v>1</v>
      </c>
      <c r="Q140" s="15" t="b">
        <f>OR(H140='Cocktail Finder'!$B$6,ISBLANK('Cocktail Finder'!$B$6))</f>
        <v>1</v>
      </c>
      <c r="R140" s="15">
        <f t="shared" ref="R140:T140" si="141">IFERROR(FIND("juice",E140),"")</f>
        <v>6</v>
      </c>
      <c r="S140" s="15" t="str">
        <f t="shared" si="141"/>
        <v/>
      </c>
      <c r="T140" s="15">
        <f t="shared" si="141"/>
        <v>8</v>
      </c>
      <c r="U140" s="15" t="str">
        <f t="shared" si="2"/>
        <v>lime juice</v>
      </c>
    </row>
    <row r="141" spans="1:22" ht="15.75" customHeight="1" x14ac:dyDescent="0.2">
      <c r="A141" s="19">
        <f t="shared" si="3"/>
        <v>140</v>
      </c>
      <c r="B141" s="19" t="s">
        <v>298</v>
      </c>
      <c r="C141" s="19" t="s">
        <v>294</v>
      </c>
      <c r="D141" s="19" t="s">
        <v>100</v>
      </c>
      <c r="E141" s="19" t="s">
        <v>38</v>
      </c>
      <c r="F141" s="19" t="s">
        <v>33</v>
      </c>
      <c r="G141" s="19" t="s">
        <v>33</v>
      </c>
      <c r="H141" s="19" t="s">
        <v>33</v>
      </c>
      <c r="I141" s="19">
        <f t="shared" si="0"/>
        <v>1</v>
      </c>
      <c r="J141" s="19" t="s">
        <v>298</v>
      </c>
      <c r="K141" s="19" t="s">
        <v>101</v>
      </c>
      <c r="L141" s="15" t="b">
        <f>OR(C141='Cocktail Finder'!$B$2,ISBLANK('Cocktail Finder'!$B$2))</f>
        <v>1</v>
      </c>
      <c r="M141" s="15" t="b">
        <f>OR(D141='Cocktail Finder'!$B$7,ISBLANK('Cocktail Finder'!$B$7))</f>
        <v>1</v>
      </c>
      <c r="N141" s="15" t="b">
        <f>OR(E141='Cocktail Finder'!$B$5,ISBLANK('Cocktail Finder'!$B$5))</f>
        <v>1</v>
      </c>
      <c r="O141" s="15" t="b">
        <f>OR(F141='Cocktail Finder'!$B$4,ISBLANK('Cocktail Finder'!$B$4))</f>
        <v>1</v>
      </c>
      <c r="P141" s="15" t="b">
        <f>OR(G141='Cocktail Finder'!$B$3,ISBLANK('Cocktail Finder'!$B$3))</f>
        <v>1</v>
      </c>
      <c r="Q141" s="15" t="b">
        <f>OR(H141='Cocktail Finder'!$B$6,ISBLANK('Cocktail Finder'!$B$6))</f>
        <v>1</v>
      </c>
      <c r="R141" s="15">
        <f t="shared" ref="R141:T141" si="142">IFERROR(FIND("juice",E141),"")</f>
        <v>7</v>
      </c>
      <c r="S141" s="15" t="str">
        <f t="shared" si="142"/>
        <v/>
      </c>
      <c r="T141" s="15" t="str">
        <f t="shared" si="142"/>
        <v/>
      </c>
      <c r="U141" s="15" t="str">
        <f t="shared" si="2"/>
        <v>lemon juice</v>
      </c>
    </row>
    <row r="142" spans="1:22" ht="15.75" customHeight="1" x14ac:dyDescent="0.2">
      <c r="A142" s="19">
        <f t="shared" si="3"/>
        <v>141</v>
      </c>
      <c r="B142" s="19" t="s">
        <v>299</v>
      </c>
      <c r="C142" s="19" t="s">
        <v>300</v>
      </c>
      <c r="D142" s="19" t="s">
        <v>52</v>
      </c>
      <c r="E142" s="19" t="s">
        <v>78</v>
      </c>
      <c r="F142" s="19" t="s">
        <v>33</v>
      </c>
      <c r="G142" s="19" t="s">
        <v>33</v>
      </c>
      <c r="H142" s="19" t="s">
        <v>33</v>
      </c>
      <c r="I142" s="19">
        <f t="shared" si="0"/>
        <v>1</v>
      </c>
      <c r="J142" s="19" t="s">
        <v>299</v>
      </c>
      <c r="K142" s="19" t="s">
        <v>50</v>
      </c>
      <c r="L142" s="15" t="b">
        <f>OR(C142='Cocktail Finder'!$B$2,ISBLANK('Cocktail Finder'!$B$2))</f>
        <v>1</v>
      </c>
      <c r="M142" s="15" t="b">
        <f>OR(D142='Cocktail Finder'!$B$7,ISBLANK('Cocktail Finder'!$B$7))</f>
        <v>1</v>
      </c>
      <c r="N142" s="15" t="b">
        <f>OR(E142='Cocktail Finder'!$B$5,ISBLANK('Cocktail Finder'!$B$5))</f>
        <v>1</v>
      </c>
      <c r="O142" s="15" t="b">
        <f>OR(F142='Cocktail Finder'!$B$4,ISBLANK('Cocktail Finder'!$B$4))</f>
        <v>1</v>
      </c>
      <c r="P142" s="15" t="b">
        <f>OR(G142='Cocktail Finder'!$B$3,ISBLANK('Cocktail Finder'!$B$3))</f>
        <v>1</v>
      </c>
      <c r="Q142" s="15" t="b">
        <f>OR(H142='Cocktail Finder'!$B$6,ISBLANK('Cocktail Finder'!$B$6))</f>
        <v>1</v>
      </c>
      <c r="R142" s="15">
        <f t="shared" ref="R142:T142" si="143">IFERROR(FIND("juice",E142),"")</f>
        <v>11</v>
      </c>
      <c r="S142" s="15" t="str">
        <f t="shared" si="143"/>
        <v/>
      </c>
      <c r="T142" s="15" t="str">
        <f t="shared" si="143"/>
        <v/>
      </c>
      <c r="U142" s="15" t="str">
        <f t="shared" si="2"/>
        <v>pineapple juice</v>
      </c>
    </row>
    <row r="143" spans="1:22" ht="15.75" customHeight="1" x14ac:dyDescent="0.2">
      <c r="A143" s="19">
        <f t="shared" si="3"/>
        <v>142</v>
      </c>
      <c r="B143" s="19" t="s">
        <v>301</v>
      </c>
      <c r="C143" s="19" t="s">
        <v>300</v>
      </c>
      <c r="D143" s="19" t="s">
        <v>302</v>
      </c>
      <c r="E143" s="19"/>
      <c r="F143" s="19" t="s">
        <v>33</v>
      </c>
      <c r="G143" s="19" t="s">
        <v>33</v>
      </c>
      <c r="H143" s="19" t="s">
        <v>33</v>
      </c>
      <c r="I143" s="19">
        <f t="shared" si="0"/>
        <v>1</v>
      </c>
      <c r="J143" s="19" t="s">
        <v>301</v>
      </c>
      <c r="K143" s="19" t="s">
        <v>82</v>
      </c>
      <c r="L143" s="15" t="b">
        <f>OR(C143='Cocktail Finder'!$B$2,ISBLANK('Cocktail Finder'!$B$2))</f>
        <v>1</v>
      </c>
      <c r="M143" s="15" t="b">
        <f>OR(D143='Cocktail Finder'!$B$7,ISBLANK('Cocktail Finder'!$B$7))</f>
        <v>1</v>
      </c>
      <c r="N143" s="15" t="b">
        <f>OR(E143='Cocktail Finder'!$B$5,ISBLANK('Cocktail Finder'!$B$5))</f>
        <v>1</v>
      </c>
      <c r="O143" s="15" t="b">
        <f>OR(F143='Cocktail Finder'!$B$4,ISBLANK('Cocktail Finder'!$B$4))</f>
        <v>1</v>
      </c>
      <c r="P143" s="15" t="b">
        <f>OR(G143='Cocktail Finder'!$B$3,ISBLANK('Cocktail Finder'!$B$3))</f>
        <v>1</v>
      </c>
      <c r="Q143" s="15" t="b">
        <f>OR(H143='Cocktail Finder'!$B$6,ISBLANK('Cocktail Finder'!$B$6))</f>
        <v>1</v>
      </c>
      <c r="R143" s="15" t="str">
        <f t="shared" ref="R143:T143" si="144">IFERROR(FIND("juice",E143),"")</f>
        <v/>
      </c>
      <c r="S143" s="15" t="str">
        <f t="shared" si="144"/>
        <v/>
      </c>
      <c r="T143" s="15" t="str">
        <f t="shared" si="144"/>
        <v/>
      </c>
      <c r="U143" s="15" t="str">
        <f t="shared" si="2"/>
        <v/>
      </c>
    </row>
    <row r="144" spans="1:22" ht="15.75" customHeight="1" x14ac:dyDescent="0.2">
      <c r="A144" s="19">
        <f t="shared" si="3"/>
        <v>143</v>
      </c>
      <c r="B144" s="19" t="s">
        <v>303</v>
      </c>
      <c r="C144" s="19" t="s">
        <v>300</v>
      </c>
      <c r="D144" s="19" t="s">
        <v>156</v>
      </c>
      <c r="E144" s="19"/>
      <c r="F144" s="19" t="s">
        <v>33</v>
      </c>
      <c r="G144" s="19" t="s">
        <v>33</v>
      </c>
      <c r="H144" s="19" t="s">
        <v>33</v>
      </c>
      <c r="I144" s="19">
        <f t="shared" si="0"/>
        <v>1</v>
      </c>
      <c r="J144" s="19" t="s">
        <v>303</v>
      </c>
      <c r="K144" s="19" t="s">
        <v>82</v>
      </c>
      <c r="L144" s="15" t="b">
        <f>OR(C144='Cocktail Finder'!$B$2,ISBLANK('Cocktail Finder'!$B$2))</f>
        <v>1</v>
      </c>
      <c r="M144" s="15" t="b">
        <f>OR(D144='Cocktail Finder'!$B$7,ISBLANK('Cocktail Finder'!$B$7))</f>
        <v>1</v>
      </c>
      <c r="N144" s="15" t="b">
        <f>OR(E144='Cocktail Finder'!$B$5,ISBLANK('Cocktail Finder'!$B$5))</f>
        <v>1</v>
      </c>
      <c r="O144" s="15" t="b">
        <f>OR(F144='Cocktail Finder'!$B$4,ISBLANK('Cocktail Finder'!$B$4))</f>
        <v>1</v>
      </c>
      <c r="P144" s="15" t="b">
        <f>OR(G144='Cocktail Finder'!$B$3,ISBLANK('Cocktail Finder'!$B$3))</f>
        <v>1</v>
      </c>
      <c r="Q144" s="15" t="b">
        <f>OR(H144='Cocktail Finder'!$B$6,ISBLANK('Cocktail Finder'!$B$6))</f>
        <v>1</v>
      </c>
      <c r="R144" s="15" t="str">
        <f t="shared" ref="R144:T144" si="145">IFERROR(FIND("juice",E144),"")</f>
        <v/>
      </c>
      <c r="S144" s="15" t="str">
        <f t="shared" si="145"/>
        <v/>
      </c>
      <c r="T144" s="15" t="str">
        <f t="shared" si="145"/>
        <v/>
      </c>
      <c r="U144" s="15" t="str">
        <f t="shared" si="2"/>
        <v/>
      </c>
    </row>
    <row r="145" spans="1:21" ht="15.75" customHeight="1" x14ac:dyDescent="0.2">
      <c r="A145" s="19">
        <f t="shared" si="3"/>
        <v>144</v>
      </c>
      <c r="B145" s="19" t="s">
        <v>304</v>
      </c>
      <c r="C145" s="19" t="s">
        <v>300</v>
      </c>
      <c r="D145" s="19"/>
      <c r="E145" s="19" t="s">
        <v>38</v>
      </c>
      <c r="F145" s="19" t="s">
        <v>55</v>
      </c>
      <c r="G145" s="19" t="s">
        <v>126</v>
      </c>
      <c r="H145" s="19" t="s">
        <v>33</v>
      </c>
      <c r="I145" s="19">
        <f t="shared" si="0"/>
        <v>1</v>
      </c>
      <c r="J145" s="19" t="s">
        <v>304</v>
      </c>
      <c r="K145" s="19" t="s">
        <v>39</v>
      </c>
      <c r="L145" s="15" t="b">
        <f>OR(C145='Cocktail Finder'!$B$2,ISBLANK('Cocktail Finder'!$B$2))</f>
        <v>1</v>
      </c>
      <c r="M145" s="15" t="b">
        <f>OR(D145='Cocktail Finder'!$B$7,ISBLANK('Cocktail Finder'!$B$7))</f>
        <v>1</v>
      </c>
      <c r="N145" s="15" t="b">
        <f>OR(E145='Cocktail Finder'!$B$5,ISBLANK('Cocktail Finder'!$B$5))</f>
        <v>1</v>
      </c>
      <c r="O145" s="15" t="b">
        <f>OR(F145='Cocktail Finder'!$B$4,ISBLANK('Cocktail Finder'!$B$4))</f>
        <v>1</v>
      </c>
      <c r="P145" s="15" t="b">
        <f>OR(G145='Cocktail Finder'!$B$3,ISBLANK('Cocktail Finder'!$B$3))</f>
        <v>1</v>
      </c>
      <c r="Q145" s="15" t="b">
        <f>OR(H145='Cocktail Finder'!$B$6,ISBLANK('Cocktail Finder'!$B$6))</f>
        <v>1</v>
      </c>
      <c r="R145" s="15">
        <f t="shared" ref="R145:T145" si="146">IFERROR(FIND("juice",E145),"")</f>
        <v>7</v>
      </c>
      <c r="S145" s="15" t="str">
        <f t="shared" si="146"/>
        <v/>
      </c>
      <c r="T145" s="15">
        <f t="shared" si="146"/>
        <v>8</v>
      </c>
      <c r="U145" s="15" t="str">
        <f t="shared" si="2"/>
        <v>lemon juice</v>
      </c>
    </row>
    <row r="146" spans="1:21" ht="15.75" customHeight="1" x14ac:dyDescent="0.2">
      <c r="A146" s="19">
        <f t="shared" si="3"/>
        <v>145</v>
      </c>
      <c r="B146" s="19" t="s">
        <v>305</v>
      </c>
      <c r="C146" s="19" t="s">
        <v>300</v>
      </c>
      <c r="D146" s="19" t="s">
        <v>30</v>
      </c>
      <c r="E146" s="19" t="s">
        <v>38</v>
      </c>
      <c r="F146" s="19" t="s">
        <v>52</v>
      </c>
      <c r="G146" s="19" t="s">
        <v>33</v>
      </c>
      <c r="H146" s="19" t="s">
        <v>33</v>
      </c>
      <c r="I146" s="19">
        <f t="shared" si="0"/>
        <v>1</v>
      </c>
      <c r="J146" s="19" t="s">
        <v>305</v>
      </c>
      <c r="K146" s="19" t="s">
        <v>44</v>
      </c>
      <c r="L146" s="15" t="b">
        <f>OR(C146='Cocktail Finder'!$B$2,ISBLANK('Cocktail Finder'!$B$2))</f>
        <v>1</v>
      </c>
      <c r="M146" s="15" t="b">
        <f>OR(D146='Cocktail Finder'!$B$7,ISBLANK('Cocktail Finder'!$B$7))</f>
        <v>1</v>
      </c>
      <c r="N146" s="15" t="b">
        <f>OR(E146='Cocktail Finder'!$B$5,ISBLANK('Cocktail Finder'!$B$5))</f>
        <v>1</v>
      </c>
      <c r="O146" s="15" t="b">
        <f>OR(F146='Cocktail Finder'!$B$4,ISBLANK('Cocktail Finder'!$B$4))</f>
        <v>1</v>
      </c>
      <c r="P146" s="15" t="b">
        <f>OR(G146='Cocktail Finder'!$B$3,ISBLANK('Cocktail Finder'!$B$3))</f>
        <v>1</v>
      </c>
      <c r="Q146" s="15" t="b">
        <f>OR(H146='Cocktail Finder'!$B$6,ISBLANK('Cocktail Finder'!$B$6))</f>
        <v>1</v>
      </c>
      <c r="R146" s="15">
        <f t="shared" ref="R146:T146" si="147">IFERROR(FIND("juice",E146),"")</f>
        <v>7</v>
      </c>
      <c r="S146" s="15" t="str">
        <f t="shared" si="147"/>
        <v/>
      </c>
      <c r="T146" s="15" t="str">
        <f t="shared" si="147"/>
        <v/>
      </c>
      <c r="U146" s="15" t="str">
        <f t="shared" si="2"/>
        <v>lemon juice</v>
      </c>
    </row>
    <row r="147" spans="1:21" ht="15.75" customHeight="1" x14ac:dyDescent="0.2">
      <c r="A147" s="19">
        <f t="shared" si="3"/>
        <v>146</v>
      </c>
      <c r="B147" s="19" t="s">
        <v>306</v>
      </c>
      <c r="C147" s="19" t="s">
        <v>300</v>
      </c>
      <c r="D147" s="19" t="s">
        <v>31</v>
      </c>
      <c r="E147" s="19" t="s">
        <v>38</v>
      </c>
      <c r="F147" s="19" t="s">
        <v>52</v>
      </c>
      <c r="G147" s="19" t="s">
        <v>33</v>
      </c>
      <c r="H147" s="19" t="s">
        <v>33</v>
      </c>
      <c r="I147" s="19">
        <f t="shared" si="0"/>
        <v>1</v>
      </c>
      <c r="J147" s="19" t="s">
        <v>306</v>
      </c>
      <c r="K147" s="19" t="s">
        <v>44</v>
      </c>
      <c r="L147" s="15" t="b">
        <f>OR(C147='Cocktail Finder'!$B$2,ISBLANK('Cocktail Finder'!$B$2))</f>
        <v>1</v>
      </c>
      <c r="M147" s="15" t="b">
        <f>OR(D147='Cocktail Finder'!$B$7,ISBLANK('Cocktail Finder'!$B$7))</f>
        <v>1</v>
      </c>
      <c r="N147" s="15" t="b">
        <f>OR(E147='Cocktail Finder'!$B$5,ISBLANK('Cocktail Finder'!$B$5))</f>
        <v>1</v>
      </c>
      <c r="O147" s="15" t="b">
        <f>OR(F147='Cocktail Finder'!$B$4,ISBLANK('Cocktail Finder'!$B$4))</f>
        <v>1</v>
      </c>
      <c r="P147" s="15" t="b">
        <f>OR(G147='Cocktail Finder'!$B$3,ISBLANK('Cocktail Finder'!$B$3))</f>
        <v>1</v>
      </c>
      <c r="Q147" s="15" t="b">
        <f>OR(H147='Cocktail Finder'!$B$6,ISBLANK('Cocktail Finder'!$B$6))</f>
        <v>1</v>
      </c>
      <c r="R147" s="15">
        <f t="shared" ref="R147:T147" si="148">IFERROR(FIND("juice",E147),"")</f>
        <v>7</v>
      </c>
      <c r="S147" s="15" t="str">
        <f t="shared" si="148"/>
        <v/>
      </c>
      <c r="T147" s="15" t="str">
        <f t="shared" si="148"/>
        <v/>
      </c>
      <c r="U147" s="15" t="str">
        <f t="shared" si="2"/>
        <v>lemon juice</v>
      </c>
    </row>
    <row r="148" spans="1:21" ht="15.75" customHeight="1" x14ac:dyDescent="0.2">
      <c r="A148" s="19">
        <f t="shared" si="3"/>
        <v>147</v>
      </c>
      <c r="B148" s="19" t="s">
        <v>307</v>
      </c>
      <c r="C148" s="19" t="s">
        <v>300</v>
      </c>
      <c r="D148" s="19" t="s">
        <v>308</v>
      </c>
      <c r="E148" s="19" t="s">
        <v>38</v>
      </c>
      <c r="F148" s="19" t="s">
        <v>52</v>
      </c>
      <c r="G148" s="19" t="s">
        <v>33</v>
      </c>
      <c r="H148" s="19" t="s">
        <v>33</v>
      </c>
      <c r="I148" s="19">
        <f t="shared" si="0"/>
        <v>1</v>
      </c>
      <c r="J148" s="19" t="s">
        <v>307</v>
      </c>
      <c r="K148" s="19" t="s">
        <v>44</v>
      </c>
      <c r="L148" s="15" t="b">
        <f>OR(C148='Cocktail Finder'!$B$2,ISBLANK('Cocktail Finder'!$B$2))</f>
        <v>1</v>
      </c>
      <c r="M148" s="15" t="b">
        <f>OR(D148='Cocktail Finder'!$B$7,ISBLANK('Cocktail Finder'!$B$7))</f>
        <v>1</v>
      </c>
      <c r="N148" s="15" t="b">
        <f>OR(E148='Cocktail Finder'!$B$5,ISBLANK('Cocktail Finder'!$B$5))</f>
        <v>1</v>
      </c>
      <c r="O148" s="15" t="b">
        <f>OR(F148='Cocktail Finder'!$B$4,ISBLANK('Cocktail Finder'!$B$4))</f>
        <v>1</v>
      </c>
      <c r="P148" s="15" t="b">
        <f>OR(G148='Cocktail Finder'!$B$3,ISBLANK('Cocktail Finder'!$B$3))</f>
        <v>1</v>
      </c>
      <c r="Q148" s="15" t="b">
        <f>OR(H148='Cocktail Finder'!$B$6,ISBLANK('Cocktail Finder'!$B$6))</f>
        <v>1</v>
      </c>
      <c r="R148" s="15">
        <f t="shared" ref="R148:T148" si="149">IFERROR(FIND("juice",E148),"")</f>
        <v>7</v>
      </c>
      <c r="S148" s="15" t="str">
        <f t="shared" si="149"/>
        <v/>
      </c>
      <c r="T148" s="15" t="str">
        <f t="shared" si="149"/>
        <v/>
      </c>
      <c r="U148" s="15" t="str">
        <f t="shared" si="2"/>
        <v>lemon juice</v>
      </c>
    </row>
    <row r="149" spans="1:21" ht="15.75" customHeight="1" x14ac:dyDescent="0.2">
      <c r="A149" s="19">
        <f t="shared" si="3"/>
        <v>148</v>
      </c>
      <c r="B149" s="19" t="s">
        <v>309</v>
      </c>
      <c r="C149" s="19" t="s">
        <v>300</v>
      </c>
      <c r="D149" s="19" t="s">
        <v>215</v>
      </c>
      <c r="E149" s="19" t="s">
        <v>38</v>
      </c>
      <c r="F149" s="19" t="s">
        <v>55</v>
      </c>
      <c r="G149" s="19" t="s">
        <v>33</v>
      </c>
      <c r="H149" s="19" t="s">
        <v>33</v>
      </c>
      <c r="I149" s="19">
        <f t="shared" si="0"/>
        <v>1</v>
      </c>
      <c r="J149" s="19" t="s">
        <v>309</v>
      </c>
      <c r="K149" s="19" t="s">
        <v>44</v>
      </c>
      <c r="L149" s="15" t="b">
        <f>OR(C149='Cocktail Finder'!$B$2,ISBLANK('Cocktail Finder'!$B$2))</f>
        <v>1</v>
      </c>
      <c r="M149" s="15" t="b">
        <f>OR(D149='Cocktail Finder'!$B$7,ISBLANK('Cocktail Finder'!$B$7))</f>
        <v>1</v>
      </c>
      <c r="N149" s="15" t="b">
        <f>OR(E149='Cocktail Finder'!$B$5,ISBLANK('Cocktail Finder'!$B$5))</f>
        <v>1</v>
      </c>
      <c r="O149" s="15" t="b">
        <f>OR(F149='Cocktail Finder'!$B$4,ISBLANK('Cocktail Finder'!$B$4))</f>
        <v>1</v>
      </c>
      <c r="P149" s="15" t="b">
        <f>OR(G149='Cocktail Finder'!$B$3,ISBLANK('Cocktail Finder'!$B$3))</f>
        <v>1</v>
      </c>
      <c r="Q149" s="15" t="b">
        <f>OR(H149='Cocktail Finder'!$B$6,ISBLANK('Cocktail Finder'!$B$6))</f>
        <v>1</v>
      </c>
      <c r="R149" s="15">
        <f t="shared" ref="R149:T149" si="150">IFERROR(FIND("juice",E149),"")</f>
        <v>7</v>
      </c>
      <c r="S149" s="15" t="str">
        <f t="shared" si="150"/>
        <v/>
      </c>
      <c r="T149" s="15" t="str">
        <f t="shared" si="150"/>
        <v/>
      </c>
      <c r="U149" s="15" t="str">
        <f t="shared" si="2"/>
        <v>lemon juice</v>
      </c>
    </row>
    <row r="150" spans="1:21" ht="15.75" customHeight="1" x14ac:dyDescent="0.2">
      <c r="A150" s="19">
        <f t="shared" si="3"/>
        <v>149</v>
      </c>
      <c r="B150" s="19" t="s">
        <v>310</v>
      </c>
      <c r="C150" s="19" t="s">
        <v>300</v>
      </c>
      <c r="D150" s="19" t="s">
        <v>100</v>
      </c>
      <c r="E150" s="19" t="s">
        <v>38</v>
      </c>
      <c r="F150" s="19" t="s">
        <v>48</v>
      </c>
      <c r="G150" s="19" t="s">
        <v>33</v>
      </c>
      <c r="H150" s="19" t="s">
        <v>33</v>
      </c>
      <c r="I150" s="19">
        <f t="shared" si="0"/>
        <v>1</v>
      </c>
      <c r="J150" s="19" t="s">
        <v>310</v>
      </c>
      <c r="K150" s="19" t="s">
        <v>101</v>
      </c>
      <c r="L150" s="15" t="b">
        <f>OR(C150='Cocktail Finder'!$B$2,ISBLANK('Cocktail Finder'!$B$2))</f>
        <v>1</v>
      </c>
      <c r="M150" s="15" t="b">
        <f>OR(D150='Cocktail Finder'!$B$7,ISBLANK('Cocktail Finder'!$B$7))</f>
        <v>1</v>
      </c>
      <c r="N150" s="15" t="b">
        <f>OR(E150='Cocktail Finder'!$B$5,ISBLANK('Cocktail Finder'!$B$5))</f>
        <v>1</v>
      </c>
      <c r="O150" s="15" t="b">
        <f>OR(F150='Cocktail Finder'!$B$4,ISBLANK('Cocktail Finder'!$B$4))</f>
        <v>1</v>
      </c>
      <c r="P150" s="15" t="b">
        <f>OR(G150='Cocktail Finder'!$B$3,ISBLANK('Cocktail Finder'!$B$3))</f>
        <v>1</v>
      </c>
      <c r="Q150" s="15" t="b">
        <f>OR(H150='Cocktail Finder'!$B$6,ISBLANK('Cocktail Finder'!$B$6))</f>
        <v>1</v>
      </c>
      <c r="R150" s="15">
        <f t="shared" ref="R150:T150" si="151">IFERROR(FIND("juice",E150),"")</f>
        <v>7</v>
      </c>
      <c r="S150" s="15" t="str">
        <f t="shared" si="151"/>
        <v/>
      </c>
      <c r="T150" s="15" t="str">
        <f t="shared" si="151"/>
        <v/>
      </c>
      <c r="U150" s="15" t="str">
        <f t="shared" si="2"/>
        <v>lemon juice</v>
      </c>
    </row>
    <row r="151" spans="1:21" ht="15.75" customHeight="1" x14ac:dyDescent="0.2">
      <c r="A151" s="19">
        <f t="shared" si="3"/>
        <v>150</v>
      </c>
      <c r="B151" s="19" t="s">
        <v>311</v>
      </c>
      <c r="C151" s="19" t="s">
        <v>300</v>
      </c>
      <c r="D151" s="19" t="s">
        <v>57</v>
      </c>
      <c r="E151" s="19" t="s">
        <v>38</v>
      </c>
      <c r="F151" s="19" t="s">
        <v>33</v>
      </c>
      <c r="G151" s="19" t="s">
        <v>33</v>
      </c>
      <c r="H151" s="19" t="s">
        <v>33</v>
      </c>
      <c r="I151" s="19">
        <f t="shared" si="0"/>
        <v>1</v>
      </c>
      <c r="J151" s="19" t="s">
        <v>311</v>
      </c>
      <c r="K151" s="19" t="s">
        <v>58</v>
      </c>
      <c r="L151" s="15" t="b">
        <f>OR(C151='Cocktail Finder'!$B$2,ISBLANK('Cocktail Finder'!$B$2))</f>
        <v>1</v>
      </c>
      <c r="M151" s="15" t="b">
        <f>OR(D151='Cocktail Finder'!$B$7,ISBLANK('Cocktail Finder'!$B$7))</f>
        <v>1</v>
      </c>
      <c r="N151" s="15" t="b">
        <f>OR(E151='Cocktail Finder'!$B$5,ISBLANK('Cocktail Finder'!$B$5))</f>
        <v>1</v>
      </c>
      <c r="O151" s="15" t="b">
        <f>OR(F151='Cocktail Finder'!$B$4,ISBLANK('Cocktail Finder'!$B$4))</f>
        <v>1</v>
      </c>
      <c r="P151" s="15" t="b">
        <f>OR(G151='Cocktail Finder'!$B$3,ISBLANK('Cocktail Finder'!$B$3))</f>
        <v>1</v>
      </c>
      <c r="Q151" s="15" t="b">
        <f>OR(H151='Cocktail Finder'!$B$6,ISBLANK('Cocktail Finder'!$B$6))</f>
        <v>1</v>
      </c>
      <c r="R151" s="15">
        <f t="shared" ref="R151:T151" si="152">IFERROR(FIND("juice",E151),"")</f>
        <v>7</v>
      </c>
      <c r="S151" s="15" t="str">
        <f t="shared" si="152"/>
        <v/>
      </c>
      <c r="T151" s="15" t="str">
        <f t="shared" si="152"/>
        <v/>
      </c>
      <c r="U151" s="15" t="str">
        <f t="shared" si="2"/>
        <v>lemon juice</v>
      </c>
    </row>
    <row r="152" spans="1:21" ht="15.75" customHeight="1" x14ac:dyDescent="0.2">
      <c r="A152" s="19">
        <f t="shared" si="3"/>
        <v>151</v>
      </c>
      <c r="B152" s="20" t="s">
        <v>312</v>
      </c>
      <c r="C152" s="20" t="s">
        <v>313</v>
      </c>
      <c r="D152" s="20"/>
      <c r="E152" s="20"/>
      <c r="F152" s="20" t="s">
        <v>314</v>
      </c>
      <c r="G152" s="20" t="s">
        <v>240</v>
      </c>
      <c r="H152" s="20" t="s">
        <v>315</v>
      </c>
      <c r="I152" s="19">
        <f t="shared" si="0"/>
        <v>1</v>
      </c>
      <c r="J152" s="20" t="s">
        <v>312</v>
      </c>
      <c r="K152" s="20" t="s">
        <v>242</v>
      </c>
      <c r="L152" s="15" t="b">
        <f>OR(C152='Cocktail Finder'!$B$2,ISBLANK('Cocktail Finder'!$B$2))</f>
        <v>1</v>
      </c>
      <c r="M152" s="15" t="b">
        <f>OR(D152='Cocktail Finder'!$B$7,ISBLANK('Cocktail Finder'!$B$7))</f>
        <v>1</v>
      </c>
      <c r="N152" s="15" t="b">
        <f>OR(E152='Cocktail Finder'!$B$5,ISBLANK('Cocktail Finder'!$B$5))</f>
        <v>1</v>
      </c>
      <c r="O152" s="15" t="b">
        <f>OR(F152='Cocktail Finder'!$B$4,ISBLANK('Cocktail Finder'!$B$4))</f>
        <v>1</v>
      </c>
      <c r="P152" s="15" t="b">
        <f>OR(G152='Cocktail Finder'!$B$3,ISBLANK('Cocktail Finder'!$B$3))</f>
        <v>1</v>
      </c>
      <c r="Q152" s="15" t="b">
        <f>OR(H152='Cocktail Finder'!$B$6,ISBLANK('Cocktail Finder'!$B$6))</f>
        <v>1</v>
      </c>
      <c r="R152" s="15" t="str">
        <f t="shared" ref="R152:T152" si="153">IFERROR(FIND("juice",E152),"")</f>
        <v/>
      </c>
      <c r="S152" s="15" t="str">
        <f t="shared" si="153"/>
        <v/>
      </c>
      <c r="T152" s="15" t="str">
        <f t="shared" si="153"/>
        <v/>
      </c>
      <c r="U152" s="15" t="str">
        <f t="shared" si="2"/>
        <v/>
      </c>
    </row>
    <row r="153" spans="1:21" ht="15.75" customHeight="1" x14ac:dyDescent="0.2">
      <c r="A153" s="19">
        <f t="shared" si="3"/>
        <v>152</v>
      </c>
      <c r="B153" s="19" t="s">
        <v>316</v>
      </c>
      <c r="C153" s="19" t="s">
        <v>317</v>
      </c>
      <c r="D153" s="19" t="s">
        <v>30</v>
      </c>
      <c r="E153" s="19"/>
      <c r="F153" s="19" t="s">
        <v>33</v>
      </c>
      <c r="G153" s="19" t="s">
        <v>33</v>
      </c>
      <c r="H153" s="19" t="s">
        <v>33</v>
      </c>
      <c r="I153" s="19">
        <f t="shared" si="0"/>
        <v>1</v>
      </c>
      <c r="J153" s="19" t="s">
        <v>316</v>
      </c>
      <c r="K153" s="19" t="s">
        <v>34</v>
      </c>
      <c r="L153" s="15" t="b">
        <f>OR(C153='Cocktail Finder'!$B$2,ISBLANK('Cocktail Finder'!$B$2))</f>
        <v>1</v>
      </c>
      <c r="M153" s="15" t="b">
        <f>OR(D153='Cocktail Finder'!$B$7,ISBLANK('Cocktail Finder'!$B$7))</f>
        <v>1</v>
      </c>
      <c r="N153" s="15" t="b">
        <f>OR(E153='Cocktail Finder'!$B$5,ISBLANK('Cocktail Finder'!$B$5))</f>
        <v>1</v>
      </c>
      <c r="O153" s="15" t="b">
        <f>OR(F153='Cocktail Finder'!$B$4,ISBLANK('Cocktail Finder'!$B$4))</f>
        <v>1</v>
      </c>
      <c r="P153" s="15" t="b">
        <f>OR(G153='Cocktail Finder'!$B$3,ISBLANK('Cocktail Finder'!$B$3))</f>
        <v>1</v>
      </c>
      <c r="Q153" s="15" t="b">
        <f>OR(H153='Cocktail Finder'!$B$6,ISBLANK('Cocktail Finder'!$B$6))</f>
        <v>1</v>
      </c>
      <c r="R153" s="15" t="str">
        <f t="shared" ref="R153:T153" si="154">IFERROR(FIND("juice",E153),"")</f>
        <v/>
      </c>
      <c r="S153" s="15" t="str">
        <f t="shared" si="154"/>
        <v/>
      </c>
      <c r="T153" s="15" t="str">
        <f t="shared" si="154"/>
        <v/>
      </c>
      <c r="U153" s="15" t="str">
        <f t="shared" si="2"/>
        <v/>
      </c>
    </row>
    <row r="154" spans="1:21" ht="15.75" customHeight="1" x14ac:dyDescent="0.2">
      <c r="A154" s="19">
        <f t="shared" si="3"/>
        <v>153</v>
      </c>
      <c r="B154" s="19" t="s">
        <v>318</v>
      </c>
      <c r="C154" s="19" t="s">
        <v>317</v>
      </c>
      <c r="D154" s="19" t="s">
        <v>30</v>
      </c>
      <c r="E154" s="19"/>
      <c r="F154" s="19" t="s">
        <v>32</v>
      </c>
      <c r="G154" s="19" t="s">
        <v>33</v>
      </c>
      <c r="H154" s="19" t="s">
        <v>33</v>
      </c>
      <c r="I154" s="19">
        <f t="shared" si="0"/>
        <v>1</v>
      </c>
      <c r="J154" s="19" t="s">
        <v>318</v>
      </c>
      <c r="K154" s="19" t="s">
        <v>34</v>
      </c>
      <c r="L154" s="15" t="b">
        <f>OR(C154='Cocktail Finder'!$B$2,ISBLANK('Cocktail Finder'!$B$2))</f>
        <v>1</v>
      </c>
      <c r="M154" s="15" t="b">
        <f>OR(D154='Cocktail Finder'!$B$7,ISBLANK('Cocktail Finder'!$B$7))</f>
        <v>1</v>
      </c>
      <c r="N154" s="15" t="b">
        <f>OR(E154='Cocktail Finder'!$B$5,ISBLANK('Cocktail Finder'!$B$5))</f>
        <v>1</v>
      </c>
      <c r="O154" s="15" t="b">
        <f>OR(F154='Cocktail Finder'!$B$4,ISBLANK('Cocktail Finder'!$B$4))</f>
        <v>1</v>
      </c>
      <c r="P154" s="15" t="b">
        <f>OR(G154='Cocktail Finder'!$B$3,ISBLANK('Cocktail Finder'!$B$3))</f>
        <v>1</v>
      </c>
      <c r="Q154" s="15" t="b">
        <f>OR(H154='Cocktail Finder'!$B$6,ISBLANK('Cocktail Finder'!$B$6))</f>
        <v>1</v>
      </c>
      <c r="R154" s="15" t="str">
        <f t="shared" ref="R154:T154" si="155">IFERROR(FIND("juice",E154),"")</f>
        <v/>
      </c>
      <c r="S154" s="15" t="str">
        <f t="shared" si="155"/>
        <v/>
      </c>
      <c r="T154" s="15" t="str">
        <f t="shared" si="155"/>
        <v/>
      </c>
      <c r="U154" s="15" t="str">
        <f t="shared" si="2"/>
        <v/>
      </c>
    </row>
    <row r="155" spans="1:21" ht="15.75" customHeight="1" x14ac:dyDescent="0.2">
      <c r="A155" s="19">
        <f t="shared" si="3"/>
        <v>154</v>
      </c>
      <c r="B155" s="19" t="s">
        <v>319</v>
      </c>
      <c r="C155" s="19" t="s">
        <v>317</v>
      </c>
      <c r="D155" s="19" t="s">
        <v>173</v>
      </c>
      <c r="E155" s="19"/>
      <c r="F155" s="19" t="s">
        <v>33</v>
      </c>
      <c r="G155" s="19" t="s">
        <v>33</v>
      </c>
      <c r="H155" s="19" t="s">
        <v>33</v>
      </c>
      <c r="I155" s="19">
        <f t="shared" si="0"/>
        <v>1</v>
      </c>
      <c r="J155" s="19" t="s">
        <v>319</v>
      </c>
      <c r="K155" s="19" t="s">
        <v>34</v>
      </c>
      <c r="L155" s="15" t="b">
        <f>OR(C155='Cocktail Finder'!$B$2,ISBLANK('Cocktail Finder'!$B$2))</f>
        <v>1</v>
      </c>
      <c r="M155" s="15" t="b">
        <f>OR(D155='Cocktail Finder'!$B$7,ISBLANK('Cocktail Finder'!$B$7))</f>
        <v>1</v>
      </c>
      <c r="N155" s="15" t="b">
        <f>OR(E155='Cocktail Finder'!$B$5,ISBLANK('Cocktail Finder'!$B$5))</f>
        <v>1</v>
      </c>
      <c r="O155" s="15" t="b">
        <f>OR(F155='Cocktail Finder'!$B$4,ISBLANK('Cocktail Finder'!$B$4))</f>
        <v>1</v>
      </c>
      <c r="P155" s="15" t="b">
        <f>OR(G155='Cocktail Finder'!$B$3,ISBLANK('Cocktail Finder'!$B$3))</f>
        <v>1</v>
      </c>
      <c r="Q155" s="15" t="b">
        <f>OR(H155='Cocktail Finder'!$B$6,ISBLANK('Cocktail Finder'!$B$6))</f>
        <v>1</v>
      </c>
      <c r="R155" s="15" t="str">
        <f t="shared" ref="R155:T155" si="156">IFERROR(FIND("juice",E155),"")</f>
        <v/>
      </c>
      <c r="S155" s="15" t="str">
        <f t="shared" si="156"/>
        <v/>
      </c>
      <c r="T155" s="15" t="str">
        <f t="shared" si="156"/>
        <v/>
      </c>
      <c r="U155" s="15" t="str">
        <f t="shared" si="2"/>
        <v/>
      </c>
    </row>
    <row r="156" spans="1:21" ht="15.75" customHeight="1" x14ac:dyDescent="0.2">
      <c r="A156" s="19">
        <f t="shared" si="3"/>
        <v>155</v>
      </c>
      <c r="B156" s="19" t="s">
        <v>320</v>
      </c>
      <c r="C156" s="19" t="s">
        <v>317</v>
      </c>
      <c r="D156" s="19" t="s">
        <v>60</v>
      </c>
      <c r="E156" s="19"/>
      <c r="F156" s="19" t="s">
        <v>33</v>
      </c>
      <c r="G156" s="19" t="s">
        <v>33</v>
      </c>
      <c r="H156" s="19" t="s">
        <v>33</v>
      </c>
      <c r="I156" s="19">
        <f t="shared" si="0"/>
        <v>1</v>
      </c>
      <c r="J156" s="19" t="s">
        <v>320</v>
      </c>
      <c r="K156" s="19" t="s">
        <v>34</v>
      </c>
      <c r="L156" s="15" t="b">
        <f>OR(C156='Cocktail Finder'!$B$2,ISBLANK('Cocktail Finder'!$B$2))</f>
        <v>1</v>
      </c>
      <c r="M156" s="15" t="b">
        <f>OR(D156='Cocktail Finder'!$B$7,ISBLANK('Cocktail Finder'!$B$7))</f>
        <v>1</v>
      </c>
      <c r="N156" s="15" t="b">
        <f>OR(E156='Cocktail Finder'!$B$5,ISBLANK('Cocktail Finder'!$B$5))</f>
        <v>1</v>
      </c>
      <c r="O156" s="15" t="b">
        <f>OR(F156='Cocktail Finder'!$B$4,ISBLANK('Cocktail Finder'!$B$4))</f>
        <v>1</v>
      </c>
      <c r="P156" s="15" t="b">
        <f>OR(G156='Cocktail Finder'!$B$3,ISBLANK('Cocktail Finder'!$B$3))</f>
        <v>1</v>
      </c>
      <c r="Q156" s="15" t="b">
        <f>OR(H156='Cocktail Finder'!$B$6,ISBLANK('Cocktail Finder'!$B$6))</f>
        <v>1</v>
      </c>
      <c r="R156" s="15" t="str">
        <f t="shared" ref="R156:T156" si="157">IFERROR(FIND("juice",E156),"")</f>
        <v/>
      </c>
      <c r="S156" s="15" t="str">
        <f t="shared" si="157"/>
        <v/>
      </c>
      <c r="T156" s="15" t="str">
        <f t="shared" si="157"/>
        <v/>
      </c>
      <c r="U156" s="15" t="str">
        <f t="shared" si="2"/>
        <v/>
      </c>
    </row>
    <row r="157" spans="1:21" ht="15.75" customHeight="1" x14ac:dyDescent="0.2">
      <c r="A157" s="19">
        <f t="shared" si="3"/>
        <v>156</v>
      </c>
      <c r="B157" s="19" t="s">
        <v>321</v>
      </c>
      <c r="C157" s="19" t="s">
        <v>317</v>
      </c>
      <c r="D157" s="19" t="s">
        <v>70</v>
      </c>
      <c r="E157" s="19"/>
      <c r="F157" s="19" t="s">
        <v>33</v>
      </c>
      <c r="G157" s="19" t="s">
        <v>33</v>
      </c>
      <c r="H157" s="19" t="s">
        <v>33</v>
      </c>
      <c r="I157" s="19">
        <f t="shared" si="0"/>
        <v>1</v>
      </c>
      <c r="J157" s="19" t="s">
        <v>321</v>
      </c>
      <c r="K157" s="19" t="s">
        <v>34</v>
      </c>
      <c r="L157" s="15" t="b">
        <f>OR(C157='Cocktail Finder'!$B$2,ISBLANK('Cocktail Finder'!$B$2))</f>
        <v>1</v>
      </c>
      <c r="M157" s="15" t="b">
        <f>OR(D157='Cocktail Finder'!$B$7,ISBLANK('Cocktail Finder'!$B$7))</f>
        <v>1</v>
      </c>
      <c r="N157" s="15" t="b">
        <f>OR(E157='Cocktail Finder'!$B$5,ISBLANK('Cocktail Finder'!$B$5))</f>
        <v>1</v>
      </c>
      <c r="O157" s="15" t="b">
        <f>OR(F157='Cocktail Finder'!$B$4,ISBLANK('Cocktail Finder'!$B$4))</f>
        <v>1</v>
      </c>
      <c r="P157" s="15" t="b">
        <f>OR(G157='Cocktail Finder'!$B$3,ISBLANK('Cocktail Finder'!$B$3))</f>
        <v>1</v>
      </c>
      <c r="Q157" s="15" t="b">
        <f>OR(H157='Cocktail Finder'!$B$6,ISBLANK('Cocktail Finder'!$B$6))</f>
        <v>1</v>
      </c>
      <c r="R157" s="15" t="str">
        <f t="shared" ref="R157:T157" si="158">IFERROR(FIND("juice",E157),"")</f>
        <v/>
      </c>
      <c r="S157" s="15" t="str">
        <f t="shared" si="158"/>
        <v/>
      </c>
      <c r="T157" s="15" t="str">
        <f t="shared" si="158"/>
        <v/>
      </c>
      <c r="U157" s="15" t="str">
        <f t="shared" si="2"/>
        <v/>
      </c>
    </row>
    <row r="158" spans="1:21" ht="15.75" customHeight="1" x14ac:dyDescent="0.2">
      <c r="A158" s="19">
        <f t="shared" si="3"/>
        <v>157</v>
      </c>
      <c r="B158" s="19" t="s">
        <v>322</v>
      </c>
      <c r="C158" s="19" t="s">
        <v>317</v>
      </c>
      <c r="D158" s="19" t="s">
        <v>323</v>
      </c>
      <c r="E158" s="19"/>
      <c r="F158" s="19" t="s">
        <v>33</v>
      </c>
      <c r="G158" s="19" t="s">
        <v>33</v>
      </c>
      <c r="H158" s="19" t="s">
        <v>33</v>
      </c>
      <c r="I158" s="19">
        <f t="shared" si="0"/>
        <v>1</v>
      </c>
      <c r="J158" s="19" t="s">
        <v>322</v>
      </c>
      <c r="K158" s="19" t="s">
        <v>34</v>
      </c>
      <c r="L158" s="15" t="b">
        <f>OR(C158='Cocktail Finder'!$B$2,ISBLANK('Cocktail Finder'!$B$2))</f>
        <v>1</v>
      </c>
      <c r="M158" s="15" t="b">
        <f>OR(D158='Cocktail Finder'!$B$7,ISBLANK('Cocktail Finder'!$B$7))</f>
        <v>1</v>
      </c>
      <c r="N158" s="15" t="b">
        <f>OR(E158='Cocktail Finder'!$B$5,ISBLANK('Cocktail Finder'!$B$5))</f>
        <v>1</v>
      </c>
      <c r="O158" s="15" t="b">
        <f>OR(F158='Cocktail Finder'!$B$4,ISBLANK('Cocktail Finder'!$B$4))</f>
        <v>1</v>
      </c>
      <c r="P158" s="15" t="b">
        <f>OR(G158='Cocktail Finder'!$B$3,ISBLANK('Cocktail Finder'!$B$3))</f>
        <v>1</v>
      </c>
      <c r="Q158" s="15" t="b">
        <f>OR(H158='Cocktail Finder'!$B$6,ISBLANK('Cocktail Finder'!$B$6))</f>
        <v>1</v>
      </c>
      <c r="R158" s="15" t="str">
        <f t="shared" ref="R158:T158" si="159">IFERROR(FIND("juice",E158),"")</f>
        <v/>
      </c>
      <c r="S158" s="15" t="str">
        <f t="shared" si="159"/>
        <v/>
      </c>
      <c r="T158" s="15" t="str">
        <f t="shared" si="159"/>
        <v/>
      </c>
      <c r="U158" s="15" t="str">
        <f t="shared" si="2"/>
        <v/>
      </c>
    </row>
    <row r="159" spans="1:21" ht="15.75" customHeight="1" x14ac:dyDescent="0.2">
      <c r="A159" s="19">
        <f t="shared" si="3"/>
        <v>158</v>
      </c>
      <c r="B159" s="19" t="s">
        <v>324</v>
      </c>
      <c r="C159" s="19" t="s">
        <v>317</v>
      </c>
      <c r="D159" s="19" t="s">
        <v>48</v>
      </c>
      <c r="E159" s="19"/>
      <c r="F159" s="19" t="s">
        <v>263</v>
      </c>
      <c r="G159" s="19" t="s">
        <v>33</v>
      </c>
      <c r="H159" s="19" t="s">
        <v>33</v>
      </c>
      <c r="I159" s="19">
        <f t="shared" si="0"/>
        <v>1</v>
      </c>
      <c r="J159" s="19" t="s">
        <v>324</v>
      </c>
      <c r="K159" s="19" t="s">
        <v>50</v>
      </c>
      <c r="L159" s="15" t="b">
        <f>OR(C159='Cocktail Finder'!$B$2,ISBLANK('Cocktail Finder'!$B$2))</f>
        <v>1</v>
      </c>
      <c r="M159" s="15" t="b">
        <f>OR(D159='Cocktail Finder'!$B$7,ISBLANK('Cocktail Finder'!$B$7))</f>
        <v>1</v>
      </c>
      <c r="N159" s="15" t="b">
        <f>OR(E159='Cocktail Finder'!$B$5,ISBLANK('Cocktail Finder'!$B$5))</f>
        <v>1</v>
      </c>
      <c r="O159" s="15" t="b">
        <f>OR(F159='Cocktail Finder'!$B$4,ISBLANK('Cocktail Finder'!$B$4))</f>
        <v>1</v>
      </c>
      <c r="P159" s="15" t="b">
        <f>OR(G159='Cocktail Finder'!$B$3,ISBLANK('Cocktail Finder'!$B$3))</f>
        <v>1</v>
      </c>
      <c r="Q159" s="15" t="b">
        <f>OR(H159='Cocktail Finder'!$B$6,ISBLANK('Cocktail Finder'!$B$6))</f>
        <v>1</v>
      </c>
      <c r="R159" s="15" t="str">
        <f t="shared" ref="R159:T159" si="160">IFERROR(FIND("juice",E159),"")</f>
        <v/>
      </c>
      <c r="S159" s="15" t="str">
        <f t="shared" si="160"/>
        <v/>
      </c>
      <c r="T159" s="15" t="str">
        <f t="shared" si="160"/>
        <v/>
      </c>
      <c r="U159" s="15" t="str">
        <f t="shared" si="2"/>
        <v/>
      </c>
    </row>
    <row r="160" spans="1:21" ht="15.75" customHeight="1" x14ac:dyDescent="0.2">
      <c r="A160" s="19">
        <f t="shared" si="3"/>
        <v>159</v>
      </c>
      <c r="B160" s="19" t="s">
        <v>325</v>
      </c>
      <c r="C160" s="19" t="s">
        <v>317</v>
      </c>
      <c r="D160" s="19" t="s">
        <v>48</v>
      </c>
      <c r="E160" s="19"/>
      <c r="F160" s="19" t="s">
        <v>68</v>
      </c>
      <c r="G160" s="19" t="s">
        <v>33</v>
      </c>
      <c r="H160" s="19" t="s">
        <v>33</v>
      </c>
      <c r="I160" s="19">
        <f t="shared" si="0"/>
        <v>1</v>
      </c>
      <c r="J160" s="19" t="s">
        <v>325</v>
      </c>
      <c r="K160" s="19" t="s">
        <v>50</v>
      </c>
      <c r="L160" s="15" t="b">
        <f>OR(C160='Cocktail Finder'!$B$2,ISBLANK('Cocktail Finder'!$B$2))</f>
        <v>1</v>
      </c>
      <c r="M160" s="15" t="b">
        <f>OR(D160='Cocktail Finder'!$B$7,ISBLANK('Cocktail Finder'!$B$7))</f>
        <v>1</v>
      </c>
      <c r="N160" s="15" t="b">
        <f>OR(E160='Cocktail Finder'!$B$5,ISBLANK('Cocktail Finder'!$B$5))</f>
        <v>1</v>
      </c>
      <c r="O160" s="15" t="b">
        <f>OR(F160='Cocktail Finder'!$B$4,ISBLANK('Cocktail Finder'!$B$4))</f>
        <v>1</v>
      </c>
      <c r="P160" s="15" t="b">
        <f>OR(G160='Cocktail Finder'!$B$3,ISBLANK('Cocktail Finder'!$B$3))</f>
        <v>1</v>
      </c>
      <c r="Q160" s="15" t="b">
        <f>OR(H160='Cocktail Finder'!$B$6,ISBLANK('Cocktail Finder'!$B$6))</f>
        <v>1</v>
      </c>
      <c r="R160" s="15" t="str">
        <f t="shared" ref="R160:T160" si="161">IFERROR(FIND("juice",E160),"")</f>
        <v/>
      </c>
      <c r="S160" s="15" t="str">
        <f t="shared" si="161"/>
        <v/>
      </c>
      <c r="T160" s="15" t="str">
        <f t="shared" si="161"/>
        <v/>
      </c>
      <c r="U160" s="15" t="str">
        <f t="shared" si="2"/>
        <v/>
      </c>
    </row>
    <row r="161" spans="1:22" ht="15.75" customHeight="1" x14ac:dyDescent="0.2">
      <c r="A161" s="19">
        <f t="shared" si="3"/>
        <v>160</v>
      </c>
      <c r="B161" s="19" t="s">
        <v>326</v>
      </c>
      <c r="C161" s="19" t="s">
        <v>317</v>
      </c>
      <c r="D161" s="19" t="s">
        <v>48</v>
      </c>
      <c r="E161" s="19" t="s">
        <v>126</v>
      </c>
      <c r="F161" s="19" t="s">
        <v>70</v>
      </c>
      <c r="G161" s="19" t="s">
        <v>33</v>
      </c>
      <c r="H161" s="19" t="s">
        <v>33</v>
      </c>
      <c r="I161" s="19">
        <f t="shared" si="0"/>
        <v>1</v>
      </c>
      <c r="J161" s="19" t="s">
        <v>326</v>
      </c>
      <c r="K161" s="19" t="s">
        <v>50</v>
      </c>
      <c r="L161" s="15" t="b">
        <f>OR(C161='Cocktail Finder'!$B$2,ISBLANK('Cocktail Finder'!$B$2))</f>
        <v>1</v>
      </c>
      <c r="M161" s="15" t="b">
        <f>OR(D161='Cocktail Finder'!$B$7,ISBLANK('Cocktail Finder'!$B$7))</f>
        <v>1</v>
      </c>
      <c r="N161" s="15" t="b">
        <f>OR(E161='Cocktail Finder'!$B$5,ISBLANK('Cocktail Finder'!$B$5))</f>
        <v>1</v>
      </c>
      <c r="O161" s="15" t="b">
        <f>OR(F161='Cocktail Finder'!$B$4,ISBLANK('Cocktail Finder'!$B$4))</f>
        <v>1</v>
      </c>
      <c r="P161" s="15" t="b">
        <f>OR(G161='Cocktail Finder'!$B$3,ISBLANK('Cocktail Finder'!$B$3))</f>
        <v>1</v>
      </c>
      <c r="Q161" s="15" t="b">
        <f>OR(H161='Cocktail Finder'!$B$6,ISBLANK('Cocktail Finder'!$B$6))</f>
        <v>1</v>
      </c>
      <c r="R161" s="15">
        <f t="shared" ref="R161:T161" si="162">IFERROR(FIND("juice",E161),"")</f>
        <v>8</v>
      </c>
      <c r="S161" s="15" t="str">
        <f t="shared" si="162"/>
        <v/>
      </c>
      <c r="T161" s="15" t="str">
        <f t="shared" si="162"/>
        <v/>
      </c>
      <c r="U161" s="15" t="str">
        <f t="shared" si="2"/>
        <v>orange juice</v>
      </c>
    </row>
    <row r="162" spans="1:22" ht="15.75" customHeight="1" x14ac:dyDescent="0.2">
      <c r="A162" s="19">
        <f t="shared" si="3"/>
        <v>161</v>
      </c>
      <c r="B162" s="19" t="s">
        <v>327</v>
      </c>
      <c r="C162" s="19" t="s">
        <v>317</v>
      </c>
      <c r="D162" s="19" t="s">
        <v>81</v>
      </c>
      <c r="E162" s="19"/>
      <c r="F162" s="19" t="s">
        <v>33</v>
      </c>
      <c r="G162" s="19" t="s">
        <v>33</v>
      </c>
      <c r="H162" s="19" t="s">
        <v>33</v>
      </c>
      <c r="I162" s="19">
        <f t="shared" si="0"/>
        <v>1</v>
      </c>
      <c r="J162" s="19" t="s">
        <v>327</v>
      </c>
      <c r="K162" s="19" t="s">
        <v>82</v>
      </c>
      <c r="L162" s="15" t="b">
        <f>OR(C162='Cocktail Finder'!$B$2,ISBLANK('Cocktail Finder'!$B$2))</f>
        <v>1</v>
      </c>
      <c r="M162" s="15" t="b">
        <f>OR(D162='Cocktail Finder'!$B$7,ISBLANK('Cocktail Finder'!$B$7))</f>
        <v>1</v>
      </c>
      <c r="N162" s="15" t="b">
        <f>OR(E162='Cocktail Finder'!$B$5,ISBLANK('Cocktail Finder'!$B$5))</f>
        <v>1</v>
      </c>
      <c r="O162" s="15" t="b">
        <f>OR(F162='Cocktail Finder'!$B$4,ISBLANK('Cocktail Finder'!$B$4))</f>
        <v>1</v>
      </c>
      <c r="P162" s="15" t="b">
        <f>OR(G162='Cocktail Finder'!$B$3,ISBLANK('Cocktail Finder'!$B$3))</f>
        <v>1</v>
      </c>
      <c r="Q162" s="15" t="b">
        <f>OR(H162='Cocktail Finder'!$B$6,ISBLANK('Cocktail Finder'!$B$6))</f>
        <v>1</v>
      </c>
      <c r="R162" s="15" t="str">
        <f t="shared" ref="R162:T162" si="163">IFERROR(FIND("juice",E162),"")</f>
        <v/>
      </c>
      <c r="S162" s="15" t="str">
        <f t="shared" si="163"/>
        <v/>
      </c>
      <c r="T162" s="15" t="str">
        <f t="shared" si="163"/>
        <v/>
      </c>
      <c r="U162" s="15" t="str">
        <f t="shared" si="2"/>
        <v/>
      </c>
    </row>
    <row r="163" spans="1:22" ht="15.75" customHeight="1" x14ac:dyDescent="0.2">
      <c r="A163" s="19">
        <f t="shared" si="3"/>
        <v>162</v>
      </c>
      <c r="B163" s="19" t="s">
        <v>328</v>
      </c>
      <c r="C163" s="19" t="s">
        <v>317</v>
      </c>
      <c r="D163" s="19" t="s">
        <v>62</v>
      </c>
      <c r="E163" s="19"/>
      <c r="F163" s="19" t="s">
        <v>33</v>
      </c>
      <c r="G163" s="19" t="s">
        <v>33</v>
      </c>
      <c r="H163" s="19" t="s">
        <v>33</v>
      </c>
      <c r="I163" s="19">
        <f t="shared" si="0"/>
        <v>1</v>
      </c>
      <c r="J163" s="19" t="s">
        <v>328</v>
      </c>
      <c r="K163" s="19" t="s">
        <v>82</v>
      </c>
      <c r="L163" s="15" t="b">
        <f>OR(C163='Cocktail Finder'!$B$2,ISBLANK('Cocktail Finder'!$B$2))</f>
        <v>1</v>
      </c>
      <c r="M163" s="15" t="b">
        <f>OR(D163='Cocktail Finder'!$B$7,ISBLANK('Cocktail Finder'!$B$7))</f>
        <v>1</v>
      </c>
      <c r="N163" s="15" t="b">
        <f>OR(E163='Cocktail Finder'!$B$5,ISBLANK('Cocktail Finder'!$B$5))</f>
        <v>1</v>
      </c>
      <c r="O163" s="15" t="b">
        <f>OR(F163='Cocktail Finder'!$B$4,ISBLANK('Cocktail Finder'!$B$4))</f>
        <v>1</v>
      </c>
      <c r="P163" s="15" t="b">
        <f>OR(G163='Cocktail Finder'!$B$3,ISBLANK('Cocktail Finder'!$B$3))</f>
        <v>1</v>
      </c>
      <c r="Q163" s="15" t="b">
        <f>OR(H163='Cocktail Finder'!$B$6,ISBLANK('Cocktail Finder'!$B$6))</f>
        <v>1</v>
      </c>
      <c r="R163" s="15" t="str">
        <f t="shared" ref="R163:T163" si="164">IFERROR(FIND("juice",E163),"")</f>
        <v/>
      </c>
      <c r="S163" s="15" t="str">
        <f t="shared" si="164"/>
        <v/>
      </c>
      <c r="T163" s="15" t="str">
        <f t="shared" si="164"/>
        <v/>
      </c>
      <c r="U163" s="15" t="str">
        <f t="shared" si="2"/>
        <v/>
      </c>
    </row>
    <row r="164" spans="1:22" ht="15.75" customHeight="1" x14ac:dyDescent="0.2">
      <c r="A164" s="19">
        <f t="shared" si="3"/>
        <v>163</v>
      </c>
      <c r="B164" s="19" t="s">
        <v>329</v>
      </c>
      <c r="C164" s="19" t="s">
        <v>317</v>
      </c>
      <c r="D164" s="19" t="s">
        <v>156</v>
      </c>
      <c r="E164" s="19"/>
      <c r="F164" s="19" t="s">
        <v>33</v>
      </c>
      <c r="G164" s="19" t="s">
        <v>33</v>
      </c>
      <c r="H164" s="19" t="s">
        <v>33</v>
      </c>
      <c r="I164" s="19">
        <f t="shared" si="0"/>
        <v>1</v>
      </c>
      <c r="J164" s="19" t="s">
        <v>329</v>
      </c>
      <c r="K164" s="19" t="s">
        <v>82</v>
      </c>
      <c r="L164" s="15" t="b">
        <f>OR(C164='Cocktail Finder'!$B$2,ISBLANK('Cocktail Finder'!$B$2))</f>
        <v>1</v>
      </c>
      <c r="M164" s="15" t="b">
        <f>OR(D164='Cocktail Finder'!$B$7,ISBLANK('Cocktail Finder'!$B$7))</f>
        <v>1</v>
      </c>
      <c r="N164" s="15" t="b">
        <f>OR(E164='Cocktail Finder'!$B$5,ISBLANK('Cocktail Finder'!$B$5))</f>
        <v>1</v>
      </c>
      <c r="O164" s="15" t="b">
        <f>OR(F164='Cocktail Finder'!$B$4,ISBLANK('Cocktail Finder'!$B$4))</f>
        <v>1</v>
      </c>
      <c r="P164" s="15" t="b">
        <f>OR(G164='Cocktail Finder'!$B$3,ISBLANK('Cocktail Finder'!$B$3))</f>
        <v>1</v>
      </c>
      <c r="Q164" s="15" t="b">
        <f>OR(H164='Cocktail Finder'!$B$6,ISBLANK('Cocktail Finder'!$B$6))</f>
        <v>1</v>
      </c>
      <c r="R164" s="15" t="str">
        <f t="shared" ref="R164:T164" si="165">IFERROR(FIND("juice",E164),"")</f>
        <v/>
      </c>
      <c r="S164" s="15" t="str">
        <f t="shared" si="165"/>
        <v/>
      </c>
      <c r="T164" s="15" t="str">
        <f t="shared" si="165"/>
        <v/>
      </c>
      <c r="U164" s="15" t="str">
        <f t="shared" si="2"/>
        <v/>
      </c>
    </row>
    <row r="165" spans="1:22" ht="15.75" customHeight="1" x14ac:dyDescent="0.2">
      <c r="A165" s="19">
        <f t="shared" si="3"/>
        <v>164</v>
      </c>
      <c r="B165" s="19" t="s">
        <v>330</v>
      </c>
      <c r="C165" s="19" t="s">
        <v>317</v>
      </c>
      <c r="D165" s="19" t="s">
        <v>57</v>
      </c>
      <c r="E165" s="19" t="s">
        <v>38</v>
      </c>
      <c r="F165" s="19" t="s">
        <v>33</v>
      </c>
      <c r="G165" s="19" t="s">
        <v>33</v>
      </c>
      <c r="H165" s="19" t="s">
        <v>33</v>
      </c>
      <c r="I165" s="19">
        <f t="shared" si="0"/>
        <v>1</v>
      </c>
      <c r="J165" s="19" t="s">
        <v>330</v>
      </c>
      <c r="K165" s="19" t="s">
        <v>58</v>
      </c>
      <c r="L165" s="15" t="b">
        <f>OR(C165='Cocktail Finder'!$B$2,ISBLANK('Cocktail Finder'!$B$2))</f>
        <v>1</v>
      </c>
      <c r="M165" s="15" t="b">
        <f>OR(D165='Cocktail Finder'!$B$7,ISBLANK('Cocktail Finder'!$B$7))</f>
        <v>1</v>
      </c>
      <c r="N165" s="15" t="b">
        <f>OR(E165='Cocktail Finder'!$B$5,ISBLANK('Cocktail Finder'!$B$5))</f>
        <v>1</v>
      </c>
      <c r="O165" s="15" t="b">
        <f>OR(F165='Cocktail Finder'!$B$4,ISBLANK('Cocktail Finder'!$B$4))</f>
        <v>1</v>
      </c>
      <c r="P165" s="15" t="b">
        <f>OR(G165='Cocktail Finder'!$B$3,ISBLANK('Cocktail Finder'!$B$3))</f>
        <v>1</v>
      </c>
      <c r="Q165" s="15" t="b">
        <f>OR(H165='Cocktail Finder'!$B$6,ISBLANK('Cocktail Finder'!$B$6))</f>
        <v>1</v>
      </c>
      <c r="R165" s="15">
        <f t="shared" ref="R165:T165" si="166">IFERROR(FIND("juice",E165),"")</f>
        <v>7</v>
      </c>
      <c r="S165" s="15" t="str">
        <f t="shared" si="166"/>
        <v/>
      </c>
      <c r="T165" s="15" t="str">
        <f t="shared" si="166"/>
        <v/>
      </c>
      <c r="U165" s="15" t="str">
        <f t="shared" si="2"/>
        <v>lemon juice</v>
      </c>
    </row>
    <row r="166" spans="1:22" ht="15.75" customHeight="1" x14ac:dyDescent="0.2">
      <c r="A166" s="19">
        <f t="shared" si="3"/>
        <v>165</v>
      </c>
      <c r="B166" s="19" t="s">
        <v>331</v>
      </c>
      <c r="C166" s="19" t="s">
        <v>332</v>
      </c>
      <c r="D166" s="19" t="s">
        <v>104</v>
      </c>
      <c r="E166" s="19" t="s">
        <v>38</v>
      </c>
      <c r="F166" s="19" t="s">
        <v>74</v>
      </c>
      <c r="G166" s="19" t="s">
        <v>33</v>
      </c>
      <c r="H166" s="19" t="s">
        <v>33</v>
      </c>
      <c r="I166" s="19">
        <f t="shared" si="0"/>
        <v>1</v>
      </c>
      <c r="J166" s="19" t="s">
        <v>331</v>
      </c>
      <c r="K166" s="19" t="s">
        <v>44</v>
      </c>
      <c r="L166" s="15" t="b">
        <f>OR(C166='Cocktail Finder'!$B$2,ISBLANK('Cocktail Finder'!$B$2))</f>
        <v>1</v>
      </c>
      <c r="M166" s="15" t="b">
        <f>OR(D166='Cocktail Finder'!$B$7,ISBLANK('Cocktail Finder'!$B$7))</f>
        <v>1</v>
      </c>
      <c r="N166" s="15" t="b">
        <f>OR(E166='Cocktail Finder'!$B$5,ISBLANK('Cocktail Finder'!$B$5))</f>
        <v>1</v>
      </c>
      <c r="O166" s="15" t="b">
        <f>OR(F166='Cocktail Finder'!$B$4,ISBLANK('Cocktail Finder'!$B$4))</f>
        <v>1</v>
      </c>
      <c r="P166" s="15" t="b">
        <f>OR(G166='Cocktail Finder'!$B$3,ISBLANK('Cocktail Finder'!$B$3))</f>
        <v>1</v>
      </c>
      <c r="Q166" s="15" t="b">
        <f>OR(H166='Cocktail Finder'!$B$6,ISBLANK('Cocktail Finder'!$B$6))</f>
        <v>1</v>
      </c>
      <c r="R166" s="15">
        <f t="shared" ref="R166:T166" si="167">IFERROR(FIND("juice",E166),"")</f>
        <v>7</v>
      </c>
      <c r="S166" s="15" t="str">
        <f t="shared" si="167"/>
        <v/>
      </c>
      <c r="T166" s="15" t="str">
        <f t="shared" si="167"/>
        <v/>
      </c>
      <c r="U166" s="15" t="str">
        <f t="shared" si="2"/>
        <v>lemon juice</v>
      </c>
    </row>
    <row r="167" spans="1:22" ht="15.75" customHeight="1" x14ac:dyDescent="0.2">
      <c r="A167" s="19">
        <f t="shared" si="3"/>
        <v>166</v>
      </c>
      <c r="B167" s="19" t="s">
        <v>333</v>
      </c>
      <c r="C167" s="19" t="s">
        <v>334</v>
      </c>
      <c r="D167" s="19" t="s">
        <v>335</v>
      </c>
      <c r="E167" s="19"/>
      <c r="F167" s="19" t="s">
        <v>33</v>
      </c>
      <c r="G167" s="19" t="s">
        <v>33</v>
      </c>
      <c r="H167" s="19" t="s">
        <v>33</v>
      </c>
      <c r="I167" s="19">
        <f t="shared" si="0"/>
        <v>1</v>
      </c>
      <c r="J167" s="19" t="s">
        <v>333</v>
      </c>
      <c r="K167" s="19" t="s">
        <v>82</v>
      </c>
      <c r="L167" s="15" t="b">
        <f>OR(C167='Cocktail Finder'!$B$2,ISBLANK('Cocktail Finder'!$B$2))</f>
        <v>1</v>
      </c>
      <c r="M167" s="15" t="b">
        <f>OR(D167='Cocktail Finder'!$B$7,ISBLANK('Cocktail Finder'!$B$7))</f>
        <v>1</v>
      </c>
      <c r="N167" s="15" t="b">
        <f>OR(E167='Cocktail Finder'!$B$5,ISBLANK('Cocktail Finder'!$B$5))</f>
        <v>1</v>
      </c>
      <c r="O167" s="15" t="b">
        <f>OR(F167='Cocktail Finder'!$B$4,ISBLANK('Cocktail Finder'!$B$4))</f>
        <v>1</v>
      </c>
      <c r="P167" s="15" t="b">
        <f>OR(G167='Cocktail Finder'!$B$3,ISBLANK('Cocktail Finder'!$B$3))</f>
        <v>1</v>
      </c>
      <c r="Q167" s="15" t="b">
        <f>OR(H167='Cocktail Finder'!$B$6,ISBLANK('Cocktail Finder'!$B$6))</f>
        <v>1</v>
      </c>
      <c r="R167" s="15" t="str">
        <f t="shared" ref="R167:T167" si="168">IFERROR(FIND("juice",E167),"")</f>
        <v/>
      </c>
      <c r="S167" s="15" t="str">
        <f t="shared" si="168"/>
        <v/>
      </c>
      <c r="T167" s="15" t="str">
        <f t="shared" si="168"/>
        <v/>
      </c>
      <c r="U167" s="15" t="str">
        <f t="shared" si="2"/>
        <v/>
      </c>
    </row>
    <row r="168" spans="1:22" ht="15.75" customHeight="1" x14ac:dyDescent="0.2">
      <c r="A168" s="19">
        <f t="shared" si="3"/>
        <v>167</v>
      </c>
      <c r="B168" s="19" t="s">
        <v>336</v>
      </c>
      <c r="C168" s="19" t="s">
        <v>282</v>
      </c>
      <c r="D168" s="19" t="s">
        <v>86</v>
      </c>
      <c r="E168" s="19" t="s">
        <v>38</v>
      </c>
      <c r="F168" s="19" t="s">
        <v>62</v>
      </c>
      <c r="G168" s="19" t="s">
        <v>33</v>
      </c>
      <c r="H168" s="19" t="s">
        <v>33</v>
      </c>
      <c r="I168" s="19">
        <f t="shared" si="0"/>
        <v>1</v>
      </c>
      <c r="J168" s="19" t="s">
        <v>336</v>
      </c>
      <c r="K168" s="19" t="s">
        <v>63</v>
      </c>
      <c r="L168" s="15" t="b">
        <f>OR(C168='Cocktail Finder'!$B$2,ISBLANK('Cocktail Finder'!$B$2))</f>
        <v>1</v>
      </c>
      <c r="M168" s="15" t="b">
        <f>OR(D168='Cocktail Finder'!$B$7,ISBLANK('Cocktail Finder'!$B$7))</f>
        <v>1</v>
      </c>
      <c r="N168" s="15" t="b">
        <f>OR(E168='Cocktail Finder'!$B$5,ISBLANK('Cocktail Finder'!$B$5))</f>
        <v>1</v>
      </c>
      <c r="O168" s="15" t="b">
        <f>OR(F168='Cocktail Finder'!$B$4,ISBLANK('Cocktail Finder'!$B$4))</f>
        <v>1</v>
      </c>
      <c r="P168" s="15" t="b">
        <f>OR(G168='Cocktail Finder'!$B$3,ISBLANK('Cocktail Finder'!$B$3))</f>
        <v>1</v>
      </c>
      <c r="Q168" s="15" t="b">
        <f>OR(H168='Cocktail Finder'!$B$6,ISBLANK('Cocktail Finder'!$B$6))</f>
        <v>1</v>
      </c>
      <c r="R168" s="15">
        <f t="shared" ref="R168:T168" si="169">IFERROR(FIND("juice",E168),"")</f>
        <v>7</v>
      </c>
      <c r="S168" s="15" t="str">
        <f t="shared" si="169"/>
        <v/>
      </c>
      <c r="T168" s="15" t="str">
        <f t="shared" si="169"/>
        <v/>
      </c>
      <c r="U168" s="15" t="str">
        <f t="shared" si="2"/>
        <v>lemon juice</v>
      </c>
    </row>
    <row r="169" spans="1:22" ht="15.75" customHeight="1" x14ac:dyDescent="0.2">
      <c r="A169" s="19">
        <f t="shared" si="3"/>
        <v>168</v>
      </c>
      <c r="B169" s="19" t="s">
        <v>337</v>
      </c>
      <c r="C169" s="19" t="s">
        <v>280</v>
      </c>
      <c r="D169" s="19" t="s">
        <v>282</v>
      </c>
      <c r="E169" s="19" t="s">
        <v>126</v>
      </c>
      <c r="F169" s="19" t="s">
        <v>30</v>
      </c>
      <c r="G169" s="19" t="s">
        <v>33</v>
      </c>
      <c r="H169" s="19" t="s">
        <v>33</v>
      </c>
      <c r="I169" s="19">
        <f t="shared" si="0"/>
        <v>1</v>
      </c>
      <c r="J169" s="19" t="s">
        <v>337</v>
      </c>
      <c r="K169" s="19" t="s">
        <v>272</v>
      </c>
      <c r="L169" s="15" t="b">
        <f>OR(C169='Cocktail Finder'!$B$2,ISBLANK('Cocktail Finder'!$B$2))</f>
        <v>1</v>
      </c>
      <c r="M169" s="15" t="b">
        <f>OR(D169='Cocktail Finder'!$B$7,ISBLANK('Cocktail Finder'!$B$7))</f>
        <v>1</v>
      </c>
      <c r="N169" s="15" t="b">
        <f>OR(E169='Cocktail Finder'!$B$5,ISBLANK('Cocktail Finder'!$B$5))</f>
        <v>1</v>
      </c>
      <c r="O169" s="15" t="b">
        <f>OR(F169='Cocktail Finder'!$B$4,ISBLANK('Cocktail Finder'!$B$4))</f>
        <v>1</v>
      </c>
      <c r="P169" s="15" t="b">
        <f>OR(G169='Cocktail Finder'!$B$3,ISBLANK('Cocktail Finder'!$B$3))</f>
        <v>1</v>
      </c>
      <c r="Q169" s="15" t="b">
        <f>OR(H169='Cocktail Finder'!$B$6,ISBLANK('Cocktail Finder'!$B$6))</f>
        <v>1</v>
      </c>
      <c r="R169" s="15">
        <f t="shared" ref="R169:T169" si="170">IFERROR(FIND("juice",E169),"")</f>
        <v>8</v>
      </c>
      <c r="S169" s="15" t="str">
        <f t="shared" si="170"/>
        <v/>
      </c>
      <c r="T169" s="15" t="str">
        <f t="shared" si="170"/>
        <v/>
      </c>
      <c r="U169" s="15" t="str">
        <f t="shared" si="2"/>
        <v>orange juice</v>
      </c>
    </row>
    <row r="170" spans="1:22" ht="15.75" customHeight="1" x14ac:dyDescent="0.2">
      <c r="A170" s="19">
        <f t="shared" si="3"/>
        <v>169</v>
      </c>
      <c r="B170" s="19" t="s">
        <v>338</v>
      </c>
      <c r="C170" s="19" t="s">
        <v>339</v>
      </c>
      <c r="D170" s="19" t="s">
        <v>340</v>
      </c>
      <c r="E170" s="19" t="s">
        <v>341</v>
      </c>
      <c r="F170" s="19" t="s">
        <v>33</v>
      </c>
      <c r="G170" s="19" t="s">
        <v>33</v>
      </c>
      <c r="H170" s="19" t="s">
        <v>33</v>
      </c>
      <c r="I170" s="19">
        <f t="shared" si="0"/>
        <v>1</v>
      </c>
      <c r="J170" s="19" t="s">
        <v>338</v>
      </c>
      <c r="K170" s="19" t="s">
        <v>44</v>
      </c>
      <c r="L170" s="15" t="b">
        <f>OR(C170='Cocktail Finder'!$B$2,ISBLANK('Cocktail Finder'!$B$2))</f>
        <v>1</v>
      </c>
      <c r="M170" s="15" t="b">
        <f>OR(D170='Cocktail Finder'!$B$7,ISBLANK('Cocktail Finder'!$B$7))</f>
        <v>1</v>
      </c>
      <c r="N170" s="15" t="b">
        <f>OR(E170='Cocktail Finder'!$B$5,ISBLANK('Cocktail Finder'!$B$5))</f>
        <v>1</v>
      </c>
      <c r="O170" s="15" t="b">
        <f>OR(F170='Cocktail Finder'!$B$4,ISBLANK('Cocktail Finder'!$B$4))</f>
        <v>1</v>
      </c>
      <c r="P170" s="15" t="b">
        <f>OR(G170='Cocktail Finder'!$B$3,ISBLANK('Cocktail Finder'!$B$3))</f>
        <v>1</v>
      </c>
      <c r="Q170" s="15" t="b">
        <f>OR(H170='Cocktail Finder'!$B$6,ISBLANK('Cocktail Finder'!$B$6))</f>
        <v>1</v>
      </c>
      <c r="R170" s="15">
        <f t="shared" ref="R170:T170" si="171">IFERROR(FIND("juice",E170),"")</f>
        <v>6</v>
      </c>
      <c r="S170" s="15" t="str">
        <f t="shared" si="171"/>
        <v/>
      </c>
      <c r="T170" s="15" t="str">
        <f t="shared" si="171"/>
        <v/>
      </c>
      <c r="U170" s="15" t="str">
        <f t="shared" si="2"/>
        <v>lime juice, orange juice</v>
      </c>
      <c r="V170" s="11" t="s">
        <v>126</v>
      </c>
    </row>
    <row r="171" spans="1:22" ht="15.75" customHeight="1" x14ac:dyDescent="0.2">
      <c r="A171" s="19">
        <f t="shared" si="3"/>
        <v>170</v>
      </c>
      <c r="B171" s="19" t="s">
        <v>342</v>
      </c>
      <c r="C171" s="19" t="s">
        <v>343</v>
      </c>
      <c r="D171" s="19" t="s">
        <v>36</v>
      </c>
      <c r="E171" s="19"/>
      <c r="F171" s="19" t="s">
        <v>33</v>
      </c>
      <c r="G171" s="19" t="s">
        <v>33</v>
      </c>
      <c r="H171" s="19" t="s">
        <v>33</v>
      </c>
      <c r="I171" s="19">
        <f t="shared" si="0"/>
        <v>1</v>
      </c>
      <c r="J171" s="19" t="s">
        <v>342</v>
      </c>
      <c r="K171" s="19" t="s">
        <v>34</v>
      </c>
      <c r="L171" s="15" t="b">
        <f>OR(C171='Cocktail Finder'!$B$2,ISBLANK('Cocktail Finder'!$B$2))</f>
        <v>1</v>
      </c>
      <c r="M171" s="15" t="b">
        <f>OR(D171='Cocktail Finder'!$B$7,ISBLANK('Cocktail Finder'!$B$7))</f>
        <v>1</v>
      </c>
      <c r="N171" s="15" t="b">
        <f>OR(E171='Cocktail Finder'!$B$5,ISBLANK('Cocktail Finder'!$B$5))</f>
        <v>1</v>
      </c>
      <c r="O171" s="15" t="b">
        <f>OR(F171='Cocktail Finder'!$B$4,ISBLANK('Cocktail Finder'!$B$4))</f>
        <v>1</v>
      </c>
      <c r="P171" s="15" t="b">
        <f>OR(G171='Cocktail Finder'!$B$3,ISBLANK('Cocktail Finder'!$B$3))</f>
        <v>1</v>
      </c>
      <c r="Q171" s="15" t="b">
        <f>OR(H171='Cocktail Finder'!$B$6,ISBLANK('Cocktail Finder'!$B$6))</f>
        <v>1</v>
      </c>
      <c r="R171" s="15" t="str">
        <f t="shared" ref="R171:T171" si="172">IFERROR(FIND("juice",E171),"")</f>
        <v/>
      </c>
      <c r="S171" s="15" t="str">
        <f t="shared" si="172"/>
        <v/>
      </c>
      <c r="T171" s="15" t="str">
        <f t="shared" si="172"/>
        <v/>
      </c>
      <c r="U171" s="15" t="str">
        <f t="shared" si="2"/>
        <v/>
      </c>
    </row>
    <row r="172" spans="1:22" ht="15.75" customHeight="1" x14ac:dyDescent="0.2">
      <c r="A172" s="19">
        <f t="shared" si="3"/>
        <v>171</v>
      </c>
      <c r="B172" s="19" t="s">
        <v>344</v>
      </c>
      <c r="C172" s="19" t="s">
        <v>343</v>
      </c>
      <c r="D172" s="19" t="s">
        <v>345</v>
      </c>
      <c r="E172" s="19" t="s">
        <v>126</v>
      </c>
      <c r="F172" s="19" t="s">
        <v>33</v>
      </c>
      <c r="G172" s="19" t="s">
        <v>33</v>
      </c>
      <c r="H172" s="19" t="s">
        <v>33</v>
      </c>
      <c r="I172" s="19">
        <f t="shared" si="0"/>
        <v>1</v>
      </c>
      <c r="J172" s="19" t="s">
        <v>344</v>
      </c>
      <c r="K172" s="19" t="s">
        <v>272</v>
      </c>
      <c r="L172" s="15" t="b">
        <f>OR(C172='Cocktail Finder'!$B$2,ISBLANK('Cocktail Finder'!$B$2))</f>
        <v>1</v>
      </c>
      <c r="M172" s="15" t="b">
        <f>OR(D172='Cocktail Finder'!$B$7,ISBLANK('Cocktail Finder'!$B$7))</f>
        <v>1</v>
      </c>
      <c r="N172" s="15" t="b">
        <f>OR(E172='Cocktail Finder'!$B$5,ISBLANK('Cocktail Finder'!$B$5))</f>
        <v>1</v>
      </c>
      <c r="O172" s="15" t="b">
        <f>OR(F172='Cocktail Finder'!$B$4,ISBLANK('Cocktail Finder'!$B$4))</f>
        <v>1</v>
      </c>
      <c r="P172" s="15" t="b">
        <f>OR(G172='Cocktail Finder'!$B$3,ISBLANK('Cocktail Finder'!$B$3))</f>
        <v>1</v>
      </c>
      <c r="Q172" s="15" t="b">
        <f>OR(H172='Cocktail Finder'!$B$6,ISBLANK('Cocktail Finder'!$B$6))</f>
        <v>1</v>
      </c>
      <c r="R172" s="15">
        <f t="shared" ref="R172:T172" si="173">IFERROR(FIND("juice",E172),"")</f>
        <v>8</v>
      </c>
      <c r="S172" s="15" t="str">
        <f t="shared" si="173"/>
        <v/>
      </c>
      <c r="T172" s="15" t="str">
        <f t="shared" si="173"/>
        <v/>
      </c>
      <c r="U172" s="15" t="str">
        <f t="shared" si="2"/>
        <v>orange juice</v>
      </c>
    </row>
    <row r="173" spans="1:22" ht="15.75" customHeight="1" x14ac:dyDescent="0.2">
      <c r="A173" s="19">
        <f t="shared" si="3"/>
        <v>172</v>
      </c>
      <c r="B173" s="19" t="s">
        <v>346</v>
      </c>
      <c r="C173" s="19" t="s">
        <v>343</v>
      </c>
      <c r="D173" s="19" t="s">
        <v>55</v>
      </c>
      <c r="E173" s="19" t="s">
        <v>126</v>
      </c>
      <c r="F173" s="19" t="s">
        <v>33</v>
      </c>
      <c r="G173" s="19" t="s">
        <v>33</v>
      </c>
      <c r="H173" s="19" t="s">
        <v>33</v>
      </c>
      <c r="I173" s="19">
        <f t="shared" si="0"/>
        <v>1</v>
      </c>
      <c r="J173" s="19" t="s">
        <v>346</v>
      </c>
      <c r="K173" s="19" t="s">
        <v>272</v>
      </c>
      <c r="L173" s="15" t="b">
        <f>OR(C173='Cocktail Finder'!$B$2,ISBLANK('Cocktail Finder'!$B$2))</f>
        <v>1</v>
      </c>
      <c r="M173" s="15" t="b">
        <f>OR(D173='Cocktail Finder'!$B$7,ISBLANK('Cocktail Finder'!$B$7))</f>
        <v>1</v>
      </c>
      <c r="N173" s="15" t="b">
        <f>OR(E173='Cocktail Finder'!$B$5,ISBLANK('Cocktail Finder'!$B$5))</f>
        <v>1</v>
      </c>
      <c r="O173" s="15" t="b">
        <f>OR(F173='Cocktail Finder'!$B$4,ISBLANK('Cocktail Finder'!$B$4))</f>
        <v>1</v>
      </c>
      <c r="P173" s="15" t="b">
        <f>OR(G173='Cocktail Finder'!$B$3,ISBLANK('Cocktail Finder'!$B$3))</f>
        <v>1</v>
      </c>
      <c r="Q173" s="15" t="b">
        <f>OR(H173='Cocktail Finder'!$B$6,ISBLANK('Cocktail Finder'!$B$6))</f>
        <v>1</v>
      </c>
      <c r="R173" s="15">
        <f t="shared" ref="R173:T173" si="174">IFERROR(FIND("juice",E173),"")</f>
        <v>8</v>
      </c>
      <c r="S173" s="15" t="str">
        <f t="shared" si="174"/>
        <v/>
      </c>
      <c r="T173" s="15" t="str">
        <f t="shared" si="174"/>
        <v/>
      </c>
      <c r="U173" s="15" t="str">
        <f t="shared" si="2"/>
        <v>orange juice</v>
      </c>
    </row>
    <row r="174" spans="1:22" ht="15.75" customHeight="1" x14ac:dyDescent="0.2">
      <c r="A174" s="19">
        <f t="shared" si="3"/>
        <v>173</v>
      </c>
      <c r="B174" s="19" t="s">
        <v>347</v>
      </c>
      <c r="C174" s="19" t="s">
        <v>343</v>
      </c>
      <c r="D174" s="19"/>
      <c r="E174" s="19" t="s">
        <v>134</v>
      </c>
      <c r="F174" s="19" t="s">
        <v>348</v>
      </c>
      <c r="G174" s="19" t="s">
        <v>33</v>
      </c>
      <c r="H174" s="19" t="s">
        <v>33</v>
      </c>
      <c r="I174" s="19">
        <f t="shared" si="0"/>
        <v>1</v>
      </c>
      <c r="J174" s="19" t="s">
        <v>347</v>
      </c>
      <c r="K174" s="19" t="s">
        <v>272</v>
      </c>
      <c r="L174" s="15" t="b">
        <f>OR(C174='Cocktail Finder'!$B$2,ISBLANK('Cocktail Finder'!$B$2))</f>
        <v>1</v>
      </c>
      <c r="M174" s="15" t="b">
        <f>OR(D174='Cocktail Finder'!$B$7,ISBLANK('Cocktail Finder'!$B$7))</f>
        <v>1</v>
      </c>
      <c r="N174" s="15" t="b">
        <f>OR(E174='Cocktail Finder'!$B$5,ISBLANK('Cocktail Finder'!$B$5))</f>
        <v>1</v>
      </c>
      <c r="O174" s="15" t="b">
        <f>OR(F174='Cocktail Finder'!$B$4,ISBLANK('Cocktail Finder'!$B$4))</f>
        <v>1</v>
      </c>
      <c r="P174" s="15" t="b">
        <f>OR(G174='Cocktail Finder'!$B$3,ISBLANK('Cocktail Finder'!$B$3))</f>
        <v>1</v>
      </c>
      <c r="Q174" s="15" t="b">
        <f>OR(H174='Cocktail Finder'!$B$6,ISBLANK('Cocktail Finder'!$B$6))</f>
        <v>1</v>
      </c>
      <c r="R174" s="15">
        <f t="shared" ref="R174:T174" si="175">IFERROR(FIND("juice",E174),"")</f>
        <v>12</v>
      </c>
      <c r="S174" s="15" t="str">
        <f t="shared" si="175"/>
        <v/>
      </c>
      <c r="T174" s="15" t="str">
        <f t="shared" si="175"/>
        <v/>
      </c>
      <c r="U174" s="15" t="str">
        <f t="shared" si="2"/>
        <v>grapefruit juice</v>
      </c>
    </row>
    <row r="175" spans="1:22" ht="15.75" customHeight="1" x14ac:dyDescent="0.2">
      <c r="A175" s="19">
        <f t="shared" si="3"/>
        <v>174</v>
      </c>
      <c r="B175" s="19" t="s">
        <v>349</v>
      </c>
      <c r="C175" s="19" t="s">
        <v>343</v>
      </c>
      <c r="D175" s="19" t="s">
        <v>30</v>
      </c>
      <c r="E175" s="19" t="s">
        <v>90</v>
      </c>
      <c r="F175" s="19" t="s">
        <v>33</v>
      </c>
      <c r="G175" s="19" t="s">
        <v>33</v>
      </c>
      <c r="H175" s="19" t="s">
        <v>33</v>
      </c>
      <c r="I175" s="19">
        <f t="shared" si="0"/>
        <v>1</v>
      </c>
      <c r="J175" s="19" t="s">
        <v>349</v>
      </c>
      <c r="K175" s="19" t="s">
        <v>44</v>
      </c>
      <c r="L175" s="15" t="b">
        <f>OR(C175='Cocktail Finder'!$B$2,ISBLANK('Cocktail Finder'!$B$2))</f>
        <v>1</v>
      </c>
      <c r="M175" s="15" t="b">
        <f>OR(D175='Cocktail Finder'!$B$7,ISBLANK('Cocktail Finder'!$B$7))</f>
        <v>1</v>
      </c>
      <c r="N175" s="15" t="b">
        <f>OR(E175='Cocktail Finder'!$B$5,ISBLANK('Cocktail Finder'!$B$5))</f>
        <v>1</v>
      </c>
      <c r="O175" s="15" t="b">
        <f>OR(F175='Cocktail Finder'!$B$4,ISBLANK('Cocktail Finder'!$B$4))</f>
        <v>1</v>
      </c>
      <c r="P175" s="15" t="b">
        <f>OR(G175='Cocktail Finder'!$B$3,ISBLANK('Cocktail Finder'!$B$3))</f>
        <v>1</v>
      </c>
      <c r="Q175" s="15" t="b">
        <f>OR(H175='Cocktail Finder'!$B$6,ISBLANK('Cocktail Finder'!$B$6))</f>
        <v>1</v>
      </c>
      <c r="R175" s="15">
        <f t="shared" ref="R175:T175" si="176">IFERROR(FIND("juice",E175),"")</f>
        <v>6</v>
      </c>
      <c r="S175" s="15" t="str">
        <f t="shared" si="176"/>
        <v/>
      </c>
      <c r="T175" s="15" t="str">
        <f t="shared" si="176"/>
        <v/>
      </c>
      <c r="U175" s="15" t="str">
        <f t="shared" si="2"/>
        <v>lime juice</v>
      </c>
    </row>
    <row r="176" spans="1:22" ht="15.75" customHeight="1" x14ac:dyDescent="0.2">
      <c r="A176" s="19">
        <f t="shared" si="3"/>
        <v>175</v>
      </c>
      <c r="B176" s="19" t="s">
        <v>350</v>
      </c>
      <c r="C176" s="19" t="s">
        <v>343</v>
      </c>
      <c r="D176" s="19" t="s">
        <v>139</v>
      </c>
      <c r="E176" s="19" t="s">
        <v>90</v>
      </c>
      <c r="F176" s="19" t="s">
        <v>33</v>
      </c>
      <c r="G176" s="19" t="s">
        <v>33</v>
      </c>
      <c r="H176" s="19" t="s">
        <v>33</v>
      </c>
      <c r="I176" s="19">
        <f t="shared" si="0"/>
        <v>1</v>
      </c>
      <c r="J176" s="19" t="s">
        <v>350</v>
      </c>
      <c r="K176" s="19" t="s">
        <v>44</v>
      </c>
      <c r="L176" s="15" t="b">
        <f>OR(C176='Cocktail Finder'!$B$2,ISBLANK('Cocktail Finder'!$B$2))</f>
        <v>1</v>
      </c>
      <c r="M176" s="15" t="b">
        <f>OR(D176='Cocktail Finder'!$B$7,ISBLANK('Cocktail Finder'!$B$7))</f>
        <v>1</v>
      </c>
      <c r="N176" s="15" t="b">
        <f>OR(E176='Cocktail Finder'!$B$5,ISBLANK('Cocktail Finder'!$B$5))</f>
        <v>1</v>
      </c>
      <c r="O176" s="15" t="b">
        <f>OR(F176='Cocktail Finder'!$B$4,ISBLANK('Cocktail Finder'!$B$4))</f>
        <v>1</v>
      </c>
      <c r="P176" s="15" t="b">
        <f>OR(G176='Cocktail Finder'!$B$3,ISBLANK('Cocktail Finder'!$B$3))</f>
        <v>1</v>
      </c>
      <c r="Q176" s="15" t="b">
        <f>OR(H176='Cocktail Finder'!$B$6,ISBLANK('Cocktail Finder'!$B$6))</f>
        <v>1</v>
      </c>
      <c r="R176" s="15">
        <f t="shared" ref="R176:T176" si="177">IFERROR(FIND("juice",E176),"")</f>
        <v>6</v>
      </c>
      <c r="S176" s="15" t="str">
        <f t="shared" si="177"/>
        <v/>
      </c>
      <c r="T176" s="15" t="str">
        <f t="shared" si="177"/>
        <v/>
      </c>
      <c r="U176" s="15" t="str">
        <f t="shared" si="2"/>
        <v>lime juice</v>
      </c>
    </row>
    <row r="177" spans="1:21" ht="15.75" customHeight="1" x14ac:dyDescent="0.2">
      <c r="A177" s="19">
        <f t="shared" si="3"/>
        <v>176</v>
      </c>
      <c r="B177" s="19" t="s">
        <v>351</v>
      </c>
      <c r="C177" s="19" t="s">
        <v>343</v>
      </c>
      <c r="D177" s="19" t="s">
        <v>100</v>
      </c>
      <c r="E177" s="19" t="s">
        <v>90</v>
      </c>
      <c r="F177" s="19" t="s">
        <v>33</v>
      </c>
      <c r="G177" s="19" t="s">
        <v>33</v>
      </c>
      <c r="H177" s="19" t="s">
        <v>33</v>
      </c>
      <c r="I177" s="19">
        <f t="shared" si="0"/>
        <v>1</v>
      </c>
      <c r="J177" s="19" t="s">
        <v>351</v>
      </c>
      <c r="K177" s="19" t="s">
        <v>101</v>
      </c>
      <c r="L177" s="15" t="b">
        <f>OR(C177='Cocktail Finder'!$B$2,ISBLANK('Cocktail Finder'!$B$2))</f>
        <v>1</v>
      </c>
      <c r="M177" s="15" t="b">
        <f>OR(D177='Cocktail Finder'!$B$7,ISBLANK('Cocktail Finder'!$B$7))</f>
        <v>1</v>
      </c>
      <c r="N177" s="15" t="b">
        <f>OR(E177='Cocktail Finder'!$B$5,ISBLANK('Cocktail Finder'!$B$5))</f>
        <v>1</v>
      </c>
      <c r="O177" s="15" t="b">
        <f>OR(F177='Cocktail Finder'!$B$4,ISBLANK('Cocktail Finder'!$B$4))</f>
        <v>1</v>
      </c>
      <c r="P177" s="15" t="b">
        <f>OR(G177='Cocktail Finder'!$B$3,ISBLANK('Cocktail Finder'!$B$3))</f>
        <v>1</v>
      </c>
      <c r="Q177" s="15" t="b">
        <f>OR(H177='Cocktail Finder'!$B$6,ISBLANK('Cocktail Finder'!$B$6))</f>
        <v>1</v>
      </c>
      <c r="R177" s="15">
        <f t="shared" ref="R177:T177" si="178">IFERROR(FIND("juice",E177),"")</f>
        <v>6</v>
      </c>
      <c r="S177" s="15" t="str">
        <f t="shared" si="178"/>
        <v/>
      </c>
      <c r="T177" s="15" t="str">
        <f t="shared" si="178"/>
        <v/>
      </c>
      <c r="U177" s="15" t="str">
        <f t="shared" si="2"/>
        <v>lime juice</v>
      </c>
    </row>
    <row r="178" spans="1:21" ht="15.75" customHeight="1" x14ac:dyDescent="0.2">
      <c r="A178" s="19">
        <f t="shared" si="3"/>
        <v>177</v>
      </c>
      <c r="B178" s="19" t="s">
        <v>352</v>
      </c>
      <c r="C178" s="19" t="s">
        <v>343</v>
      </c>
      <c r="D178" s="19" t="s">
        <v>57</v>
      </c>
      <c r="E178" s="19" t="s">
        <v>90</v>
      </c>
      <c r="F178" s="19" t="s">
        <v>33</v>
      </c>
      <c r="G178" s="19" t="s">
        <v>33</v>
      </c>
      <c r="H178" s="19" t="s">
        <v>33</v>
      </c>
      <c r="I178" s="19">
        <f t="shared" si="0"/>
        <v>1</v>
      </c>
      <c r="J178" s="19" t="s">
        <v>352</v>
      </c>
      <c r="K178" s="19" t="s">
        <v>58</v>
      </c>
      <c r="L178" s="15" t="b">
        <f>OR(C178='Cocktail Finder'!$B$2,ISBLANK('Cocktail Finder'!$B$2))</f>
        <v>1</v>
      </c>
      <c r="M178" s="15" t="b">
        <f>OR(D178='Cocktail Finder'!$B$7,ISBLANK('Cocktail Finder'!$B$7))</f>
        <v>1</v>
      </c>
      <c r="N178" s="15" t="b">
        <f>OR(E178='Cocktail Finder'!$B$5,ISBLANK('Cocktail Finder'!$B$5))</f>
        <v>1</v>
      </c>
      <c r="O178" s="15" t="b">
        <f>OR(F178='Cocktail Finder'!$B$4,ISBLANK('Cocktail Finder'!$B$4))</f>
        <v>1</v>
      </c>
      <c r="P178" s="15" t="b">
        <f>OR(G178='Cocktail Finder'!$B$3,ISBLANK('Cocktail Finder'!$B$3))</f>
        <v>1</v>
      </c>
      <c r="Q178" s="15" t="b">
        <f>OR(H178='Cocktail Finder'!$B$6,ISBLANK('Cocktail Finder'!$B$6))</f>
        <v>1</v>
      </c>
      <c r="R178" s="15">
        <f t="shared" ref="R178:T178" si="179">IFERROR(FIND("juice",E178),"")</f>
        <v>6</v>
      </c>
      <c r="S178" s="15" t="str">
        <f t="shared" si="179"/>
        <v/>
      </c>
      <c r="T178" s="15" t="str">
        <f t="shared" si="179"/>
        <v/>
      </c>
      <c r="U178" s="15" t="str">
        <f t="shared" si="2"/>
        <v>lime juice</v>
      </c>
    </row>
    <row r="179" spans="1:21" ht="15.75" customHeight="1" x14ac:dyDescent="0.2">
      <c r="A179" s="19">
        <f t="shared" si="3"/>
        <v>178</v>
      </c>
      <c r="B179" s="19" t="s">
        <v>353</v>
      </c>
      <c r="C179" s="19" t="s">
        <v>354</v>
      </c>
      <c r="D179" s="19" t="s">
        <v>57</v>
      </c>
      <c r="E179" s="19" t="s">
        <v>38</v>
      </c>
      <c r="F179" s="19" t="s">
        <v>62</v>
      </c>
      <c r="G179" s="19" t="s">
        <v>33</v>
      </c>
      <c r="H179" s="19" t="s">
        <v>33</v>
      </c>
      <c r="I179" s="19">
        <f t="shared" si="0"/>
        <v>1</v>
      </c>
      <c r="J179" s="19" t="s">
        <v>353</v>
      </c>
      <c r="K179" s="19" t="s">
        <v>63</v>
      </c>
      <c r="L179" s="15" t="b">
        <f>OR(C179='Cocktail Finder'!$B$2,ISBLANK('Cocktail Finder'!$B$2))</f>
        <v>1</v>
      </c>
      <c r="M179" s="15" t="b">
        <f>OR(D179='Cocktail Finder'!$B$7,ISBLANK('Cocktail Finder'!$B$7))</f>
        <v>1</v>
      </c>
      <c r="N179" s="15" t="b">
        <f>OR(E179='Cocktail Finder'!$B$5,ISBLANK('Cocktail Finder'!$B$5))</f>
        <v>1</v>
      </c>
      <c r="O179" s="15" t="b">
        <f>OR(F179='Cocktail Finder'!$B$4,ISBLANK('Cocktail Finder'!$B$4))</f>
        <v>1</v>
      </c>
      <c r="P179" s="15" t="b">
        <f>OR(G179='Cocktail Finder'!$B$3,ISBLANK('Cocktail Finder'!$B$3))</f>
        <v>1</v>
      </c>
      <c r="Q179" s="15" t="b">
        <f>OR(H179='Cocktail Finder'!$B$6,ISBLANK('Cocktail Finder'!$B$6))</f>
        <v>1</v>
      </c>
      <c r="R179" s="15">
        <f t="shared" ref="R179:T179" si="180">IFERROR(FIND("juice",E179),"")</f>
        <v>7</v>
      </c>
      <c r="S179" s="15" t="str">
        <f t="shared" si="180"/>
        <v/>
      </c>
      <c r="T179" s="15" t="str">
        <f t="shared" si="180"/>
        <v/>
      </c>
      <c r="U179" s="15" t="str">
        <f t="shared" si="2"/>
        <v>lemon juice</v>
      </c>
    </row>
    <row r="180" spans="1:21" ht="15.75" customHeight="1" x14ac:dyDescent="0.2">
      <c r="A180" s="19">
        <f t="shared" si="3"/>
        <v>179</v>
      </c>
      <c r="B180" s="19" t="s">
        <v>355</v>
      </c>
      <c r="C180" s="19" t="s">
        <v>354</v>
      </c>
      <c r="D180" s="19" t="s">
        <v>57</v>
      </c>
      <c r="E180" s="19" t="s">
        <v>38</v>
      </c>
      <c r="F180" s="19" t="s">
        <v>33</v>
      </c>
      <c r="G180" s="19" t="s">
        <v>33</v>
      </c>
      <c r="H180" s="19" t="s">
        <v>33</v>
      </c>
      <c r="I180" s="19">
        <f t="shared" si="0"/>
        <v>1</v>
      </c>
      <c r="J180" s="19" t="s">
        <v>355</v>
      </c>
      <c r="K180" s="19" t="s">
        <v>58</v>
      </c>
      <c r="L180" s="15" t="b">
        <f>OR(C180='Cocktail Finder'!$B$2,ISBLANK('Cocktail Finder'!$B$2))</f>
        <v>1</v>
      </c>
      <c r="M180" s="15" t="b">
        <f>OR(D180='Cocktail Finder'!$B$7,ISBLANK('Cocktail Finder'!$B$7))</f>
        <v>1</v>
      </c>
      <c r="N180" s="15" t="b">
        <f>OR(E180='Cocktail Finder'!$B$5,ISBLANK('Cocktail Finder'!$B$5))</f>
        <v>1</v>
      </c>
      <c r="O180" s="15" t="b">
        <f>OR(F180='Cocktail Finder'!$B$4,ISBLANK('Cocktail Finder'!$B$4))</f>
        <v>1</v>
      </c>
      <c r="P180" s="15" t="b">
        <f>OR(G180='Cocktail Finder'!$B$3,ISBLANK('Cocktail Finder'!$B$3))</f>
        <v>1</v>
      </c>
      <c r="Q180" s="15" t="b">
        <f>OR(H180='Cocktail Finder'!$B$6,ISBLANK('Cocktail Finder'!$B$6))</f>
        <v>1</v>
      </c>
      <c r="R180" s="15">
        <f t="shared" ref="R180:T180" si="181">IFERROR(FIND("juice",E180),"")</f>
        <v>7</v>
      </c>
      <c r="S180" s="15" t="str">
        <f t="shared" si="181"/>
        <v/>
      </c>
      <c r="T180" s="15" t="str">
        <f t="shared" si="181"/>
        <v/>
      </c>
      <c r="U180" s="15" t="str">
        <f t="shared" si="2"/>
        <v>lemon juice</v>
      </c>
    </row>
    <row r="181" spans="1:21" ht="15.75" customHeight="1" x14ac:dyDescent="0.2">
      <c r="A181" s="19">
        <f t="shared" si="3"/>
        <v>180</v>
      </c>
      <c r="B181" s="19" t="s">
        <v>356</v>
      </c>
      <c r="C181" s="19" t="s">
        <v>357</v>
      </c>
      <c r="D181" s="19" t="s">
        <v>30</v>
      </c>
      <c r="E181" s="19"/>
      <c r="F181" s="19" t="s">
        <v>33</v>
      </c>
      <c r="G181" s="19" t="s">
        <v>33</v>
      </c>
      <c r="H181" s="19" t="s">
        <v>33</v>
      </c>
      <c r="I181" s="19">
        <f t="shared" si="0"/>
        <v>1</v>
      </c>
      <c r="J181" s="19" t="s">
        <v>356</v>
      </c>
      <c r="K181" s="19" t="s">
        <v>34</v>
      </c>
      <c r="L181" s="15" t="b">
        <f>OR(C181='Cocktail Finder'!$B$2,ISBLANK('Cocktail Finder'!$B$2))</f>
        <v>1</v>
      </c>
      <c r="M181" s="15" t="b">
        <f>OR(D181='Cocktail Finder'!$B$7,ISBLANK('Cocktail Finder'!$B$7))</f>
        <v>1</v>
      </c>
      <c r="N181" s="15" t="b">
        <f>OR(E181='Cocktail Finder'!$B$5,ISBLANK('Cocktail Finder'!$B$5))</f>
        <v>1</v>
      </c>
      <c r="O181" s="15" t="b">
        <f>OR(F181='Cocktail Finder'!$B$4,ISBLANK('Cocktail Finder'!$B$4))</f>
        <v>1</v>
      </c>
      <c r="P181" s="15" t="b">
        <f>OR(G181='Cocktail Finder'!$B$3,ISBLANK('Cocktail Finder'!$B$3))</f>
        <v>1</v>
      </c>
      <c r="Q181" s="15" t="b">
        <f>OR(H181='Cocktail Finder'!$B$6,ISBLANK('Cocktail Finder'!$B$6))</f>
        <v>1</v>
      </c>
      <c r="R181" s="15" t="str">
        <f t="shared" ref="R181:T181" si="182">IFERROR(FIND("juice",E181),"")</f>
        <v/>
      </c>
      <c r="S181" s="15" t="str">
        <f t="shared" si="182"/>
        <v/>
      </c>
      <c r="T181" s="15" t="str">
        <f t="shared" si="182"/>
        <v/>
      </c>
      <c r="U181" s="15" t="str">
        <f t="shared" si="2"/>
        <v/>
      </c>
    </row>
    <row r="182" spans="1:21" ht="15.75" customHeight="1" x14ac:dyDescent="0.2">
      <c r="A182" s="19">
        <f t="shared" si="3"/>
        <v>181</v>
      </c>
      <c r="B182" s="19" t="s">
        <v>358</v>
      </c>
      <c r="C182" s="19" t="s">
        <v>357</v>
      </c>
      <c r="D182" s="19" t="s">
        <v>30</v>
      </c>
      <c r="E182" s="19"/>
      <c r="F182" s="19" t="s">
        <v>32</v>
      </c>
      <c r="G182" s="19" t="s">
        <v>33</v>
      </c>
      <c r="H182" s="19" t="s">
        <v>33</v>
      </c>
      <c r="I182" s="19">
        <f t="shared" si="0"/>
        <v>1</v>
      </c>
      <c r="J182" s="19" t="s">
        <v>358</v>
      </c>
      <c r="K182" s="19" t="s">
        <v>34</v>
      </c>
      <c r="L182" s="15" t="b">
        <f>OR(C182='Cocktail Finder'!$B$2,ISBLANK('Cocktail Finder'!$B$2))</f>
        <v>1</v>
      </c>
      <c r="M182" s="15" t="b">
        <f>OR(D182='Cocktail Finder'!$B$7,ISBLANK('Cocktail Finder'!$B$7))</f>
        <v>1</v>
      </c>
      <c r="N182" s="15" t="b">
        <f>OR(E182='Cocktail Finder'!$B$5,ISBLANK('Cocktail Finder'!$B$5))</f>
        <v>1</v>
      </c>
      <c r="O182" s="15" t="b">
        <f>OR(F182='Cocktail Finder'!$B$4,ISBLANK('Cocktail Finder'!$B$4))</f>
        <v>1</v>
      </c>
      <c r="P182" s="15" t="b">
        <f>OR(G182='Cocktail Finder'!$B$3,ISBLANK('Cocktail Finder'!$B$3))</f>
        <v>1</v>
      </c>
      <c r="Q182" s="15" t="b">
        <f>OR(H182='Cocktail Finder'!$B$6,ISBLANK('Cocktail Finder'!$B$6))</f>
        <v>1</v>
      </c>
      <c r="R182" s="15" t="str">
        <f t="shared" ref="R182:T182" si="183">IFERROR(FIND("juice",E182),"")</f>
        <v/>
      </c>
      <c r="S182" s="15" t="str">
        <f t="shared" si="183"/>
        <v/>
      </c>
      <c r="T182" s="15" t="str">
        <f t="shared" si="183"/>
        <v/>
      </c>
      <c r="U182" s="15" t="str">
        <f t="shared" si="2"/>
        <v/>
      </c>
    </row>
    <row r="183" spans="1:21" ht="15.75" customHeight="1" x14ac:dyDescent="0.2">
      <c r="A183" s="19">
        <f t="shared" si="3"/>
        <v>182</v>
      </c>
      <c r="B183" s="19" t="s">
        <v>359</v>
      </c>
      <c r="C183" s="19" t="s">
        <v>357</v>
      </c>
      <c r="D183" s="19" t="s">
        <v>31</v>
      </c>
      <c r="E183" s="19"/>
      <c r="F183" s="19" t="s">
        <v>33</v>
      </c>
      <c r="G183" s="19" t="s">
        <v>33</v>
      </c>
      <c r="H183" s="19" t="s">
        <v>33</v>
      </c>
      <c r="I183" s="19">
        <f t="shared" si="0"/>
        <v>1</v>
      </c>
      <c r="J183" s="19" t="s">
        <v>359</v>
      </c>
      <c r="K183" s="19" t="s">
        <v>34</v>
      </c>
      <c r="L183" s="15" t="b">
        <f>OR(C183='Cocktail Finder'!$B$2,ISBLANK('Cocktail Finder'!$B$2))</f>
        <v>1</v>
      </c>
      <c r="M183" s="15" t="b">
        <f>OR(D183='Cocktail Finder'!$B$7,ISBLANK('Cocktail Finder'!$B$7))</f>
        <v>1</v>
      </c>
      <c r="N183" s="15" t="b">
        <f>OR(E183='Cocktail Finder'!$B$5,ISBLANK('Cocktail Finder'!$B$5))</f>
        <v>1</v>
      </c>
      <c r="O183" s="15" t="b">
        <f>OR(F183='Cocktail Finder'!$B$4,ISBLANK('Cocktail Finder'!$B$4))</f>
        <v>1</v>
      </c>
      <c r="P183" s="15" t="b">
        <f>OR(G183='Cocktail Finder'!$B$3,ISBLANK('Cocktail Finder'!$B$3))</f>
        <v>1</v>
      </c>
      <c r="Q183" s="15" t="b">
        <f>OR(H183='Cocktail Finder'!$B$6,ISBLANK('Cocktail Finder'!$B$6))</f>
        <v>1</v>
      </c>
      <c r="R183" s="15" t="str">
        <f t="shared" ref="R183:T183" si="184">IFERROR(FIND("juice",E183),"")</f>
        <v/>
      </c>
      <c r="S183" s="15" t="str">
        <f t="shared" si="184"/>
        <v/>
      </c>
      <c r="T183" s="15" t="str">
        <f t="shared" si="184"/>
        <v/>
      </c>
      <c r="U183" s="15" t="str">
        <f t="shared" si="2"/>
        <v/>
      </c>
    </row>
    <row r="184" spans="1:21" ht="15.75" customHeight="1" x14ac:dyDescent="0.2">
      <c r="A184" s="19">
        <f t="shared" si="3"/>
        <v>183</v>
      </c>
      <c r="B184" s="19" t="s">
        <v>360</v>
      </c>
      <c r="C184" s="19" t="s">
        <v>357</v>
      </c>
      <c r="D184" s="19" t="s">
        <v>36</v>
      </c>
      <c r="E184" s="19"/>
      <c r="F184" s="19" t="s">
        <v>33</v>
      </c>
      <c r="G184" s="19" t="s">
        <v>33</v>
      </c>
      <c r="H184" s="19" t="s">
        <v>33</v>
      </c>
      <c r="I184" s="19">
        <f t="shared" si="0"/>
        <v>1</v>
      </c>
      <c r="J184" s="19" t="s">
        <v>360</v>
      </c>
      <c r="K184" s="19" t="s">
        <v>34</v>
      </c>
      <c r="L184" s="15" t="b">
        <f>OR(C184='Cocktail Finder'!$B$2,ISBLANK('Cocktail Finder'!$B$2))</f>
        <v>1</v>
      </c>
      <c r="M184" s="15" t="b">
        <f>OR(D184='Cocktail Finder'!$B$7,ISBLANK('Cocktail Finder'!$B$7))</f>
        <v>1</v>
      </c>
      <c r="N184" s="15" t="b">
        <f>OR(E184='Cocktail Finder'!$B$5,ISBLANK('Cocktail Finder'!$B$5))</f>
        <v>1</v>
      </c>
      <c r="O184" s="15" t="b">
        <f>OR(F184='Cocktail Finder'!$B$4,ISBLANK('Cocktail Finder'!$B$4))</f>
        <v>1</v>
      </c>
      <c r="P184" s="15" t="b">
        <f>OR(G184='Cocktail Finder'!$B$3,ISBLANK('Cocktail Finder'!$B$3))</f>
        <v>1</v>
      </c>
      <c r="Q184" s="15" t="b">
        <f>OR(H184='Cocktail Finder'!$B$6,ISBLANK('Cocktail Finder'!$B$6))</f>
        <v>1</v>
      </c>
      <c r="R184" s="15" t="str">
        <f t="shared" ref="R184:T184" si="185">IFERROR(FIND("juice",E184),"")</f>
        <v/>
      </c>
      <c r="S184" s="15" t="str">
        <f t="shared" si="185"/>
        <v/>
      </c>
      <c r="T184" s="15" t="str">
        <f t="shared" si="185"/>
        <v/>
      </c>
      <c r="U184" s="15" t="str">
        <f t="shared" si="2"/>
        <v/>
      </c>
    </row>
    <row r="185" spans="1:21" ht="15.75" customHeight="1" x14ac:dyDescent="0.2">
      <c r="A185" s="19">
        <f t="shared" si="3"/>
        <v>184</v>
      </c>
      <c r="B185" s="19" t="s">
        <v>361</v>
      </c>
      <c r="C185" s="19" t="s">
        <v>357</v>
      </c>
      <c r="D185" s="19" t="s">
        <v>36</v>
      </c>
      <c r="E185" s="19"/>
      <c r="F185" s="19" t="s">
        <v>32</v>
      </c>
      <c r="G185" s="19" t="s">
        <v>33</v>
      </c>
      <c r="H185" s="19" t="s">
        <v>33</v>
      </c>
      <c r="I185" s="19">
        <f t="shared" si="0"/>
        <v>1</v>
      </c>
      <c r="J185" s="19" t="s">
        <v>361</v>
      </c>
      <c r="K185" s="19" t="s">
        <v>34</v>
      </c>
      <c r="L185" s="15" t="b">
        <f>OR(C185='Cocktail Finder'!$B$2,ISBLANK('Cocktail Finder'!$B$2))</f>
        <v>1</v>
      </c>
      <c r="M185" s="15" t="b">
        <f>OR(D185='Cocktail Finder'!$B$7,ISBLANK('Cocktail Finder'!$B$7))</f>
        <v>1</v>
      </c>
      <c r="N185" s="15" t="b">
        <f>OR(E185='Cocktail Finder'!$B$5,ISBLANK('Cocktail Finder'!$B$5))</f>
        <v>1</v>
      </c>
      <c r="O185" s="15" t="b">
        <f>OR(F185='Cocktail Finder'!$B$4,ISBLANK('Cocktail Finder'!$B$4))</f>
        <v>1</v>
      </c>
      <c r="P185" s="15" t="b">
        <f>OR(G185='Cocktail Finder'!$B$3,ISBLANK('Cocktail Finder'!$B$3))</f>
        <v>1</v>
      </c>
      <c r="Q185" s="15" t="b">
        <f>OR(H185='Cocktail Finder'!$B$6,ISBLANK('Cocktail Finder'!$B$6))</f>
        <v>1</v>
      </c>
      <c r="R185" s="15" t="str">
        <f t="shared" ref="R185:T185" si="186">IFERROR(FIND("juice",E185),"")</f>
        <v/>
      </c>
      <c r="S185" s="15" t="str">
        <f t="shared" si="186"/>
        <v/>
      </c>
      <c r="T185" s="15" t="str">
        <f t="shared" si="186"/>
        <v/>
      </c>
      <c r="U185" s="15" t="str">
        <f t="shared" si="2"/>
        <v/>
      </c>
    </row>
    <row r="186" spans="1:21" ht="15.75" customHeight="1" x14ac:dyDescent="0.2">
      <c r="A186" s="19">
        <f t="shared" si="3"/>
        <v>185</v>
      </c>
      <c r="B186" s="19" t="s">
        <v>362</v>
      </c>
      <c r="C186" s="19" t="s">
        <v>357</v>
      </c>
      <c r="D186" s="19" t="s">
        <v>36</v>
      </c>
      <c r="E186" s="19"/>
      <c r="F186" s="19" t="s">
        <v>253</v>
      </c>
      <c r="G186" s="19" t="s">
        <v>33</v>
      </c>
      <c r="H186" s="19" t="s">
        <v>33</v>
      </c>
      <c r="I186" s="19">
        <f t="shared" si="0"/>
        <v>1</v>
      </c>
      <c r="J186" s="19" t="s">
        <v>362</v>
      </c>
      <c r="K186" s="19" t="s">
        <v>34</v>
      </c>
      <c r="L186" s="15" t="b">
        <f>OR(C186='Cocktail Finder'!$B$2,ISBLANK('Cocktail Finder'!$B$2))</f>
        <v>1</v>
      </c>
      <c r="M186" s="15" t="b">
        <f>OR(D186='Cocktail Finder'!$B$7,ISBLANK('Cocktail Finder'!$B$7))</f>
        <v>1</v>
      </c>
      <c r="N186" s="15" t="b">
        <f>OR(E186='Cocktail Finder'!$B$5,ISBLANK('Cocktail Finder'!$B$5))</f>
        <v>1</v>
      </c>
      <c r="O186" s="15" t="b">
        <f>OR(F186='Cocktail Finder'!$B$4,ISBLANK('Cocktail Finder'!$B$4))</f>
        <v>1</v>
      </c>
      <c r="P186" s="15" t="b">
        <f>OR(G186='Cocktail Finder'!$B$3,ISBLANK('Cocktail Finder'!$B$3))</f>
        <v>1</v>
      </c>
      <c r="Q186" s="15" t="b">
        <f>OR(H186='Cocktail Finder'!$B$6,ISBLANK('Cocktail Finder'!$B$6))</f>
        <v>1</v>
      </c>
      <c r="R186" s="15" t="str">
        <f t="shared" ref="R186:T186" si="187">IFERROR(FIND("juice",E186),"")</f>
        <v/>
      </c>
      <c r="S186" s="15" t="str">
        <f t="shared" si="187"/>
        <v/>
      </c>
      <c r="T186" s="15" t="str">
        <f t="shared" si="187"/>
        <v/>
      </c>
      <c r="U186" s="15" t="str">
        <f t="shared" si="2"/>
        <v/>
      </c>
    </row>
    <row r="187" spans="1:21" ht="15.75" customHeight="1" x14ac:dyDescent="0.2">
      <c r="A187" s="19">
        <f t="shared" si="3"/>
        <v>186</v>
      </c>
      <c r="B187" s="19" t="s">
        <v>363</v>
      </c>
      <c r="C187" s="19" t="s">
        <v>357</v>
      </c>
      <c r="D187" s="19" t="s">
        <v>31</v>
      </c>
      <c r="E187" s="19"/>
      <c r="F187" s="19" t="s">
        <v>33</v>
      </c>
      <c r="G187" s="19" t="s">
        <v>33</v>
      </c>
      <c r="H187" s="19" t="s">
        <v>33</v>
      </c>
      <c r="I187" s="19">
        <f t="shared" si="0"/>
        <v>1</v>
      </c>
      <c r="J187" s="19" t="s">
        <v>363</v>
      </c>
      <c r="K187" s="19" t="s">
        <v>34</v>
      </c>
      <c r="L187" s="15" t="b">
        <f>OR(C187='Cocktail Finder'!$B$2,ISBLANK('Cocktail Finder'!$B$2))</f>
        <v>1</v>
      </c>
      <c r="M187" s="15" t="b">
        <f>OR(D187='Cocktail Finder'!$B$7,ISBLANK('Cocktail Finder'!$B$7))</f>
        <v>1</v>
      </c>
      <c r="N187" s="15" t="b">
        <f>OR(E187='Cocktail Finder'!$B$5,ISBLANK('Cocktail Finder'!$B$5))</f>
        <v>1</v>
      </c>
      <c r="O187" s="15" t="b">
        <f>OR(F187='Cocktail Finder'!$B$4,ISBLANK('Cocktail Finder'!$B$4))</f>
        <v>1</v>
      </c>
      <c r="P187" s="15" t="b">
        <f>OR(G187='Cocktail Finder'!$B$3,ISBLANK('Cocktail Finder'!$B$3))</f>
        <v>1</v>
      </c>
      <c r="Q187" s="15" t="b">
        <f>OR(H187='Cocktail Finder'!$B$6,ISBLANK('Cocktail Finder'!$B$6))</f>
        <v>1</v>
      </c>
      <c r="R187" s="15" t="str">
        <f t="shared" ref="R187:T187" si="188">IFERROR(FIND("juice",E187),"")</f>
        <v/>
      </c>
      <c r="S187" s="15" t="str">
        <f t="shared" si="188"/>
        <v/>
      </c>
      <c r="T187" s="15" t="str">
        <f t="shared" si="188"/>
        <v/>
      </c>
      <c r="U187" s="15" t="str">
        <f t="shared" si="2"/>
        <v/>
      </c>
    </row>
    <row r="188" spans="1:21" ht="15.75" customHeight="1" x14ac:dyDescent="0.2">
      <c r="A188" s="19">
        <f t="shared" si="3"/>
        <v>187</v>
      </c>
      <c r="B188" s="20" t="s">
        <v>364</v>
      </c>
      <c r="C188" s="20" t="s">
        <v>357</v>
      </c>
      <c r="D188" s="20" t="s">
        <v>270</v>
      </c>
      <c r="E188" s="20"/>
      <c r="F188" s="20" t="s">
        <v>33</v>
      </c>
      <c r="G188" s="20" t="s">
        <v>33</v>
      </c>
      <c r="H188" s="20" t="s">
        <v>33</v>
      </c>
      <c r="I188" s="19">
        <f t="shared" si="0"/>
        <v>1</v>
      </c>
      <c r="J188" s="20" t="s">
        <v>364</v>
      </c>
      <c r="K188" s="20" t="s">
        <v>82</v>
      </c>
      <c r="L188" s="15" t="b">
        <f>OR(C188='Cocktail Finder'!$B$2,ISBLANK('Cocktail Finder'!$B$2))</f>
        <v>1</v>
      </c>
      <c r="M188" s="15" t="b">
        <f>OR(D188='Cocktail Finder'!$B$7,ISBLANK('Cocktail Finder'!$B$7))</f>
        <v>1</v>
      </c>
      <c r="N188" s="15" t="b">
        <f>OR(E188='Cocktail Finder'!$B$5,ISBLANK('Cocktail Finder'!$B$5))</f>
        <v>1</v>
      </c>
      <c r="O188" s="15" t="b">
        <f>OR(F188='Cocktail Finder'!$B$4,ISBLANK('Cocktail Finder'!$B$4))</f>
        <v>1</v>
      </c>
      <c r="P188" s="15" t="b">
        <f>OR(G188='Cocktail Finder'!$B$3,ISBLANK('Cocktail Finder'!$B$3))</f>
        <v>1</v>
      </c>
      <c r="Q188" s="15" t="b">
        <f>OR(H188='Cocktail Finder'!$B$6,ISBLANK('Cocktail Finder'!$B$6))</f>
        <v>1</v>
      </c>
      <c r="R188" s="15" t="str">
        <f t="shared" ref="R188:T188" si="189">IFERROR(FIND("juice",E188),"")</f>
        <v/>
      </c>
      <c r="S188" s="15" t="str">
        <f t="shared" si="189"/>
        <v/>
      </c>
      <c r="T188" s="15" t="str">
        <f t="shared" si="189"/>
        <v/>
      </c>
      <c r="U188" s="15" t="str">
        <f t="shared" si="2"/>
        <v/>
      </c>
    </row>
    <row r="189" spans="1:21" ht="15.75" customHeight="1" x14ac:dyDescent="0.2">
      <c r="A189" s="19">
        <f t="shared" si="3"/>
        <v>188</v>
      </c>
      <c r="B189" s="19" t="s">
        <v>365</v>
      </c>
      <c r="C189" s="19" t="s">
        <v>357</v>
      </c>
      <c r="D189" s="19" t="s">
        <v>158</v>
      </c>
      <c r="E189" s="19"/>
      <c r="F189" s="19" t="s">
        <v>33</v>
      </c>
      <c r="G189" s="19" t="s">
        <v>33</v>
      </c>
      <c r="H189" s="19" t="s">
        <v>33</v>
      </c>
      <c r="I189" s="19">
        <f t="shared" si="0"/>
        <v>1</v>
      </c>
      <c r="J189" s="19" t="s">
        <v>365</v>
      </c>
      <c r="K189" s="19" t="s">
        <v>82</v>
      </c>
      <c r="L189" s="15" t="b">
        <f>OR(C189='Cocktail Finder'!$B$2,ISBLANK('Cocktail Finder'!$B$2))</f>
        <v>1</v>
      </c>
      <c r="M189" s="15" t="b">
        <f>OR(D189='Cocktail Finder'!$B$7,ISBLANK('Cocktail Finder'!$B$7))</f>
        <v>1</v>
      </c>
      <c r="N189" s="15" t="b">
        <f>OR(E189='Cocktail Finder'!$B$5,ISBLANK('Cocktail Finder'!$B$5))</f>
        <v>1</v>
      </c>
      <c r="O189" s="15" t="b">
        <f>OR(F189='Cocktail Finder'!$B$4,ISBLANK('Cocktail Finder'!$B$4))</f>
        <v>1</v>
      </c>
      <c r="P189" s="15" t="b">
        <f>OR(G189='Cocktail Finder'!$B$3,ISBLANK('Cocktail Finder'!$B$3))</f>
        <v>1</v>
      </c>
      <c r="Q189" s="15" t="b">
        <f>OR(H189='Cocktail Finder'!$B$6,ISBLANK('Cocktail Finder'!$B$6))</f>
        <v>1</v>
      </c>
      <c r="R189" s="15" t="str">
        <f t="shared" ref="R189:T189" si="190">IFERROR(FIND("juice",E189),"")</f>
        <v/>
      </c>
      <c r="S189" s="15" t="str">
        <f t="shared" si="190"/>
        <v/>
      </c>
      <c r="T189" s="15" t="str">
        <f t="shared" si="190"/>
        <v/>
      </c>
      <c r="U189" s="15" t="str">
        <f t="shared" si="2"/>
        <v/>
      </c>
    </row>
    <row r="190" spans="1:21" ht="15.75" customHeight="1" x14ac:dyDescent="0.2">
      <c r="A190" s="19">
        <f t="shared" si="3"/>
        <v>189</v>
      </c>
      <c r="B190" s="19" t="s">
        <v>366</v>
      </c>
      <c r="C190" s="19" t="s">
        <v>357</v>
      </c>
      <c r="D190" s="19"/>
      <c r="E190" s="19" t="s">
        <v>126</v>
      </c>
      <c r="F190" s="19" t="s">
        <v>33</v>
      </c>
      <c r="G190" s="19" t="s">
        <v>33</v>
      </c>
      <c r="H190" s="19" t="s">
        <v>33</v>
      </c>
      <c r="I190" s="19">
        <f t="shared" si="0"/>
        <v>1</v>
      </c>
      <c r="J190" s="19" t="s">
        <v>366</v>
      </c>
      <c r="K190" s="19" t="s">
        <v>272</v>
      </c>
      <c r="L190" s="15" t="b">
        <f>OR(C190='Cocktail Finder'!$B$2,ISBLANK('Cocktail Finder'!$B$2))</f>
        <v>1</v>
      </c>
      <c r="M190" s="15" t="b">
        <f>OR(D190='Cocktail Finder'!$B$7,ISBLANK('Cocktail Finder'!$B$7))</f>
        <v>1</v>
      </c>
      <c r="N190" s="15" t="b">
        <f>OR(E190='Cocktail Finder'!$B$5,ISBLANK('Cocktail Finder'!$B$5))</f>
        <v>1</v>
      </c>
      <c r="O190" s="15" t="b">
        <f>OR(F190='Cocktail Finder'!$B$4,ISBLANK('Cocktail Finder'!$B$4))</f>
        <v>1</v>
      </c>
      <c r="P190" s="15" t="b">
        <f>OR(G190='Cocktail Finder'!$B$3,ISBLANK('Cocktail Finder'!$B$3))</f>
        <v>1</v>
      </c>
      <c r="Q190" s="15" t="b">
        <f>OR(H190='Cocktail Finder'!$B$6,ISBLANK('Cocktail Finder'!$B$6))</f>
        <v>1</v>
      </c>
      <c r="R190" s="15">
        <f t="shared" ref="R190:T190" si="191">IFERROR(FIND("juice",E190),"")</f>
        <v>8</v>
      </c>
      <c r="S190" s="15" t="str">
        <f t="shared" si="191"/>
        <v/>
      </c>
      <c r="T190" s="15" t="str">
        <f t="shared" si="191"/>
        <v/>
      </c>
      <c r="U190" s="15" t="str">
        <f t="shared" si="2"/>
        <v>orange juice</v>
      </c>
    </row>
    <row r="191" spans="1:21" ht="15.75" customHeight="1" x14ac:dyDescent="0.2">
      <c r="A191" s="19">
        <f t="shared" si="3"/>
        <v>190</v>
      </c>
      <c r="B191" s="19" t="s">
        <v>367</v>
      </c>
      <c r="C191" s="19" t="s">
        <v>357</v>
      </c>
      <c r="D191" s="19" t="s">
        <v>76</v>
      </c>
      <c r="E191" s="19" t="s">
        <v>126</v>
      </c>
      <c r="F191" s="19" t="s">
        <v>33</v>
      </c>
      <c r="G191" s="19" t="s">
        <v>33</v>
      </c>
      <c r="H191" s="19" t="s">
        <v>33</v>
      </c>
      <c r="I191" s="19">
        <f t="shared" si="0"/>
        <v>1</v>
      </c>
      <c r="J191" s="19" t="s">
        <v>367</v>
      </c>
      <c r="K191" s="19" t="s">
        <v>272</v>
      </c>
      <c r="L191" s="15" t="b">
        <f>OR(C191='Cocktail Finder'!$B$2,ISBLANK('Cocktail Finder'!$B$2))</f>
        <v>1</v>
      </c>
      <c r="M191" s="15" t="b">
        <f>OR(D191='Cocktail Finder'!$B$7,ISBLANK('Cocktail Finder'!$B$7))</f>
        <v>1</v>
      </c>
      <c r="N191" s="15" t="b">
        <f>OR(E191='Cocktail Finder'!$B$5,ISBLANK('Cocktail Finder'!$B$5))</f>
        <v>1</v>
      </c>
      <c r="O191" s="15" t="b">
        <f>OR(F191='Cocktail Finder'!$B$4,ISBLANK('Cocktail Finder'!$B$4))</f>
        <v>1</v>
      </c>
      <c r="P191" s="15" t="b">
        <f>OR(G191='Cocktail Finder'!$B$3,ISBLANK('Cocktail Finder'!$B$3))</f>
        <v>1</v>
      </c>
      <c r="Q191" s="15" t="b">
        <f>OR(H191='Cocktail Finder'!$B$6,ISBLANK('Cocktail Finder'!$B$6))</f>
        <v>1</v>
      </c>
      <c r="R191" s="15">
        <f t="shared" ref="R191:T191" si="192">IFERROR(FIND("juice",E191),"")</f>
        <v>8</v>
      </c>
      <c r="S191" s="15" t="str">
        <f t="shared" si="192"/>
        <v/>
      </c>
      <c r="T191" s="15" t="str">
        <f t="shared" si="192"/>
        <v/>
      </c>
      <c r="U191" s="15" t="str">
        <f t="shared" si="2"/>
        <v>orange juice</v>
      </c>
    </row>
    <row r="192" spans="1:21" ht="15.75" customHeight="1" x14ac:dyDescent="0.2">
      <c r="A192" s="19">
        <f t="shared" si="3"/>
        <v>191</v>
      </c>
      <c r="B192" s="19" t="s">
        <v>368</v>
      </c>
      <c r="C192" s="19" t="s">
        <v>357</v>
      </c>
      <c r="D192" s="19" t="s">
        <v>345</v>
      </c>
      <c r="E192" s="19" t="s">
        <v>126</v>
      </c>
      <c r="F192" s="19" t="s">
        <v>33</v>
      </c>
      <c r="G192" s="19" t="s">
        <v>33</v>
      </c>
      <c r="H192" s="19" t="s">
        <v>33</v>
      </c>
      <c r="I192" s="19">
        <f t="shared" si="0"/>
        <v>1</v>
      </c>
      <c r="J192" s="19" t="s">
        <v>368</v>
      </c>
      <c r="K192" s="19" t="s">
        <v>272</v>
      </c>
      <c r="L192" s="15" t="b">
        <f>OR(C192='Cocktail Finder'!$B$2,ISBLANK('Cocktail Finder'!$B$2))</f>
        <v>1</v>
      </c>
      <c r="M192" s="15" t="b">
        <f>OR(D192='Cocktail Finder'!$B$7,ISBLANK('Cocktail Finder'!$B$7))</f>
        <v>1</v>
      </c>
      <c r="N192" s="15" t="b">
        <f>OR(E192='Cocktail Finder'!$B$5,ISBLANK('Cocktail Finder'!$B$5))</f>
        <v>1</v>
      </c>
      <c r="O192" s="15" t="b">
        <f>OR(F192='Cocktail Finder'!$B$4,ISBLANK('Cocktail Finder'!$B$4))</f>
        <v>1</v>
      </c>
      <c r="P192" s="15" t="b">
        <f>OR(G192='Cocktail Finder'!$B$3,ISBLANK('Cocktail Finder'!$B$3))</f>
        <v>1</v>
      </c>
      <c r="Q192" s="15" t="b">
        <f>OR(H192='Cocktail Finder'!$B$6,ISBLANK('Cocktail Finder'!$B$6))</f>
        <v>1</v>
      </c>
      <c r="R192" s="15">
        <f t="shared" ref="R192:T192" si="193">IFERROR(FIND("juice",E192),"")</f>
        <v>8</v>
      </c>
      <c r="S192" s="15" t="str">
        <f t="shared" si="193"/>
        <v/>
      </c>
      <c r="T192" s="15" t="str">
        <f t="shared" si="193"/>
        <v/>
      </c>
      <c r="U192" s="15" t="str">
        <f t="shared" si="2"/>
        <v>orange juice</v>
      </c>
    </row>
    <row r="193" spans="1:22" ht="15.75" customHeight="1" x14ac:dyDescent="0.2">
      <c r="A193" s="19">
        <f t="shared" si="3"/>
        <v>192</v>
      </c>
      <c r="B193" s="19" t="s">
        <v>369</v>
      </c>
      <c r="C193" s="19" t="s">
        <v>357</v>
      </c>
      <c r="D193" s="19" t="s">
        <v>282</v>
      </c>
      <c r="E193" s="19" t="s">
        <v>126</v>
      </c>
      <c r="F193" s="19" t="s">
        <v>30</v>
      </c>
      <c r="G193" s="19" t="s">
        <v>33</v>
      </c>
      <c r="H193" s="19" t="s">
        <v>33</v>
      </c>
      <c r="I193" s="19">
        <f t="shared" si="0"/>
        <v>1</v>
      </c>
      <c r="J193" s="19" t="s">
        <v>369</v>
      </c>
      <c r="K193" s="19" t="s">
        <v>272</v>
      </c>
      <c r="L193" s="15" t="b">
        <f>OR(C193='Cocktail Finder'!$B$2,ISBLANK('Cocktail Finder'!$B$2))</f>
        <v>1</v>
      </c>
      <c r="M193" s="15" t="b">
        <f>OR(D193='Cocktail Finder'!$B$7,ISBLANK('Cocktail Finder'!$B$7))</f>
        <v>1</v>
      </c>
      <c r="N193" s="15" t="b">
        <f>OR(E193='Cocktail Finder'!$B$5,ISBLANK('Cocktail Finder'!$B$5))</f>
        <v>1</v>
      </c>
      <c r="O193" s="15" t="b">
        <f>OR(F193='Cocktail Finder'!$B$4,ISBLANK('Cocktail Finder'!$B$4))</f>
        <v>1</v>
      </c>
      <c r="P193" s="15" t="b">
        <f>OR(G193='Cocktail Finder'!$B$3,ISBLANK('Cocktail Finder'!$B$3))</f>
        <v>1</v>
      </c>
      <c r="Q193" s="15" t="b">
        <f>OR(H193='Cocktail Finder'!$B$6,ISBLANK('Cocktail Finder'!$B$6))</f>
        <v>1</v>
      </c>
      <c r="R193" s="15">
        <f t="shared" ref="R193:T193" si="194">IFERROR(FIND("juice",E193),"")</f>
        <v>8</v>
      </c>
      <c r="S193" s="15" t="str">
        <f t="shared" si="194"/>
        <v/>
      </c>
      <c r="T193" s="15" t="str">
        <f t="shared" si="194"/>
        <v/>
      </c>
      <c r="U193" s="15" t="str">
        <f t="shared" si="2"/>
        <v>orange juice</v>
      </c>
    </row>
    <row r="194" spans="1:22" ht="15.75" customHeight="1" x14ac:dyDescent="0.2">
      <c r="A194" s="19">
        <f t="shared" si="3"/>
        <v>193</v>
      </c>
      <c r="B194" s="19" t="s">
        <v>370</v>
      </c>
      <c r="C194" s="19" t="s">
        <v>357</v>
      </c>
      <c r="D194" s="19" t="s">
        <v>265</v>
      </c>
      <c r="E194" s="18" t="s">
        <v>126</v>
      </c>
      <c r="F194" s="19" t="s">
        <v>100</v>
      </c>
      <c r="G194" s="21" t="s">
        <v>78</v>
      </c>
      <c r="H194" s="19" t="s">
        <v>33</v>
      </c>
      <c r="I194" s="19">
        <f t="shared" si="0"/>
        <v>1</v>
      </c>
      <c r="J194" s="19" t="s">
        <v>370</v>
      </c>
      <c r="K194" s="19" t="s">
        <v>272</v>
      </c>
      <c r="L194" s="15" t="b">
        <f>OR(C194='Cocktail Finder'!$B$2,ISBLANK('Cocktail Finder'!$B$2))</f>
        <v>1</v>
      </c>
      <c r="M194" s="15" t="b">
        <f>OR(D194='Cocktail Finder'!$B$7,ISBLANK('Cocktail Finder'!$B$7))</f>
        <v>1</v>
      </c>
      <c r="N194" s="15" t="b">
        <f>OR(E194='Cocktail Finder'!$B$5,ISBLANK('Cocktail Finder'!$B$5))</f>
        <v>1</v>
      </c>
      <c r="O194" s="15" t="b">
        <f>OR(F194='Cocktail Finder'!$B$4,ISBLANK('Cocktail Finder'!$B$4))</f>
        <v>1</v>
      </c>
      <c r="P194" s="15" t="b">
        <f>OR(G194='Cocktail Finder'!$B$3,ISBLANK('Cocktail Finder'!$B$3))</f>
        <v>1</v>
      </c>
      <c r="Q194" s="15" t="b">
        <f>OR(H194='Cocktail Finder'!$B$6,ISBLANK('Cocktail Finder'!$B$6))</f>
        <v>1</v>
      </c>
      <c r="R194" s="15">
        <f t="shared" ref="R194:T194" si="195">IFERROR(FIND("juice",E194),"")</f>
        <v>8</v>
      </c>
      <c r="S194" s="15" t="str">
        <f t="shared" si="195"/>
        <v/>
      </c>
      <c r="T194" s="15">
        <f t="shared" si="195"/>
        <v>11</v>
      </c>
      <c r="U194" s="15" t="str">
        <f t="shared" si="2"/>
        <v>orange juice</v>
      </c>
      <c r="V194" s="11" t="s">
        <v>78</v>
      </c>
    </row>
    <row r="195" spans="1:22" ht="15.75" customHeight="1" x14ac:dyDescent="0.2">
      <c r="A195" s="19">
        <f t="shared" si="3"/>
        <v>194</v>
      </c>
      <c r="B195" s="19" t="s">
        <v>371</v>
      </c>
      <c r="C195" s="19" t="s">
        <v>357</v>
      </c>
      <c r="D195" s="19"/>
      <c r="E195" s="19" t="s">
        <v>134</v>
      </c>
      <c r="F195" s="19" t="s">
        <v>33</v>
      </c>
      <c r="G195" s="19" t="s">
        <v>33</v>
      </c>
      <c r="H195" s="19" t="s">
        <v>33</v>
      </c>
      <c r="I195" s="19">
        <f t="shared" si="0"/>
        <v>1</v>
      </c>
      <c r="J195" s="19" t="s">
        <v>371</v>
      </c>
      <c r="K195" s="19" t="s">
        <v>272</v>
      </c>
      <c r="L195" s="15" t="b">
        <f>OR(C195='Cocktail Finder'!$B$2,ISBLANK('Cocktail Finder'!$B$2))</f>
        <v>1</v>
      </c>
      <c r="M195" s="15" t="b">
        <f>OR(D195='Cocktail Finder'!$B$7,ISBLANK('Cocktail Finder'!$B$7))</f>
        <v>1</v>
      </c>
      <c r="N195" s="15" t="b">
        <f>OR(E195='Cocktail Finder'!$B$5,ISBLANK('Cocktail Finder'!$B$5))</f>
        <v>1</v>
      </c>
      <c r="O195" s="15" t="b">
        <f>OR(F195='Cocktail Finder'!$B$4,ISBLANK('Cocktail Finder'!$B$4))</f>
        <v>1</v>
      </c>
      <c r="P195" s="15" t="b">
        <f>OR(G195='Cocktail Finder'!$B$3,ISBLANK('Cocktail Finder'!$B$3))</f>
        <v>1</v>
      </c>
      <c r="Q195" s="15" t="b">
        <f>OR(H195='Cocktail Finder'!$B$6,ISBLANK('Cocktail Finder'!$B$6))</f>
        <v>1</v>
      </c>
      <c r="R195" s="15">
        <f t="shared" ref="R195:T195" si="196">IFERROR(FIND("juice",E195),"")</f>
        <v>12</v>
      </c>
      <c r="S195" s="15" t="str">
        <f t="shared" si="196"/>
        <v/>
      </c>
      <c r="T195" s="15" t="str">
        <f t="shared" si="196"/>
        <v/>
      </c>
      <c r="U195" s="15" t="str">
        <f t="shared" si="2"/>
        <v>grapefruit juice</v>
      </c>
    </row>
    <row r="196" spans="1:22" ht="15.75" customHeight="1" x14ac:dyDescent="0.2">
      <c r="A196" s="19">
        <f t="shared" si="3"/>
        <v>195</v>
      </c>
      <c r="B196" s="19" t="s">
        <v>372</v>
      </c>
      <c r="C196" s="19" t="s">
        <v>357</v>
      </c>
      <c r="D196" s="19"/>
      <c r="E196" s="19" t="s">
        <v>134</v>
      </c>
      <c r="F196" s="19" t="s">
        <v>348</v>
      </c>
      <c r="G196" s="19" t="s">
        <v>33</v>
      </c>
      <c r="H196" s="19" t="s">
        <v>33</v>
      </c>
      <c r="I196" s="19">
        <f t="shared" si="0"/>
        <v>1</v>
      </c>
      <c r="J196" s="19" t="s">
        <v>372</v>
      </c>
      <c r="K196" s="19" t="s">
        <v>272</v>
      </c>
      <c r="L196" s="15" t="b">
        <f>OR(C196='Cocktail Finder'!$B$2,ISBLANK('Cocktail Finder'!$B$2))</f>
        <v>1</v>
      </c>
      <c r="M196" s="15" t="b">
        <f>OR(D196='Cocktail Finder'!$B$7,ISBLANK('Cocktail Finder'!$B$7))</f>
        <v>1</v>
      </c>
      <c r="N196" s="15" t="b">
        <f>OR(E196='Cocktail Finder'!$B$5,ISBLANK('Cocktail Finder'!$B$5))</f>
        <v>1</v>
      </c>
      <c r="O196" s="15" t="b">
        <f>OR(F196='Cocktail Finder'!$B$4,ISBLANK('Cocktail Finder'!$B$4))</f>
        <v>1</v>
      </c>
      <c r="P196" s="15" t="b">
        <f>OR(G196='Cocktail Finder'!$B$3,ISBLANK('Cocktail Finder'!$B$3))</f>
        <v>1</v>
      </c>
      <c r="Q196" s="15" t="b">
        <f>OR(H196='Cocktail Finder'!$B$6,ISBLANK('Cocktail Finder'!$B$6))</f>
        <v>1</v>
      </c>
      <c r="R196" s="15">
        <f t="shared" ref="R196:T196" si="197">IFERROR(FIND("juice",E196),"")</f>
        <v>12</v>
      </c>
      <c r="S196" s="15" t="str">
        <f t="shared" si="197"/>
        <v/>
      </c>
      <c r="T196" s="15" t="str">
        <f t="shared" si="197"/>
        <v/>
      </c>
      <c r="U196" s="15" t="str">
        <f t="shared" si="2"/>
        <v>grapefruit juice</v>
      </c>
    </row>
    <row r="197" spans="1:22" ht="15.75" customHeight="1" x14ac:dyDescent="0.2">
      <c r="A197" s="19">
        <f t="shared" si="3"/>
        <v>196</v>
      </c>
      <c r="B197" s="19" t="s">
        <v>373</v>
      </c>
      <c r="C197" s="19" t="s">
        <v>357</v>
      </c>
      <c r="D197" s="19"/>
      <c r="E197" s="19" t="s">
        <v>45</v>
      </c>
      <c r="F197" s="19" t="s">
        <v>33</v>
      </c>
      <c r="G197" s="19" t="s">
        <v>33</v>
      </c>
      <c r="H197" s="19" t="s">
        <v>33</v>
      </c>
      <c r="I197" s="19">
        <f t="shared" si="0"/>
        <v>1</v>
      </c>
      <c r="J197" s="19" t="s">
        <v>373</v>
      </c>
      <c r="K197" s="19" t="s">
        <v>274</v>
      </c>
      <c r="L197" s="15" t="b">
        <f>OR(C197='Cocktail Finder'!$B$2,ISBLANK('Cocktail Finder'!$B$2))</f>
        <v>1</v>
      </c>
      <c r="M197" s="15" t="b">
        <f>OR(D197='Cocktail Finder'!$B$7,ISBLANK('Cocktail Finder'!$B$7))</f>
        <v>1</v>
      </c>
      <c r="N197" s="15" t="b">
        <f>OR(E197='Cocktail Finder'!$B$5,ISBLANK('Cocktail Finder'!$B$5))</f>
        <v>1</v>
      </c>
      <c r="O197" s="15" t="b">
        <f>OR(F197='Cocktail Finder'!$B$4,ISBLANK('Cocktail Finder'!$B$4))</f>
        <v>1</v>
      </c>
      <c r="P197" s="15" t="b">
        <f>OR(G197='Cocktail Finder'!$B$3,ISBLANK('Cocktail Finder'!$B$3))</f>
        <v>1</v>
      </c>
      <c r="Q197" s="15" t="b">
        <f>OR(H197='Cocktail Finder'!$B$6,ISBLANK('Cocktail Finder'!$B$6))</f>
        <v>1</v>
      </c>
      <c r="R197" s="15">
        <f t="shared" ref="R197:T197" si="198">IFERROR(FIND("juice",E197),"")</f>
        <v>11</v>
      </c>
      <c r="S197" s="15" t="str">
        <f t="shared" si="198"/>
        <v/>
      </c>
      <c r="T197" s="15" t="str">
        <f t="shared" si="198"/>
        <v/>
      </c>
      <c r="U197" s="15" t="str">
        <f t="shared" si="2"/>
        <v>cranberry juice</v>
      </c>
    </row>
    <row r="198" spans="1:22" ht="15.75" customHeight="1" x14ac:dyDescent="0.2">
      <c r="A198" s="19">
        <f t="shared" si="3"/>
        <v>197</v>
      </c>
      <c r="B198" s="19" t="s">
        <v>374</v>
      </c>
      <c r="C198" s="19" t="s">
        <v>357</v>
      </c>
      <c r="D198" s="19"/>
      <c r="E198" s="19" t="s">
        <v>45</v>
      </c>
      <c r="F198" s="19" t="s">
        <v>134</v>
      </c>
      <c r="G198" s="19" t="s">
        <v>33</v>
      </c>
      <c r="H198" s="19" t="s">
        <v>33</v>
      </c>
      <c r="I198" s="19">
        <f t="shared" si="0"/>
        <v>1</v>
      </c>
      <c r="J198" s="19" t="s">
        <v>374</v>
      </c>
      <c r="K198" s="19" t="s">
        <v>274</v>
      </c>
      <c r="L198" s="15" t="b">
        <f>OR(C198='Cocktail Finder'!$B$2,ISBLANK('Cocktail Finder'!$B$2))</f>
        <v>1</v>
      </c>
      <c r="M198" s="15" t="b">
        <f>OR(D198='Cocktail Finder'!$B$7,ISBLANK('Cocktail Finder'!$B$7))</f>
        <v>1</v>
      </c>
      <c r="N198" s="15" t="b">
        <f>OR(E198='Cocktail Finder'!$B$5,ISBLANK('Cocktail Finder'!$B$5))</f>
        <v>1</v>
      </c>
      <c r="O198" s="15" t="b">
        <f>OR(F198='Cocktail Finder'!$B$4,ISBLANK('Cocktail Finder'!$B$4))</f>
        <v>1</v>
      </c>
      <c r="P198" s="15" t="b">
        <f>OR(G198='Cocktail Finder'!$B$3,ISBLANK('Cocktail Finder'!$B$3))</f>
        <v>1</v>
      </c>
      <c r="Q198" s="15" t="b">
        <f>OR(H198='Cocktail Finder'!$B$6,ISBLANK('Cocktail Finder'!$B$6))</f>
        <v>1</v>
      </c>
      <c r="R198" s="15">
        <f t="shared" ref="R198:T198" si="199">IFERROR(FIND("juice",E198),"")</f>
        <v>11</v>
      </c>
      <c r="S198" s="15">
        <f t="shared" si="199"/>
        <v>12</v>
      </c>
      <c r="T198" s="15" t="str">
        <f t="shared" si="199"/>
        <v/>
      </c>
      <c r="U198" s="15" t="str">
        <f t="shared" si="2"/>
        <v>cranberry juice</v>
      </c>
    </row>
    <row r="199" spans="1:22" ht="15.75" customHeight="1" x14ac:dyDescent="0.2">
      <c r="A199" s="19">
        <f t="shared" si="3"/>
        <v>198</v>
      </c>
      <c r="B199" s="19" t="s">
        <v>375</v>
      </c>
      <c r="C199" s="19" t="s">
        <v>357</v>
      </c>
      <c r="D199" s="19"/>
      <c r="E199" s="19" t="s">
        <v>45</v>
      </c>
      <c r="F199" s="19" t="s">
        <v>126</v>
      </c>
      <c r="G199" s="19" t="s">
        <v>33</v>
      </c>
      <c r="H199" s="19" t="s">
        <v>33</v>
      </c>
      <c r="I199" s="19">
        <f t="shared" si="0"/>
        <v>1</v>
      </c>
      <c r="J199" s="19" t="s">
        <v>375</v>
      </c>
      <c r="K199" s="19" t="s">
        <v>274</v>
      </c>
      <c r="L199" s="15" t="b">
        <f>OR(C199='Cocktail Finder'!$B$2,ISBLANK('Cocktail Finder'!$B$2))</f>
        <v>1</v>
      </c>
      <c r="M199" s="15" t="b">
        <f>OR(D199='Cocktail Finder'!$B$7,ISBLANK('Cocktail Finder'!$B$7))</f>
        <v>1</v>
      </c>
      <c r="N199" s="15" t="b">
        <f>OR(E199='Cocktail Finder'!$B$5,ISBLANK('Cocktail Finder'!$B$5))</f>
        <v>1</v>
      </c>
      <c r="O199" s="15" t="b">
        <f>OR(F199='Cocktail Finder'!$B$4,ISBLANK('Cocktail Finder'!$B$4))</f>
        <v>1</v>
      </c>
      <c r="P199" s="15" t="b">
        <f>OR(G199='Cocktail Finder'!$B$3,ISBLANK('Cocktail Finder'!$B$3))</f>
        <v>1</v>
      </c>
      <c r="Q199" s="15" t="b">
        <f>OR(H199='Cocktail Finder'!$B$6,ISBLANK('Cocktail Finder'!$B$6))</f>
        <v>1</v>
      </c>
      <c r="R199" s="15">
        <f t="shared" ref="R199:T199" si="200">IFERROR(FIND("juice",E199),"")</f>
        <v>11</v>
      </c>
      <c r="S199" s="15">
        <f t="shared" si="200"/>
        <v>8</v>
      </c>
      <c r="T199" s="15" t="str">
        <f t="shared" si="200"/>
        <v/>
      </c>
      <c r="U199" s="15" t="str">
        <f t="shared" si="2"/>
        <v>cranberry juice</v>
      </c>
    </row>
    <row r="200" spans="1:22" ht="15.75" customHeight="1" x14ac:dyDescent="0.2">
      <c r="A200" s="19">
        <f t="shared" si="3"/>
        <v>199</v>
      </c>
      <c r="B200" s="19" t="s">
        <v>376</v>
      </c>
      <c r="C200" s="19" t="s">
        <v>357</v>
      </c>
      <c r="D200" s="19" t="s">
        <v>76</v>
      </c>
      <c r="E200" s="19" t="s">
        <v>45</v>
      </c>
      <c r="F200" s="19" t="s">
        <v>126</v>
      </c>
      <c r="G200" s="19" t="s">
        <v>33</v>
      </c>
      <c r="H200" s="19" t="s">
        <v>33</v>
      </c>
      <c r="I200" s="19">
        <f t="shared" si="0"/>
        <v>1</v>
      </c>
      <c r="J200" s="19" t="s">
        <v>376</v>
      </c>
      <c r="K200" s="19" t="s">
        <v>274</v>
      </c>
      <c r="L200" s="15" t="b">
        <f>OR(C200='Cocktail Finder'!$B$2,ISBLANK('Cocktail Finder'!$B$2))</f>
        <v>1</v>
      </c>
      <c r="M200" s="15" t="b">
        <f>OR(D200='Cocktail Finder'!$B$7,ISBLANK('Cocktail Finder'!$B$7))</f>
        <v>1</v>
      </c>
      <c r="N200" s="15" t="b">
        <f>OR(E200='Cocktail Finder'!$B$5,ISBLANK('Cocktail Finder'!$B$5))</f>
        <v>1</v>
      </c>
      <c r="O200" s="15" t="b">
        <f>OR(F200='Cocktail Finder'!$B$4,ISBLANK('Cocktail Finder'!$B$4))</f>
        <v>1</v>
      </c>
      <c r="P200" s="15" t="b">
        <f>OR(G200='Cocktail Finder'!$B$3,ISBLANK('Cocktail Finder'!$B$3))</f>
        <v>1</v>
      </c>
      <c r="Q200" s="15" t="b">
        <f>OR(H200='Cocktail Finder'!$B$6,ISBLANK('Cocktail Finder'!$B$6))</f>
        <v>1</v>
      </c>
      <c r="R200" s="15">
        <f t="shared" ref="R200:T200" si="201">IFERROR(FIND("juice",E200),"")</f>
        <v>11</v>
      </c>
      <c r="S200" s="15">
        <f t="shared" si="201"/>
        <v>8</v>
      </c>
      <c r="T200" s="15" t="str">
        <f t="shared" si="201"/>
        <v/>
      </c>
      <c r="U200" s="15" t="str">
        <f t="shared" si="2"/>
        <v>cranberry juice</v>
      </c>
    </row>
    <row r="201" spans="1:22" ht="15.75" customHeight="1" x14ac:dyDescent="0.2">
      <c r="A201" s="19">
        <f t="shared" si="3"/>
        <v>200</v>
      </c>
      <c r="B201" s="19" t="s">
        <v>377</v>
      </c>
      <c r="C201" s="19" t="s">
        <v>357</v>
      </c>
      <c r="D201" s="19" t="s">
        <v>76</v>
      </c>
      <c r="E201" s="19" t="s">
        <v>45</v>
      </c>
      <c r="F201" s="19" t="s">
        <v>33</v>
      </c>
      <c r="G201" s="19" t="s">
        <v>33</v>
      </c>
      <c r="H201" s="19" t="s">
        <v>33</v>
      </c>
      <c r="I201" s="19">
        <f t="shared" si="0"/>
        <v>1</v>
      </c>
      <c r="J201" s="19" t="s">
        <v>377</v>
      </c>
      <c r="K201" s="19" t="s">
        <v>274</v>
      </c>
      <c r="L201" s="15" t="b">
        <f>OR(C201='Cocktail Finder'!$B$2,ISBLANK('Cocktail Finder'!$B$2))</f>
        <v>1</v>
      </c>
      <c r="M201" s="15" t="b">
        <f>OR(D201='Cocktail Finder'!$B$7,ISBLANK('Cocktail Finder'!$B$7))</f>
        <v>1</v>
      </c>
      <c r="N201" s="15" t="b">
        <f>OR(E201='Cocktail Finder'!$B$5,ISBLANK('Cocktail Finder'!$B$5))</f>
        <v>1</v>
      </c>
      <c r="O201" s="15" t="b">
        <f>OR(F201='Cocktail Finder'!$B$4,ISBLANK('Cocktail Finder'!$B$4))</f>
        <v>1</v>
      </c>
      <c r="P201" s="15" t="b">
        <f>OR(G201='Cocktail Finder'!$B$3,ISBLANK('Cocktail Finder'!$B$3))</f>
        <v>1</v>
      </c>
      <c r="Q201" s="15" t="b">
        <f>OR(H201='Cocktail Finder'!$B$6,ISBLANK('Cocktail Finder'!$B$6))</f>
        <v>1</v>
      </c>
      <c r="R201" s="15">
        <f t="shared" ref="R201:T201" si="202">IFERROR(FIND("juice",E201),"")</f>
        <v>11</v>
      </c>
      <c r="S201" s="15" t="str">
        <f t="shared" si="202"/>
        <v/>
      </c>
      <c r="T201" s="15" t="str">
        <f t="shared" si="202"/>
        <v/>
      </c>
      <c r="U201" s="15" t="str">
        <f t="shared" si="2"/>
        <v>cranberry juice</v>
      </c>
    </row>
    <row r="202" spans="1:22" ht="15.75" customHeight="1" x14ac:dyDescent="0.2">
      <c r="A202" s="19">
        <f t="shared" si="3"/>
        <v>201</v>
      </c>
      <c r="B202" s="19" t="s">
        <v>378</v>
      </c>
      <c r="C202" s="19" t="s">
        <v>357</v>
      </c>
      <c r="D202" s="19"/>
      <c r="E202" s="19" t="s">
        <v>38</v>
      </c>
      <c r="F202" s="19" t="s">
        <v>115</v>
      </c>
      <c r="G202" s="19" t="s">
        <v>379</v>
      </c>
      <c r="H202" s="19" t="s">
        <v>33</v>
      </c>
      <c r="I202" s="19">
        <f t="shared" si="0"/>
        <v>1</v>
      </c>
      <c r="J202" s="19" t="s">
        <v>378</v>
      </c>
      <c r="K202" s="19" t="s">
        <v>39</v>
      </c>
      <c r="L202" s="15" t="b">
        <f>OR(C202='Cocktail Finder'!$B$2,ISBLANK('Cocktail Finder'!$B$2))</f>
        <v>1</v>
      </c>
      <c r="M202" s="15" t="b">
        <f>OR(D202='Cocktail Finder'!$B$7,ISBLANK('Cocktail Finder'!$B$7))</f>
        <v>1</v>
      </c>
      <c r="N202" s="15" t="b">
        <f>OR(E202='Cocktail Finder'!$B$5,ISBLANK('Cocktail Finder'!$B$5))</f>
        <v>1</v>
      </c>
      <c r="O202" s="15" t="b">
        <f>OR(F202='Cocktail Finder'!$B$4,ISBLANK('Cocktail Finder'!$B$4))</f>
        <v>1</v>
      </c>
      <c r="P202" s="15" t="b">
        <f>OR(G202='Cocktail Finder'!$B$3,ISBLANK('Cocktail Finder'!$B$3))</f>
        <v>1</v>
      </c>
      <c r="Q202" s="15" t="b">
        <f>OR(H202='Cocktail Finder'!$B$6,ISBLANK('Cocktail Finder'!$B$6))</f>
        <v>1</v>
      </c>
      <c r="R202" s="15">
        <f t="shared" ref="R202:T202" si="203">IFERROR(FIND("juice",E202),"")</f>
        <v>7</v>
      </c>
      <c r="S202" s="15">
        <f t="shared" si="203"/>
        <v>11</v>
      </c>
      <c r="T202" s="15" t="str">
        <f t="shared" si="203"/>
        <v/>
      </c>
      <c r="U202" s="15" t="str">
        <f t="shared" si="2"/>
        <v>lemon juice</v>
      </c>
    </row>
    <row r="203" spans="1:22" ht="15.75" customHeight="1" x14ac:dyDescent="0.2">
      <c r="A203" s="19">
        <f t="shared" si="3"/>
        <v>202</v>
      </c>
      <c r="B203" s="19" t="s">
        <v>380</v>
      </c>
      <c r="C203" s="19" t="s">
        <v>357</v>
      </c>
      <c r="D203" s="19" t="s">
        <v>31</v>
      </c>
      <c r="E203" s="19" t="s">
        <v>38</v>
      </c>
      <c r="F203" s="19" t="s">
        <v>55</v>
      </c>
      <c r="G203" s="19" t="s">
        <v>33</v>
      </c>
      <c r="H203" s="19" t="s">
        <v>33</v>
      </c>
      <c r="I203" s="19">
        <f t="shared" si="0"/>
        <v>1</v>
      </c>
      <c r="J203" s="19" t="s">
        <v>380</v>
      </c>
      <c r="K203" s="19" t="s">
        <v>44</v>
      </c>
      <c r="L203" s="15" t="b">
        <f>OR(C203='Cocktail Finder'!$B$2,ISBLANK('Cocktail Finder'!$B$2))</f>
        <v>1</v>
      </c>
      <c r="M203" s="15" t="b">
        <f>OR(D203='Cocktail Finder'!$B$7,ISBLANK('Cocktail Finder'!$B$7))</f>
        <v>1</v>
      </c>
      <c r="N203" s="15" t="b">
        <f>OR(E203='Cocktail Finder'!$B$5,ISBLANK('Cocktail Finder'!$B$5))</f>
        <v>1</v>
      </c>
      <c r="O203" s="15" t="b">
        <f>OR(F203='Cocktail Finder'!$B$4,ISBLANK('Cocktail Finder'!$B$4))</f>
        <v>1</v>
      </c>
      <c r="P203" s="15" t="b">
        <f>OR(G203='Cocktail Finder'!$B$3,ISBLANK('Cocktail Finder'!$B$3))</f>
        <v>1</v>
      </c>
      <c r="Q203" s="15" t="b">
        <f>OR(H203='Cocktail Finder'!$B$6,ISBLANK('Cocktail Finder'!$B$6))</f>
        <v>1</v>
      </c>
      <c r="R203" s="15">
        <f t="shared" ref="R203:T203" si="204">IFERROR(FIND("juice",E203),"")</f>
        <v>7</v>
      </c>
      <c r="S203" s="15" t="str">
        <f t="shared" si="204"/>
        <v/>
      </c>
      <c r="T203" s="15" t="str">
        <f t="shared" si="204"/>
        <v/>
      </c>
      <c r="U203" s="15" t="str">
        <f t="shared" si="2"/>
        <v>lemon juice</v>
      </c>
    </row>
    <row r="204" spans="1:22" ht="15.75" customHeight="1" x14ac:dyDescent="0.2">
      <c r="A204" s="19">
        <f t="shared" si="3"/>
        <v>203</v>
      </c>
      <c r="B204" s="19" t="s">
        <v>381</v>
      </c>
      <c r="C204" s="19" t="s">
        <v>357</v>
      </c>
      <c r="D204" s="19" t="s">
        <v>100</v>
      </c>
      <c r="E204" s="19" t="s">
        <v>90</v>
      </c>
      <c r="F204" s="19" t="s">
        <v>33</v>
      </c>
      <c r="G204" s="19" t="s">
        <v>33</v>
      </c>
      <c r="H204" s="19" t="s">
        <v>33</v>
      </c>
      <c r="I204" s="19">
        <f t="shared" si="0"/>
        <v>1</v>
      </c>
      <c r="J204" s="19" t="s">
        <v>381</v>
      </c>
      <c r="K204" s="19" t="s">
        <v>101</v>
      </c>
      <c r="L204" s="15" t="b">
        <f>OR(C204='Cocktail Finder'!$B$2,ISBLANK('Cocktail Finder'!$B$2))</f>
        <v>1</v>
      </c>
      <c r="M204" s="15" t="b">
        <f>OR(D204='Cocktail Finder'!$B$7,ISBLANK('Cocktail Finder'!$B$7))</f>
        <v>1</v>
      </c>
      <c r="N204" s="15" t="b">
        <f>OR(E204='Cocktail Finder'!$B$5,ISBLANK('Cocktail Finder'!$B$5))</f>
        <v>1</v>
      </c>
      <c r="O204" s="15" t="b">
        <f>OR(F204='Cocktail Finder'!$B$4,ISBLANK('Cocktail Finder'!$B$4))</f>
        <v>1</v>
      </c>
      <c r="P204" s="15" t="b">
        <f>OR(G204='Cocktail Finder'!$B$3,ISBLANK('Cocktail Finder'!$B$3))</f>
        <v>1</v>
      </c>
      <c r="Q204" s="15" t="b">
        <f>OR(H204='Cocktail Finder'!$B$6,ISBLANK('Cocktail Finder'!$B$6))</f>
        <v>1</v>
      </c>
      <c r="R204" s="15">
        <f t="shared" ref="R204:T204" si="205">IFERROR(FIND("juice",E204),"")</f>
        <v>6</v>
      </c>
      <c r="S204" s="15" t="str">
        <f t="shared" si="205"/>
        <v/>
      </c>
      <c r="T204" s="15" t="str">
        <f t="shared" si="205"/>
        <v/>
      </c>
      <c r="U204" s="15" t="str">
        <f t="shared" si="2"/>
        <v>lime juice</v>
      </c>
    </row>
    <row r="205" spans="1:22" ht="15.75" customHeight="1" x14ac:dyDescent="0.2">
      <c r="A205" s="19">
        <f t="shared" si="3"/>
        <v>204</v>
      </c>
      <c r="B205" s="19" t="s">
        <v>382</v>
      </c>
      <c r="C205" s="19" t="s">
        <v>357</v>
      </c>
      <c r="D205" s="19" t="s">
        <v>100</v>
      </c>
      <c r="E205" s="19" t="s">
        <v>90</v>
      </c>
      <c r="F205" s="19" t="s">
        <v>383</v>
      </c>
      <c r="G205" s="19" t="s">
        <v>76</v>
      </c>
      <c r="H205" s="19" t="s">
        <v>33</v>
      </c>
      <c r="I205" s="19">
        <f t="shared" si="0"/>
        <v>1</v>
      </c>
      <c r="J205" s="19" t="s">
        <v>382</v>
      </c>
      <c r="K205" s="19" t="s">
        <v>101</v>
      </c>
      <c r="L205" s="15" t="b">
        <f>OR(C205='Cocktail Finder'!$B$2,ISBLANK('Cocktail Finder'!$B$2))</f>
        <v>1</v>
      </c>
      <c r="M205" s="15" t="b">
        <f>OR(D205='Cocktail Finder'!$B$7,ISBLANK('Cocktail Finder'!$B$7))</f>
        <v>1</v>
      </c>
      <c r="N205" s="15" t="b">
        <f>OR(E205='Cocktail Finder'!$B$5,ISBLANK('Cocktail Finder'!$B$5))</f>
        <v>1</v>
      </c>
      <c r="O205" s="15" t="b">
        <f>OR(F205='Cocktail Finder'!$B$4,ISBLANK('Cocktail Finder'!$B$4))</f>
        <v>1</v>
      </c>
      <c r="P205" s="15" t="b">
        <f>OR(G205='Cocktail Finder'!$B$3,ISBLANK('Cocktail Finder'!$B$3))</f>
        <v>1</v>
      </c>
      <c r="Q205" s="15" t="b">
        <f>OR(H205='Cocktail Finder'!$B$6,ISBLANK('Cocktail Finder'!$B$6))</f>
        <v>1</v>
      </c>
      <c r="R205" s="15">
        <f t="shared" ref="R205:T205" si="206">IFERROR(FIND("juice",E205),"")</f>
        <v>6</v>
      </c>
      <c r="S205" s="15" t="str">
        <f t="shared" si="206"/>
        <v/>
      </c>
      <c r="T205" s="15" t="str">
        <f t="shared" si="206"/>
        <v/>
      </c>
      <c r="U205" s="15" t="str">
        <f t="shared" si="2"/>
        <v>lime juice</v>
      </c>
    </row>
    <row r="206" spans="1:22" ht="15.75" customHeight="1" x14ac:dyDescent="0.2">
      <c r="A206" s="19">
        <f t="shared" si="3"/>
        <v>205</v>
      </c>
      <c r="B206" s="19" t="s">
        <v>384</v>
      </c>
      <c r="C206" s="19" t="s">
        <v>357</v>
      </c>
      <c r="D206" s="19" t="s">
        <v>57</v>
      </c>
      <c r="E206" s="19" t="s">
        <v>90</v>
      </c>
      <c r="F206" s="19" t="s">
        <v>33</v>
      </c>
      <c r="G206" s="19" t="s">
        <v>33</v>
      </c>
      <c r="H206" s="19" t="s">
        <v>33</v>
      </c>
      <c r="I206" s="19">
        <f t="shared" si="0"/>
        <v>1</v>
      </c>
      <c r="J206" s="19" t="s">
        <v>384</v>
      </c>
      <c r="K206" s="19" t="s">
        <v>58</v>
      </c>
      <c r="L206" s="15" t="b">
        <f>OR(C206='Cocktail Finder'!$B$2,ISBLANK('Cocktail Finder'!$B$2))</f>
        <v>1</v>
      </c>
      <c r="M206" s="15" t="b">
        <f>OR(D206='Cocktail Finder'!$B$7,ISBLANK('Cocktail Finder'!$B$7))</f>
        <v>1</v>
      </c>
      <c r="N206" s="15" t="b">
        <f>OR(E206='Cocktail Finder'!$B$5,ISBLANK('Cocktail Finder'!$B$5))</f>
        <v>1</v>
      </c>
      <c r="O206" s="15" t="b">
        <f>OR(F206='Cocktail Finder'!$B$4,ISBLANK('Cocktail Finder'!$B$4))</f>
        <v>1</v>
      </c>
      <c r="P206" s="15" t="b">
        <f>OR(G206='Cocktail Finder'!$B$3,ISBLANK('Cocktail Finder'!$B$3))</f>
        <v>1</v>
      </c>
      <c r="Q206" s="15" t="b">
        <f>OR(H206='Cocktail Finder'!$B$6,ISBLANK('Cocktail Finder'!$B$6))</f>
        <v>1</v>
      </c>
      <c r="R206" s="15">
        <f t="shared" ref="R206:T206" si="207">IFERROR(FIND("juice",E206),"")</f>
        <v>6</v>
      </c>
      <c r="S206" s="15" t="str">
        <f t="shared" si="207"/>
        <v/>
      </c>
      <c r="T206" s="15" t="str">
        <f t="shared" si="207"/>
        <v/>
      </c>
      <c r="U206" s="15" t="str">
        <f t="shared" si="2"/>
        <v>lime juice</v>
      </c>
    </row>
    <row r="207" spans="1:22" ht="15.75" customHeight="1" x14ac:dyDescent="0.2">
      <c r="A207" s="19">
        <f t="shared" si="3"/>
        <v>206</v>
      </c>
      <c r="B207" s="19" t="s">
        <v>385</v>
      </c>
      <c r="C207" s="19" t="s">
        <v>386</v>
      </c>
      <c r="D207" s="19" t="s">
        <v>100</v>
      </c>
      <c r="E207" s="19" t="s">
        <v>38</v>
      </c>
      <c r="F207" s="19" t="s">
        <v>268</v>
      </c>
      <c r="G207" s="19" t="s">
        <v>33</v>
      </c>
      <c r="H207" s="19" t="s">
        <v>33</v>
      </c>
      <c r="I207" s="19">
        <f t="shared" si="0"/>
        <v>1</v>
      </c>
      <c r="J207" s="19" t="s">
        <v>385</v>
      </c>
      <c r="K207" s="19" t="s">
        <v>63</v>
      </c>
      <c r="L207" s="15" t="b">
        <f>OR(C207='Cocktail Finder'!$B$2,ISBLANK('Cocktail Finder'!$B$2))</f>
        <v>1</v>
      </c>
      <c r="M207" s="15" t="b">
        <f>OR(D207='Cocktail Finder'!$B$7,ISBLANK('Cocktail Finder'!$B$7))</f>
        <v>1</v>
      </c>
      <c r="N207" s="15" t="b">
        <f>OR(E207='Cocktail Finder'!$B$5,ISBLANK('Cocktail Finder'!$B$5))</f>
        <v>1</v>
      </c>
      <c r="O207" s="15" t="b">
        <f>OR(F207='Cocktail Finder'!$B$4,ISBLANK('Cocktail Finder'!$B$4))</f>
        <v>1</v>
      </c>
      <c r="P207" s="15" t="b">
        <f>OR(G207='Cocktail Finder'!$B$3,ISBLANK('Cocktail Finder'!$B$3))</f>
        <v>1</v>
      </c>
      <c r="Q207" s="15" t="b">
        <f>OR(H207='Cocktail Finder'!$B$6,ISBLANK('Cocktail Finder'!$B$6))</f>
        <v>1</v>
      </c>
      <c r="R207" s="15">
        <f t="shared" ref="R207:T207" si="208">IFERROR(FIND("juice",E207),"")</f>
        <v>7</v>
      </c>
      <c r="S207" s="15" t="str">
        <f t="shared" si="208"/>
        <v/>
      </c>
      <c r="T207" s="15" t="str">
        <f t="shared" si="208"/>
        <v/>
      </c>
      <c r="U207" s="15" t="str">
        <f t="shared" si="2"/>
        <v>lemon juice</v>
      </c>
    </row>
    <row r="208" spans="1:22" ht="15.75" customHeight="1" x14ac:dyDescent="0.2">
      <c r="A208" s="19">
        <f t="shared" si="3"/>
        <v>207</v>
      </c>
      <c r="B208" s="19" t="s">
        <v>387</v>
      </c>
      <c r="C208" s="19" t="s">
        <v>31</v>
      </c>
      <c r="D208" s="19" t="s">
        <v>388</v>
      </c>
      <c r="E208" s="19"/>
      <c r="F208" s="19" t="s">
        <v>32</v>
      </c>
      <c r="G208" s="19" t="s">
        <v>33</v>
      </c>
      <c r="H208" s="19" t="s">
        <v>33</v>
      </c>
      <c r="I208" s="19">
        <f t="shared" si="0"/>
        <v>1</v>
      </c>
      <c r="J208" s="19" t="s">
        <v>387</v>
      </c>
      <c r="K208" s="19" t="s">
        <v>34</v>
      </c>
      <c r="L208" s="15" t="b">
        <f>OR(C208='Cocktail Finder'!$B$2,ISBLANK('Cocktail Finder'!$B$2))</f>
        <v>1</v>
      </c>
      <c r="M208" s="15" t="b">
        <f>OR(D208='Cocktail Finder'!$B$7,ISBLANK('Cocktail Finder'!$B$7))</f>
        <v>1</v>
      </c>
      <c r="N208" s="15" t="b">
        <f>OR(E208='Cocktail Finder'!$B$5,ISBLANK('Cocktail Finder'!$B$5))</f>
        <v>1</v>
      </c>
      <c r="O208" s="15" t="b">
        <f>OR(F208='Cocktail Finder'!$B$4,ISBLANK('Cocktail Finder'!$B$4))</f>
        <v>1</v>
      </c>
      <c r="P208" s="15" t="b">
        <f>OR(G208='Cocktail Finder'!$B$3,ISBLANK('Cocktail Finder'!$B$3))</f>
        <v>1</v>
      </c>
      <c r="Q208" s="15" t="b">
        <f>OR(H208='Cocktail Finder'!$B$6,ISBLANK('Cocktail Finder'!$B$6))</f>
        <v>1</v>
      </c>
      <c r="R208" s="15" t="str">
        <f t="shared" ref="R208:T208" si="209">IFERROR(FIND("juice",E208),"")</f>
        <v/>
      </c>
      <c r="S208" s="15" t="str">
        <f t="shared" si="209"/>
        <v/>
      </c>
      <c r="T208" s="15" t="str">
        <f t="shared" si="209"/>
        <v/>
      </c>
      <c r="U208" s="15" t="str">
        <f t="shared" si="2"/>
        <v/>
      </c>
    </row>
    <row r="209" spans="1:21" ht="15.75" customHeight="1" x14ac:dyDescent="0.2">
      <c r="A209" s="19">
        <f t="shared" si="3"/>
        <v>208</v>
      </c>
      <c r="B209" s="19" t="s">
        <v>389</v>
      </c>
      <c r="C209" s="19"/>
      <c r="D209" s="19"/>
      <c r="E209" s="19" t="s">
        <v>126</v>
      </c>
      <c r="F209" s="19" t="s">
        <v>30</v>
      </c>
      <c r="G209" s="19" t="s">
        <v>33</v>
      </c>
      <c r="H209" s="19" t="s">
        <v>33</v>
      </c>
      <c r="I209" s="19">
        <f t="shared" si="0"/>
        <v>1</v>
      </c>
      <c r="J209" s="19" t="s">
        <v>389</v>
      </c>
      <c r="K209" s="19" t="s">
        <v>272</v>
      </c>
      <c r="L209" s="15" t="b">
        <f>OR(C209='Cocktail Finder'!$B$2,ISBLANK('Cocktail Finder'!$B$2))</f>
        <v>1</v>
      </c>
      <c r="M209" s="15" t="b">
        <f>OR(D209='Cocktail Finder'!$B$7,ISBLANK('Cocktail Finder'!$B$7))</f>
        <v>1</v>
      </c>
      <c r="N209" s="15" t="b">
        <f>OR(E209='Cocktail Finder'!$B$5,ISBLANK('Cocktail Finder'!$B$5))</f>
        <v>1</v>
      </c>
      <c r="O209" s="15" t="b">
        <f>OR(F209='Cocktail Finder'!$B$4,ISBLANK('Cocktail Finder'!$B$4))</f>
        <v>1</v>
      </c>
      <c r="P209" s="15" t="b">
        <f>OR(G209='Cocktail Finder'!$B$3,ISBLANK('Cocktail Finder'!$B$3))</f>
        <v>1</v>
      </c>
      <c r="Q209" s="15" t="b">
        <f>OR(H209='Cocktail Finder'!$B$6,ISBLANK('Cocktail Finder'!$B$6))</f>
        <v>1</v>
      </c>
      <c r="R209" s="15">
        <f t="shared" ref="R209:T209" si="210">IFERROR(FIND("juice",E209),"")</f>
        <v>8</v>
      </c>
      <c r="S209" s="15" t="str">
        <f t="shared" si="210"/>
        <v/>
      </c>
      <c r="T209" s="15" t="str">
        <f t="shared" si="210"/>
        <v/>
      </c>
      <c r="U209" s="15" t="str">
        <f t="shared" si="2"/>
        <v>orange juice</v>
      </c>
    </row>
    <row r="210" spans="1:21" ht="15.75" customHeight="1" x14ac:dyDescent="0.2">
      <c r="A210" s="19">
        <f t="shared" si="3"/>
        <v>209</v>
      </c>
      <c r="B210" s="19" t="s">
        <v>390</v>
      </c>
      <c r="C210" s="19"/>
      <c r="D210" s="19" t="s">
        <v>60</v>
      </c>
      <c r="E210" s="19" t="s">
        <v>90</v>
      </c>
      <c r="F210" s="19" t="s">
        <v>282</v>
      </c>
      <c r="G210" s="19" t="s">
        <v>33</v>
      </c>
      <c r="H210" s="19" t="s">
        <v>33</v>
      </c>
      <c r="I210" s="19">
        <f t="shared" si="0"/>
        <v>1</v>
      </c>
      <c r="J210" s="19" t="s">
        <v>390</v>
      </c>
      <c r="K210" s="19" t="s">
        <v>44</v>
      </c>
      <c r="L210" s="15" t="b">
        <f>OR(C210='Cocktail Finder'!$B$2,ISBLANK('Cocktail Finder'!$B$2))</f>
        <v>1</v>
      </c>
      <c r="M210" s="15" t="b">
        <f>OR(D210='Cocktail Finder'!$B$7,ISBLANK('Cocktail Finder'!$B$7))</f>
        <v>1</v>
      </c>
      <c r="N210" s="15" t="b">
        <f>OR(E210='Cocktail Finder'!$B$5,ISBLANK('Cocktail Finder'!$B$5))</f>
        <v>1</v>
      </c>
      <c r="O210" s="15" t="b">
        <f>OR(F210='Cocktail Finder'!$B$4,ISBLANK('Cocktail Finder'!$B$4))</f>
        <v>1</v>
      </c>
      <c r="P210" s="15" t="b">
        <f>OR(G210='Cocktail Finder'!$B$3,ISBLANK('Cocktail Finder'!$B$3))</f>
        <v>1</v>
      </c>
      <c r="Q210" s="15" t="b">
        <f>OR(H210='Cocktail Finder'!$B$6,ISBLANK('Cocktail Finder'!$B$6))</f>
        <v>1</v>
      </c>
      <c r="R210" s="15">
        <f t="shared" ref="R210:T210" si="211">IFERROR(FIND("juice",E210),"")</f>
        <v>6</v>
      </c>
      <c r="S210" s="15" t="str">
        <f t="shared" si="211"/>
        <v/>
      </c>
      <c r="T210" s="15" t="str">
        <f t="shared" si="211"/>
        <v/>
      </c>
      <c r="U210" s="15" t="str">
        <f t="shared" si="2"/>
        <v>lime juice</v>
      </c>
    </row>
    <row r="211" spans="1:21" ht="15.75" customHeight="1" x14ac:dyDescent="0.2"/>
    <row r="212" spans="1:21" ht="15.75" customHeight="1" x14ac:dyDescent="0.2"/>
    <row r="213" spans="1:21" ht="15.75" customHeight="1" x14ac:dyDescent="0.2"/>
    <row r="214" spans="1:21" ht="15.75" customHeight="1" x14ac:dyDescent="0.2"/>
    <row r="215" spans="1:21" ht="15.75" customHeight="1" x14ac:dyDescent="0.2"/>
    <row r="216" spans="1:21" ht="15.75" customHeight="1" x14ac:dyDescent="0.2"/>
    <row r="217" spans="1:21" ht="15.75" customHeight="1" x14ac:dyDescent="0.2"/>
    <row r="218" spans="1:21" ht="15.75" customHeight="1" x14ac:dyDescent="0.2"/>
    <row r="219" spans="1:21" ht="15.75" customHeight="1" x14ac:dyDescent="0.2"/>
    <row r="220" spans="1:21" ht="15.75" customHeight="1" x14ac:dyDescent="0.2"/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Q1000" xr:uid="{00000000-0009-0000-0000-000001000000}"/>
  <pageMargins left="0.25" right="0.25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5.1640625" customWidth="1"/>
    <col min="2" max="2" width="14.5" customWidth="1"/>
    <col min="3" max="3" width="17.1640625" customWidth="1"/>
    <col min="4" max="4" width="21.5" customWidth="1"/>
    <col min="5" max="5" width="15.83203125" customWidth="1"/>
    <col min="6" max="6" width="13.5" customWidth="1"/>
    <col min="7" max="8" width="9.5" customWidth="1"/>
    <col min="9" max="10" width="14.5" customWidth="1"/>
    <col min="11" max="11" width="18.5" customWidth="1"/>
  </cols>
  <sheetData>
    <row r="1" spans="1:21" x14ac:dyDescent="0.2">
      <c r="A1" s="16" t="s">
        <v>10</v>
      </c>
      <c r="B1" s="16" t="s">
        <v>11</v>
      </c>
      <c r="C1" s="16" t="s">
        <v>1</v>
      </c>
      <c r="D1" s="17" t="s">
        <v>6</v>
      </c>
      <c r="E1" s="17" t="s">
        <v>4</v>
      </c>
      <c r="F1" s="17" t="s">
        <v>3</v>
      </c>
      <c r="G1" s="17" t="s">
        <v>2</v>
      </c>
      <c r="H1" s="17" t="s">
        <v>5</v>
      </c>
      <c r="I1" s="17" t="s">
        <v>7</v>
      </c>
      <c r="J1" s="22" t="s">
        <v>8</v>
      </c>
      <c r="K1" s="22" t="s">
        <v>9</v>
      </c>
      <c r="L1" s="17" t="s">
        <v>391</v>
      </c>
      <c r="M1" s="17"/>
      <c r="N1" s="17" t="s">
        <v>6</v>
      </c>
      <c r="O1" s="17" t="s">
        <v>4</v>
      </c>
      <c r="P1" s="17" t="s">
        <v>3</v>
      </c>
      <c r="Q1" s="17" t="s">
        <v>2</v>
      </c>
      <c r="R1" s="17" t="s">
        <v>5</v>
      </c>
      <c r="S1" s="17" t="s">
        <v>7</v>
      </c>
      <c r="T1" s="22" t="s">
        <v>8</v>
      </c>
      <c r="U1" s="22" t="s">
        <v>9</v>
      </c>
    </row>
    <row r="2" spans="1:21" ht="25" x14ac:dyDescent="0.2">
      <c r="A2" s="18">
        <v>1</v>
      </c>
      <c r="B2" s="19" t="s">
        <v>91</v>
      </c>
      <c r="C2" s="19" t="s">
        <v>65</v>
      </c>
      <c r="D2" s="19"/>
      <c r="E2" s="19" t="s">
        <v>86</v>
      </c>
      <c r="F2" s="19" t="s">
        <v>38</v>
      </c>
      <c r="G2" s="19" t="s">
        <v>92</v>
      </c>
      <c r="H2" s="19"/>
      <c r="I2" s="19"/>
      <c r="J2" s="19"/>
      <c r="K2" s="19"/>
      <c r="L2" s="15">
        <f t="shared" ref="L2:L210" si="0">N2*O2*P2*Q2*R2*S2*T2*U2</f>
        <v>1</v>
      </c>
      <c r="M2" s="15" t="str">
        <f t="shared" ref="M2:M210" si="1">B2</f>
        <v>A Quick Little Pick-Me-Up</v>
      </c>
      <c r="N2" s="15" t="b">
        <f>OR(C2='Cocktail Finder'!$B$2,ISBLANK('Cocktail Finder'!$B$2))</f>
        <v>1</v>
      </c>
      <c r="O2" s="15" t="b">
        <f>OR(D2='Cocktail Finder'!$B$7,ISBLANK('Cocktail Finder'!$B$7))</f>
        <v>1</v>
      </c>
      <c r="P2" s="15" t="b">
        <f>OR(E2='Cocktail Finder'!$B$5,ISBLANK('Cocktail Finder'!$B$5))</f>
        <v>1</v>
      </c>
      <c r="Q2" s="15" t="b">
        <f>OR(F2='Cocktail Finder'!$B$4,ISBLANK('Cocktail Finder'!$B$4))</f>
        <v>1</v>
      </c>
      <c r="R2" s="15" t="b">
        <f>OR(G2='Cocktail Finder'!$B$3,ISBLANK('Cocktail Finder'!$B$3))</f>
        <v>1</v>
      </c>
      <c r="S2" s="15" t="b">
        <f>OR(H2='Cocktail Finder'!$B$6,ISBLANK('Cocktail Finder'!$B$6))</f>
        <v>1</v>
      </c>
      <c r="T2" s="15" t="b">
        <f>OR(I2='Cocktail Finder'!$B$8,ISBLANK('Cocktail Finder'!$B$8))</f>
        <v>1</v>
      </c>
      <c r="U2" s="15" t="b">
        <f>OR(J2='Cocktail Finder'!$B$9,ISBLANK('Cocktail Finder'!$B$8))</f>
        <v>1</v>
      </c>
    </row>
    <row r="3" spans="1:21" x14ac:dyDescent="0.2">
      <c r="A3" s="19">
        <f t="shared" ref="A3:A210" si="2">A2+1</f>
        <v>2</v>
      </c>
      <c r="B3" s="19" t="s">
        <v>202</v>
      </c>
      <c r="C3" s="18" t="s">
        <v>148</v>
      </c>
      <c r="D3" s="19"/>
      <c r="E3" s="19" t="s">
        <v>66</v>
      </c>
      <c r="F3" s="19" t="s">
        <v>126</v>
      </c>
      <c r="G3" s="19" t="s">
        <v>178</v>
      </c>
      <c r="H3" s="19"/>
      <c r="I3" s="19"/>
      <c r="J3" s="19"/>
      <c r="K3" s="19"/>
      <c r="L3" s="15">
        <f t="shared" si="0"/>
        <v>1</v>
      </c>
      <c r="M3" s="15" t="str">
        <f t="shared" si="1"/>
        <v>Abbey Cocktail</v>
      </c>
      <c r="N3" s="15" t="b">
        <f>OR(C3='Cocktail Finder'!$B$2,ISBLANK('Cocktail Finder'!$B$2))</f>
        <v>1</v>
      </c>
      <c r="O3" s="15" t="b">
        <f>OR(D3='Cocktail Finder'!$B$7,ISBLANK('Cocktail Finder'!$B$7))</f>
        <v>1</v>
      </c>
      <c r="P3" s="15" t="b">
        <f>OR(E3='Cocktail Finder'!$B$5,ISBLANK('Cocktail Finder'!$B$5))</f>
        <v>1</v>
      </c>
      <c r="Q3" s="15" t="b">
        <f>OR(F3='Cocktail Finder'!$B$4,ISBLANK('Cocktail Finder'!$B$4))</f>
        <v>1</v>
      </c>
      <c r="R3" s="15" t="b">
        <f>OR(G3='Cocktail Finder'!$B$3,ISBLANK('Cocktail Finder'!$B$3))</f>
        <v>1</v>
      </c>
      <c r="S3" s="15" t="b">
        <f>OR(H3='Cocktail Finder'!$B$6,ISBLANK('Cocktail Finder'!$B$6))</f>
        <v>1</v>
      </c>
      <c r="T3" s="15" t="b">
        <f>OR(I3='Cocktail Finder'!$B$8,ISBLANK('Cocktail Finder'!$B$8))</f>
        <v>1</v>
      </c>
      <c r="U3" s="15" t="b">
        <f>OR(J3='Cocktail Finder'!$B$9,ISBLANK('Cocktail Finder'!$B$8))</f>
        <v>1</v>
      </c>
    </row>
    <row r="4" spans="1:21" x14ac:dyDescent="0.2">
      <c r="A4" s="19">
        <f t="shared" si="2"/>
        <v>3</v>
      </c>
      <c r="B4" s="19" t="s">
        <v>337</v>
      </c>
      <c r="C4" s="19" t="s">
        <v>280</v>
      </c>
      <c r="D4" s="19" t="s">
        <v>282</v>
      </c>
      <c r="E4" s="19"/>
      <c r="F4" s="19" t="s">
        <v>126</v>
      </c>
      <c r="G4" s="19" t="s">
        <v>30</v>
      </c>
      <c r="H4" s="19"/>
      <c r="I4" s="19"/>
      <c r="J4" s="19"/>
      <c r="K4" s="19"/>
      <c r="L4" s="15">
        <f t="shared" si="0"/>
        <v>1</v>
      </c>
      <c r="M4" s="15" t="str">
        <f t="shared" si="1"/>
        <v>Alabama Slammer</v>
      </c>
      <c r="N4" s="15" t="b">
        <f>OR(C4='Cocktail Finder'!$B$2,ISBLANK('Cocktail Finder'!$B$2))</f>
        <v>1</v>
      </c>
      <c r="O4" s="15" t="b">
        <f>OR(D4='Cocktail Finder'!$B$7,ISBLANK('Cocktail Finder'!$B$7))</f>
        <v>1</v>
      </c>
      <c r="P4" s="15" t="b">
        <f>OR(E4='Cocktail Finder'!$B$5,ISBLANK('Cocktail Finder'!$B$5))</f>
        <v>1</v>
      </c>
      <c r="Q4" s="15" t="b">
        <f>OR(F4='Cocktail Finder'!$B$4,ISBLANK('Cocktail Finder'!$B$4))</f>
        <v>1</v>
      </c>
      <c r="R4" s="15" t="b">
        <f>OR(G4='Cocktail Finder'!$B$3,ISBLANK('Cocktail Finder'!$B$3))</f>
        <v>1</v>
      </c>
      <c r="S4" s="15" t="b">
        <f>OR(H4='Cocktail Finder'!$B$6,ISBLANK('Cocktail Finder'!$B$6))</f>
        <v>1</v>
      </c>
      <c r="T4" s="15" t="b">
        <f>OR(I4='Cocktail Finder'!$B$8,ISBLANK('Cocktail Finder'!$B$8))</f>
        <v>1</v>
      </c>
      <c r="U4" s="15" t="b">
        <f>OR(J4='Cocktail Finder'!$B$9,ISBLANK('Cocktail Finder'!$B$8))</f>
        <v>1</v>
      </c>
    </row>
    <row r="5" spans="1:21" ht="25" x14ac:dyDescent="0.2">
      <c r="A5" s="19">
        <f t="shared" si="2"/>
        <v>4</v>
      </c>
      <c r="B5" s="19" t="s">
        <v>152</v>
      </c>
      <c r="C5" s="18" t="s">
        <v>148</v>
      </c>
      <c r="D5" s="19"/>
      <c r="E5" s="19"/>
      <c r="F5" s="19"/>
      <c r="G5" s="19" t="s">
        <v>153</v>
      </c>
      <c r="H5" s="19"/>
      <c r="I5" s="19"/>
      <c r="J5" s="19"/>
      <c r="K5" s="19"/>
      <c r="L5" s="15">
        <f t="shared" si="0"/>
        <v>1</v>
      </c>
      <c r="M5" s="15" t="str">
        <f t="shared" si="1"/>
        <v>Alaska</v>
      </c>
      <c r="N5" s="15" t="b">
        <f>OR(C5='Cocktail Finder'!$B$2,ISBLANK('Cocktail Finder'!$B$2))</f>
        <v>1</v>
      </c>
      <c r="O5" s="15" t="b">
        <f>OR(D5='Cocktail Finder'!$B$7,ISBLANK('Cocktail Finder'!$B$7))</f>
        <v>1</v>
      </c>
      <c r="P5" s="15" t="b">
        <f>OR(E5='Cocktail Finder'!$B$5,ISBLANK('Cocktail Finder'!$B$5))</f>
        <v>1</v>
      </c>
      <c r="Q5" s="15" t="b">
        <f>OR(F5='Cocktail Finder'!$B$4,ISBLANK('Cocktail Finder'!$B$4))</f>
        <v>1</v>
      </c>
      <c r="R5" s="15" t="b">
        <f>OR(G5='Cocktail Finder'!$B$3,ISBLANK('Cocktail Finder'!$B$3))</f>
        <v>1</v>
      </c>
      <c r="S5" s="15" t="b">
        <f>OR(H5='Cocktail Finder'!$B$6,ISBLANK('Cocktail Finder'!$B$6))</f>
        <v>1</v>
      </c>
      <c r="T5" s="15" t="b">
        <f>OR(I5='Cocktail Finder'!$B$8,ISBLANK('Cocktail Finder'!$B$8))</f>
        <v>1</v>
      </c>
      <c r="U5" s="15" t="b">
        <f>OR(J5='Cocktail Finder'!$B$9,ISBLANK('Cocktail Finder'!$B$8))</f>
        <v>1</v>
      </c>
    </row>
    <row r="6" spans="1:21" ht="25" x14ac:dyDescent="0.2">
      <c r="A6" s="19">
        <f t="shared" si="2"/>
        <v>5</v>
      </c>
      <c r="B6" s="19" t="s">
        <v>147</v>
      </c>
      <c r="C6" s="18" t="s">
        <v>148</v>
      </c>
      <c r="D6" s="19"/>
      <c r="E6" s="19" t="s">
        <v>32</v>
      </c>
      <c r="F6" s="19"/>
      <c r="G6" s="19" t="s">
        <v>31</v>
      </c>
      <c r="H6" s="19"/>
      <c r="I6" s="19"/>
      <c r="J6" s="19"/>
      <c r="K6" s="19"/>
      <c r="L6" s="15">
        <f t="shared" si="0"/>
        <v>1</v>
      </c>
      <c r="M6" s="15" t="str">
        <f t="shared" si="1"/>
        <v>Alexander</v>
      </c>
      <c r="N6" s="15" t="b">
        <f>OR(C6='Cocktail Finder'!$B$2,ISBLANK('Cocktail Finder'!$B$2))</f>
        <v>1</v>
      </c>
      <c r="O6" s="15" t="b">
        <f>OR(D6='Cocktail Finder'!$B$7,ISBLANK('Cocktail Finder'!$B$7))</f>
        <v>1</v>
      </c>
      <c r="P6" s="15" t="b">
        <f>OR(E6='Cocktail Finder'!$B$5,ISBLANK('Cocktail Finder'!$B$5))</f>
        <v>1</v>
      </c>
      <c r="Q6" s="15" t="b">
        <f>OR(F6='Cocktail Finder'!$B$4,ISBLANK('Cocktail Finder'!$B$4))</f>
        <v>1</v>
      </c>
      <c r="R6" s="15" t="b">
        <f>OR(G6='Cocktail Finder'!$B$3,ISBLANK('Cocktail Finder'!$B$3))</f>
        <v>1</v>
      </c>
      <c r="S6" s="15" t="b">
        <f>OR(H6='Cocktail Finder'!$B$6,ISBLANK('Cocktail Finder'!$B$6))</f>
        <v>1</v>
      </c>
      <c r="T6" s="15" t="b">
        <f>OR(I6='Cocktail Finder'!$B$8,ISBLANK('Cocktail Finder'!$B$8))</f>
        <v>1</v>
      </c>
      <c r="U6" s="15" t="b">
        <f>OR(J6='Cocktail Finder'!$B$9,ISBLANK('Cocktail Finder'!$B$8))</f>
        <v>1</v>
      </c>
    </row>
    <row r="7" spans="1:21" x14ac:dyDescent="0.2">
      <c r="A7" s="19">
        <f t="shared" si="2"/>
        <v>6</v>
      </c>
      <c r="B7" s="19" t="s">
        <v>299</v>
      </c>
      <c r="C7" s="19" t="s">
        <v>300</v>
      </c>
      <c r="D7" s="19"/>
      <c r="E7" s="19"/>
      <c r="F7" s="19" t="s">
        <v>78</v>
      </c>
      <c r="G7" s="19" t="s">
        <v>52</v>
      </c>
      <c r="H7" s="19"/>
      <c r="I7" s="19"/>
      <c r="J7" s="19"/>
      <c r="K7" s="19"/>
      <c r="L7" s="15">
        <f t="shared" si="0"/>
        <v>1</v>
      </c>
      <c r="M7" s="15" t="str">
        <f t="shared" si="1"/>
        <v>Algonquin Cocktail</v>
      </c>
      <c r="N7" s="15" t="b">
        <f>OR(C7='Cocktail Finder'!$B$2,ISBLANK('Cocktail Finder'!$B$2))</f>
        <v>1</v>
      </c>
      <c r="O7" s="15" t="b">
        <f>OR(D7='Cocktail Finder'!$B$7,ISBLANK('Cocktail Finder'!$B$7))</f>
        <v>1</v>
      </c>
      <c r="P7" s="15" t="b">
        <f>OR(E7='Cocktail Finder'!$B$5,ISBLANK('Cocktail Finder'!$B$5))</f>
        <v>1</v>
      </c>
      <c r="Q7" s="15" t="b">
        <f>OR(F7='Cocktail Finder'!$B$4,ISBLANK('Cocktail Finder'!$B$4))</f>
        <v>1</v>
      </c>
      <c r="R7" s="15" t="b">
        <f>OR(G7='Cocktail Finder'!$B$3,ISBLANK('Cocktail Finder'!$B$3))</f>
        <v>1</v>
      </c>
      <c r="S7" s="15" t="b">
        <f>OR(H7='Cocktail Finder'!$B$6,ISBLANK('Cocktail Finder'!$B$6))</f>
        <v>1</v>
      </c>
      <c r="T7" s="15" t="b">
        <f>OR(I7='Cocktail Finder'!$B$8,ISBLANK('Cocktail Finder'!$B$8))</f>
        <v>1</v>
      </c>
      <c r="U7" s="15" t="b">
        <f>OR(J7='Cocktail Finder'!$B$9,ISBLANK('Cocktail Finder'!$B$8))</f>
        <v>1</v>
      </c>
    </row>
    <row r="8" spans="1:21" x14ac:dyDescent="0.2">
      <c r="A8" s="19">
        <f t="shared" si="2"/>
        <v>7</v>
      </c>
      <c r="B8" s="19" t="s">
        <v>214</v>
      </c>
      <c r="C8" s="18" t="s">
        <v>148</v>
      </c>
      <c r="D8" s="19"/>
      <c r="E8" s="19"/>
      <c r="F8" s="19"/>
      <c r="G8" s="19" t="s">
        <v>52</v>
      </c>
      <c r="H8" s="19"/>
      <c r="I8" s="19"/>
      <c r="J8" s="19"/>
      <c r="K8" s="19"/>
      <c r="L8" s="15">
        <f t="shared" si="0"/>
        <v>1</v>
      </c>
      <c r="M8" s="15" t="str">
        <f t="shared" si="1"/>
        <v>Allies Cocktail</v>
      </c>
      <c r="N8" s="15" t="b">
        <f>OR(C8='Cocktail Finder'!$B$2,ISBLANK('Cocktail Finder'!$B$2))</f>
        <v>1</v>
      </c>
      <c r="O8" s="15" t="b">
        <f>OR(D8='Cocktail Finder'!$B$7,ISBLANK('Cocktail Finder'!$B$7))</f>
        <v>1</v>
      </c>
      <c r="P8" s="15" t="b">
        <f>OR(E8='Cocktail Finder'!$B$5,ISBLANK('Cocktail Finder'!$B$5))</f>
        <v>1</v>
      </c>
      <c r="Q8" s="15" t="b">
        <f>OR(F8='Cocktail Finder'!$B$4,ISBLANK('Cocktail Finder'!$B$4))</f>
        <v>1</v>
      </c>
      <c r="R8" s="15" t="b">
        <f>OR(G8='Cocktail Finder'!$B$3,ISBLANK('Cocktail Finder'!$B$3))</f>
        <v>1</v>
      </c>
      <c r="S8" s="15" t="b">
        <f>OR(H8='Cocktail Finder'!$B$6,ISBLANK('Cocktail Finder'!$B$6))</f>
        <v>1</v>
      </c>
      <c r="T8" s="15" t="b">
        <f>OR(I8='Cocktail Finder'!$B$8,ISBLANK('Cocktail Finder'!$B$8))</f>
        <v>1</v>
      </c>
      <c r="U8" s="15" t="b">
        <f>OR(J8='Cocktail Finder'!$B$9,ISBLANK('Cocktail Finder'!$B$8))</f>
        <v>1</v>
      </c>
    </row>
    <row r="9" spans="1:21" ht="25" x14ac:dyDescent="0.2">
      <c r="A9" s="19">
        <f t="shared" si="2"/>
        <v>8</v>
      </c>
      <c r="B9" s="19" t="s">
        <v>29</v>
      </c>
      <c r="C9" s="19" t="s">
        <v>30</v>
      </c>
      <c r="D9" s="19"/>
      <c r="E9" s="19" t="s">
        <v>32</v>
      </c>
      <c r="F9" s="19"/>
      <c r="G9" s="19" t="s">
        <v>31</v>
      </c>
      <c r="H9" s="19"/>
      <c r="I9" s="19"/>
      <c r="J9" s="19"/>
      <c r="K9" s="19"/>
      <c r="L9" s="15">
        <f t="shared" si="0"/>
        <v>1</v>
      </c>
      <c r="M9" s="15" t="str">
        <f t="shared" si="1"/>
        <v>Amaretto Alexander</v>
      </c>
      <c r="N9" s="15" t="b">
        <f>OR(C9='Cocktail Finder'!$B$2,ISBLANK('Cocktail Finder'!$B$2))</f>
        <v>1</v>
      </c>
      <c r="O9" s="15" t="b">
        <f>OR(D9='Cocktail Finder'!$B$7,ISBLANK('Cocktail Finder'!$B$7))</f>
        <v>1</v>
      </c>
      <c r="P9" s="15" t="b">
        <f>OR(E9='Cocktail Finder'!$B$5,ISBLANK('Cocktail Finder'!$B$5))</f>
        <v>1</v>
      </c>
      <c r="Q9" s="15" t="b">
        <f>OR(F9='Cocktail Finder'!$B$4,ISBLANK('Cocktail Finder'!$B$4))</f>
        <v>1</v>
      </c>
      <c r="R9" s="15" t="b">
        <f>OR(G9='Cocktail Finder'!$B$3,ISBLANK('Cocktail Finder'!$B$3))</f>
        <v>1</v>
      </c>
      <c r="S9" s="15" t="b">
        <f>OR(H9='Cocktail Finder'!$B$6,ISBLANK('Cocktail Finder'!$B$6))</f>
        <v>1</v>
      </c>
      <c r="T9" s="15" t="b">
        <f>OR(I9='Cocktail Finder'!$B$8,ISBLANK('Cocktail Finder'!$B$8))</f>
        <v>1</v>
      </c>
      <c r="U9" s="15" t="b">
        <f>OR(J9='Cocktail Finder'!$B$9,ISBLANK('Cocktail Finder'!$B$8))</f>
        <v>1</v>
      </c>
    </row>
    <row r="10" spans="1:21" x14ac:dyDescent="0.2">
      <c r="A10" s="19">
        <f t="shared" si="2"/>
        <v>9</v>
      </c>
      <c r="B10" s="19" t="s">
        <v>37</v>
      </c>
      <c r="C10" s="19" t="s">
        <v>30</v>
      </c>
      <c r="D10" s="19"/>
      <c r="E10" s="19"/>
      <c r="F10" s="19" t="s">
        <v>38</v>
      </c>
      <c r="G10" s="19"/>
      <c r="H10" s="19"/>
      <c r="I10" s="19"/>
      <c r="J10" s="19"/>
      <c r="K10" s="19"/>
      <c r="L10" s="15">
        <f t="shared" si="0"/>
        <v>1</v>
      </c>
      <c r="M10" s="15" t="str">
        <f t="shared" si="1"/>
        <v>Amaretto Sour</v>
      </c>
      <c r="N10" s="15" t="b">
        <f>OR(C10='Cocktail Finder'!$B$2,ISBLANK('Cocktail Finder'!$B$2))</f>
        <v>1</v>
      </c>
      <c r="O10" s="15" t="b">
        <f>OR(D10='Cocktail Finder'!$B$7,ISBLANK('Cocktail Finder'!$B$7))</f>
        <v>1</v>
      </c>
      <c r="P10" s="15" t="b">
        <f>OR(E10='Cocktail Finder'!$B$5,ISBLANK('Cocktail Finder'!$B$5))</f>
        <v>1</v>
      </c>
      <c r="Q10" s="15" t="b">
        <f>OR(F10='Cocktail Finder'!$B$4,ISBLANK('Cocktail Finder'!$B$4))</f>
        <v>1</v>
      </c>
      <c r="R10" s="15" t="b">
        <f>OR(G10='Cocktail Finder'!$B$3,ISBLANK('Cocktail Finder'!$B$3))</f>
        <v>1</v>
      </c>
      <c r="S10" s="15" t="b">
        <f>OR(H10='Cocktail Finder'!$B$6,ISBLANK('Cocktail Finder'!$B$6))</f>
        <v>1</v>
      </c>
      <c r="T10" s="15" t="b">
        <f>OR(I10='Cocktail Finder'!$B$8,ISBLANK('Cocktail Finder'!$B$8))</f>
        <v>1</v>
      </c>
      <c r="U10" s="15" t="b">
        <f>OR(J10='Cocktail Finder'!$B$9,ISBLANK('Cocktail Finder'!$B$8))</f>
        <v>1</v>
      </c>
    </row>
    <row r="11" spans="1:21" ht="25" x14ac:dyDescent="0.2">
      <c r="A11" s="19">
        <f t="shared" si="2"/>
        <v>10</v>
      </c>
      <c r="B11" s="19" t="s">
        <v>169</v>
      </c>
      <c r="C11" s="18" t="s">
        <v>148</v>
      </c>
      <c r="D11" s="19"/>
      <c r="E11" s="23" t="s">
        <v>86</v>
      </c>
      <c r="F11" s="19" t="s">
        <v>90</v>
      </c>
      <c r="G11" s="19" t="s">
        <v>120</v>
      </c>
      <c r="H11" s="23"/>
      <c r="I11" s="19"/>
      <c r="J11" s="19"/>
      <c r="K11" s="19"/>
      <c r="L11" s="15">
        <f t="shared" si="0"/>
        <v>1</v>
      </c>
      <c r="M11" s="15" t="str">
        <f t="shared" si="1"/>
        <v>An Apple a Day</v>
      </c>
      <c r="N11" s="15" t="b">
        <f>OR(C11='Cocktail Finder'!$B$2,ISBLANK('Cocktail Finder'!$B$2))</f>
        <v>1</v>
      </c>
      <c r="O11" s="15" t="b">
        <f>OR(D11='Cocktail Finder'!$B$7,ISBLANK('Cocktail Finder'!$B$7))</f>
        <v>1</v>
      </c>
      <c r="P11" s="15" t="b">
        <f>OR(E11='Cocktail Finder'!$B$5,ISBLANK('Cocktail Finder'!$B$5))</f>
        <v>1</v>
      </c>
      <c r="Q11" s="15" t="b">
        <f>OR(F11='Cocktail Finder'!$B$4,ISBLANK('Cocktail Finder'!$B$4))</f>
        <v>1</v>
      </c>
      <c r="R11" s="15" t="b">
        <f>OR(G11='Cocktail Finder'!$B$3,ISBLANK('Cocktail Finder'!$B$3))</f>
        <v>1</v>
      </c>
      <c r="S11" s="15" t="b">
        <f>OR(H11='Cocktail Finder'!$B$6,ISBLANK('Cocktail Finder'!$B$6))</f>
        <v>1</v>
      </c>
      <c r="T11" s="15" t="b">
        <f>OR(I11='Cocktail Finder'!$B$8,ISBLANK('Cocktail Finder'!$B$8))</f>
        <v>1</v>
      </c>
      <c r="U11" s="15" t="b">
        <f>OR(J11='Cocktail Finder'!$B$9,ISBLANK('Cocktail Finder'!$B$8))</f>
        <v>1</v>
      </c>
    </row>
    <row r="12" spans="1:21" ht="25" x14ac:dyDescent="0.2">
      <c r="A12" s="19">
        <f t="shared" si="2"/>
        <v>11</v>
      </c>
      <c r="B12" s="19" t="s">
        <v>220</v>
      </c>
      <c r="C12" s="19" t="s">
        <v>219</v>
      </c>
      <c r="D12" s="19"/>
      <c r="E12" s="19"/>
      <c r="F12" s="19"/>
      <c r="G12" s="19" t="s">
        <v>221</v>
      </c>
      <c r="H12" s="19"/>
      <c r="I12" s="19"/>
      <c r="J12" s="19"/>
      <c r="K12" s="19"/>
      <c r="L12" s="15">
        <f t="shared" si="0"/>
        <v>1</v>
      </c>
      <c r="M12" s="15" t="str">
        <f t="shared" si="1"/>
        <v>Apple Martini</v>
      </c>
      <c r="N12" s="15" t="b">
        <f>OR(C12='Cocktail Finder'!$B$2,ISBLANK('Cocktail Finder'!$B$2))</f>
        <v>1</v>
      </c>
      <c r="O12" s="15" t="b">
        <f>OR(D12='Cocktail Finder'!$B$7,ISBLANK('Cocktail Finder'!$B$7))</f>
        <v>1</v>
      </c>
      <c r="P12" s="15" t="b">
        <f>OR(E12='Cocktail Finder'!$B$5,ISBLANK('Cocktail Finder'!$B$5))</f>
        <v>1</v>
      </c>
      <c r="Q12" s="15" t="b">
        <f>OR(F12='Cocktail Finder'!$B$4,ISBLANK('Cocktail Finder'!$B$4))</f>
        <v>1</v>
      </c>
      <c r="R12" s="15" t="b">
        <f>OR(G12='Cocktail Finder'!$B$3,ISBLANK('Cocktail Finder'!$B$3))</f>
        <v>1</v>
      </c>
      <c r="S12" s="15" t="b">
        <f>OR(H12='Cocktail Finder'!$B$6,ISBLANK('Cocktail Finder'!$B$6))</f>
        <v>1</v>
      </c>
      <c r="T12" s="15" t="b">
        <f>OR(I12='Cocktail Finder'!$B$8,ISBLANK('Cocktail Finder'!$B$8))</f>
        <v>1</v>
      </c>
      <c r="U12" s="15" t="b">
        <f>OR(J12='Cocktail Finder'!$B$9,ISBLANK('Cocktail Finder'!$B$8))</f>
        <v>1</v>
      </c>
    </row>
    <row r="13" spans="1:21" x14ac:dyDescent="0.2">
      <c r="A13" s="19">
        <f t="shared" si="2"/>
        <v>12</v>
      </c>
      <c r="B13" s="19" t="s">
        <v>378</v>
      </c>
      <c r="C13" s="19" t="s">
        <v>357</v>
      </c>
      <c r="D13" s="19"/>
      <c r="E13" s="19"/>
      <c r="F13" s="19" t="s">
        <v>38</v>
      </c>
      <c r="G13" s="19" t="s">
        <v>379</v>
      </c>
      <c r="H13" s="19"/>
      <c r="I13" s="19"/>
      <c r="J13" s="19"/>
      <c r="K13" s="19"/>
      <c r="L13" s="15">
        <f t="shared" si="0"/>
        <v>1</v>
      </c>
      <c r="M13" s="15" t="str">
        <f t="shared" si="1"/>
        <v>Apple Sidecar</v>
      </c>
      <c r="N13" s="15" t="b">
        <f>OR(C13='Cocktail Finder'!$B$2,ISBLANK('Cocktail Finder'!$B$2))</f>
        <v>1</v>
      </c>
      <c r="O13" s="15" t="b">
        <f>OR(D13='Cocktail Finder'!$B$7,ISBLANK('Cocktail Finder'!$B$7))</f>
        <v>1</v>
      </c>
      <c r="P13" s="15" t="b">
        <f>OR(E13='Cocktail Finder'!$B$5,ISBLANK('Cocktail Finder'!$B$5))</f>
        <v>1</v>
      </c>
      <c r="Q13" s="15" t="b">
        <f>OR(F13='Cocktail Finder'!$B$4,ISBLANK('Cocktail Finder'!$B$4))</f>
        <v>1</v>
      </c>
      <c r="R13" s="15" t="b">
        <f>OR(G13='Cocktail Finder'!$B$3,ISBLANK('Cocktail Finder'!$B$3))</f>
        <v>1</v>
      </c>
      <c r="S13" s="15" t="b">
        <f>OR(H13='Cocktail Finder'!$B$6,ISBLANK('Cocktail Finder'!$B$6))</f>
        <v>1</v>
      </c>
      <c r="T13" s="15" t="b">
        <f>OR(I13='Cocktail Finder'!$B$8,ISBLANK('Cocktail Finder'!$B$8))</f>
        <v>1</v>
      </c>
      <c r="U13" s="15" t="b">
        <f>OR(J13='Cocktail Finder'!$B$9,ISBLANK('Cocktail Finder'!$B$8))</f>
        <v>1</v>
      </c>
    </row>
    <row r="14" spans="1:21" x14ac:dyDescent="0.2">
      <c r="A14" s="19">
        <f t="shared" si="2"/>
        <v>13</v>
      </c>
      <c r="B14" s="19" t="s">
        <v>61</v>
      </c>
      <c r="C14" s="19" t="s">
        <v>60</v>
      </c>
      <c r="D14" s="19"/>
      <c r="E14" s="19" t="s">
        <v>62</v>
      </c>
      <c r="F14" s="19" t="s">
        <v>38</v>
      </c>
      <c r="G14" s="19"/>
      <c r="H14" s="19"/>
      <c r="I14" s="19"/>
      <c r="J14" s="19"/>
      <c r="K14" s="19"/>
      <c r="L14" s="15">
        <f t="shared" si="0"/>
        <v>1</v>
      </c>
      <c r="M14" s="15" t="str">
        <f t="shared" si="1"/>
        <v>Apricot Fizz</v>
      </c>
      <c r="N14" s="15" t="b">
        <f>OR(C14='Cocktail Finder'!$B$2,ISBLANK('Cocktail Finder'!$B$2))</f>
        <v>1</v>
      </c>
      <c r="O14" s="15" t="b">
        <f>OR(D14='Cocktail Finder'!$B$7,ISBLANK('Cocktail Finder'!$B$7))</f>
        <v>1</v>
      </c>
      <c r="P14" s="15" t="b">
        <f>OR(E14='Cocktail Finder'!$B$5,ISBLANK('Cocktail Finder'!$B$5))</f>
        <v>1</v>
      </c>
      <c r="Q14" s="15" t="b">
        <f>OR(F14='Cocktail Finder'!$B$4,ISBLANK('Cocktail Finder'!$B$4))</f>
        <v>1</v>
      </c>
      <c r="R14" s="15" t="b">
        <f>OR(G14='Cocktail Finder'!$B$3,ISBLANK('Cocktail Finder'!$B$3))</f>
        <v>1</v>
      </c>
      <c r="S14" s="15" t="b">
        <f>OR(H14='Cocktail Finder'!$B$6,ISBLANK('Cocktail Finder'!$B$6))</f>
        <v>1</v>
      </c>
      <c r="T14" s="15" t="b">
        <f>OR(I14='Cocktail Finder'!$B$8,ISBLANK('Cocktail Finder'!$B$8))</f>
        <v>1</v>
      </c>
      <c r="U14" s="15" t="b">
        <f>OR(J14='Cocktail Finder'!$B$9,ISBLANK('Cocktail Finder'!$B$8))</f>
        <v>1</v>
      </c>
    </row>
    <row r="15" spans="1:21" x14ac:dyDescent="0.2">
      <c r="A15" s="19">
        <f t="shared" si="2"/>
        <v>14</v>
      </c>
      <c r="B15" s="19" t="s">
        <v>59</v>
      </c>
      <c r="C15" s="19" t="s">
        <v>60</v>
      </c>
      <c r="D15" s="19"/>
      <c r="E15" s="19"/>
      <c r="F15" s="19" t="s">
        <v>38</v>
      </c>
      <c r="G15" s="19"/>
      <c r="H15" s="19"/>
      <c r="I15" s="19"/>
      <c r="J15" s="19"/>
      <c r="K15" s="19"/>
      <c r="L15" s="15">
        <f t="shared" si="0"/>
        <v>1</v>
      </c>
      <c r="M15" s="15" t="str">
        <f t="shared" si="1"/>
        <v>Apricot Sour</v>
      </c>
      <c r="N15" s="15" t="b">
        <f>OR(C15='Cocktail Finder'!$B$2,ISBLANK('Cocktail Finder'!$B$2))</f>
        <v>1</v>
      </c>
      <c r="O15" s="15" t="b">
        <f>OR(D15='Cocktail Finder'!$B$7,ISBLANK('Cocktail Finder'!$B$7))</f>
        <v>1</v>
      </c>
      <c r="P15" s="15" t="b">
        <f>OR(E15='Cocktail Finder'!$B$5,ISBLANK('Cocktail Finder'!$B$5))</f>
        <v>1</v>
      </c>
      <c r="Q15" s="15" t="b">
        <f>OR(F15='Cocktail Finder'!$B$4,ISBLANK('Cocktail Finder'!$B$4))</f>
        <v>1</v>
      </c>
      <c r="R15" s="15" t="b">
        <f>OR(G15='Cocktail Finder'!$B$3,ISBLANK('Cocktail Finder'!$B$3))</f>
        <v>1</v>
      </c>
      <c r="S15" s="15" t="b">
        <f>OR(H15='Cocktail Finder'!$B$6,ISBLANK('Cocktail Finder'!$B$6))</f>
        <v>1</v>
      </c>
      <c r="T15" s="15" t="b">
        <f>OR(I15='Cocktail Finder'!$B$8,ISBLANK('Cocktail Finder'!$B$8))</f>
        <v>1</v>
      </c>
      <c r="U15" s="15" t="b">
        <f>OR(J15='Cocktail Finder'!$B$9,ISBLANK('Cocktail Finder'!$B$8))</f>
        <v>1</v>
      </c>
    </row>
    <row r="16" spans="1:21" x14ac:dyDescent="0.2">
      <c r="A16" s="19">
        <f t="shared" si="2"/>
        <v>15</v>
      </c>
      <c r="B16" s="19" t="s">
        <v>77</v>
      </c>
      <c r="C16" s="19" t="s">
        <v>65</v>
      </c>
      <c r="D16" s="19"/>
      <c r="E16" s="19" t="s">
        <v>66</v>
      </c>
      <c r="F16" s="19" t="s">
        <v>78</v>
      </c>
      <c r="G16" s="19" t="s">
        <v>52</v>
      </c>
      <c r="H16" s="19" t="s">
        <v>79</v>
      </c>
      <c r="I16" s="19"/>
      <c r="J16" s="19"/>
      <c r="K16" s="19"/>
      <c r="L16" s="15">
        <f t="shared" si="0"/>
        <v>1</v>
      </c>
      <c r="M16" s="15" t="str">
        <f t="shared" si="1"/>
        <v>Arawak Cocktail</v>
      </c>
      <c r="N16" s="15" t="b">
        <f>OR(C16='Cocktail Finder'!$B$2,ISBLANK('Cocktail Finder'!$B$2))</f>
        <v>1</v>
      </c>
      <c r="O16" s="15" t="b">
        <f>OR(D16='Cocktail Finder'!$B$7,ISBLANK('Cocktail Finder'!$B$7))</f>
        <v>1</v>
      </c>
      <c r="P16" s="15" t="b">
        <f>OR(E16='Cocktail Finder'!$B$5,ISBLANK('Cocktail Finder'!$B$5))</f>
        <v>1</v>
      </c>
      <c r="Q16" s="15" t="b">
        <f>OR(F16='Cocktail Finder'!$B$4,ISBLANK('Cocktail Finder'!$B$4))</f>
        <v>1</v>
      </c>
      <c r="R16" s="15" t="b">
        <f>OR(G16='Cocktail Finder'!$B$3,ISBLANK('Cocktail Finder'!$B$3))</f>
        <v>1</v>
      </c>
      <c r="S16" s="15" t="b">
        <f>OR(H16='Cocktail Finder'!$B$6,ISBLANK('Cocktail Finder'!$B$6))</f>
        <v>1</v>
      </c>
      <c r="T16" s="15" t="b">
        <f>OR(I16='Cocktail Finder'!$B$8,ISBLANK('Cocktail Finder'!$B$8))</f>
        <v>1</v>
      </c>
      <c r="U16" s="15" t="b">
        <f>OR(J16='Cocktail Finder'!$B$9,ISBLANK('Cocktail Finder'!$B$8))</f>
        <v>1</v>
      </c>
    </row>
    <row r="17" spans="1:21" ht="25" x14ac:dyDescent="0.2">
      <c r="A17" s="19">
        <f t="shared" si="2"/>
        <v>16</v>
      </c>
      <c r="B17" s="19" t="s">
        <v>168</v>
      </c>
      <c r="C17" s="18" t="s">
        <v>148</v>
      </c>
      <c r="D17" s="19"/>
      <c r="E17" s="19"/>
      <c r="F17" s="19" t="s">
        <v>38</v>
      </c>
      <c r="G17" s="19" t="s">
        <v>120</v>
      </c>
      <c r="H17" s="19"/>
      <c r="I17" s="19"/>
      <c r="J17" s="19"/>
      <c r="K17" s="19"/>
      <c r="L17" s="15">
        <f t="shared" si="0"/>
        <v>1</v>
      </c>
      <c r="M17" s="15" t="str">
        <f t="shared" si="1"/>
        <v>Aviation Cocktail</v>
      </c>
      <c r="N17" s="15" t="b">
        <f>OR(C17='Cocktail Finder'!$B$2,ISBLANK('Cocktail Finder'!$B$2))</f>
        <v>1</v>
      </c>
      <c r="O17" s="15" t="b">
        <f>OR(D17='Cocktail Finder'!$B$7,ISBLANK('Cocktail Finder'!$B$7))</f>
        <v>1</v>
      </c>
      <c r="P17" s="15" t="b">
        <f>OR(E17='Cocktail Finder'!$B$5,ISBLANK('Cocktail Finder'!$B$5))</f>
        <v>1</v>
      </c>
      <c r="Q17" s="15" t="b">
        <f>OR(F17='Cocktail Finder'!$B$4,ISBLANK('Cocktail Finder'!$B$4))</f>
        <v>1</v>
      </c>
      <c r="R17" s="15" t="b">
        <f>OR(G17='Cocktail Finder'!$B$3,ISBLANK('Cocktail Finder'!$B$3))</f>
        <v>1</v>
      </c>
      <c r="S17" s="15" t="b">
        <f>OR(H17='Cocktail Finder'!$B$6,ISBLANK('Cocktail Finder'!$B$6))</f>
        <v>1</v>
      </c>
      <c r="T17" s="15" t="b">
        <f>OR(I17='Cocktail Finder'!$B$8,ISBLANK('Cocktail Finder'!$B$8))</f>
        <v>1</v>
      </c>
      <c r="U17" s="15" t="b">
        <f>OR(J17='Cocktail Finder'!$B$9,ISBLANK('Cocktail Finder'!$B$8))</f>
        <v>1</v>
      </c>
    </row>
    <row r="18" spans="1:21" x14ac:dyDescent="0.2">
      <c r="A18" s="19">
        <f t="shared" si="2"/>
        <v>17</v>
      </c>
      <c r="B18" s="19" t="s">
        <v>291</v>
      </c>
      <c r="C18" s="18" t="s">
        <v>265</v>
      </c>
      <c r="D18" s="19"/>
      <c r="E18" s="19" t="s">
        <v>55</v>
      </c>
      <c r="F18" s="19" t="s">
        <v>90</v>
      </c>
      <c r="G18" s="19"/>
      <c r="H18" s="19"/>
      <c r="I18" s="19"/>
      <c r="J18" s="19"/>
      <c r="K18" s="19"/>
      <c r="L18" s="15">
        <f t="shared" si="0"/>
        <v>1</v>
      </c>
      <c r="M18" s="15" t="str">
        <f t="shared" si="1"/>
        <v>Bacardi Cocktail</v>
      </c>
      <c r="N18" s="15" t="b">
        <f>OR(C18='Cocktail Finder'!$B$2,ISBLANK('Cocktail Finder'!$B$2))</f>
        <v>1</v>
      </c>
      <c r="O18" s="15" t="b">
        <f>OR(D18='Cocktail Finder'!$B$7,ISBLANK('Cocktail Finder'!$B$7))</f>
        <v>1</v>
      </c>
      <c r="P18" s="15" t="b">
        <f>OR(E18='Cocktail Finder'!$B$5,ISBLANK('Cocktail Finder'!$B$5))</f>
        <v>1</v>
      </c>
      <c r="Q18" s="15" t="b">
        <f>OR(F18='Cocktail Finder'!$B$4,ISBLANK('Cocktail Finder'!$B$4))</f>
        <v>1</v>
      </c>
      <c r="R18" s="15" t="b">
        <f>OR(G18='Cocktail Finder'!$B$3,ISBLANK('Cocktail Finder'!$B$3))</f>
        <v>1</v>
      </c>
      <c r="S18" s="15" t="b">
        <f>OR(H18='Cocktail Finder'!$B$6,ISBLANK('Cocktail Finder'!$B$6))</f>
        <v>1</v>
      </c>
      <c r="T18" s="15" t="b">
        <f>OR(I18='Cocktail Finder'!$B$8,ISBLANK('Cocktail Finder'!$B$8))</f>
        <v>1</v>
      </c>
      <c r="U18" s="15" t="b">
        <f>OR(J18='Cocktail Finder'!$B$9,ISBLANK('Cocktail Finder'!$B$8))</f>
        <v>1</v>
      </c>
    </row>
    <row r="19" spans="1:21" x14ac:dyDescent="0.2">
      <c r="A19" s="19">
        <f t="shared" si="2"/>
        <v>18</v>
      </c>
      <c r="B19" s="19" t="s">
        <v>273</v>
      </c>
      <c r="C19" s="19" t="s">
        <v>265</v>
      </c>
      <c r="D19" s="19"/>
      <c r="E19" s="19"/>
      <c r="F19" s="19" t="s">
        <v>45</v>
      </c>
      <c r="G19" s="19"/>
      <c r="H19" s="19"/>
      <c r="I19" s="19"/>
      <c r="J19" s="19"/>
      <c r="K19" s="19"/>
      <c r="L19" s="15">
        <f t="shared" si="0"/>
        <v>1</v>
      </c>
      <c r="M19" s="15" t="str">
        <f t="shared" si="1"/>
        <v>Bay Breeze</v>
      </c>
      <c r="N19" s="15" t="b">
        <f>OR(C19='Cocktail Finder'!$B$2,ISBLANK('Cocktail Finder'!$B$2))</f>
        <v>1</v>
      </c>
      <c r="O19" s="15" t="b">
        <f>OR(D19='Cocktail Finder'!$B$7,ISBLANK('Cocktail Finder'!$B$7))</f>
        <v>1</v>
      </c>
      <c r="P19" s="15" t="b">
        <f>OR(E19='Cocktail Finder'!$B$5,ISBLANK('Cocktail Finder'!$B$5))</f>
        <v>1</v>
      </c>
      <c r="Q19" s="15" t="b">
        <f>OR(F19='Cocktail Finder'!$B$4,ISBLANK('Cocktail Finder'!$B$4))</f>
        <v>1</v>
      </c>
      <c r="R19" s="15" t="b">
        <f>OR(G19='Cocktail Finder'!$B$3,ISBLANK('Cocktail Finder'!$B$3))</f>
        <v>1</v>
      </c>
      <c r="S19" s="15" t="b">
        <f>OR(H19='Cocktail Finder'!$B$6,ISBLANK('Cocktail Finder'!$B$6))</f>
        <v>1</v>
      </c>
      <c r="T19" s="15" t="b">
        <f>OR(I19='Cocktail Finder'!$B$8,ISBLANK('Cocktail Finder'!$B$8))</f>
        <v>1</v>
      </c>
      <c r="U19" s="15" t="b">
        <f>OR(J19='Cocktail Finder'!$B$9,ISBLANK('Cocktail Finder'!$B$8))</f>
        <v>1</v>
      </c>
    </row>
    <row r="20" spans="1:21" x14ac:dyDescent="0.2">
      <c r="A20" s="19">
        <f t="shared" si="2"/>
        <v>19</v>
      </c>
      <c r="B20" s="19" t="s">
        <v>288</v>
      </c>
      <c r="C20" s="19" t="s">
        <v>265</v>
      </c>
      <c r="D20" s="19"/>
      <c r="E20" s="19"/>
      <c r="F20" s="19" t="s">
        <v>90</v>
      </c>
      <c r="G20" s="19" t="s">
        <v>100</v>
      </c>
      <c r="H20" s="19"/>
      <c r="I20" s="19"/>
      <c r="J20" s="19"/>
      <c r="K20" s="19"/>
      <c r="L20" s="15">
        <f t="shared" si="0"/>
        <v>1</v>
      </c>
      <c r="M20" s="15" t="str">
        <f t="shared" si="1"/>
        <v>Beachcomber Cocktail</v>
      </c>
      <c r="N20" s="15" t="b">
        <f>OR(C20='Cocktail Finder'!$B$2,ISBLANK('Cocktail Finder'!$B$2))</f>
        <v>1</v>
      </c>
      <c r="O20" s="15" t="b">
        <f>OR(D20='Cocktail Finder'!$B$7,ISBLANK('Cocktail Finder'!$B$7))</f>
        <v>1</v>
      </c>
      <c r="P20" s="15" t="b">
        <f>OR(E20='Cocktail Finder'!$B$5,ISBLANK('Cocktail Finder'!$B$5))</f>
        <v>1</v>
      </c>
      <c r="Q20" s="15" t="b">
        <f>OR(F20='Cocktail Finder'!$B$4,ISBLANK('Cocktail Finder'!$B$4))</f>
        <v>1</v>
      </c>
      <c r="R20" s="15" t="b">
        <f>OR(G20='Cocktail Finder'!$B$3,ISBLANK('Cocktail Finder'!$B$3))</f>
        <v>1</v>
      </c>
      <c r="S20" s="15" t="b">
        <f>OR(H20='Cocktail Finder'!$B$6,ISBLANK('Cocktail Finder'!$B$6))</f>
        <v>1</v>
      </c>
      <c r="T20" s="15" t="b">
        <f>OR(I20='Cocktail Finder'!$B$8,ISBLANK('Cocktail Finder'!$B$8))</f>
        <v>1</v>
      </c>
      <c r="U20" s="15" t="b">
        <f>OR(J20='Cocktail Finder'!$B$9,ISBLANK('Cocktail Finder'!$B$8))</f>
        <v>1</v>
      </c>
    </row>
    <row r="21" spans="1:21" ht="15.75" customHeight="1" x14ac:dyDescent="0.2">
      <c r="A21" s="19">
        <f t="shared" si="2"/>
        <v>20</v>
      </c>
      <c r="B21" s="19" t="s">
        <v>160</v>
      </c>
      <c r="C21" s="18" t="s">
        <v>148</v>
      </c>
      <c r="D21" s="19"/>
      <c r="E21" s="19" t="s">
        <v>86</v>
      </c>
      <c r="F21" s="23" t="s">
        <v>90</v>
      </c>
      <c r="G21" s="23"/>
      <c r="H21" s="19"/>
      <c r="I21" s="19"/>
      <c r="J21" s="24" t="s">
        <v>66</v>
      </c>
      <c r="K21" s="19"/>
      <c r="L21" s="15">
        <f t="shared" si="0"/>
        <v>1</v>
      </c>
      <c r="M21" s="15" t="str">
        <f t="shared" si="1"/>
        <v>Bennett Cocktail</v>
      </c>
      <c r="N21" s="15" t="b">
        <f>OR(C21='Cocktail Finder'!$B$2,ISBLANK('Cocktail Finder'!$B$2))</f>
        <v>1</v>
      </c>
      <c r="O21" s="15" t="b">
        <f>OR(D21='Cocktail Finder'!$B$7,ISBLANK('Cocktail Finder'!$B$7))</f>
        <v>1</v>
      </c>
      <c r="P21" s="15" t="b">
        <f>OR(E21='Cocktail Finder'!$B$5,ISBLANK('Cocktail Finder'!$B$5))</f>
        <v>1</v>
      </c>
      <c r="Q21" s="15" t="b">
        <f>OR(F21='Cocktail Finder'!$B$4,ISBLANK('Cocktail Finder'!$B$4))</f>
        <v>1</v>
      </c>
      <c r="R21" s="15" t="b">
        <f>OR(G21='Cocktail Finder'!$B$3,ISBLANK('Cocktail Finder'!$B$3))</f>
        <v>1</v>
      </c>
      <c r="S21" s="15" t="b">
        <f>OR(H21='Cocktail Finder'!$B$6,ISBLANK('Cocktail Finder'!$B$6))</f>
        <v>1</v>
      </c>
      <c r="T21" s="15" t="b">
        <f>OR(I21='Cocktail Finder'!$B$8,ISBLANK('Cocktail Finder'!$B$8))</f>
        <v>1</v>
      </c>
      <c r="U21" s="15" t="b">
        <f>OR(J21='Cocktail Finder'!$B$9,ISBLANK('Cocktail Finder'!$B$8))</f>
        <v>1</v>
      </c>
    </row>
    <row r="22" spans="1:21" ht="15.75" customHeight="1" x14ac:dyDescent="0.2">
      <c r="A22" s="19">
        <f t="shared" si="2"/>
        <v>21</v>
      </c>
      <c r="B22" s="19" t="s">
        <v>217</v>
      </c>
      <c r="C22" s="18" t="s">
        <v>148</v>
      </c>
      <c r="D22" s="19"/>
      <c r="E22" s="19" t="s">
        <v>55</v>
      </c>
      <c r="F22" s="19"/>
      <c r="G22" s="19" t="s">
        <v>48</v>
      </c>
      <c r="H22" s="19"/>
      <c r="I22" s="19"/>
      <c r="J22" s="19"/>
      <c r="K22" s="19"/>
      <c r="L22" s="15">
        <f t="shared" si="0"/>
        <v>1</v>
      </c>
      <c r="M22" s="15" t="str">
        <f t="shared" si="1"/>
        <v>Bermuda Rose</v>
      </c>
      <c r="N22" s="15" t="b">
        <f>OR(C22='Cocktail Finder'!$B$2,ISBLANK('Cocktail Finder'!$B$2))</f>
        <v>1</v>
      </c>
      <c r="O22" s="15" t="b">
        <f>OR(D22='Cocktail Finder'!$B$7,ISBLANK('Cocktail Finder'!$B$7))</f>
        <v>1</v>
      </c>
      <c r="P22" s="15" t="b">
        <f>OR(E22='Cocktail Finder'!$B$5,ISBLANK('Cocktail Finder'!$B$5))</f>
        <v>1</v>
      </c>
      <c r="Q22" s="15" t="b">
        <f>OR(F22='Cocktail Finder'!$B$4,ISBLANK('Cocktail Finder'!$B$4))</f>
        <v>1</v>
      </c>
      <c r="R22" s="15" t="b">
        <f>OR(G22='Cocktail Finder'!$B$3,ISBLANK('Cocktail Finder'!$B$3))</f>
        <v>1</v>
      </c>
      <c r="S22" s="15" t="b">
        <f>OR(H22='Cocktail Finder'!$B$6,ISBLANK('Cocktail Finder'!$B$6))</f>
        <v>1</v>
      </c>
      <c r="T22" s="15" t="b">
        <f>OR(I22='Cocktail Finder'!$B$8,ISBLANK('Cocktail Finder'!$B$8))</f>
        <v>1</v>
      </c>
      <c r="U22" s="15" t="b">
        <f>OR(J22='Cocktail Finder'!$B$9,ISBLANK('Cocktail Finder'!$B$8))</f>
        <v>1</v>
      </c>
    </row>
    <row r="23" spans="1:21" ht="15.75" customHeight="1" x14ac:dyDescent="0.2">
      <c r="A23" s="19">
        <f t="shared" si="2"/>
        <v>22</v>
      </c>
      <c r="B23" s="19" t="s">
        <v>298</v>
      </c>
      <c r="C23" s="19" t="s">
        <v>294</v>
      </c>
      <c r="D23" s="19"/>
      <c r="E23" s="19"/>
      <c r="F23" s="19" t="s">
        <v>38</v>
      </c>
      <c r="G23" s="19" t="s">
        <v>100</v>
      </c>
      <c r="H23" s="19"/>
      <c r="I23" s="19"/>
      <c r="J23" s="19"/>
      <c r="K23" s="19"/>
      <c r="L23" s="15">
        <f t="shared" si="0"/>
        <v>1</v>
      </c>
      <c r="M23" s="15" t="str">
        <f t="shared" si="1"/>
        <v>Between the Sheets</v>
      </c>
      <c r="N23" s="15" t="b">
        <f>OR(C23='Cocktail Finder'!$B$2,ISBLANK('Cocktail Finder'!$B$2))</f>
        <v>1</v>
      </c>
      <c r="O23" s="15" t="b">
        <f>OR(D23='Cocktail Finder'!$B$7,ISBLANK('Cocktail Finder'!$B$7))</f>
        <v>1</v>
      </c>
      <c r="P23" s="15" t="b">
        <f>OR(E23='Cocktail Finder'!$B$5,ISBLANK('Cocktail Finder'!$B$5))</f>
        <v>1</v>
      </c>
      <c r="Q23" s="15" t="b">
        <f>OR(F23='Cocktail Finder'!$B$4,ISBLANK('Cocktail Finder'!$B$4))</f>
        <v>1</v>
      </c>
      <c r="R23" s="15" t="b">
        <f>OR(G23='Cocktail Finder'!$B$3,ISBLANK('Cocktail Finder'!$B$3))</f>
        <v>1</v>
      </c>
      <c r="S23" s="15" t="b">
        <f>OR(H23='Cocktail Finder'!$B$6,ISBLANK('Cocktail Finder'!$B$6))</f>
        <v>1</v>
      </c>
      <c r="T23" s="15" t="b">
        <f>OR(I23='Cocktail Finder'!$B$8,ISBLANK('Cocktail Finder'!$B$8))</f>
        <v>1</v>
      </c>
      <c r="U23" s="15" t="b">
        <f>OR(J23='Cocktail Finder'!$B$9,ISBLANK('Cocktail Finder'!$B$8))</f>
        <v>1</v>
      </c>
    </row>
    <row r="24" spans="1:21" ht="15.75" customHeight="1" x14ac:dyDescent="0.2">
      <c r="A24" s="19">
        <f t="shared" si="2"/>
        <v>23</v>
      </c>
      <c r="B24" s="19" t="s">
        <v>174</v>
      </c>
      <c r="C24" s="18" t="s">
        <v>148</v>
      </c>
      <c r="D24" s="19"/>
      <c r="E24" s="19"/>
      <c r="F24" s="19" t="s">
        <v>90</v>
      </c>
      <c r="G24" s="19" t="s">
        <v>100</v>
      </c>
      <c r="H24" s="19"/>
      <c r="I24" s="19"/>
      <c r="J24" s="19"/>
      <c r="K24" s="19"/>
      <c r="L24" s="15">
        <f t="shared" si="0"/>
        <v>1</v>
      </c>
      <c r="M24" s="15" t="str">
        <f t="shared" si="1"/>
        <v>Big Pine Key Cocktail</v>
      </c>
      <c r="N24" s="15" t="b">
        <f>OR(C24='Cocktail Finder'!$B$2,ISBLANK('Cocktail Finder'!$B$2))</f>
        <v>1</v>
      </c>
      <c r="O24" s="15" t="b">
        <f>OR(D24='Cocktail Finder'!$B$7,ISBLANK('Cocktail Finder'!$B$7))</f>
        <v>1</v>
      </c>
      <c r="P24" s="15" t="b">
        <f>OR(E24='Cocktail Finder'!$B$5,ISBLANK('Cocktail Finder'!$B$5))</f>
        <v>1</v>
      </c>
      <c r="Q24" s="15" t="b">
        <f>OR(F24='Cocktail Finder'!$B$4,ISBLANK('Cocktail Finder'!$B$4))</f>
        <v>1</v>
      </c>
      <c r="R24" s="15" t="b">
        <f>OR(G24='Cocktail Finder'!$B$3,ISBLANK('Cocktail Finder'!$B$3))</f>
        <v>1</v>
      </c>
      <c r="S24" s="15" t="b">
        <f>OR(H24='Cocktail Finder'!$B$6,ISBLANK('Cocktail Finder'!$B$6))</f>
        <v>1</v>
      </c>
      <c r="T24" s="15" t="b">
        <f>OR(I24='Cocktail Finder'!$B$8,ISBLANK('Cocktail Finder'!$B$8))</f>
        <v>1</v>
      </c>
      <c r="U24" s="15" t="b">
        <f>OR(J24='Cocktail Finder'!$B$9,ISBLANK('Cocktail Finder'!$B$8))</f>
        <v>1</v>
      </c>
    </row>
    <row r="25" spans="1:21" ht="15.75" customHeight="1" x14ac:dyDescent="0.2">
      <c r="A25" s="19">
        <f t="shared" si="2"/>
        <v>24</v>
      </c>
      <c r="B25" s="19" t="s">
        <v>111</v>
      </c>
      <c r="C25" s="19" t="s">
        <v>49</v>
      </c>
      <c r="D25" s="19"/>
      <c r="E25" s="19"/>
      <c r="F25" s="19" t="s">
        <v>38</v>
      </c>
      <c r="G25" s="19" t="s">
        <v>112</v>
      </c>
      <c r="H25" s="19" t="s">
        <v>115</v>
      </c>
      <c r="I25" s="19"/>
      <c r="J25" s="24" t="s">
        <v>114</v>
      </c>
      <c r="K25" s="19"/>
      <c r="L25" s="15">
        <f t="shared" si="0"/>
        <v>1</v>
      </c>
      <c r="M25" s="15" t="str">
        <f t="shared" si="1"/>
        <v>Bistro Sidecar</v>
      </c>
      <c r="N25" s="15" t="b">
        <f>OR(C25='Cocktail Finder'!$B$2,ISBLANK('Cocktail Finder'!$B$2))</f>
        <v>1</v>
      </c>
      <c r="O25" s="15" t="b">
        <f>OR(D25='Cocktail Finder'!$B$7,ISBLANK('Cocktail Finder'!$B$7))</f>
        <v>1</v>
      </c>
      <c r="P25" s="15" t="b">
        <f>OR(E25='Cocktail Finder'!$B$5,ISBLANK('Cocktail Finder'!$B$5))</f>
        <v>1</v>
      </c>
      <c r="Q25" s="15" t="b">
        <f>OR(F25='Cocktail Finder'!$B$4,ISBLANK('Cocktail Finder'!$B$4))</f>
        <v>1</v>
      </c>
      <c r="R25" s="15" t="b">
        <f>OR(G25='Cocktail Finder'!$B$3,ISBLANK('Cocktail Finder'!$B$3))</f>
        <v>1</v>
      </c>
      <c r="S25" s="15" t="b">
        <f>OR(H25='Cocktail Finder'!$B$6,ISBLANK('Cocktail Finder'!$B$6))</f>
        <v>1</v>
      </c>
      <c r="T25" s="15" t="b">
        <f>OR(I25='Cocktail Finder'!$B$8,ISBLANK('Cocktail Finder'!$B$8))</f>
        <v>1</v>
      </c>
      <c r="U25" s="15" t="b">
        <f>OR(J25='Cocktail Finder'!$B$9,ISBLANK('Cocktail Finder'!$B$8))</f>
        <v>1</v>
      </c>
    </row>
    <row r="26" spans="1:21" ht="15.75" customHeight="1" x14ac:dyDescent="0.2">
      <c r="A26" s="19">
        <f t="shared" si="2"/>
        <v>25</v>
      </c>
      <c r="B26" s="19" t="s">
        <v>360</v>
      </c>
      <c r="C26" s="19" t="s">
        <v>357</v>
      </c>
      <c r="D26" s="19"/>
      <c r="E26" s="19"/>
      <c r="F26" s="19"/>
      <c r="G26" s="19" t="s">
        <v>36</v>
      </c>
      <c r="H26" s="19"/>
      <c r="I26" s="19"/>
      <c r="J26" s="19"/>
      <c r="K26" s="19"/>
      <c r="L26" s="15">
        <f t="shared" si="0"/>
        <v>1</v>
      </c>
      <c r="M26" s="15" t="str">
        <f t="shared" si="1"/>
        <v>Black Russian</v>
      </c>
      <c r="N26" s="15" t="b">
        <f>OR(C26='Cocktail Finder'!$B$2,ISBLANK('Cocktail Finder'!$B$2))</f>
        <v>1</v>
      </c>
      <c r="O26" s="15" t="b">
        <f>OR(D26='Cocktail Finder'!$B$7,ISBLANK('Cocktail Finder'!$B$7))</f>
        <v>1</v>
      </c>
      <c r="P26" s="15" t="b">
        <f>OR(E26='Cocktail Finder'!$B$5,ISBLANK('Cocktail Finder'!$B$5))</f>
        <v>1</v>
      </c>
      <c r="Q26" s="15" t="b">
        <f>OR(F26='Cocktail Finder'!$B$4,ISBLANK('Cocktail Finder'!$B$4))</f>
        <v>1</v>
      </c>
      <c r="R26" s="15" t="b">
        <f>OR(G26='Cocktail Finder'!$B$3,ISBLANK('Cocktail Finder'!$B$3))</f>
        <v>1</v>
      </c>
      <c r="S26" s="15" t="b">
        <f>OR(H26='Cocktail Finder'!$B$6,ISBLANK('Cocktail Finder'!$B$6))</f>
        <v>1</v>
      </c>
      <c r="T26" s="15" t="b">
        <f>OR(I26='Cocktail Finder'!$B$8,ISBLANK('Cocktail Finder'!$B$8))</f>
        <v>1</v>
      </c>
      <c r="U26" s="15" t="b">
        <f>OR(J26='Cocktail Finder'!$B$9,ISBLANK('Cocktail Finder'!$B$8))</f>
        <v>1</v>
      </c>
    </row>
    <row r="27" spans="1:21" ht="15.75" customHeight="1" x14ac:dyDescent="0.2">
      <c r="A27" s="19">
        <f t="shared" si="2"/>
        <v>26</v>
      </c>
      <c r="B27" s="19" t="s">
        <v>370</v>
      </c>
      <c r="C27" s="19" t="s">
        <v>357</v>
      </c>
      <c r="D27" s="19" t="s">
        <v>265</v>
      </c>
      <c r="E27" s="23"/>
      <c r="F27" s="19" t="s">
        <v>126</v>
      </c>
      <c r="G27" s="25" t="s">
        <v>100</v>
      </c>
      <c r="H27" s="19"/>
      <c r="I27" s="19"/>
      <c r="J27" s="19"/>
      <c r="K27" s="19"/>
      <c r="L27" s="15">
        <f t="shared" si="0"/>
        <v>1</v>
      </c>
      <c r="M27" s="15" t="str">
        <f t="shared" si="1"/>
        <v>Black-Eyed Susan</v>
      </c>
      <c r="N27" s="15" t="b">
        <f>OR(C27='Cocktail Finder'!$B$2,ISBLANK('Cocktail Finder'!$B$2))</f>
        <v>1</v>
      </c>
      <c r="O27" s="15" t="b">
        <f>OR(D27='Cocktail Finder'!$B$7,ISBLANK('Cocktail Finder'!$B$7))</f>
        <v>1</v>
      </c>
      <c r="P27" s="15" t="b">
        <f>OR(E27='Cocktail Finder'!$B$5,ISBLANK('Cocktail Finder'!$B$5))</f>
        <v>1</v>
      </c>
      <c r="Q27" s="15" t="b">
        <f>OR(F27='Cocktail Finder'!$B$4,ISBLANK('Cocktail Finder'!$B$4))</f>
        <v>1</v>
      </c>
      <c r="R27" s="15" t="b">
        <f>OR(G27='Cocktail Finder'!$B$3,ISBLANK('Cocktail Finder'!$B$3))</f>
        <v>1</v>
      </c>
      <c r="S27" s="15" t="b">
        <f>OR(H27='Cocktail Finder'!$B$6,ISBLANK('Cocktail Finder'!$B$6))</f>
        <v>1</v>
      </c>
      <c r="T27" s="15" t="b">
        <f>OR(I27='Cocktail Finder'!$B$8,ISBLANK('Cocktail Finder'!$B$8))</f>
        <v>1</v>
      </c>
      <c r="U27" s="15" t="b">
        <f>OR(J27='Cocktail Finder'!$B$9,ISBLANK('Cocktail Finder'!$B$8))</f>
        <v>1</v>
      </c>
    </row>
    <row r="28" spans="1:21" ht="15.75" customHeight="1" x14ac:dyDescent="0.2">
      <c r="A28" s="19">
        <f t="shared" si="2"/>
        <v>27</v>
      </c>
      <c r="B28" s="19" t="s">
        <v>230</v>
      </c>
      <c r="C28" s="19" t="s">
        <v>229</v>
      </c>
      <c r="D28" s="19"/>
      <c r="E28" s="19" t="s">
        <v>66</v>
      </c>
      <c r="F28" s="23"/>
      <c r="G28" s="23" t="s">
        <v>48</v>
      </c>
      <c r="H28" s="19"/>
      <c r="I28" s="19"/>
      <c r="J28" s="19"/>
      <c r="K28" s="19"/>
      <c r="L28" s="15">
        <f t="shared" si="0"/>
        <v>1</v>
      </c>
      <c r="M28" s="15" t="str">
        <f t="shared" si="1"/>
        <v>Blackthorne</v>
      </c>
      <c r="N28" s="15" t="b">
        <f>OR(C28='Cocktail Finder'!$B$2,ISBLANK('Cocktail Finder'!$B$2))</f>
        <v>1</v>
      </c>
      <c r="O28" s="15" t="b">
        <f>OR(D28='Cocktail Finder'!$B$7,ISBLANK('Cocktail Finder'!$B$7))</f>
        <v>1</v>
      </c>
      <c r="P28" s="15" t="b">
        <f>OR(E28='Cocktail Finder'!$B$5,ISBLANK('Cocktail Finder'!$B$5))</f>
        <v>1</v>
      </c>
      <c r="Q28" s="15" t="b">
        <f>OR(F28='Cocktail Finder'!$B$4,ISBLANK('Cocktail Finder'!$B$4))</f>
        <v>1</v>
      </c>
      <c r="R28" s="15" t="b">
        <f>OR(G28='Cocktail Finder'!$B$3,ISBLANK('Cocktail Finder'!$B$3))</f>
        <v>1</v>
      </c>
      <c r="S28" s="15" t="b">
        <f>OR(H28='Cocktail Finder'!$B$6,ISBLANK('Cocktail Finder'!$B$6))</f>
        <v>1</v>
      </c>
      <c r="T28" s="15" t="b">
        <f>OR(I28='Cocktail Finder'!$B$8,ISBLANK('Cocktail Finder'!$B$8))</f>
        <v>1</v>
      </c>
      <c r="U28" s="15" t="b">
        <f>OR(J28='Cocktail Finder'!$B$9,ISBLANK('Cocktail Finder'!$B$8))</f>
        <v>1</v>
      </c>
    </row>
    <row r="29" spans="1:21" ht="15.75" customHeight="1" x14ac:dyDescent="0.2">
      <c r="A29" s="19">
        <f t="shared" si="2"/>
        <v>28</v>
      </c>
      <c r="B29" s="19" t="s">
        <v>105</v>
      </c>
      <c r="C29" s="19" t="s">
        <v>49</v>
      </c>
      <c r="D29" s="19"/>
      <c r="E29" s="19" t="s">
        <v>66</v>
      </c>
      <c r="F29" s="24" t="s">
        <v>3</v>
      </c>
      <c r="G29" s="19" t="s">
        <v>52</v>
      </c>
      <c r="H29" s="19"/>
      <c r="I29" s="19"/>
      <c r="J29" s="24" t="s">
        <v>100</v>
      </c>
      <c r="K29" s="19"/>
      <c r="L29" s="15">
        <f t="shared" si="0"/>
        <v>1</v>
      </c>
      <c r="M29" s="15" t="str">
        <f t="shared" si="1"/>
        <v>Bleack Feather Cocktail</v>
      </c>
      <c r="N29" s="15" t="b">
        <f>OR(C29='Cocktail Finder'!$B$2,ISBLANK('Cocktail Finder'!$B$2))</f>
        <v>1</v>
      </c>
      <c r="O29" s="15" t="b">
        <f>OR(D29='Cocktail Finder'!$B$7,ISBLANK('Cocktail Finder'!$B$7))</f>
        <v>1</v>
      </c>
      <c r="P29" s="15" t="b">
        <f>OR(E29='Cocktail Finder'!$B$5,ISBLANK('Cocktail Finder'!$B$5))</f>
        <v>1</v>
      </c>
      <c r="Q29" s="15" t="b">
        <f>OR(F29='Cocktail Finder'!$B$4,ISBLANK('Cocktail Finder'!$B$4))</f>
        <v>1</v>
      </c>
      <c r="R29" s="15" t="b">
        <f>OR(G29='Cocktail Finder'!$B$3,ISBLANK('Cocktail Finder'!$B$3))</f>
        <v>1</v>
      </c>
      <c r="S29" s="15" t="b">
        <f>OR(H29='Cocktail Finder'!$B$6,ISBLANK('Cocktail Finder'!$B$6))</f>
        <v>1</v>
      </c>
      <c r="T29" s="15" t="b">
        <f>OR(I29='Cocktail Finder'!$B$8,ISBLANK('Cocktail Finder'!$B$8))</f>
        <v>1</v>
      </c>
      <c r="U29" s="15" t="b">
        <f>OR(J29='Cocktail Finder'!$B$9,ISBLANK('Cocktail Finder'!$B$8))</f>
        <v>1</v>
      </c>
    </row>
    <row r="30" spans="1:21" ht="15.75" customHeight="1" x14ac:dyDescent="0.2">
      <c r="A30" s="19">
        <f t="shared" si="2"/>
        <v>29</v>
      </c>
      <c r="B30" s="19" t="s">
        <v>326</v>
      </c>
      <c r="C30" s="19" t="s">
        <v>317</v>
      </c>
      <c r="D30" s="19"/>
      <c r="E30" s="19"/>
      <c r="F30" s="19" t="s">
        <v>126</v>
      </c>
      <c r="G30" s="19" t="s">
        <v>48</v>
      </c>
      <c r="H30" s="19"/>
      <c r="I30" s="19"/>
      <c r="J30" s="19"/>
      <c r="K30" s="19"/>
      <c r="L30" s="15">
        <f t="shared" si="0"/>
        <v>1</v>
      </c>
      <c r="M30" s="15" t="str">
        <f t="shared" si="1"/>
        <v>Blood and Sand</v>
      </c>
      <c r="N30" s="15" t="b">
        <f>OR(C30='Cocktail Finder'!$B$2,ISBLANK('Cocktail Finder'!$B$2))</f>
        <v>1</v>
      </c>
      <c r="O30" s="15" t="b">
        <f>OR(D30='Cocktail Finder'!$B$7,ISBLANK('Cocktail Finder'!$B$7))</f>
        <v>1</v>
      </c>
      <c r="P30" s="15" t="b">
        <f>OR(E30='Cocktail Finder'!$B$5,ISBLANK('Cocktail Finder'!$B$5))</f>
        <v>1</v>
      </c>
      <c r="Q30" s="15" t="b">
        <f>OR(F30='Cocktail Finder'!$B$4,ISBLANK('Cocktail Finder'!$B$4))</f>
        <v>1</v>
      </c>
      <c r="R30" s="15" t="b">
        <f>OR(G30='Cocktail Finder'!$B$3,ISBLANK('Cocktail Finder'!$B$3))</f>
        <v>1</v>
      </c>
      <c r="S30" s="15" t="b">
        <f>OR(H30='Cocktail Finder'!$B$6,ISBLANK('Cocktail Finder'!$B$6))</f>
        <v>1</v>
      </c>
      <c r="T30" s="15" t="b">
        <f>OR(I30='Cocktail Finder'!$B$8,ISBLANK('Cocktail Finder'!$B$8))</f>
        <v>1</v>
      </c>
      <c r="U30" s="15" t="b">
        <f>OR(J30='Cocktail Finder'!$B$9,ISBLANK('Cocktail Finder'!$B$8))</f>
        <v>1</v>
      </c>
    </row>
    <row r="31" spans="1:21" ht="15.75" customHeight="1" x14ac:dyDescent="0.2">
      <c r="A31" s="19">
        <f t="shared" si="2"/>
        <v>30</v>
      </c>
      <c r="B31" s="19" t="s">
        <v>325</v>
      </c>
      <c r="C31" s="19" t="s">
        <v>317</v>
      </c>
      <c r="D31" s="19"/>
      <c r="E31" s="19"/>
      <c r="F31" s="19"/>
      <c r="G31" s="19" t="s">
        <v>48</v>
      </c>
      <c r="H31" s="19"/>
      <c r="I31" s="19"/>
      <c r="J31" s="19"/>
      <c r="K31" s="19"/>
      <c r="L31" s="15">
        <f t="shared" si="0"/>
        <v>1</v>
      </c>
      <c r="M31" s="15" t="str">
        <f t="shared" si="1"/>
        <v>Bobby Burns</v>
      </c>
      <c r="N31" s="15" t="b">
        <f>OR(C31='Cocktail Finder'!$B$2,ISBLANK('Cocktail Finder'!$B$2))</f>
        <v>1</v>
      </c>
      <c r="O31" s="15" t="b">
        <f>OR(D31='Cocktail Finder'!$B$7,ISBLANK('Cocktail Finder'!$B$7))</f>
        <v>1</v>
      </c>
      <c r="P31" s="15" t="b">
        <f>OR(E31='Cocktail Finder'!$B$5,ISBLANK('Cocktail Finder'!$B$5))</f>
        <v>1</v>
      </c>
      <c r="Q31" s="15" t="b">
        <f>OR(F31='Cocktail Finder'!$B$4,ISBLANK('Cocktail Finder'!$B$4))</f>
        <v>1</v>
      </c>
      <c r="R31" s="15" t="b">
        <f>OR(G31='Cocktail Finder'!$B$3,ISBLANK('Cocktail Finder'!$B$3))</f>
        <v>1</v>
      </c>
      <c r="S31" s="15" t="b">
        <f>OR(H31='Cocktail Finder'!$B$6,ISBLANK('Cocktail Finder'!$B$6))</f>
        <v>1</v>
      </c>
      <c r="T31" s="15" t="b">
        <f>OR(I31='Cocktail Finder'!$B$8,ISBLANK('Cocktail Finder'!$B$8))</f>
        <v>1</v>
      </c>
      <c r="U31" s="15" t="b">
        <f>OR(J31='Cocktail Finder'!$B$9,ISBLANK('Cocktail Finder'!$B$8))</f>
        <v>1</v>
      </c>
    </row>
    <row r="32" spans="1:21" ht="15.75" customHeight="1" x14ac:dyDescent="0.2">
      <c r="A32" s="19">
        <f t="shared" si="2"/>
        <v>31</v>
      </c>
      <c r="B32" s="19" t="s">
        <v>389</v>
      </c>
      <c r="C32" s="19"/>
      <c r="D32" s="19"/>
      <c r="E32" s="19"/>
      <c r="F32" s="19" t="s">
        <v>126</v>
      </c>
      <c r="G32" s="19" t="s">
        <v>30</v>
      </c>
      <c r="H32" s="19"/>
      <c r="I32" s="19"/>
      <c r="J32" s="19"/>
      <c r="K32" s="19"/>
      <c r="L32" s="15">
        <f t="shared" si="0"/>
        <v>1</v>
      </c>
      <c r="M32" s="15" t="str">
        <f t="shared" si="1"/>
        <v>Bocce Ball</v>
      </c>
      <c r="N32" s="15" t="b">
        <f>OR(C32='Cocktail Finder'!$B$2,ISBLANK('Cocktail Finder'!$B$2))</f>
        <v>1</v>
      </c>
      <c r="O32" s="15" t="b">
        <f>OR(D32='Cocktail Finder'!$B$7,ISBLANK('Cocktail Finder'!$B$7))</f>
        <v>1</v>
      </c>
      <c r="P32" s="15" t="b">
        <f>OR(E32='Cocktail Finder'!$B$5,ISBLANK('Cocktail Finder'!$B$5))</f>
        <v>1</v>
      </c>
      <c r="Q32" s="15" t="b">
        <f>OR(F32='Cocktail Finder'!$B$4,ISBLANK('Cocktail Finder'!$B$4))</f>
        <v>1</v>
      </c>
      <c r="R32" s="15" t="b">
        <f>OR(G32='Cocktail Finder'!$B$3,ISBLANK('Cocktail Finder'!$B$3))</f>
        <v>1</v>
      </c>
      <c r="S32" s="15" t="b">
        <f>OR(H32='Cocktail Finder'!$B$6,ISBLANK('Cocktail Finder'!$B$6))</f>
        <v>1</v>
      </c>
      <c r="T32" s="15" t="b">
        <f>OR(I32='Cocktail Finder'!$B$8,ISBLANK('Cocktail Finder'!$B$8))</f>
        <v>1</v>
      </c>
      <c r="U32" s="15" t="b">
        <f>OR(J32='Cocktail Finder'!$B$9,ISBLANK('Cocktail Finder'!$B$8))</f>
        <v>1</v>
      </c>
    </row>
    <row r="33" spans="1:21" ht="15.75" customHeight="1" x14ac:dyDescent="0.2">
      <c r="A33" s="19">
        <f t="shared" si="2"/>
        <v>32</v>
      </c>
      <c r="B33" s="19" t="s">
        <v>297</v>
      </c>
      <c r="C33" s="19" t="s">
        <v>294</v>
      </c>
      <c r="D33" s="19"/>
      <c r="E33" s="19" t="s">
        <v>86</v>
      </c>
      <c r="F33" s="19" t="s">
        <v>90</v>
      </c>
      <c r="G33" s="19"/>
      <c r="H33" s="19"/>
      <c r="I33" s="19"/>
      <c r="J33" s="19"/>
      <c r="K33" s="19"/>
      <c r="L33" s="15">
        <f t="shared" si="0"/>
        <v>1</v>
      </c>
      <c r="M33" s="15" t="str">
        <f t="shared" si="1"/>
        <v>Bolero Cocktail</v>
      </c>
      <c r="N33" s="15" t="b">
        <f>OR(C33='Cocktail Finder'!$B$2,ISBLANK('Cocktail Finder'!$B$2))</f>
        <v>1</v>
      </c>
      <c r="O33" s="15" t="b">
        <f>OR(D33='Cocktail Finder'!$B$7,ISBLANK('Cocktail Finder'!$B$7))</f>
        <v>1</v>
      </c>
      <c r="P33" s="15" t="b">
        <f>OR(E33='Cocktail Finder'!$B$5,ISBLANK('Cocktail Finder'!$B$5))</f>
        <v>1</v>
      </c>
      <c r="Q33" s="15" t="b">
        <f>OR(F33='Cocktail Finder'!$B$4,ISBLANK('Cocktail Finder'!$B$4))</f>
        <v>1</v>
      </c>
      <c r="R33" s="15" t="b">
        <f>OR(G33='Cocktail Finder'!$B$3,ISBLANK('Cocktail Finder'!$B$3))</f>
        <v>1</v>
      </c>
      <c r="S33" s="15" t="b">
        <f>OR(H33='Cocktail Finder'!$B$6,ISBLANK('Cocktail Finder'!$B$6))</f>
        <v>1</v>
      </c>
      <c r="T33" s="15" t="b">
        <f>OR(I33='Cocktail Finder'!$B$8,ISBLANK('Cocktail Finder'!$B$8))</f>
        <v>1</v>
      </c>
      <c r="U33" s="15" t="b">
        <f>OR(J33='Cocktail Finder'!$B$9,ISBLANK('Cocktail Finder'!$B$8))</f>
        <v>1</v>
      </c>
    </row>
    <row r="34" spans="1:21" ht="15.75" customHeight="1" x14ac:dyDescent="0.2">
      <c r="A34" s="19">
        <f t="shared" si="2"/>
        <v>33</v>
      </c>
      <c r="B34" s="19" t="s">
        <v>80</v>
      </c>
      <c r="C34" s="19" t="s">
        <v>65</v>
      </c>
      <c r="D34" s="19"/>
      <c r="E34" s="19" t="s">
        <v>81</v>
      </c>
      <c r="F34" s="19"/>
      <c r="G34" s="19"/>
      <c r="H34" s="19"/>
      <c r="I34" s="19"/>
      <c r="J34" s="19"/>
      <c r="K34" s="19"/>
      <c r="L34" s="15">
        <f t="shared" si="0"/>
        <v>1</v>
      </c>
      <c r="M34" s="15" t="str">
        <f t="shared" si="1"/>
        <v>Bourbon and Branch</v>
      </c>
      <c r="N34" s="15" t="b">
        <f>OR(C34='Cocktail Finder'!$B$2,ISBLANK('Cocktail Finder'!$B$2))</f>
        <v>1</v>
      </c>
      <c r="O34" s="15" t="b">
        <f>OR(D34='Cocktail Finder'!$B$7,ISBLANK('Cocktail Finder'!$B$7))</f>
        <v>1</v>
      </c>
      <c r="P34" s="15" t="b">
        <f>OR(E34='Cocktail Finder'!$B$5,ISBLANK('Cocktail Finder'!$B$5))</f>
        <v>1</v>
      </c>
      <c r="Q34" s="15" t="b">
        <f>OR(F34='Cocktail Finder'!$B$4,ISBLANK('Cocktail Finder'!$B$4))</f>
        <v>1</v>
      </c>
      <c r="R34" s="15" t="b">
        <f>OR(G34='Cocktail Finder'!$B$3,ISBLANK('Cocktail Finder'!$B$3))</f>
        <v>1</v>
      </c>
      <c r="S34" s="15" t="b">
        <f>OR(H34='Cocktail Finder'!$B$6,ISBLANK('Cocktail Finder'!$B$6))</f>
        <v>1</v>
      </c>
      <c r="T34" s="15" t="b">
        <f>OR(I34='Cocktail Finder'!$B$8,ISBLANK('Cocktail Finder'!$B$8))</f>
        <v>1</v>
      </c>
      <c r="U34" s="15" t="b">
        <f>OR(J34='Cocktail Finder'!$B$9,ISBLANK('Cocktail Finder'!$B$8))</f>
        <v>1</v>
      </c>
    </row>
    <row r="35" spans="1:21" ht="15.75" customHeight="1" x14ac:dyDescent="0.2">
      <c r="A35" s="19">
        <f t="shared" si="2"/>
        <v>34</v>
      </c>
      <c r="B35" s="19" t="s">
        <v>83</v>
      </c>
      <c r="C35" s="19" t="s">
        <v>65</v>
      </c>
      <c r="D35" s="19"/>
      <c r="E35" s="19" t="s">
        <v>392</v>
      </c>
      <c r="F35" s="19"/>
      <c r="G35" s="19"/>
      <c r="H35" s="19"/>
      <c r="I35" s="19"/>
      <c r="J35" s="19"/>
      <c r="K35" s="19"/>
      <c r="L35" s="15">
        <f t="shared" si="0"/>
        <v>1</v>
      </c>
      <c r="M35" s="15" t="str">
        <f t="shared" si="1"/>
        <v>Bourbon and Coke</v>
      </c>
      <c r="N35" s="15" t="b">
        <f>OR(C35='Cocktail Finder'!$B$2,ISBLANK('Cocktail Finder'!$B$2))</f>
        <v>1</v>
      </c>
      <c r="O35" s="15" t="b">
        <f>OR(D35='Cocktail Finder'!$B$7,ISBLANK('Cocktail Finder'!$B$7))</f>
        <v>1</v>
      </c>
      <c r="P35" s="15" t="b">
        <f>OR(E35='Cocktail Finder'!$B$5,ISBLANK('Cocktail Finder'!$B$5))</f>
        <v>1</v>
      </c>
      <c r="Q35" s="15" t="b">
        <f>OR(F35='Cocktail Finder'!$B$4,ISBLANK('Cocktail Finder'!$B$4))</f>
        <v>1</v>
      </c>
      <c r="R35" s="15" t="b">
        <f>OR(G35='Cocktail Finder'!$B$3,ISBLANK('Cocktail Finder'!$B$3))</f>
        <v>1</v>
      </c>
      <c r="S35" s="15" t="b">
        <f>OR(H35='Cocktail Finder'!$B$6,ISBLANK('Cocktail Finder'!$B$6))</f>
        <v>1</v>
      </c>
      <c r="T35" s="15" t="b">
        <f>OR(I35='Cocktail Finder'!$B$8,ISBLANK('Cocktail Finder'!$B$8))</f>
        <v>1</v>
      </c>
      <c r="U35" s="15" t="b">
        <f>OR(J35='Cocktail Finder'!$B$9,ISBLANK('Cocktail Finder'!$B$8))</f>
        <v>1</v>
      </c>
    </row>
    <row r="36" spans="1:21" ht="15.75" customHeight="1" x14ac:dyDescent="0.2">
      <c r="A36" s="19">
        <f t="shared" si="2"/>
        <v>35</v>
      </c>
      <c r="B36" s="19" t="s">
        <v>135</v>
      </c>
      <c r="C36" s="19" t="s">
        <v>136</v>
      </c>
      <c r="D36" s="19"/>
      <c r="E36" s="19" t="s">
        <v>32</v>
      </c>
      <c r="F36" s="19"/>
      <c r="G36" s="19" t="s">
        <v>137</v>
      </c>
      <c r="H36" s="19"/>
      <c r="I36" s="19"/>
      <c r="J36" s="19"/>
      <c r="K36" s="19"/>
      <c r="L36" s="15">
        <f t="shared" si="0"/>
        <v>1</v>
      </c>
      <c r="M36" s="15" t="str">
        <f t="shared" si="1"/>
        <v>Brandy Alexander</v>
      </c>
      <c r="N36" s="15" t="b">
        <f>OR(C36='Cocktail Finder'!$B$2,ISBLANK('Cocktail Finder'!$B$2))</f>
        <v>1</v>
      </c>
      <c r="O36" s="15" t="b">
        <f>OR(D36='Cocktail Finder'!$B$7,ISBLANK('Cocktail Finder'!$B$7))</f>
        <v>1</v>
      </c>
      <c r="P36" s="15" t="b">
        <f>OR(E36='Cocktail Finder'!$B$5,ISBLANK('Cocktail Finder'!$B$5))</f>
        <v>1</v>
      </c>
      <c r="Q36" s="15" t="b">
        <f>OR(F36='Cocktail Finder'!$B$4,ISBLANK('Cocktail Finder'!$B$4))</f>
        <v>1</v>
      </c>
      <c r="R36" s="15" t="b">
        <f>OR(G36='Cocktail Finder'!$B$3,ISBLANK('Cocktail Finder'!$B$3))</f>
        <v>1</v>
      </c>
      <c r="S36" s="15" t="b">
        <f>OR(H36='Cocktail Finder'!$B$6,ISBLANK('Cocktail Finder'!$B$6))</f>
        <v>1</v>
      </c>
      <c r="T36" s="15" t="b">
        <f>OR(I36='Cocktail Finder'!$B$8,ISBLANK('Cocktail Finder'!$B$8))</f>
        <v>1</v>
      </c>
      <c r="U36" s="15" t="b">
        <f>OR(J36='Cocktail Finder'!$B$9,ISBLANK('Cocktail Finder'!$B$8))</f>
        <v>1</v>
      </c>
    </row>
    <row r="37" spans="1:21" ht="15.75" customHeight="1" x14ac:dyDescent="0.2">
      <c r="A37" s="19">
        <f t="shared" si="2"/>
        <v>36</v>
      </c>
      <c r="B37" s="19" t="s">
        <v>109</v>
      </c>
      <c r="C37" s="19" t="s">
        <v>49</v>
      </c>
      <c r="D37" s="19"/>
      <c r="E37" s="19" t="s">
        <v>62</v>
      </c>
      <c r="F37" s="19"/>
      <c r="G37" s="19"/>
      <c r="H37" s="19"/>
      <c r="I37" s="19"/>
      <c r="J37" s="19"/>
      <c r="K37" s="19"/>
      <c r="L37" s="15">
        <f t="shared" si="0"/>
        <v>1</v>
      </c>
      <c r="M37" s="15" t="str">
        <f t="shared" si="1"/>
        <v>Brandy and Soda</v>
      </c>
      <c r="N37" s="15" t="b">
        <f>OR(C37='Cocktail Finder'!$B$2,ISBLANK('Cocktail Finder'!$B$2))</f>
        <v>1</v>
      </c>
      <c r="O37" s="15" t="b">
        <f>OR(D37='Cocktail Finder'!$B$7,ISBLANK('Cocktail Finder'!$B$7))</f>
        <v>1</v>
      </c>
      <c r="P37" s="15" t="b">
        <f>OR(E37='Cocktail Finder'!$B$5,ISBLANK('Cocktail Finder'!$B$5))</f>
        <v>1</v>
      </c>
      <c r="Q37" s="15" t="b">
        <f>OR(F37='Cocktail Finder'!$B$4,ISBLANK('Cocktail Finder'!$B$4))</f>
        <v>1</v>
      </c>
      <c r="R37" s="15" t="b">
        <f>OR(G37='Cocktail Finder'!$B$3,ISBLANK('Cocktail Finder'!$B$3))</f>
        <v>1</v>
      </c>
      <c r="S37" s="15" t="b">
        <f>OR(H37='Cocktail Finder'!$B$6,ISBLANK('Cocktail Finder'!$B$6))</f>
        <v>1</v>
      </c>
      <c r="T37" s="15" t="b">
        <f>OR(I37='Cocktail Finder'!$B$8,ISBLANK('Cocktail Finder'!$B$8))</f>
        <v>1</v>
      </c>
      <c r="U37" s="15" t="b">
        <f>OR(J37='Cocktail Finder'!$B$9,ISBLANK('Cocktail Finder'!$B$8))</f>
        <v>1</v>
      </c>
    </row>
    <row r="38" spans="1:21" ht="15.75" customHeight="1" x14ac:dyDescent="0.2">
      <c r="A38" s="19">
        <f t="shared" si="2"/>
        <v>37</v>
      </c>
      <c r="B38" s="19" t="s">
        <v>342</v>
      </c>
      <c r="C38" s="19" t="s">
        <v>343</v>
      </c>
      <c r="D38" s="19"/>
      <c r="E38" s="19"/>
      <c r="F38" s="19"/>
      <c r="G38" s="19" t="s">
        <v>36</v>
      </c>
      <c r="H38" s="19"/>
      <c r="I38" s="19"/>
      <c r="J38" s="19"/>
      <c r="K38" s="19"/>
      <c r="L38" s="15">
        <f t="shared" si="0"/>
        <v>1</v>
      </c>
      <c r="M38" s="15" t="str">
        <f t="shared" si="1"/>
        <v>Brave Bull</v>
      </c>
      <c r="N38" s="15" t="b">
        <f>OR(C38='Cocktail Finder'!$B$2,ISBLANK('Cocktail Finder'!$B$2))</f>
        <v>1</v>
      </c>
      <c r="O38" s="15" t="b">
        <f>OR(D38='Cocktail Finder'!$B$7,ISBLANK('Cocktail Finder'!$B$7))</f>
        <v>1</v>
      </c>
      <c r="P38" s="15" t="b">
        <f>OR(E38='Cocktail Finder'!$B$5,ISBLANK('Cocktail Finder'!$B$5))</f>
        <v>1</v>
      </c>
      <c r="Q38" s="15" t="b">
        <f>OR(F38='Cocktail Finder'!$B$4,ISBLANK('Cocktail Finder'!$B$4))</f>
        <v>1</v>
      </c>
      <c r="R38" s="15" t="b">
        <f>OR(G38='Cocktail Finder'!$B$3,ISBLANK('Cocktail Finder'!$B$3))</f>
        <v>1</v>
      </c>
      <c r="S38" s="15" t="b">
        <f>OR(H38='Cocktail Finder'!$B$6,ISBLANK('Cocktail Finder'!$B$6))</f>
        <v>1</v>
      </c>
      <c r="T38" s="15" t="b">
        <f>OR(I38='Cocktail Finder'!$B$8,ISBLANK('Cocktail Finder'!$B$8))</f>
        <v>1</v>
      </c>
      <c r="U38" s="15" t="b">
        <f>OR(J38='Cocktail Finder'!$B$9,ISBLANK('Cocktail Finder'!$B$8))</f>
        <v>1</v>
      </c>
    </row>
    <row r="39" spans="1:21" ht="15.75" customHeight="1" x14ac:dyDescent="0.2">
      <c r="A39" s="19">
        <f t="shared" si="2"/>
        <v>38</v>
      </c>
      <c r="B39" s="19" t="s">
        <v>193</v>
      </c>
      <c r="C39" s="18" t="s">
        <v>148</v>
      </c>
      <c r="D39" s="19"/>
      <c r="E39" s="19"/>
      <c r="F39" s="19" t="s">
        <v>90</v>
      </c>
      <c r="G39" s="19" t="s">
        <v>57</v>
      </c>
      <c r="H39" s="19"/>
      <c r="I39" s="19"/>
      <c r="J39" s="19"/>
      <c r="K39" s="19"/>
      <c r="L39" s="15">
        <f t="shared" si="0"/>
        <v>1</v>
      </c>
      <c r="M39" s="15" t="str">
        <f t="shared" si="1"/>
        <v>British Squirrel</v>
      </c>
      <c r="N39" s="15" t="b">
        <f>OR(C39='Cocktail Finder'!$B$2,ISBLANK('Cocktail Finder'!$B$2))</f>
        <v>1</v>
      </c>
      <c r="O39" s="15" t="b">
        <f>OR(D39='Cocktail Finder'!$B$7,ISBLANK('Cocktail Finder'!$B$7))</f>
        <v>1</v>
      </c>
      <c r="P39" s="15" t="b">
        <f>OR(E39='Cocktail Finder'!$B$5,ISBLANK('Cocktail Finder'!$B$5))</f>
        <v>1</v>
      </c>
      <c r="Q39" s="15" t="b">
        <f>OR(F39='Cocktail Finder'!$B$4,ISBLANK('Cocktail Finder'!$B$4))</f>
        <v>1</v>
      </c>
      <c r="R39" s="15" t="b">
        <f>OR(G39='Cocktail Finder'!$B$3,ISBLANK('Cocktail Finder'!$B$3))</f>
        <v>1</v>
      </c>
      <c r="S39" s="15" t="b">
        <f>OR(H39='Cocktail Finder'!$B$6,ISBLANK('Cocktail Finder'!$B$6))</f>
        <v>1</v>
      </c>
      <c r="T39" s="15" t="b">
        <f>OR(I39='Cocktail Finder'!$B$8,ISBLANK('Cocktail Finder'!$B$8))</f>
        <v>1</v>
      </c>
      <c r="U39" s="15" t="b">
        <f>OR(J39='Cocktail Finder'!$B$9,ISBLANK('Cocktail Finder'!$B$8))</f>
        <v>1</v>
      </c>
    </row>
    <row r="40" spans="1:21" ht="15.75" customHeight="1" x14ac:dyDescent="0.2">
      <c r="A40" s="19">
        <f t="shared" si="2"/>
        <v>39</v>
      </c>
      <c r="B40" s="19" t="s">
        <v>203</v>
      </c>
      <c r="C40" s="18" t="s">
        <v>148</v>
      </c>
      <c r="D40" s="19"/>
      <c r="E40" s="19" t="s">
        <v>74</v>
      </c>
      <c r="F40" s="19" t="s">
        <v>126</v>
      </c>
      <c r="G40" s="19" t="s">
        <v>52</v>
      </c>
      <c r="H40" s="19"/>
      <c r="I40" s="19"/>
      <c r="J40" s="19" t="s">
        <v>48</v>
      </c>
      <c r="K40" s="19"/>
      <c r="L40" s="15">
        <f t="shared" si="0"/>
        <v>1</v>
      </c>
      <c r="M40" s="15" t="str">
        <f t="shared" si="1"/>
        <v>Bronx Cocktail</v>
      </c>
      <c r="N40" s="15" t="b">
        <f>OR(C40='Cocktail Finder'!$B$2,ISBLANK('Cocktail Finder'!$B$2))</f>
        <v>1</v>
      </c>
      <c r="O40" s="15" t="b">
        <f>OR(D40='Cocktail Finder'!$B$7,ISBLANK('Cocktail Finder'!$B$7))</f>
        <v>1</v>
      </c>
      <c r="P40" s="15" t="b">
        <f>OR(E40='Cocktail Finder'!$B$5,ISBLANK('Cocktail Finder'!$B$5))</f>
        <v>1</v>
      </c>
      <c r="Q40" s="15" t="b">
        <f>OR(F40='Cocktail Finder'!$B$4,ISBLANK('Cocktail Finder'!$B$4))</f>
        <v>1</v>
      </c>
      <c r="R40" s="15" t="b">
        <f>OR(G40='Cocktail Finder'!$B$3,ISBLANK('Cocktail Finder'!$B$3))</f>
        <v>1</v>
      </c>
      <c r="S40" s="15" t="b">
        <f>OR(H40='Cocktail Finder'!$B$6,ISBLANK('Cocktail Finder'!$B$6))</f>
        <v>1</v>
      </c>
      <c r="T40" s="15" t="b">
        <f>OR(I40='Cocktail Finder'!$B$8,ISBLANK('Cocktail Finder'!$B$8))</f>
        <v>1</v>
      </c>
      <c r="U40" s="15" t="b">
        <f>OR(J40='Cocktail Finder'!$B$9,ISBLANK('Cocktail Finder'!$B$8))</f>
        <v>1</v>
      </c>
    </row>
    <row r="41" spans="1:21" ht="15.75" customHeight="1" x14ac:dyDescent="0.2">
      <c r="A41" s="19">
        <f t="shared" si="2"/>
        <v>40</v>
      </c>
      <c r="B41" s="19" t="s">
        <v>321</v>
      </c>
      <c r="C41" s="19" t="s">
        <v>317</v>
      </c>
      <c r="D41" s="19"/>
      <c r="E41" s="19"/>
      <c r="F41" s="19"/>
      <c r="G41" s="19" t="s">
        <v>70</v>
      </c>
      <c r="H41" s="19"/>
      <c r="I41" s="19"/>
      <c r="J41" s="19"/>
      <c r="K41" s="19"/>
      <c r="L41" s="15">
        <f t="shared" si="0"/>
        <v>1</v>
      </c>
      <c r="M41" s="15" t="str">
        <f t="shared" si="1"/>
        <v>Burnet</v>
      </c>
      <c r="N41" s="15" t="b">
        <f>OR(C41='Cocktail Finder'!$B$2,ISBLANK('Cocktail Finder'!$B$2))</f>
        <v>1</v>
      </c>
      <c r="O41" s="15" t="b">
        <f>OR(D41='Cocktail Finder'!$B$7,ISBLANK('Cocktail Finder'!$B$7))</f>
        <v>1</v>
      </c>
      <c r="P41" s="15" t="b">
        <f>OR(E41='Cocktail Finder'!$B$5,ISBLANK('Cocktail Finder'!$B$5))</f>
        <v>1</v>
      </c>
      <c r="Q41" s="15" t="b">
        <f>OR(F41='Cocktail Finder'!$B$4,ISBLANK('Cocktail Finder'!$B$4))</f>
        <v>1</v>
      </c>
      <c r="R41" s="15" t="b">
        <f>OR(G41='Cocktail Finder'!$B$3,ISBLANK('Cocktail Finder'!$B$3))</f>
        <v>1</v>
      </c>
      <c r="S41" s="15" t="b">
        <f>OR(H41='Cocktail Finder'!$B$6,ISBLANK('Cocktail Finder'!$B$6))</f>
        <v>1</v>
      </c>
      <c r="T41" s="15" t="b">
        <f>OR(I41='Cocktail Finder'!$B$8,ISBLANK('Cocktail Finder'!$B$8))</f>
        <v>1</v>
      </c>
      <c r="U41" s="15" t="b">
        <f>OR(J41='Cocktail Finder'!$B$9,ISBLANK('Cocktail Finder'!$B$8))</f>
        <v>1</v>
      </c>
    </row>
    <row r="42" spans="1:21" ht="15.75" customHeight="1" x14ac:dyDescent="0.2">
      <c r="A42" s="19">
        <f t="shared" si="2"/>
        <v>41</v>
      </c>
      <c r="B42" s="19" t="s">
        <v>141</v>
      </c>
      <c r="C42" s="19" t="s">
        <v>136</v>
      </c>
      <c r="D42" s="19"/>
      <c r="E42" s="19"/>
      <c r="F42" s="19"/>
      <c r="G42" s="19" t="s">
        <v>114</v>
      </c>
      <c r="H42" s="19"/>
      <c r="I42" s="19"/>
      <c r="J42" s="19"/>
      <c r="K42" s="19"/>
      <c r="L42" s="15">
        <f t="shared" si="0"/>
        <v>1</v>
      </c>
      <c r="M42" s="15" t="str">
        <f t="shared" si="1"/>
        <v>Burnished Gold</v>
      </c>
      <c r="N42" s="15" t="b">
        <f>OR(C42='Cocktail Finder'!$B$2,ISBLANK('Cocktail Finder'!$B$2))</f>
        <v>1</v>
      </c>
      <c r="O42" s="15" t="b">
        <f>OR(D42='Cocktail Finder'!$B$7,ISBLANK('Cocktail Finder'!$B$7))</f>
        <v>1</v>
      </c>
      <c r="P42" s="15" t="b">
        <f>OR(E42='Cocktail Finder'!$B$5,ISBLANK('Cocktail Finder'!$B$5))</f>
        <v>1</v>
      </c>
      <c r="Q42" s="15" t="b">
        <f>OR(F42='Cocktail Finder'!$B$4,ISBLANK('Cocktail Finder'!$B$4))</f>
        <v>1</v>
      </c>
      <c r="R42" s="15" t="b">
        <f>OR(G42='Cocktail Finder'!$B$3,ISBLANK('Cocktail Finder'!$B$3))</f>
        <v>1</v>
      </c>
      <c r="S42" s="15" t="b">
        <f>OR(H42='Cocktail Finder'!$B$6,ISBLANK('Cocktail Finder'!$B$6))</f>
        <v>1</v>
      </c>
      <c r="T42" s="15" t="b">
        <f>OR(I42='Cocktail Finder'!$B$8,ISBLANK('Cocktail Finder'!$B$8))</f>
        <v>1</v>
      </c>
      <c r="U42" s="15" t="b">
        <f>OR(J42='Cocktail Finder'!$B$9,ISBLANK('Cocktail Finder'!$B$8))</f>
        <v>1</v>
      </c>
    </row>
    <row r="43" spans="1:21" ht="15.75" customHeight="1" x14ac:dyDescent="0.2">
      <c r="A43" s="19">
        <f t="shared" si="2"/>
        <v>42</v>
      </c>
      <c r="B43" s="19" t="s">
        <v>259</v>
      </c>
      <c r="C43" s="19" t="s">
        <v>258</v>
      </c>
      <c r="D43" s="19"/>
      <c r="E43" s="19"/>
      <c r="F43" s="19" t="s">
        <v>90</v>
      </c>
      <c r="G43" s="19" t="s">
        <v>100</v>
      </c>
      <c r="H43" s="19"/>
      <c r="I43" s="19"/>
      <c r="J43" s="19"/>
      <c r="K43" s="19"/>
      <c r="L43" s="15">
        <f t="shared" si="0"/>
        <v>1</v>
      </c>
      <c r="M43" s="15" t="str">
        <f t="shared" si="1"/>
        <v>Cacharita</v>
      </c>
      <c r="N43" s="15" t="b">
        <f>OR(C43='Cocktail Finder'!$B$2,ISBLANK('Cocktail Finder'!$B$2))</f>
        <v>1</v>
      </c>
      <c r="O43" s="15" t="b">
        <f>OR(D43='Cocktail Finder'!$B$7,ISBLANK('Cocktail Finder'!$B$7))</f>
        <v>1</v>
      </c>
      <c r="P43" s="15" t="b">
        <f>OR(E43='Cocktail Finder'!$B$5,ISBLANK('Cocktail Finder'!$B$5))</f>
        <v>1</v>
      </c>
      <c r="Q43" s="15" t="b">
        <f>OR(F43='Cocktail Finder'!$B$4,ISBLANK('Cocktail Finder'!$B$4))</f>
        <v>1</v>
      </c>
      <c r="R43" s="15" t="b">
        <f>OR(G43='Cocktail Finder'!$B$3,ISBLANK('Cocktail Finder'!$B$3))</f>
        <v>1</v>
      </c>
      <c r="S43" s="15" t="b">
        <f>OR(H43='Cocktail Finder'!$B$6,ISBLANK('Cocktail Finder'!$B$6))</f>
        <v>1</v>
      </c>
      <c r="T43" s="15" t="b">
        <f>OR(I43='Cocktail Finder'!$B$8,ISBLANK('Cocktail Finder'!$B$8))</f>
        <v>1</v>
      </c>
      <c r="U43" s="15" t="b">
        <f>OR(J43='Cocktail Finder'!$B$9,ISBLANK('Cocktail Finder'!$B$8))</f>
        <v>1</v>
      </c>
    </row>
    <row r="44" spans="1:21" ht="15.75" customHeight="1" x14ac:dyDescent="0.2">
      <c r="A44" s="19">
        <f t="shared" si="2"/>
        <v>43</v>
      </c>
      <c r="B44" s="19" t="s">
        <v>124</v>
      </c>
      <c r="C44" s="19" t="s">
        <v>125</v>
      </c>
      <c r="D44" s="19"/>
      <c r="E44" s="19" t="s">
        <v>74</v>
      </c>
      <c r="F44" s="19" t="s">
        <v>38</v>
      </c>
      <c r="G44" s="19" t="s">
        <v>100</v>
      </c>
      <c r="H44" s="19"/>
      <c r="I44" s="19"/>
      <c r="J44" s="19"/>
      <c r="K44" s="19"/>
      <c r="L44" s="15">
        <f t="shared" si="0"/>
        <v>1</v>
      </c>
      <c r="M44" s="15" t="str">
        <f t="shared" si="1"/>
        <v>Calvados Cocktail</v>
      </c>
      <c r="N44" s="15" t="b">
        <f>OR(C44='Cocktail Finder'!$B$2,ISBLANK('Cocktail Finder'!$B$2))</f>
        <v>1</v>
      </c>
      <c r="O44" s="15" t="b">
        <f>OR(D44='Cocktail Finder'!$B$7,ISBLANK('Cocktail Finder'!$B$7))</f>
        <v>1</v>
      </c>
      <c r="P44" s="15" t="b">
        <f>OR(E44='Cocktail Finder'!$B$5,ISBLANK('Cocktail Finder'!$B$5))</f>
        <v>1</v>
      </c>
      <c r="Q44" s="15" t="b">
        <f>OR(F44='Cocktail Finder'!$B$4,ISBLANK('Cocktail Finder'!$B$4))</f>
        <v>1</v>
      </c>
      <c r="R44" s="15" t="b">
        <f>OR(G44='Cocktail Finder'!$B$3,ISBLANK('Cocktail Finder'!$B$3))</f>
        <v>1</v>
      </c>
      <c r="S44" s="15" t="b">
        <f>OR(H44='Cocktail Finder'!$B$6,ISBLANK('Cocktail Finder'!$B$6))</f>
        <v>1</v>
      </c>
      <c r="T44" s="15" t="b">
        <f>OR(I44='Cocktail Finder'!$B$8,ISBLANK('Cocktail Finder'!$B$8))</f>
        <v>1</v>
      </c>
      <c r="U44" s="15" t="b">
        <f>OR(J44='Cocktail Finder'!$B$9,ISBLANK('Cocktail Finder'!$B$8))</f>
        <v>1</v>
      </c>
    </row>
    <row r="45" spans="1:21" ht="15.75" customHeight="1" x14ac:dyDescent="0.2">
      <c r="A45" s="19">
        <f t="shared" si="2"/>
        <v>44</v>
      </c>
      <c r="B45" s="19" t="s">
        <v>279</v>
      </c>
      <c r="C45" s="19" t="s">
        <v>265</v>
      </c>
      <c r="D45" s="19" t="s">
        <v>280</v>
      </c>
      <c r="E45" s="19"/>
      <c r="F45" s="19" t="s">
        <v>90</v>
      </c>
      <c r="G45" s="19" t="s">
        <v>30</v>
      </c>
      <c r="H45" s="19"/>
      <c r="I45" s="19"/>
      <c r="J45" s="19"/>
      <c r="K45" s="19"/>
      <c r="L45" s="15">
        <f t="shared" si="0"/>
        <v>1</v>
      </c>
      <c r="M45" s="15" t="str">
        <f t="shared" si="1"/>
        <v>Canteen Marini</v>
      </c>
      <c r="N45" s="15" t="b">
        <f>OR(C45='Cocktail Finder'!$B$2,ISBLANK('Cocktail Finder'!$B$2))</f>
        <v>1</v>
      </c>
      <c r="O45" s="15" t="b">
        <f>OR(D45='Cocktail Finder'!$B$7,ISBLANK('Cocktail Finder'!$B$7))</f>
        <v>1</v>
      </c>
      <c r="P45" s="15" t="b">
        <f>OR(E45='Cocktail Finder'!$B$5,ISBLANK('Cocktail Finder'!$B$5))</f>
        <v>1</v>
      </c>
      <c r="Q45" s="15" t="b">
        <f>OR(F45='Cocktail Finder'!$B$4,ISBLANK('Cocktail Finder'!$B$4))</f>
        <v>1</v>
      </c>
      <c r="R45" s="15" t="b">
        <f>OR(G45='Cocktail Finder'!$B$3,ISBLANK('Cocktail Finder'!$B$3))</f>
        <v>1</v>
      </c>
      <c r="S45" s="15" t="b">
        <f>OR(H45='Cocktail Finder'!$B$6,ISBLANK('Cocktail Finder'!$B$6))</f>
        <v>1</v>
      </c>
      <c r="T45" s="15" t="b">
        <f>OR(I45='Cocktail Finder'!$B$8,ISBLANK('Cocktail Finder'!$B$8))</f>
        <v>1</v>
      </c>
      <c r="U45" s="15" t="b">
        <f>OR(J45='Cocktail Finder'!$B$9,ISBLANK('Cocktail Finder'!$B$8))</f>
        <v>1</v>
      </c>
    </row>
    <row r="46" spans="1:21" ht="15.75" customHeight="1" x14ac:dyDescent="0.2">
      <c r="A46" s="19">
        <f t="shared" si="2"/>
        <v>45</v>
      </c>
      <c r="B46" s="19" t="s">
        <v>373</v>
      </c>
      <c r="C46" s="19" t="s">
        <v>357</v>
      </c>
      <c r="D46" s="19"/>
      <c r="E46" s="19"/>
      <c r="F46" s="19" t="s">
        <v>45</v>
      </c>
      <c r="G46" s="19"/>
      <c r="H46" s="19"/>
      <c r="I46" s="19"/>
      <c r="J46" s="19"/>
      <c r="K46" s="19"/>
      <c r="L46" s="15">
        <f t="shared" si="0"/>
        <v>1</v>
      </c>
      <c r="M46" s="15" t="str">
        <f t="shared" si="1"/>
        <v>Cape Codder</v>
      </c>
      <c r="N46" s="15" t="b">
        <f>OR(C46='Cocktail Finder'!$B$2,ISBLANK('Cocktail Finder'!$B$2))</f>
        <v>1</v>
      </c>
      <c r="O46" s="15" t="b">
        <f>OR(D46='Cocktail Finder'!$B$7,ISBLANK('Cocktail Finder'!$B$7))</f>
        <v>1</v>
      </c>
      <c r="P46" s="15" t="b">
        <f>OR(E46='Cocktail Finder'!$B$5,ISBLANK('Cocktail Finder'!$B$5))</f>
        <v>1</v>
      </c>
      <c r="Q46" s="15" t="b">
        <f>OR(F46='Cocktail Finder'!$B$4,ISBLANK('Cocktail Finder'!$B$4))</f>
        <v>1</v>
      </c>
      <c r="R46" s="15" t="b">
        <f>OR(G46='Cocktail Finder'!$B$3,ISBLANK('Cocktail Finder'!$B$3))</f>
        <v>1</v>
      </c>
      <c r="S46" s="15" t="b">
        <f>OR(H46='Cocktail Finder'!$B$6,ISBLANK('Cocktail Finder'!$B$6))</f>
        <v>1</v>
      </c>
      <c r="T46" s="15" t="b">
        <f>OR(I46='Cocktail Finder'!$B$8,ISBLANK('Cocktail Finder'!$B$8))</f>
        <v>1</v>
      </c>
      <c r="U46" s="15" t="b">
        <f>OR(J46='Cocktail Finder'!$B$9,ISBLANK('Cocktail Finder'!$B$8))</f>
        <v>1</v>
      </c>
    </row>
    <row r="47" spans="1:21" ht="15.75" customHeight="1" x14ac:dyDescent="0.2">
      <c r="A47" s="19">
        <f t="shared" si="2"/>
        <v>46</v>
      </c>
      <c r="B47" s="19" t="s">
        <v>289</v>
      </c>
      <c r="C47" s="19" t="s">
        <v>265</v>
      </c>
      <c r="D47" s="19" t="s">
        <v>282</v>
      </c>
      <c r="E47" s="19" t="s">
        <v>62</v>
      </c>
      <c r="F47" s="19" t="s">
        <v>90</v>
      </c>
      <c r="G47" s="19"/>
      <c r="H47" s="19"/>
      <c r="I47" s="19"/>
      <c r="J47" s="19"/>
      <c r="K47" s="19"/>
      <c r="L47" s="15">
        <f t="shared" si="0"/>
        <v>1</v>
      </c>
      <c r="M47" s="15" t="str">
        <f t="shared" si="1"/>
        <v>Carbonated Piston Slinger</v>
      </c>
      <c r="N47" s="15" t="b">
        <f>OR(C47='Cocktail Finder'!$B$2,ISBLANK('Cocktail Finder'!$B$2))</f>
        <v>1</v>
      </c>
      <c r="O47" s="15" t="b">
        <f>OR(D47='Cocktail Finder'!$B$7,ISBLANK('Cocktail Finder'!$B$7))</f>
        <v>1</v>
      </c>
      <c r="P47" s="15" t="b">
        <f>OR(E47='Cocktail Finder'!$B$5,ISBLANK('Cocktail Finder'!$B$5))</f>
        <v>1</v>
      </c>
      <c r="Q47" s="15" t="b">
        <f>OR(F47='Cocktail Finder'!$B$4,ISBLANK('Cocktail Finder'!$B$4))</f>
        <v>1</v>
      </c>
      <c r="R47" s="15" t="b">
        <f>OR(G47='Cocktail Finder'!$B$3,ISBLANK('Cocktail Finder'!$B$3))</f>
        <v>1</v>
      </c>
      <c r="S47" s="15" t="b">
        <f>OR(H47='Cocktail Finder'!$B$6,ISBLANK('Cocktail Finder'!$B$6))</f>
        <v>1</v>
      </c>
      <c r="T47" s="15" t="b">
        <f>OR(I47='Cocktail Finder'!$B$8,ISBLANK('Cocktail Finder'!$B$8))</f>
        <v>1</v>
      </c>
      <c r="U47" s="15" t="b">
        <f>OR(J47='Cocktail Finder'!$B$9,ISBLANK('Cocktail Finder'!$B$8))</f>
        <v>1</v>
      </c>
    </row>
    <row r="48" spans="1:21" ht="15.75" customHeight="1" x14ac:dyDescent="0.2">
      <c r="A48" s="19">
        <f t="shared" si="2"/>
        <v>47</v>
      </c>
      <c r="B48" s="19" t="s">
        <v>127</v>
      </c>
      <c r="C48" s="19" t="s">
        <v>128</v>
      </c>
      <c r="D48" s="19"/>
      <c r="E48" s="19" t="s">
        <v>66</v>
      </c>
      <c r="F48" s="19" t="s">
        <v>90</v>
      </c>
      <c r="G48" s="19" t="s">
        <v>100</v>
      </c>
      <c r="H48" s="19" t="s">
        <v>78</v>
      </c>
      <c r="I48" s="19"/>
      <c r="J48" s="24" t="s">
        <v>45</v>
      </c>
      <c r="K48" s="19"/>
      <c r="L48" s="15">
        <f t="shared" si="0"/>
        <v>1</v>
      </c>
      <c r="M48" s="15" t="str">
        <f t="shared" si="1"/>
        <v>Caribbean Cosmopolitan</v>
      </c>
      <c r="N48" s="15" t="b">
        <f>OR(C48='Cocktail Finder'!$B$2,ISBLANK('Cocktail Finder'!$B$2))</f>
        <v>1</v>
      </c>
      <c r="O48" s="15" t="b">
        <f>OR(D48='Cocktail Finder'!$B$7,ISBLANK('Cocktail Finder'!$B$7))</f>
        <v>1</v>
      </c>
      <c r="P48" s="15" t="b">
        <f>OR(E48='Cocktail Finder'!$B$5,ISBLANK('Cocktail Finder'!$B$5))</f>
        <v>1</v>
      </c>
      <c r="Q48" s="15" t="b">
        <f>OR(F48='Cocktail Finder'!$B$4,ISBLANK('Cocktail Finder'!$B$4))</f>
        <v>1</v>
      </c>
      <c r="R48" s="15" t="b">
        <f>OR(G48='Cocktail Finder'!$B$3,ISBLANK('Cocktail Finder'!$B$3))</f>
        <v>1</v>
      </c>
      <c r="S48" s="15" t="b">
        <f>OR(H48='Cocktail Finder'!$B$6,ISBLANK('Cocktail Finder'!$B$6))</f>
        <v>1</v>
      </c>
      <c r="T48" s="15" t="b">
        <f>OR(I48='Cocktail Finder'!$B$8,ISBLANK('Cocktail Finder'!$B$8))</f>
        <v>1</v>
      </c>
      <c r="U48" s="15" t="b">
        <f>OR(J48='Cocktail Finder'!$B$9,ISBLANK('Cocktail Finder'!$B$8))</f>
        <v>1</v>
      </c>
    </row>
    <row r="49" spans="1:21" ht="15.75" customHeight="1" x14ac:dyDescent="0.2">
      <c r="A49" s="19">
        <f t="shared" si="2"/>
        <v>48</v>
      </c>
      <c r="B49" s="19" t="s">
        <v>207</v>
      </c>
      <c r="C49" s="18" t="s">
        <v>148</v>
      </c>
      <c r="D49" s="19" t="s">
        <v>208</v>
      </c>
      <c r="E49" s="19"/>
      <c r="F49" s="19" t="s">
        <v>134</v>
      </c>
      <c r="G49" s="19" t="s">
        <v>48</v>
      </c>
      <c r="H49" s="19"/>
      <c r="I49" s="19"/>
      <c r="J49" s="19"/>
      <c r="K49" s="19"/>
      <c r="L49" s="15">
        <f t="shared" si="0"/>
        <v>1</v>
      </c>
      <c r="M49" s="15" t="str">
        <f t="shared" si="1"/>
        <v>Caricature Cocktail</v>
      </c>
      <c r="N49" s="15" t="b">
        <f>OR(C49='Cocktail Finder'!$B$2,ISBLANK('Cocktail Finder'!$B$2))</f>
        <v>1</v>
      </c>
      <c r="O49" s="15" t="b">
        <f>OR(D49='Cocktail Finder'!$B$7,ISBLANK('Cocktail Finder'!$B$7))</f>
        <v>1</v>
      </c>
      <c r="P49" s="15" t="b">
        <f>OR(E49='Cocktail Finder'!$B$5,ISBLANK('Cocktail Finder'!$B$5))</f>
        <v>1</v>
      </c>
      <c r="Q49" s="15" t="b">
        <f>OR(F49='Cocktail Finder'!$B$4,ISBLANK('Cocktail Finder'!$B$4))</f>
        <v>1</v>
      </c>
      <c r="R49" s="15" t="b">
        <f>OR(G49='Cocktail Finder'!$B$3,ISBLANK('Cocktail Finder'!$B$3))</f>
        <v>1</v>
      </c>
      <c r="S49" s="15" t="b">
        <f>OR(H49='Cocktail Finder'!$B$6,ISBLANK('Cocktail Finder'!$B$6))</f>
        <v>1</v>
      </c>
      <c r="T49" s="15" t="b">
        <f>OR(I49='Cocktail Finder'!$B$8,ISBLANK('Cocktail Finder'!$B$8))</f>
        <v>1</v>
      </c>
      <c r="U49" s="15" t="b">
        <f>OR(J49='Cocktail Finder'!$B$9,ISBLANK('Cocktail Finder'!$B$8))</f>
        <v>1</v>
      </c>
    </row>
    <row r="50" spans="1:21" ht="15.75" customHeight="1" x14ac:dyDescent="0.2">
      <c r="A50" s="19">
        <f t="shared" si="2"/>
        <v>49</v>
      </c>
      <c r="B50" s="19" t="s">
        <v>290</v>
      </c>
      <c r="C50" s="19" t="s">
        <v>265</v>
      </c>
      <c r="D50" s="19"/>
      <c r="E50" s="19"/>
      <c r="F50" s="19" t="s">
        <v>38</v>
      </c>
      <c r="G50" s="19" t="s">
        <v>57</v>
      </c>
      <c r="H50" s="19"/>
      <c r="I50" s="19"/>
      <c r="J50" s="19"/>
      <c r="K50" s="19"/>
      <c r="L50" s="15">
        <f t="shared" si="0"/>
        <v>1</v>
      </c>
      <c r="M50" s="15" t="str">
        <f t="shared" si="1"/>
        <v>Carribean Squirrel</v>
      </c>
      <c r="N50" s="15" t="b">
        <f>OR(C50='Cocktail Finder'!$B$2,ISBLANK('Cocktail Finder'!$B$2))</f>
        <v>1</v>
      </c>
      <c r="O50" s="15" t="b">
        <f>OR(D50='Cocktail Finder'!$B$7,ISBLANK('Cocktail Finder'!$B$7))</f>
        <v>1</v>
      </c>
      <c r="P50" s="15" t="b">
        <f>OR(E50='Cocktail Finder'!$B$5,ISBLANK('Cocktail Finder'!$B$5))</f>
        <v>1</v>
      </c>
      <c r="Q50" s="15" t="b">
        <f>OR(F50='Cocktail Finder'!$B$4,ISBLANK('Cocktail Finder'!$B$4))</f>
        <v>1</v>
      </c>
      <c r="R50" s="15" t="b">
        <f>OR(G50='Cocktail Finder'!$B$3,ISBLANK('Cocktail Finder'!$B$3))</f>
        <v>1</v>
      </c>
      <c r="S50" s="15" t="b">
        <f>OR(H50='Cocktail Finder'!$B$6,ISBLANK('Cocktail Finder'!$B$6))</f>
        <v>1</v>
      </c>
      <c r="T50" s="15" t="b">
        <f>OR(I50='Cocktail Finder'!$B$8,ISBLANK('Cocktail Finder'!$B$8))</f>
        <v>1</v>
      </c>
      <c r="U50" s="15" t="b">
        <f>OR(J50='Cocktail Finder'!$B$9,ISBLANK('Cocktail Finder'!$B$8))</f>
        <v>1</v>
      </c>
    </row>
    <row r="51" spans="1:21" ht="15.75" customHeight="1" x14ac:dyDescent="0.2">
      <c r="A51" s="19">
        <f t="shared" si="2"/>
        <v>50</v>
      </c>
      <c r="B51" s="19" t="s">
        <v>106</v>
      </c>
      <c r="C51" s="19" t="s">
        <v>49</v>
      </c>
      <c r="D51" s="19"/>
      <c r="E51" s="19" t="s">
        <v>74</v>
      </c>
      <c r="F51" s="24" t="s">
        <v>3</v>
      </c>
      <c r="G51" s="19" t="s">
        <v>107</v>
      </c>
      <c r="H51" s="19"/>
      <c r="I51" s="19"/>
      <c r="J51" s="19" t="s">
        <v>108</v>
      </c>
      <c r="K51" s="19"/>
      <c r="L51" s="15">
        <f t="shared" si="0"/>
        <v>1</v>
      </c>
      <c r="M51" s="15" t="str">
        <f t="shared" si="1"/>
        <v>CEO Cocktail</v>
      </c>
      <c r="N51" s="15" t="b">
        <f>OR(C51='Cocktail Finder'!$B$2,ISBLANK('Cocktail Finder'!$B$2))</f>
        <v>1</v>
      </c>
      <c r="O51" s="15" t="b">
        <f>OR(D51='Cocktail Finder'!$B$7,ISBLANK('Cocktail Finder'!$B$7))</f>
        <v>1</v>
      </c>
      <c r="P51" s="15" t="b">
        <f>OR(E51='Cocktail Finder'!$B$5,ISBLANK('Cocktail Finder'!$B$5))</f>
        <v>1</v>
      </c>
      <c r="Q51" s="15" t="b">
        <f>OR(F51='Cocktail Finder'!$B$4,ISBLANK('Cocktail Finder'!$B$4))</f>
        <v>1</v>
      </c>
      <c r="R51" s="15" t="b">
        <f>OR(G51='Cocktail Finder'!$B$3,ISBLANK('Cocktail Finder'!$B$3))</f>
        <v>1</v>
      </c>
      <c r="S51" s="15" t="b">
        <f>OR(H51='Cocktail Finder'!$B$6,ISBLANK('Cocktail Finder'!$B$6))</f>
        <v>1</v>
      </c>
      <c r="T51" s="15" t="b">
        <f>OR(I51='Cocktail Finder'!$B$8,ISBLANK('Cocktail Finder'!$B$8))</f>
        <v>1</v>
      </c>
      <c r="U51" s="15" t="b">
        <f>OR(J51='Cocktail Finder'!$B$9,ISBLANK('Cocktail Finder'!$B$8))</f>
        <v>1</v>
      </c>
    </row>
    <row r="52" spans="1:21" ht="15.75" customHeight="1" x14ac:dyDescent="0.2">
      <c r="A52" s="19">
        <f t="shared" si="2"/>
        <v>51</v>
      </c>
      <c r="B52" s="19" t="s">
        <v>209</v>
      </c>
      <c r="C52" s="18" t="s">
        <v>148</v>
      </c>
      <c r="D52" s="19"/>
      <c r="E52" s="19"/>
      <c r="F52" s="19"/>
      <c r="G52" s="19" t="s">
        <v>52</v>
      </c>
      <c r="H52" s="19"/>
      <c r="I52" s="19"/>
      <c r="J52" s="19"/>
      <c r="K52" s="19"/>
      <c r="L52" s="15">
        <f t="shared" si="0"/>
        <v>1</v>
      </c>
      <c r="M52" s="15" t="str">
        <f t="shared" si="1"/>
        <v>Chanticleer</v>
      </c>
      <c r="N52" s="15" t="b">
        <f>OR(C52='Cocktail Finder'!$B$2,ISBLANK('Cocktail Finder'!$B$2))</f>
        <v>1</v>
      </c>
      <c r="O52" s="15" t="b">
        <f>OR(D52='Cocktail Finder'!$B$7,ISBLANK('Cocktail Finder'!$B$7))</f>
        <v>1</v>
      </c>
      <c r="P52" s="15" t="b">
        <f>OR(E52='Cocktail Finder'!$B$5,ISBLANK('Cocktail Finder'!$B$5))</f>
        <v>1</v>
      </c>
      <c r="Q52" s="15" t="b">
        <f>OR(F52='Cocktail Finder'!$B$4,ISBLANK('Cocktail Finder'!$B$4))</f>
        <v>1</v>
      </c>
      <c r="R52" s="15" t="b">
        <f>OR(G52='Cocktail Finder'!$B$3,ISBLANK('Cocktail Finder'!$B$3))</f>
        <v>1</v>
      </c>
      <c r="S52" s="15" t="b">
        <f>OR(H52='Cocktail Finder'!$B$6,ISBLANK('Cocktail Finder'!$B$6))</f>
        <v>1</v>
      </c>
      <c r="T52" s="15" t="b">
        <f>OR(I52='Cocktail Finder'!$B$8,ISBLANK('Cocktail Finder'!$B$8))</f>
        <v>1</v>
      </c>
      <c r="U52" s="15" t="b">
        <f>OR(J52='Cocktail Finder'!$B$9,ISBLANK('Cocktail Finder'!$B$8))</f>
        <v>1</v>
      </c>
    </row>
    <row r="53" spans="1:21" ht="15.75" customHeight="1" x14ac:dyDescent="0.2">
      <c r="A53" s="19">
        <f t="shared" si="2"/>
        <v>52</v>
      </c>
      <c r="B53" s="19" t="s">
        <v>390</v>
      </c>
      <c r="C53" s="19"/>
      <c r="D53" s="19" t="s">
        <v>282</v>
      </c>
      <c r="E53" s="19"/>
      <c r="F53" s="19" t="s">
        <v>90</v>
      </c>
      <c r="G53" s="19" t="s">
        <v>60</v>
      </c>
      <c r="H53" s="19"/>
      <c r="I53" s="19"/>
      <c r="J53" s="19"/>
      <c r="K53" s="19"/>
      <c r="L53" s="15">
        <f t="shared" si="0"/>
        <v>1</v>
      </c>
      <c r="M53" s="15" t="str">
        <f t="shared" si="1"/>
        <v>Charlie Chaplin</v>
      </c>
      <c r="N53" s="15" t="b">
        <f>OR(C53='Cocktail Finder'!$B$2,ISBLANK('Cocktail Finder'!$B$2))</f>
        <v>1</v>
      </c>
      <c r="O53" s="15" t="b">
        <f>OR(D53='Cocktail Finder'!$B$7,ISBLANK('Cocktail Finder'!$B$7))</f>
        <v>1</v>
      </c>
      <c r="P53" s="15" t="b">
        <f>OR(E53='Cocktail Finder'!$B$5,ISBLANK('Cocktail Finder'!$B$5))</f>
        <v>1</v>
      </c>
      <c r="Q53" s="15" t="b">
        <f>OR(F53='Cocktail Finder'!$B$4,ISBLANK('Cocktail Finder'!$B$4))</f>
        <v>1</v>
      </c>
      <c r="R53" s="15" t="b">
        <f>OR(G53='Cocktail Finder'!$B$3,ISBLANK('Cocktail Finder'!$B$3))</f>
        <v>1</v>
      </c>
      <c r="S53" s="15" t="b">
        <f>OR(H53='Cocktail Finder'!$B$6,ISBLANK('Cocktail Finder'!$B$6))</f>
        <v>1</v>
      </c>
      <c r="T53" s="15" t="b">
        <f>OR(I53='Cocktail Finder'!$B$8,ISBLANK('Cocktail Finder'!$B$8))</f>
        <v>1</v>
      </c>
      <c r="U53" s="15" t="b">
        <f>OR(J53='Cocktail Finder'!$B$9,ISBLANK('Cocktail Finder'!$B$8))</f>
        <v>1</v>
      </c>
    </row>
    <row r="54" spans="1:21" ht="15.75" customHeight="1" x14ac:dyDescent="0.2">
      <c r="A54" s="19">
        <f t="shared" si="2"/>
        <v>53</v>
      </c>
      <c r="B54" s="19" t="s">
        <v>172</v>
      </c>
      <c r="C54" s="18" t="s">
        <v>148</v>
      </c>
      <c r="D54" s="19"/>
      <c r="E54" s="19"/>
      <c r="F54" s="19" t="s">
        <v>38</v>
      </c>
      <c r="G54" s="19" t="s">
        <v>173</v>
      </c>
      <c r="H54" s="19"/>
      <c r="I54" s="19"/>
      <c r="J54" s="19"/>
      <c r="K54" s="19"/>
      <c r="L54" s="15">
        <f t="shared" si="0"/>
        <v>1</v>
      </c>
      <c r="M54" s="15" t="str">
        <f t="shared" si="1"/>
        <v>Chatham Cocktail</v>
      </c>
      <c r="N54" s="15" t="b">
        <f>OR(C54='Cocktail Finder'!$B$2,ISBLANK('Cocktail Finder'!$B$2))</f>
        <v>1</v>
      </c>
      <c r="O54" s="15" t="b">
        <f>OR(D54='Cocktail Finder'!$B$7,ISBLANK('Cocktail Finder'!$B$7))</f>
        <v>1</v>
      </c>
      <c r="P54" s="15" t="b">
        <f>OR(E54='Cocktail Finder'!$B$5,ISBLANK('Cocktail Finder'!$B$5))</f>
        <v>1</v>
      </c>
      <c r="Q54" s="15" t="b">
        <f>OR(F54='Cocktail Finder'!$B$4,ISBLANK('Cocktail Finder'!$B$4))</f>
        <v>1</v>
      </c>
      <c r="R54" s="15" t="b">
        <f>OR(G54='Cocktail Finder'!$B$3,ISBLANK('Cocktail Finder'!$B$3))</f>
        <v>1</v>
      </c>
      <c r="S54" s="15" t="b">
        <f>OR(H54='Cocktail Finder'!$B$6,ISBLANK('Cocktail Finder'!$B$6))</f>
        <v>1</v>
      </c>
      <c r="T54" s="15" t="b">
        <f>OR(I54='Cocktail Finder'!$B$8,ISBLANK('Cocktail Finder'!$B$8))</f>
        <v>1</v>
      </c>
      <c r="U54" s="15" t="b">
        <f>OR(J54='Cocktail Finder'!$B$9,ISBLANK('Cocktail Finder'!$B$8))</f>
        <v>1</v>
      </c>
    </row>
    <row r="55" spans="1:21" ht="15.75" customHeight="1" x14ac:dyDescent="0.2">
      <c r="A55" s="19">
        <f t="shared" si="2"/>
        <v>54</v>
      </c>
      <c r="B55" s="19" t="s">
        <v>40</v>
      </c>
      <c r="C55" s="19" t="s">
        <v>41</v>
      </c>
      <c r="D55" s="19"/>
      <c r="E55" s="19"/>
      <c r="F55" s="19" t="s">
        <v>90</v>
      </c>
      <c r="G55" s="19"/>
      <c r="H55" s="19" t="s">
        <v>45</v>
      </c>
      <c r="I55" s="19"/>
      <c r="J55" s="19"/>
      <c r="K55" s="19"/>
      <c r="L55" s="15">
        <f t="shared" si="0"/>
        <v>1</v>
      </c>
      <c r="M55" s="15" t="str">
        <f t="shared" si="1"/>
        <v>Chaya Candy Apple Cosmo</v>
      </c>
      <c r="N55" s="15" t="b">
        <f>OR(C55='Cocktail Finder'!$B$2,ISBLANK('Cocktail Finder'!$B$2))</f>
        <v>1</v>
      </c>
      <c r="O55" s="15" t="b">
        <f>OR(D55='Cocktail Finder'!$B$7,ISBLANK('Cocktail Finder'!$B$7))</f>
        <v>1</v>
      </c>
      <c r="P55" s="15" t="b">
        <f>OR(E55='Cocktail Finder'!$B$5,ISBLANK('Cocktail Finder'!$B$5))</f>
        <v>1</v>
      </c>
      <c r="Q55" s="15" t="b">
        <f>OR(F55='Cocktail Finder'!$B$4,ISBLANK('Cocktail Finder'!$B$4))</f>
        <v>1</v>
      </c>
      <c r="R55" s="15" t="b">
        <f>OR(G55='Cocktail Finder'!$B$3,ISBLANK('Cocktail Finder'!$B$3))</f>
        <v>1</v>
      </c>
      <c r="S55" s="15" t="b">
        <f>OR(H55='Cocktail Finder'!$B$6,ISBLANK('Cocktail Finder'!$B$6))</f>
        <v>1</v>
      </c>
      <c r="T55" s="15" t="b">
        <f>OR(I55='Cocktail Finder'!$B$8,ISBLANK('Cocktail Finder'!$B$8))</f>
        <v>1</v>
      </c>
      <c r="U55" s="15" t="b">
        <f>OR(J55='Cocktail Finder'!$B$9,ISBLANK('Cocktail Finder'!$B$8))</f>
        <v>1</v>
      </c>
    </row>
    <row r="56" spans="1:21" ht="15.75" customHeight="1" x14ac:dyDescent="0.2">
      <c r="A56" s="19">
        <f t="shared" si="2"/>
        <v>55</v>
      </c>
      <c r="B56" s="19" t="s">
        <v>121</v>
      </c>
      <c r="C56" s="19" t="s">
        <v>49</v>
      </c>
      <c r="D56" s="19"/>
      <c r="E56" s="19"/>
      <c r="F56" s="19" t="s">
        <v>38</v>
      </c>
      <c r="G56" s="19" t="s">
        <v>100</v>
      </c>
      <c r="H56" s="19"/>
      <c r="I56" s="19"/>
      <c r="J56" s="19"/>
      <c r="K56" s="19"/>
      <c r="L56" s="15">
        <f t="shared" si="0"/>
        <v>1</v>
      </c>
      <c r="M56" s="15" t="str">
        <f t="shared" si="1"/>
        <v>Cherry Blossom</v>
      </c>
      <c r="N56" s="15" t="b">
        <f>OR(C56='Cocktail Finder'!$B$2,ISBLANK('Cocktail Finder'!$B$2))</f>
        <v>1</v>
      </c>
      <c r="O56" s="15" t="b">
        <f>OR(D56='Cocktail Finder'!$B$7,ISBLANK('Cocktail Finder'!$B$7))</f>
        <v>1</v>
      </c>
      <c r="P56" s="15" t="b">
        <f>OR(E56='Cocktail Finder'!$B$5,ISBLANK('Cocktail Finder'!$B$5))</f>
        <v>1</v>
      </c>
      <c r="Q56" s="15" t="b">
        <f>OR(F56='Cocktail Finder'!$B$4,ISBLANK('Cocktail Finder'!$B$4))</f>
        <v>1</v>
      </c>
      <c r="R56" s="15" t="b">
        <f>OR(G56='Cocktail Finder'!$B$3,ISBLANK('Cocktail Finder'!$B$3))</f>
        <v>1</v>
      </c>
      <c r="S56" s="15" t="b">
        <f>OR(H56='Cocktail Finder'!$B$6,ISBLANK('Cocktail Finder'!$B$6))</f>
        <v>1</v>
      </c>
      <c r="T56" s="15" t="b">
        <f>OR(I56='Cocktail Finder'!$B$8,ISBLANK('Cocktail Finder'!$B$8))</f>
        <v>1</v>
      </c>
      <c r="U56" s="15" t="b">
        <f>OR(J56='Cocktail Finder'!$B$9,ISBLANK('Cocktail Finder'!$B$8))</f>
        <v>1</v>
      </c>
    </row>
    <row r="57" spans="1:21" ht="15.75" customHeight="1" x14ac:dyDescent="0.2">
      <c r="A57" s="19">
        <f t="shared" si="2"/>
        <v>56</v>
      </c>
      <c r="B57" s="19" t="s">
        <v>359</v>
      </c>
      <c r="C57" s="19" t="s">
        <v>357</v>
      </c>
      <c r="D57" s="19"/>
      <c r="E57" s="19"/>
      <c r="F57" s="19"/>
      <c r="G57" s="19" t="s">
        <v>31</v>
      </c>
      <c r="H57" s="19"/>
      <c r="I57" s="19"/>
      <c r="J57" s="19"/>
      <c r="K57" s="19"/>
      <c r="L57" s="15">
        <f t="shared" si="0"/>
        <v>1</v>
      </c>
      <c r="M57" s="15" t="str">
        <f t="shared" si="1"/>
        <v>Chocolate Martini</v>
      </c>
      <c r="N57" s="15" t="b">
        <f>OR(C57='Cocktail Finder'!$B$2,ISBLANK('Cocktail Finder'!$B$2))</f>
        <v>1</v>
      </c>
      <c r="O57" s="15" t="b">
        <f>OR(D57='Cocktail Finder'!$B$7,ISBLANK('Cocktail Finder'!$B$7))</f>
        <v>1</v>
      </c>
      <c r="P57" s="15" t="b">
        <f>OR(E57='Cocktail Finder'!$B$5,ISBLANK('Cocktail Finder'!$B$5))</f>
        <v>1</v>
      </c>
      <c r="Q57" s="15" t="b">
        <f>OR(F57='Cocktail Finder'!$B$4,ISBLANK('Cocktail Finder'!$B$4))</f>
        <v>1</v>
      </c>
      <c r="R57" s="15" t="b">
        <f>OR(G57='Cocktail Finder'!$B$3,ISBLANK('Cocktail Finder'!$B$3))</f>
        <v>1</v>
      </c>
      <c r="S57" s="15" t="b">
        <f>OR(H57='Cocktail Finder'!$B$6,ISBLANK('Cocktail Finder'!$B$6))</f>
        <v>1</v>
      </c>
      <c r="T57" s="15" t="b">
        <f>OR(I57='Cocktail Finder'!$B$8,ISBLANK('Cocktail Finder'!$B$8))</f>
        <v>1</v>
      </c>
      <c r="U57" s="15" t="b">
        <f>OR(J57='Cocktail Finder'!$B$9,ISBLANK('Cocktail Finder'!$B$8))</f>
        <v>1</v>
      </c>
    </row>
    <row r="58" spans="1:21" ht="15.75" customHeight="1" x14ac:dyDescent="0.2">
      <c r="A58" s="19">
        <f t="shared" si="2"/>
        <v>57</v>
      </c>
      <c r="B58" s="19" t="s">
        <v>210</v>
      </c>
      <c r="C58" s="18" t="s">
        <v>148</v>
      </c>
      <c r="D58" s="19"/>
      <c r="E58" s="19"/>
      <c r="F58" s="19"/>
      <c r="G58" s="19" t="s">
        <v>52</v>
      </c>
      <c r="H58" s="19"/>
      <c r="I58" s="19"/>
      <c r="J58" s="24" t="s">
        <v>100</v>
      </c>
      <c r="K58" s="24" t="s">
        <v>60</v>
      </c>
      <c r="L58" s="15">
        <f t="shared" si="0"/>
        <v>1</v>
      </c>
      <c r="M58" s="15" t="str">
        <f t="shared" si="1"/>
        <v>Claridge Cocktail</v>
      </c>
      <c r="N58" s="15" t="b">
        <f>OR(C58='Cocktail Finder'!$B$2,ISBLANK('Cocktail Finder'!$B$2))</f>
        <v>1</v>
      </c>
      <c r="O58" s="15" t="b">
        <f>OR(D58='Cocktail Finder'!$B$7,ISBLANK('Cocktail Finder'!$B$7))</f>
        <v>1</v>
      </c>
      <c r="P58" s="15" t="b">
        <f>OR(E58='Cocktail Finder'!$B$5,ISBLANK('Cocktail Finder'!$B$5))</f>
        <v>1</v>
      </c>
      <c r="Q58" s="15" t="b">
        <f>OR(F58='Cocktail Finder'!$B$4,ISBLANK('Cocktail Finder'!$B$4))</f>
        <v>1</v>
      </c>
      <c r="R58" s="15" t="b">
        <f>OR(G58='Cocktail Finder'!$B$3,ISBLANK('Cocktail Finder'!$B$3))</f>
        <v>1</v>
      </c>
      <c r="S58" s="15" t="b">
        <f>OR(H58='Cocktail Finder'!$B$6,ISBLANK('Cocktail Finder'!$B$6))</f>
        <v>1</v>
      </c>
      <c r="T58" s="15" t="b">
        <f>OR(I58='Cocktail Finder'!$B$8,ISBLANK('Cocktail Finder'!$B$8))</f>
        <v>1</v>
      </c>
      <c r="U58" s="15" t="b">
        <f>OR(J58='Cocktail Finder'!$B$9,ISBLANK('Cocktail Finder'!$B$8))</f>
        <v>1</v>
      </c>
    </row>
    <row r="59" spans="1:21" ht="15.75" customHeight="1" x14ac:dyDescent="0.2">
      <c r="A59" s="19">
        <f t="shared" si="2"/>
        <v>58</v>
      </c>
      <c r="B59" s="19" t="s">
        <v>119</v>
      </c>
      <c r="C59" s="19" t="s">
        <v>49</v>
      </c>
      <c r="D59" s="19"/>
      <c r="E59" s="19"/>
      <c r="F59" s="19" t="s">
        <v>38</v>
      </c>
      <c r="G59" s="19" t="s">
        <v>100</v>
      </c>
      <c r="H59" s="19"/>
      <c r="I59" s="19"/>
      <c r="J59" s="19"/>
      <c r="K59" s="19"/>
      <c r="L59" s="15">
        <f t="shared" si="0"/>
        <v>1</v>
      </c>
      <c r="M59" s="15" t="str">
        <f t="shared" si="1"/>
        <v>Classic Cocktail</v>
      </c>
      <c r="N59" s="15" t="b">
        <f>OR(C59='Cocktail Finder'!$B$2,ISBLANK('Cocktail Finder'!$B$2))</f>
        <v>1</v>
      </c>
      <c r="O59" s="15" t="b">
        <f>OR(D59='Cocktail Finder'!$B$7,ISBLANK('Cocktail Finder'!$B$7))</f>
        <v>1</v>
      </c>
      <c r="P59" s="15" t="b">
        <f>OR(E59='Cocktail Finder'!$B$5,ISBLANK('Cocktail Finder'!$B$5))</f>
        <v>1</v>
      </c>
      <c r="Q59" s="15" t="b">
        <f>OR(F59='Cocktail Finder'!$B$4,ISBLANK('Cocktail Finder'!$B$4))</f>
        <v>1</v>
      </c>
      <c r="R59" s="15" t="b">
        <f>OR(G59='Cocktail Finder'!$B$3,ISBLANK('Cocktail Finder'!$B$3))</f>
        <v>1</v>
      </c>
      <c r="S59" s="15" t="b">
        <f>OR(H59='Cocktail Finder'!$B$6,ISBLANK('Cocktail Finder'!$B$6))</f>
        <v>1</v>
      </c>
      <c r="T59" s="15" t="b">
        <f>OR(I59='Cocktail Finder'!$B$8,ISBLANK('Cocktail Finder'!$B$8))</f>
        <v>1</v>
      </c>
      <c r="U59" s="15" t="b">
        <f>OR(J59='Cocktail Finder'!$B$9,ISBLANK('Cocktail Finder'!$B$8))</f>
        <v>1</v>
      </c>
    </row>
    <row r="60" spans="1:21" ht="15.75" customHeight="1" x14ac:dyDescent="0.2">
      <c r="A60" s="19">
        <f t="shared" si="2"/>
        <v>59</v>
      </c>
      <c r="B60" s="19" t="s">
        <v>161</v>
      </c>
      <c r="C60" s="18" t="s">
        <v>148</v>
      </c>
      <c r="D60" s="19"/>
      <c r="E60" s="19" t="s">
        <v>163</v>
      </c>
      <c r="F60" s="19" t="s">
        <v>38</v>
      </c>
      <c r="G60" s="19"/>
      <c r="H60" s="19"/>
      <c r="I60" s="19"/>
      <c r="J60" s="19"/>
      <c r="K60" s="19"/>
      <c r="L60" s="15">
        <f t="shared" si="0"/>
        <v>1</v>
      </c>
      <c r="M60" s="15" t="str">
        <f t="shared" si="1"/>
        <v>Clover Club</v>
      </c>
      <c r="N60" s="15" t="b">
        <f>OR(C60='Cocktail Finder'!$B$2,ISBLANK('Cocktail Finder'!$B$2))</f>
        <v>1</v>
      </c>
      <c r="O60" s="15" t="b">
        <f>OR(D60='Cocktail Finder'!$B$7,ISBLANK('Cocktail Finder'!$B$7))</f>
        <v>1</v>
      </c>
      <c r="P60" s="15" t="b">
        <f>OR(E60='Cocktail Finder'!$B$5,ISBLANK('Cocktail Finder'!$B$5))</f>
        <v>1</v>
      </c>
      <c r="Q60" s="15" t="b">
        <f>OR(F60='Cocktail Finder'!$B$4,ISBLANK('Cocktail Finder'!$B$4))</f>
        <v>1</v>
      </c>
      <c r="R60" s="15" t="b">
        <f>OR(G60='Cocktail Finder'!$B$3,ISBLANK('Cocktail Finder'!$B$3))</f>
        <v>1</v>
      </c>
      <c r="S60" s="15" t="b">
        <f>OR(H60='Cocktail Finder'!$B$6,ISBLANK('Cocktail Finder'!$B$6))</f>
        <v>1</v>
      </c>
      <c r="T60" s="15" t="b">
        <f>OR(I60='Cocktail Finder'!$B$8,ISBLANK('Cocktail Finder'!$B$8))</f>
        <v>1</v>
      </c>
      <c r="U60" s="15" t="b">
        <f>OR(J60='Cocktail Finder'!$B$9,ISBLANK('Cocktail Finder'!$B$8))</f>
        <v>1</v>
      </c>
    </row>
    <row r="61" spans="1:21" ht="15.75" customHeight="1" x14ac:dyDescent="0.2">
      <c r="A61" s="19">
        <f t="shared" si="2"/>
        <v>60</v>
      </c>
      <c r="B61" s="19" t="s">
        <v>320</v>
      </c>
      <c r="C61" s="19" t="s">
        <v>317</v>
      </c>
      <c r="D61" s="19"/>
      <c r="E61" s="19"/>
      <c r="F61" s="19"/>
      <c r="G61" s="19" t="s">
        <v>60</v>
      </c>
      <c r="H61" s="19"/>
      <c r="I61" s="19"/>
      <c r="J61" s="19"/>
      <c r="K61" s="19"/>
      <c r="L61" s="15">
        <f t="shared" si="0"/>
        <v>1</v>
      </c>
      <c r="M61" s="15" t="str">
        <f t="shared" si="1"/>
        <v>Copper Swan Cocktail</v>
      </c>
      <c r="N61" s="15" t="b">
        <f>OR(C61='Cocktail Finder'!$B$2,ISBLANK('Cocktail Finder'!$B$2))</f>
        <v>1</v>
      </c>
      <c r="O61" s="15" t="b">
        <f>OR(D61='Cocktail Finder'!$B$7,ISBLANK('Cocktail Finder'!$B$7))</f>
        <v>1</v>
      </c>
      <c r="P61" s="15" t="b">
        <f>OR(E61='Cocktail Finder'!$B$5,ISBLANK('Cocktail Finder'!$B$5))</f>
        <v>1</v>
      </c>
      <c r="Q61" s="15" t="b">
        <f>OR(F61='Cocktail Finder'!$B$4,ISBLANK('Cocktail Finder'!$B$4))</f>
        <v>1</v>
      </c>
      <c r="R61" s="15" t="b">
        <f>OR(G61='Cocktail Finder'!$B$3,ISBLANK('Cocktail Finder'!$B$3))</f>
        <v>1</v>
      </c>
      <c r="S61" s="15" t="b">
        <f>OR(H61='Cocktail Finder'!$B$6,ISBLANK('Cocktail Finder'!$B$6))</f>
        <v>1</v>
      </c>
      <c r="T61" s="15" t="b">
        <f>OR(I61='Cocktail Finder'!$B$8,ISBLANK('Cocktail Finder'!$B$8))</f>
        <v>1</v>
      </c>
      <c r="U61" s="15" t="b">
        <f>OR(J61='Cocktail Finder'!$B$9,ISBLANK('Cocktail Finder'!$B$8))</f>
        <v>1</v>
      </c>
    </row>
    <row r="62" spans="1:21" ht="15.75" customHeight="1" x14ac:dyDescent="0.2">
      <c r="A62" s="19">
        <f t="shared" si="2"/>
        <v>61</v>
      </c>
      <c r="B62" s="19" t="s">
        <v>46</v>
      </c>
      <c r="C62" s="19" t="s">
        <v>47</v>
      </c>
      <c r="D62" s="19"/>
      <c r="E62" s="19"/>
      <c r="F62" s="19"/>
      <c r="G62" s="19" t="s">
        <v>48</v>
      </c>
      <c r="H62" s="19"/>
      <c r="I62" s="19"/>
      <c r="J62" s="19"/>
      <c r="K62" s="19"/>
      <c r="L62" s="15">
        <f t="shared" si="0"/>
        <v>1</v>
      </c>
      <c r="M62" s="15" t="str">
        <f t="shared" si="1"/>
        <v>Corpse Reviver No. 1</v>
      </c>
      <c r="N62" s="15" t="b">
        <f>OR(C62='Cocktail Finder'!$B$2,ISBLANK('Cocktail Finder'!$B$2))</f>
        <v>1</v>
      </c>
      <c r="O62" s="15" t="b">
        <f>OR(D62='Cocktail Finder'!$B$7,ISBLANK('Cocktail Finder'!$B$7))</f>
        <v>1</v>
      </c>
      <c r="P62" s="15" t="b">
        <f>OR(E62='Cocktail Finder'!$B$5,ISBLANK('Cocktail Finder'!$B$5))</f>
        <v>1</v>
      </c>
      <c r="Q62" s="15" t="b">
        <f>OR(F62='Cocktail Finder'!$B$4,ISBLANK('Cocktail Finder'!$B$4))</f>
        <v>1</v>
      </c>
      <c r="R62" s="15" t="b">
        <f>OR(G62='Cocktail Finder'!$B$3,ISBLANK('Cocktail Finder'!$B$3))</f>
        <v>1</v>
      </c>
      <c r="S62" s="15" t="b">
        <f>OR(H62='Cocktail Finder'!$B$6,ISBLANK('Cocktail Finder'!$B$6))</f>
        <v>1</v>
      </c>
      <c r="T62" s="15" t="b">
        <f>OR(I62='Cocktail Finder'!$B$8,ISBLANK('Cocktail Finder'!$B$8))</f>
        <v>1</v>
      </c>
      <c r="U62" s="15" t="b">
        <f>OR(J62='Cocktail Finder'!$B$9,ISBLANK('Cocktail Finder'!$B$8))</f>
        <v>1</v>
      </c>
    </row>
    <row r="63" spans="1:21" ht="15.75" customHeight="1" x14ac:dyDescent="0.2">
      <c r="A63" s="19">
        <f t="shared" si="2"/>
        <v>62</v>
      </c>
      <c r="B63" s="19" t="s">
        <v>177</v>
      </c>
      <c r="C63" s="18" t="s">
        <v>148</v>
      </c>
      <c r="D63" s="19"/>
      <c r="E63" s="19"/>
      <c r="F63" s="19" t="s">
        <v>38</v>
      </c>
      <c r="G63" s="19" t="s">
        <v>100</v>
      </c>
      <c r="H63" s="19"/>
      <c r="I63" s="19"/>
      <c r="J63" s="24" t="s">
        <v>393</v>
      </c>
      <c r="K63" s="24" t="s">
        <v>178</v>
      </c>
      <c r="L63" s="15">
        <f t="shared" si="0"/>
        <v>1</v>
      </c>
      <c r="M63" s="15" t="str">
        <f t="shared" si="1"/>
        <v>Corpse Reviver No. 2</v>
      </c>
      <c r="N63" s="15" t="b">
        <f>OR(C63='Cocktail Finder'!$B$2,ISBLANK('Cocktail Finder'!$B$2))</f>
        <v>1</v>
      </c>
      <c r="O63" s="15" t="b">
        <f>OR(D63='Cocktail Finder'!$B$7,ISBLANK('Cocktail Finder'!$B$7))</f>
        <v>1</v>
      </c>
      <c r="P63" s="15" t="b">
        <f>OR(E63='Cocktail Finder'!$B$5,ISBLANK('Cocktail Finder'!$B$5))</f>
        <v>1</v>
      </c>
      <c r="Q63" s="15" t="b">
        <f>OR(F63='Cocktail Finder'!$B$4,ISBLANK('Cocktail Finder'!$B$4))</f>
        <v>1</v>
      </c>
      <c r="R63" s="15" t="b">
        <f>OR(G63='Cocktail Finder'!$B$3,ISBLANK('Cocktail Finder'!$B$3))</f>
        <v>1</v>
      </c>
      <c r="S63" s="15" t="b">
        <f>OR(H63='Cocktail Finder'!$B$6,ISBLANK('Cocktail Finder'!$B$6))</f>
        <v>1</v>
      </c>
      <c r="T63" s="15" t="b">
        <f>OR(I63='Cocktail Finder'!$B$8,ISBLANK('Cocktail Finder'!$B$8))</f>
        <v>1</v>
      </c>
      <c r="U63" s="15" t="b">
        <f>OR(J63='Cocktail Finder'!$B$9,ISBLANK('Cocktail Finder'!$B$8))</f>
        <v>1</v>
      </c>
    </row>
    <row r="64" spans="1:21" ht="15.75" customHeight="1" x14ac:dyDescent="0.2">
      <c r="A64" s="19">
        <f t="shared" si="2"/>
        <v>63</v>
      </c>
      <c r="B64" s="20" t="s">
        <v>132</v>
      </c>
      <c r="C64" s="20" t="s">
        <v>131</v>
      </c>
      <c r="D64" s="20"/>
      <c r="E64" s="20"/>
      <c r="F64" s="20" t="s">
        <v>90</v>
      </c>
      <c r="G64" s="20" t="s">
        <v>100</v>
      </c>
      <c r="H64" s="26" t="s">
        <v>45</v>
      </c>
      <c r="I64" s="19"/>
      <c r="J64" s="20"/>
      <c r="K64" s="20"/>
      <c r="L64" s="15">
        <f t="shared" si="0"/>
        <v>1</v>
      </c>
      <c r="M64" s="15" t="str">
        <f t="shared" si="1"/>
        <v>Cosmopolitan</v>
      </c>
      <c r="N64" s="15" t="b">
        <f>OR(C64='Cocktail Finder'!$B$2,ISBLANK('Cocktail Finder'!$B$2))</f>
        <v>1</v>
      </c>
      <c r="O64" s="15" t="b">
        <f>OR(D64='Cocktail Finder'!$B$7,ISBLANK('Cocktail Finder'!$B$7))</f>
        <v>1</v>
      </c>
      <c r="P64" s="15" t="b">
        <f>OR(E64='Cocktail Finder'!$B$5,ISBLANK('Cocktail Finder'!$B$5))</f>
        <v>1</v>
      </c>
      <c r="Q64" s="15" t="b">
        <f>OR(F64='Cocktail Finder'!$B$4,ISBLANK('Cocktail Finder'!$B$4))</f>
        <v>1</v>
      </c>
      <c r="R64" s="15" t="b">
        <f>OR(G64='Cocktail Finder'!$B$3,ISBLANK('Cocktail Finder'!$B$3))</f>
        <v>1</v>
      </c>
      <c r="S64" s="15" t="b">
        <f>OR(H64='Cocktail Finder'!$B$6,ISBLANK('Cocktail Finder'!$B$6))</f>
        <v>1</v>
      </c>
      <c r="T64" s="15" t="b">
        <f>OR(I64='Cocktail Finder'!$B$8,ISBLANK('Cocktail Finder'!$B$8))</f>
        <v>1</v>
      </c>
      <c r="U64" s="15" t="b">
        <f>OR(J64='Cocktail Finder'!$B$9,ISBLANK('Cocktail Finder'!$B$8))</f>
        <v>1</v>
      </c>
    </row>
    <row r="65" spans="1:21" ht="15.75" customHeight="1" x14ac:dyDescent="0.2">
      <c r="A65" s="19">
        <f t="shared" si="2"/>
        <v>64</v>
      </c>
      <c r="B65" s="19" t="s">
        <v>117</v>
      </c>
      <c r="C65" s="19" t="s">
        <v>49</v>
      </c>
      <c r="D65" s="19"/>
      <c r="E65" s="19"/>
      <c r="F65" s="19" t="s">
        <v>38</v>
      </c>
      <c r="G65" s="19" t="s">
        <v>100</v>
      </c>
      <c r="H65" s="19"/>
      <c r="I65" s="19"/>
      <c r="J65" s="19"/>
      <c r="K65" s="19"/>
      <c r="L65" s="15">
        <f t="shared" si="0"/>
        <v>1</v>
      </c>
      <c r="M65" s="15" t="str">
        <f t="shared" si="1"/>
        <v>Crux Cocktail</v>
      </c>
      <c r="N65" s="15" t="b">
        <f>OR(C65='Cocktail Finder'!$B$2,ISBLANK('Cocktail Finder'!$B$2))</f>
        <v>1</v>
      </c>
      <c r="O65" s="15" t="b">
        <f>OR(D65='Cocktail Finder'!$B$7,ISBLANK('Cocktail Finder'!$B$7))</f>
        <v>1</v>
      </c>
      <c r="P65" s="15" t="b">
        <f>OR(E65='Cocktail Finder'!$B$5,ISBLANK('Cocktail Finder'!$B$5))</f>
        <v>1</v>
      </c>
      <c r="Q65" s="15" t="b">
        <f>OR(F65='Cocktail Finder'!$B$4,ISBLANK('Cocktail Finder'!$B$4))</f>
        <v>1</v>
      </c>
      <c r="R65" s="15" t="b">
        <f>OR(G65='Cocktail Finder'!$B$3,ISBLANK('Cocktail Finder'!$B$3))</f>
        <v>1</v>
      </c>
      <c r="S65" s="15" t="b">
        <f>OR(H65='Cocktail Finder'!$B$6,ISBLANK('Cocktail Finder'!$B$6))</f>
        <v>1</v>
      </c>
      <c r="T65" s="15" t="b">
        <f>OR(I65='Cocktail Finder'!$B$8,ISBLANK('Cocktail Finder'!$B$8))</f>
        <v>1</v>
      </c>
      <c r="U65" s="15" t="b">
        <f>OR(J65='Cocktail Finder'!$B$9,ISBLANK('Cocktail Finder'!$B$8))</f>
        <v>1</v>
      </c>
    </row>
    <row r="66" spans="1:21" ht="15.75" customHeight="1" x14ac:dyDescent="0.2">
      <c r="A66" s="19">
        <f t="shared" si="2"/>
        <v>65</v>
      </c>
      <c r="B66" s="20" t="s">
        <v>267</v>
      </c>
      <c r="C66" s="20" t="s">
        <v>265</v>
      </c>
      <c r="D66" s="20"/>
      <c r="E66" s="20" t="s">
        <v>268</v>
      </c>
      <c r="F66" s="20" t="s">
        <v>90</v>
      </c>
      <c r="G66" s="20"/>
      <c r="H66" s="20"/>
      <c r="I66" s="19"/>
      <c r="J66" s="20"/>
      <c r="K66" s="20"/>
      <c r="L66" s="15">
        <f t="shared" si="0"/>
        <v>1</v>
      </c>
      <c r="M66" s="15" t="str">
        <f t="shared" si="1"/>
        <v>Cuba Libre</v>
      </c>
      <c r="N66" s="15" t="b">
        <f>OR(C66='Cocktail Finder'!$B$2,ISBLANK('Cocktail Finder'!$B$2))</f>
        <v>1</v>
      </c>
      <c r="O66" s="15" t="b">
        <f>OR(D66='Cocktail Finder'!$B$7,ISBLANK('Cocktail Finder'!$B$7))</f>
        <v>1</v>
      </c>
      <c r="P66" s="15" t="b">
        <f>OR(E66='Cocktail Finder'!$B$5,ISBLANK('Cocktail Finder'!$B$5))</f>
        <v>1</v>
      </c>
      <c r="Q66" s="15" t="b">
        <f>OR(F66='Cocktail Finder'!$B$4,ISBLANK('Cocktail Finder'!$B$4))</f>
        <v>1</v>
      </c>
      <c r="R66" s="15" t="b">
        <f>OR(G66='Cocktail Finder'!$B$3,ISBLANK('Cocktail Finder'!$B$3))</f>
        <v>1</v>
      </c>
      <c r="S66" s="15" t="b">
        <f>OR(H66='Cocktail Finder'!$B$6,ISBLANK('Cocktail Finder'!$B$6))</f>
        <v>1</v>
      </c>
      <c r="T66" s="15" t="b">
        <f>OR(I66='Cocktail Finder'!$B$8,ISBLANK('Cocktail Finder'!$B$8))</f>
        <v>1</v>
      </c>
      <c r="U66" s="15" t="b">
        <f>OR(J66='Cocktail Finder'!$B$9,ISBLANK('Cocktail Finder'!$B$8))</f>
        <v>1</v>
      </c>
    </row>
    <row r="67" spans="1:21" ht="15.75" customHeight="1" x14ac:dyDescent="0.2">
      <c r="A67" s="19">
        <f t="shared" si="2"/>
        <v>66</v>
      </c>
      <c r="B67" s="19" t="s">
        <v>275</v>
      </c>
      <c r="C67" s="19" t="s">
        <v>265</v>
      </c>
      <c r="D67" s="19"/>
      <c r="E67" s="19" t="s">
        <v>86</v>
      </c>
      <c r="F67" s="19" t="s">
        <v>90</v>
      </c>
      <c r="G67" s="19"/>
      <c r="H67" s="19"/>
      <c r="I67" s="19"/>
      <c r="J67" s="19"/>
      <c r="K67" s="19"/>
      <c r="L67" s="15">
        <f t="shared" si="0"/>
        <v>1</v>
      </c>
      <c r="M67" s="15" t="str">
        <f t="shared" si="1"/>
        <v>Daiquiri</v>
      </c>
      <c r="N67" s="15" t="b">
        <f>OR(C67='Cocktail Finder'!$B$2,ISBLANK('Cocktail Finder'!$B$2))</f>
        <v>1</v>
      </c>
      <c r="O67" s="15" t="b">
        <f>OR(D67='Cocktail Finder'!$B$7,ISBLANK('Cocktail Finder'!$B$7))</f>
        <v>1</v>
      </c>
      <c r="P67" s="15" t="b">
        <f>OR(E67='Cocktail Finder'!$B$5,ISBLANK('Cocktail Finder'!$B$5))</f>
        <v>1</v>
      </c>
      <c r="Q67" s="15" t="b">
        <f>OR(F67='Cocktail Finder'!$B$4,ISBLANK('Cocktail Finder'!$B$4))</f>
        <v>1</v>
      </c>
      <c r="R67" s="15" t="b">
        <f>OR(G67='Cocktail Finder'!$B$3,ISBLANK('Cocktail Finder'!$B$3))</f>
        <v>1</v>
      </c>
      <c r="S67" s="15" t="b">
        <f>OR(H67='Cocktail Finder'!$B$6,ISBLANK('Cocktail Finder'!$B$6))</f>
        <v>1</v>
      </c>
      <c r="T67" s="15" t="b">
        <f>OR(I67='Cocktail Finder'!$B$8,ISBLANK('Cocktail Finder'!$B$8))</f>
        <v>1</v>
      </c>
      <c r="U67" s="15" t="b">
        <f>OR(J67='Cocktail Finder'!$B$9,ISBLANK('Cocktail Finder'!$B$8))</f>
        <v>1</v>
      </c>
    </row>
    <row r="68" spans="1:21" ht="15.75" customHeight="1" x14ac:dyDescent="0.2">
      <c r="A68" s="19">
        <f t="shared" si="2"/>
        <v>67</v>
      </c>
      <c r="B68" s="19" t="s">
        <v>269</v>
      </c>
      <c r="C68" s="19" t="s">
        <v>265</v>
      </c>
      <c r="D68" s="19"/>
      <c r="E68" s="19" t="s">
        <v>270</v>
      </c>
      <c r="F68" s="19"/>
      <c r="G68" s="19"/>
      <c r="H68" s="19"/>
      <c r="I68" s="19"/>
      <c r="J68" s="19"/>
      <c r="K68" s="19"/>
      <c r="L68" s="15">
        <f t="shared" si="0"/>
        <v>1</v>
      </c>
      <c r="M68" s="15" t="str">
        <f t="shared" si="1"/>
        <v>Dark and Stormy</v>
      </c>
      <c r="N68" s="15" t="b">
        <f>OR(C68='Cocktail Finder'!$B$2,ISBLANK('Cocktail Finder'!$B$2))</f>
        <v>1</v>
      </c>
      <c r="O68" s="15" t="b">
        <f>OR(D68='Cocktail Finder'!$B$7,ISBLANK('Cocktail Finder'!$B$7))</f>
        <v>1</v>
      </c>
      <c r="P68" s="15" t="b">
        <f>OR(E68='Cocktail Finder'!$B$5,ISBLANK('Cocktail Finder'!$B$5))</f>
        <v>1</v>
      </c>
      <c r="Q68" s="15" t="b">
        <f>OR(F68='Cocktail Finder'!$B$4,ISBLANK('Cocktail Finder'!$B$4))</f>
        <v>1</v>
      </c>
      <c r="R68" s="15" t="b">
        <f>OR(G68='Cocktail Finder'!$B$3,ISBLANK('Cocktail Finder'!$B$3))</f>
        <v>1</v>
      </c>
      <c r="S68" s="15" t="b">
        <f>OR(H68='Cocktail Finder'!$B$6,ISBLANK('Cocktail Finder'!$B$6))</f>
        <v>1</v>
      </c>
      <c r="T68" s="15" t="b">
        <f>OR(I68='Cocktail Finder'!$B$8,ISBLANK('Cocktail Finder'!$B$8))</f>
        <v>1</v>
      </c>
      <c r="U68" s="15" t="b">
        <f>OR(J68='Cocktail Finder'!$B$9,ISBLANK('Cocktail Finder'!$B$8))</f>
        <v>1</v>
      </c>
    </row>
    <row r="69" spans="1:21" ht="15.75" customHeight="1" x14ac:dyDescent="0.2">
      <c r="A69" s="19">
        <f t="shared" si="2"/>
        <v>68</v>
      </c>
      <c r="B69" s="19" t="s">
        <v>72</v>
      </c>
      <c r="C69" s="19" t="s">
        <v>65</v>
      </c>
      <c r="D69" s="19"/>
      <c r="E69" s="19" t="s">
        <v>73</v>
      </c>
      <c r="F69" s="19"/>
      <c r="G69" s="19" t="s">
        <v>48</v>
      </c>
      <c r="H69" s="19"/>
      <c r="I69" s="19"/>
      <c r="J69" s="19"/>
      <c r="K69" s="19"/>
      <c r="L69" s="15">
        <f t="shared" si="0"/>
        <v>1</v>
      </c>
      <c r="M69" s="15" t="str">
        <f t="shared" si="1"/>
        <v>Deadly Sin</v>
      </c>
      <c r="N69" s="15" t="b">
        <f>OR(C69='Cocktail Finder'!$B$2,ISBLANK('Cocktail Finder'!$B$2))</f>
        <v>1</v>
      </c>
      <c r="O69" s="15" t="b">
        <f>OR(D69='Cocktail Finder'!$B$7,ISBLANK('Cocktail Finder'!$B$7))</f>
        <v>1</v>
      </c>
      <c r="P69" s="15" t="b">
        <f>OR(E69='Cocktail Finder'!$B$5,ISBLANK('Cocktail Finder'!$B$5))</f>
        <v>1</v>
      </c>
      <c r="Q69" s="15" t="b">
        <f>OR(F69='Cocktail Finder'!$B$4,ISBLANK('Cocktail Finder'!$B$4))</f>
        <v>1</v>
      </c>
      <c r="R69" s="15" t="b">
        <f>OR(G69='Cocktail Finder'!$B$3,ISBLANK('Cocktail Finder'!$B$3))</f>
        <v>1</v>
      </c>
      <c r="S69" s="15" t="b">
        <f>OR(H69='Cocktail Finder'!$B$6,ISBLANK('Cocktail Finder'!$B$6))</f>
        <v>1</v>
      </c>
      <c r="T69" s="15" t="b">
        <f>OR(I69='Cocktail Finder'!$B$8,ISBLANK('Cocktail Finder'!$B$8))</f>
        <v>1</v>
      </c>
      <c r="U69" s="15" t="b">
        <f>OR(J69='Cocktail Finder'!$B$9,ISBLANK('Cocktail Finder'!$B$8))</f>
        <v>1</v>
      </c>
    </row>
    <row r="70" spans="1:21" ht="15.75" customHeight="1" x14ac:dyDescent="0.2">
      <c r="A70" s="19">
        <f t="shared" si="2"/>
        <v>69</v>
      </c>
      <c r="B70" s="19" t="s">
        <v>98</v>
      </c>
      <c r="C70" s="19" t="s">
        <v>99</v>
      </c>
      <c r="D70" s="19"/>
      <c r="E70" s="19"/>
      <c r="F70" s="19" t="s">
        <v>38</v>
      </c>
      <c r="G70" s="19" t="s">
        <v>100</v>
      </c>
      <c r="H70" s="19"/>
      <c r="I70" s="19"/>
      <c r="J70" s="19"/>
      <c r="K70" s="19"/>
      <c r="L70" s="15">
        <f t="shared" si="0"/>
        <v>1</v>
      </c>
      <c r="M70" s="15" t="str">
        <f t="shared" si="1"/>
        <v>Deauville Cocktail</v>
      </c>
      <c r="N70" s="15" t="b">
        <f>OR(C70='Cocktail Finder'!$B$2,ISBLANK('Cocktail Finder'!$B$2))</f>
        <v>1</v>
      </c>
      <c r="O70" s="15" t="b">
        <f>OR(D70='Cocktail Finder'!$B$7,ISBLANK('Cocktail Finder'!$B$7))</f>
        <v>1</v>
      </c>
      <c r="P70" s="15" t="b">
        <f>OR(E70='Cocktail Finder'!$B$5,ISBLANK('Cocktail Finder'!$B$5))</f>
        <v>1</v>
      </c>
      <c r="Q70" s="15" t="b">
        <f>OR(F70='Cocktail Finder'!$B$4,ISBLANK('Cocktail Finder'!$B$4))</f>
        <v>1</v>
      </c>
      <c r="R70" s="15" t="b">
        <f>OR(G70='Cocktail Finder'!$B$3,ISBLANK('Cocktail Finder'!$B$3))</f>
        <v>1</v>
      </c>
      <c r="S70" s="15" t="b">
        <f>OR(H70='Cocktail Finder'!$B$6,ISBLANK('Cocktail Finder'!$B$6))</f>
        <v>1</v>
      </c>
      <c r="T70" s="15" t="b">
        <f>OR(I70='Cocktail Finder'!$B$8,ISBLANK('Cocktail Finder'!$B$8))</f>
        <v>1</v>
      </c>
      <c r="U70" s="15" t="b">
        <f>OR(J70='Cocktail Finder'!$B$9,ISBLANK('Cocktail Finder'!$B$8))</f>
        <v>1</v>
      </c>
    </row>
    <row r="71" spans="1:21" ht="15.75" customHeight="1" x14ac:dyDescent="0.2">
      <c r="A71" s="19">
        <f t="shared" si="2"/>
        <v>70</v>
      </c>
      <c r="B71" s="19" t="s">
        <v>319</v>
      </c>
      <c r="C71" s="19" t="s">
        <v>317</v>
      </c>
      <c r="D71" s="19"/>
      <c r="E71" s="19"/>
      <c r="F71" s="19"/>
      <c r="G71" s="19" t="s">
        <v>173</v>
      </c>
      <c r="H71" s="19"/>
      <c r="I71" s="19"/>
      <c r="J71" s="19"/>
      <c r="K71" s="19"/>
      <c r="L71" s="15">
        <f t="shared" si="0"/>
        <v>1</v>
      </c>
      <c r="M71" s="15" t="str">
        <f t="shared" si="1"/>
        <v>Debonaire</v>
      </c>
      <c r="N71" s="15" t="b">
        <f>OR(C71='Cocktail Finder'!$B$2,ISBLANK('Cocktail Finder'!$B$2))</f>
        <v>1</v>
      </c>
      <c r="O71" s="15" t="b">
        <f>OR(D71='Cocktail Finder'!$B$7,ISBLANK('Cocktail Finder'!$B$7))</f>
        <v>1</v>
      </c>
      <c r="P71" s="15" t="b">
        <f>OR(E71='Cocktail Finder'!$B$5,ISBLANK('Cocktail Finder'!$B$5))</f>
        <v>1</v>
      </c>
      <c r="Q71" s="15" t="b">
        <f>OR(F71='Cocktail Finder'!$B$4,ISBLANK('Cocktail Finder'!$B$4))</f>
        <v>1</v>
      </c>
      <c r="R71" s="15" t="b">
        <f>OR(G71='Cocktail Finder'!$B$3,ISBLANK('Cocktail Finder'!$B$3))</f>
        <v>1</v>
      </c>
      <c r="S71" s="15" t="b">
        <f>OR(H71='Cocktail Finder'!$B$6,ISBLANK('Cocktail Finder'!$B$6))</f>
        <v>1</v>
      </c>
      <c r="T71" s="15" t="b">
        <f>OR(I71='Cocktail Finder'!$B$8,ISBLANK('Cocktail Finder'!$B$8))</f>
        <v>1</v>
      </c>
      <c r="U71" s="15" t="b">
        <f>OR(J71='Cocktail Finder'!$B$9,ISBLANK('Cocktail Finder'!$B$8))</f>
        <v>1</v>
      </c>
    </row>
    <row r="72" spans="1:21" ht="15.75" customHeight="1" x14ac:dyDescent="0.2">
      <c r="A72" s="19">
        <f t="shared" si="2"/>
        <v>71</v>
      </c>
      <c r="B72" s="19" t="s">
        <v>159</v>
      </c>
      <c r="C72" s="18" t="s">
        <v>148</v>
      </c>
      <c r="D72" s="19"/>
      <c r="E72" s="19" t="s">
        <v>86</v>
      </c>
      <c r="F72" s="19" t="s">
        <v>90</v>
      </c>
      <c r="G72" s="19"/>
      <c r="H72" s="19"/>
      <c r="I72" s="19"/>
      <c r="J72" s="19"/>
      <c r="K72" s="19"/>
      <c r="L72" s="15">
        <f t="shared" si="0"/>
        <v>1</v>
      </c>
      <c r="M72" s="15" t="str">
        <f t="shared" si="1"/>
        <v>Delicious Cocktail</v>
      </c>
      <c r="N72" s="15" t="b">
        <f>OR(C72='Cocktail Finder'!$B$2,ISBLANK('Cocktail Finder'!$B$2))</f>
        <v>1</v>
      </c>
      <c r="O72" s="15" t="b">
        <f>OR(D72='Cocktail Finder'!$B$7,ISBLANK('Cocktail Finder'!$B$7))</f>
        <v>1</v>
      </c>
      <c r="P72" s="15" t="b">
        <f>OR(E72='Cocktail Finder'!$B$5,ISBLANK('Cocktail Finder'!$B$5))</f>
        <v>1</v>
      </c>
      <c r="Q72" s="15" t="b">
        <f>OR(F72='Cocktail Finder'!$B$4,ISBLANK('Cocktail Finder'!$B$4))</f>
        <v>1</v>
      </c>
      <c r="R72" s="15" t="b">
        <f>OR(G72='Cocktail Finder'!$B$3,ISBLANK('Cocktail Finder'!$B$3))</f>
        <v>1</v>
      </c>
      <c r="S72" s="15" t="b">
        <f>OR(H72='Cocktail Finder'!$B$6,ISBLANK('Cocktail Finder'!$B$6))</f>
        <v>1</v>
      </c>
      <c r="T72" s="15" t="b">
        <f>OR(I72='Cocktail Finder'!$B$8,ISBLANK('Cocktail Finder'!$B$8))</f>
        <v>1</v>
      </c>
      <c r="U72" s="15" t="b">
        <f>OR(J72='Cocktail Finder'!$B$9,ISBLANK('Cocktail Finder'!$B$8))</f>
        <v>1</v>
      </c>
    </row>
    <row r="73" spans="1:21" ht="15.75" customHeight="1" x14ac:dyDescent="0.2">
      <c r="A73" s="19">
        <f t="shared" si="2"/>
        <v>72</v>
      </c>
      <c r="B73" s="19" t="s">
        <v>307</v>
      </c>
      <c r="C73" s="19" t="s">
        <v>300</v>
      </c>
      <c r="D73" s="19"/>
      <c r="E73" s="19"/>
      <c r="F73" s="19" t="s">
        <v>38</v>
      </c>
      <c r="G73" s="19" t="s">
        <v>308</v>
      </c>
      <c r="H73" s="19"/>
      <c r="I73" s="19"/>
      <c r="J73" s="19"/>
      <c r="K73" s="19"/>
      <c r="L73" s="15">
        <f t="shared" si="0"/>
        <v>1</v>
      </c>
      <c r="M73" s="15" t="str">
        <f t="shared" si="1"/>
        <v>Delmarva Cocktail</v>
      </c>
      <c r="N73" s="15" t="b">
        <f>OR(C73='Cocktail Finder'!$B$2,ISBLANK('Cocktail Finder'!$B$2))</f>
        <v>1</v>
      </c>
      <c r="O73" s="15" t="b">
        <f>OR(D73='Cocktail Finder'!$B$7,ISBLANK('Cocktail Finder'!$B$7))</f>
        <v>1</v>
      </c>
      <c r="P73" s="15" t="b">
        <f>OR(E73='Cocktail Finder'!$B$5,ISBLANK('Cocktail Finder'!$B$5))</f>
        <v>1</v>
      </c>
      <c r="Q73" s="15" t="b">
        <f>OR(F73='Cocktail Finder'!$B$4,ISBLANK('Cocktail Finder'!$B$4))</f>
        <v>1</v>
      </c>
      <c r="R73" s="15" t="b">
        <f>OR(G73='Cocktail Finder'!$B$3,ISBLANK('Cocktail Finder'!$B$3))</f>
        <v>1</v>
      </c>
      <c r="S73" s="15" t="b">
        <f>OR(H73='Cocktail Finder'!$B$6,ISBLANK('Cocktail Finder'!$B$6))</f>
        <v>1</v>
      </c>
      <c r="T73" s="15" t="b">
        <f>OR(I73='Cocktail Finder'!$B$8,ISBLANK('Cocktail Finder'!$B$8))</f>
        <v>1</v>
      </c>
      <c r="U73" s="15" t="b">
        <f>OR(J73='Cocktail Finder'!$B$9,ISBLANK('Cocktail Finder'!$B$8))</f>
        <v>1</v>
      </c>
    </row>
    <row r="74" spans="1:21" ht="15.75" customHeight="1" x14ac:dyDescent="0.2">
      <c r="A74" s="19">
        <f t="shared" si="2"/>
        <v>73</v>
      </c>
      <c r="B74" s="19" t="s">
        <v>306</v>
      </c>
      <c r="C74" s="19" t="s">
        <v>300</v>
      </c>
      <c r="D74" s="19"/>
      <c r="E74" s="19"/>
      <c r="F74" s="19" t="s">
        <v>38</v>
      </c>
      <c r="G74" s="19" t="s">
        <v>31</v>
      </c>
      <c r="H74" s="19"/>
      <c r="I74" s="19"/>
      <c r="J74" s="19"/>
      <c r="K74" s="19"/>
      <c r="L74" s="15">
        <f t="shared" si="0"/>
        <v>1</v>
      </c>
      <c r="M74" s="15" t="str">
        <f t="shared" si="1"/>
        <v>Delmarva No. 2</v>
      </c>
      <c r="N74" s="15" t="b">
        <f>OR(C74='Cocktail Finder'!$B$2,ISBLANK('Cocktail Finder'!$B$2))</f>
        <v>1</v>
      </c>
      <c r="O74" s="15" t="b">
        <f>OR(D74='Cocktail Finder'!$B$7,ISBLANK('Cocktail Finder'!$B$7))</f>
        <v>1</v>
      </c>
      <c r="P74" s="15" t="b">
        <f>OR(E74='Cocktail Finder'!$B$5,ISBLANK('Cocktail Finder'!$B$5))</f>
        <v>1</v>
      </c>
      <c r="Q74" s="15" t="b">
        <f>OR(F74='Cocktail Finder'!$B$4,ISBLANK('Cocktail Finder'!$B$4))</f>
        <v>1</v>
      </c>
      <c r="R74" s="15" t="b">
        <f>OR(G74='Cocktail Finder'!$B$3,ISBLANK('Cocktail Finder'!$B$3))</f>
        <v>1</v>
      </c>
      <c r="S74" s="15" t="b">
        <f>OR(H74='Cocktail Finder'!$B$6,ISBLANK('Cocktail Finder'!$B$6))</f>
        <v>1</v>
      </c>
      <c r="T74" s="15" t="b">
        <f>OR(I74='Cocktail Finder'!$B$8,ISBLANK('Cocktail Finder'!$B$8))</f>
        <v>1</v>
      </c>
      <c r="U74" s="15" t="b">
        <f>OR(J74='Cocktail Finder'!$B$9,ISBLANK('Cocktail Finder'!$B$8))</f>
        <v>1</v>
      </c>
    </row>
    <row r="75" spans="1:21" ht="15.75" customHeight="1" x14ac:dyDescent="0.2">
      <c r="A75" s="19">
        <f t="shared" si="2"/>
        <v>74</v>
      </c>
      <c r="B75" s="19" t="s">
        <v>305</v>
      </c>
      <c r="C75" s="19" t="s">
        <v>300</v>
      </c>
      <c r="D75" s="19"/>
      <c r="E75" s="19"/>
      <c r="F75" s="19" t="s">
        <v>38</v>
      </c>
      <c r="G75" s="19" t="s">
        <v>30</v>
      </c>
      <c r="H75" s="19"/>
      <c r="I75" s="19"/>
      <c r="J75" s="19"/>
      <c r="K75" s="19"/>
      <c r="L75" s="15">
        <f t="shared" si="0"/>
        <v>1</v>
      </c>
      <c r="M75" s="15" t="str">
        <f t="shared" si="1"/>
        <v>Delmarva No. 3</v>
      </c>
      <c r="N75" s="15" t="b">
        <f>OR(C75='Cocktail Finder'!$B$2,ISBLANK('Cocktail Finder'!$B$2))</f>
        <v>1</v>
      </c>
      <c r="O75" s="15" t="b">
        <f>OR(D75='Cocktail Finder'!$B$7,ISBLANK('Cocktail Finder'!$B$7))</f>
        <v>1</v>
      </c>
      <c r="P75" s="15" t="b">
        <f>OR(E75='Cocktail Finder'!$B$5,ISBLANK('Cocktail Finder'!$B$5))</f>
        <v>1</v>
      </c>
      <c r="Q75" s="15" t="b">
        <f>OR(F75='Cocktail Finder'!$B$4,ISBLANK('Cocktail Finder'!$B$4))</f>
        <v>1</v>
      </c>
      <c r="R75" s="15" t="b">
        <f>OR(G75='Cocktail Finder'!$B$3,ISBLANK('Cocktail Finder'!$B$3))</f>
        <v>1</v>
      </c>
      <c r="S75" s="15" t="b">
        <f>OR(H75='Cocktail Finder'!$B$6,ISBLANK('Cocktail Finder'!$B$6))</f>
        <v>1</v>
      </c>
      <c r="T75" s="15" t="b">
        <f>OR(I75='Cocktail Finder'!$B$8,ISBLANK('Cocktail Finder'!$B$8))</f>
        <v>1</v>
      </c>
      <c r="U75" s="15" t="b">
        <f>OR(J75='Cocktail Finder'!$B$9,ISBLANK('Cocktail Finder'!$B$8))</f>
        <v>1</v>
      </c>
    </row>
    <row r="76" spans="1:21" ht="15.75" customHeight="1" x14ac:dyDescent="0.2">
      <c r="A76" s="19">
        <f t="shared" si="2"/>
        <v>75</v>
      </c>
      <c r="B76" s="20" t="s">
        <v>225</v>
      </c>
      <c r="C76" s="20" t="s">
        <v>219</v>
      </c>
      <c r="D76" s="20"/>
      <c r="E76" s="20" t="s">
        <v>226</v>
      </c>
      <c r="F76" s="20"/>
      <c r="G76" s="20" t="s">
        <v>52</v>
      </c>
      <c r="H76" s="20"/>
      <c r="I76" s="19"/>
      <c r="J76" s="20"/>
      <c r="K76" s="20"/>
      <c r="L76" s="15">
        <f t="shared" si="0"/>
        <v>1</v>
      </c>
      <c r="M76" s="15" t="str">
        <f t="shared" si="1"/>
        <v>Dirty Martini</v>
      </c>
      <c r="N76" s="15" t="b">
        <f>OR(C76='Cocktail Finder'!$B$2,ISBLANK('Cocktail Finder'!$B$2))</f>
        <v>1</v>
      </c>
      <c r="O76" s="15" t="b">
        <f>OR(D76='Cocktail Finder'!$B$7,ISBLANK('Cocktail Finder'!$B$7))</f>
        <v>1</v>
      </c>
      <c r="P76" s="15" t="b">
        <f>OR(E76='Cocktail Finder'!$B$5,ISBLANK('Cocktail Finder'!$B$5))</f>
        <v>1</v>
      </c>
      <c r="Q76" s="15" t="b">
        <f>OR(F76='Cocktail Finder'!$B$4,ISBLANK('Cocktail Finder'!$B$4))</f>
        <v>1</v>
      </c>
      <c r="R76" s="15" t="b">
        <f>OR(G76='Cocktail Finder'!$B$3,ISBLANK('Cocktail Finder'!$B$3))</f>
        <v>1</v>
      </c>
      <c r="S76" s="15" t="b">
        <f>OR(H76='Cocktail Finder'!$B$6,ISBLANK('Cocktail Finder'!$B$6))</f>
        <v>1</v>
      </c>
      <c r="T76" s="15" t="b">
        <f>OR(I76='Cocktail Finder'!$B$8,ISBLANK('Cocktail Finder'!$B$8))</f>
        <v>1</v>
      </c>
      <c r="U76" s="15" t="b">
        <f>OR(J76='Cocktail Finder'!$B$9,ISBLANK('Cocktail Finder'!$B$8))</f>
        <v>1</v>
      </c>
    </row>
    <row r="77" spans="1:21" ht="15.75" customHeight="1" x14ac:dyDescent="0.2">
      <c r="A77" s="19">
        <f t="shared" si="2"/>
        <v>76</v>
      </c>
      <c r="B77" s="19" t="s">
        <v>349</v>
      </c>
      <c r="C77" s="19" t="s">
        <v>343</v>
      </c>
      <c r="D77" s="19"/>
      <c r="E77" s="19"/>
      <c r="F77" s="19" t="s">
        <v>90</v>
      </c>
      <c r="G77" s="19" t="s">
        <v>30</v>
      </c>
      <c r="H77" s="19"/>
      <c r="I77" s="19"/>
      <c r="J77" s="19"/>
      <c r="K77" s="19"/>
      <c r="L77" s="15">
        <f t="shared" si="0"/>
        <v>1</v>
      </c>
      <c r="M77" s="15" t="str">
        <f t="shared" si="1"/>
        <v>Disaronno Margarita</v>
      </c>
      <c r="N77" s="15" t="b">
        <f>OR(C77='Cocktail Finder'!$B$2,ISBLANK('Cocktail Finder'!$B$2))</f>
        <v>1</v>
      </c>
      <c r="O77" s="15" t="b">
        <f>OR(D77='Cocktail Finder'!$B$7,ISBLANK('Cocktail Finder'!$B$7))</f>
        <v>1</v>
      </c>
      <c r="P77" s="15" t="b">
        <f>OR(E77='Cocktail Finder'!$B$5,ISBLANK('Cocktail Finder'!$B$5))</f>
        <v>1</v>
      </c>
      <c r="Q77" s="15" t="b">
        <f>OR(F77='Cocktail Finder'!$B$4,ISBLANK('Cocktail Finder'!$B$4))</f>
        <v>1</v>
      </c>
      <c r="R77" s="15" t="b">
        <f>OR(G77='Cocktail Finder'!$B$3,ISBLANK('Cocktail Finder'!$B$3))</f>
        <v>1</v>
      </c>
      <c r="S77" s="15" t="b">
        <f>OR(H77='Cocktail Finder'!$B$6,ISBLANK('Cocktail Finder'!$B$6))</f>
        <v>1</v>
      </c>
      <c r="T77" s="15" t="b">
        <f>OR(I77='Cocktail Finder'!$B$8,ISBLANK('Cocktail Finder'!$B$8))</f>
        <v>1</v>
      </c>
      <c r="U77" s="15" t="b">
        <f>OR(J77='Cocktail Finder'!$B$9,ISBLANK('Cocktail Finder'!$B$8))</f>
        <v>1</v>
      </c>
    </row>
    <row r="78" spans="1:21" ht="15.75" customHeight="1" x14ac:dyDescent="0.2">
      <c r="A78" s="19">
        <f t="shared" si="2"/>
        <v>77</v>
      </c>
      <c r="B78" s="20" t="s">
        <v>222</v>
      </c>
      <c r="C78" s="20" t="s">
        <v>219</v>
      </c>
      <c r="D78" s="20"/>
      <c r="E78" s="20"/>
      <c r="F78" s="20"/>
      <c r="G78" s="20" t="s">
        <v>52</v>
      </c>
      <c r="H78" s="20"/>
      <c r="I78" s="19"/>
      <c r="J78" s="20"/>
      <c r="K78" s="20"/>
      <c r="L78" s="15">
        <f t="shared" si="0"/>
        <v>1</v>
      </c>
      <c r="M78" s="15" t="str">
        <f t="shared" si="1"/>
        <v>Dry Martini</v>
      </c>
      <c r="N78" s="15" t="b">
        <f>OR(C78='Cocktail Finder'!$B$2,ISBLANK('Cocktail Finder'!$B$2))</f>
        <v>1</v>
      </c>
      <c r="O78" s="15" t="b">
        <f>OR(D78='Cocktail Finder'!$B$7,ISBLANK('Cocktail Finder'!$B$7))</f>
        <v>1</v>
      </c>
      <c r="P78" s="15" t="b">
        <f>OR(E78='Cocktail Finder'!$B$5,ISBLANK('Cocktail Finder'!$B$5))</f>
        <v>1</v>
      </c>
      <c r="Q78" s="15" t="b">
        <f>OR(F78='Cocktail Finder'!$B$4,ISBLANK('Cocktail Finder'!$B$4))</f>
        <v>1</v>
      </c>
      <c r="R78" s="15" t="b">
        <f>OR(G78='Cocktail Finder'!$B$3,ISBLANK('Cocktail Finder'!$B$3))</f>
        <v>1</v>
      </c>
      <c r="S78" s="15" t="b">
        <f>OR(H78='Cocktail Finder'!$B$6,ISBLANK('Cocktail Finder'!$B$6))</f>
        <v>1</v>
      </c>
      <c r="T78" s="15" t="b">
        <f>OR(I78='Cocktail Finder'!$B$8,ISBLANK('Cocktail Finder'!$B$8))</f>
        <v>1</v>
      </c>
      <c r="U78" s="15" t="b">
        <f>OR(J78='Cocktail Finder'!$B$9,ISBLANK('Cocktail Finder'!$B$8))</f>
        <v>1</v>
      </c>
    </row>
    <row r="79" spans="1:21" ht="15.75" customHeight="1" x14ac:dyDescent="0.2">
      <c r="A79" s="19">
        <f t="shared" si="2"/>
        <v>78</v>
      </c>
      <c r="B79" s="19" t="s">
        <v>231</v>
      </c>
      <c r="C79" s="19" t="s">
        <v>229</v>
      </c>
      <c r="D79" s="19"/>
      <c r="E79" s="19" t="s">
        <v>74</v>
      </c>
      <c r="F79" s="19"/>
      <c r="G79" s="19" t="s">
        <v>48</v>
      </c>
      <c r="H79" s="19"/>
      <c r="I79" s="19"/>
      <c r="J79" s="19"/>
      <c r="K79" s="19"/>
      <c r="L79" s="15">
        <f t="shared" si="0"/>
        <v>1</v>
      </c>
      <c r="M79" s="15" t="str">
        <f t="shared" si="1"/>
        <v>Dubliner</v>
      </c>
      <c r="N79" s="15" t="b">
        <f>OR(C79='Cocktail Finder'!$B$2,ISBLANK('Cocktail Finder'!$B$2))</f>
        <v>1</v>
      </c>
      <c r="O79" s="15" t="b">
        <f>OR(D79='Cocktail Finder'!$B$7,ISBLANK('Cocktail Finder'!$B$7))</f>
        <v>1</v>
      </c>
      <c r="P79" s="15" t="b">
        <f>OR(E79='Cocktail Finder'!$B$5,ISBLANK('Cocktail Finder'!$B$5))</f>
        <v>1</v>
      </c>
      <c r="Q79" s="15" t="b">
        <f>OR(F79='Cocktail Finder'!$B$4,ISBLANK('Cocktail Finder'!$B$4))</f>
        <v>1</v>
      </c>
      <c r="R79" s="15" t="b">
        <f>OR(G79='Cocktail Finder'!$B$3,ISBLANK('Cocktail Finder'!$B$3))</f>
        <v>1</v>
      </c>
      <c r="S79" s="15" t="b">
        <f>OR(H79='Cocktail Finder'!$B$6,ISBLANK('Cocktail Finder'!$B$6))</f>
        <v>1</v>
      </c>
      <c r="T79" s="15" t="b">
        <f>OR(I79='Cocktail Finder'!$B$8,ISBLANK('Cocktail Finder'!$B$8))</f>
        <v>1</v>
      </c>
      <c r="U79" s="15" t="b">
        <f>OR(J79='Cocktail Finder'!$B$9,ISBLANK('Cocktail Finder'!$B$8))</f>
        <v>1</v>
      </c>
    </row>
    <row r="80" spans="1:21" ht="15.75" customHeight="1" x14ac:dyDescent="0.2">
      <c r="A80" s="19">
        <f t="shared" si="2"/>
        <v>79</v>
      </c>
      <c r="B80" s="19" t="s">
        <v>149</v>
      </c>
      <c r="C80" s="18" t="s">
        <v>148</v>
      </c>
      <c r="D80" s="19"/>
      <c r="E80" s="19"/>
      <c r="F80" s="19"/>
      <c r="G80" s="19" t="s">
        <v>53</v>
      </c>
      <c r="H80" s="19"/>
      <c r="I80" s="19"/>
      <c r="J80" s="19"/>
      <c r="K80" s="19"/>
      <c r="L80" s="15">
        <f t="shared" si="0"/>
        <v>1</v>
      </c>
      <c r="M80" s="15" t="str">
        <f t="shared" si="1"/>
        <v>Dubonnet Cocktail</v>
      </c>
      <c r="N80" s="15" t="b">
        <f>OR(C80='Cocktail Finder'!$B$2,ISBLANK('Cocktail Finder'!$B$2))</f>
        <v>1</v>
      </c>
      <c r="O80" s="15" t="b">
        <f>OR(D80='Cocktail Finder'!$B$7,ISBLANK('Cocktail Finder'!$B$7))</f>
        <v>1</v>
      </c>
      <c r="P80" s="15" t="b">
        <f>OR(E80='Cocktail Finder'!$B$5,ISBLANK('Cocktail Finder'!$B$5))</f>
        <v>1</v>
      </c>
      <c r="Q80" s="15" t="b">
        <f>OR(F80='Cocktail Finder'!$B$4,ISBLANK('Cocktail Finder'!$B$4))</f>
        <v>1</v>
      </c>
      <c r="R80" s="15" t="b">
        <f>OR(G80='Cocktail Finder'!$B$3,ISBLANK('Cocktail Finder'!$B$3))</f>
        <v>1</v>
      </c>
      <c r="S80" s="15" t="b">
        <f>OR(H80='Cocktail Finder'!$B$6,ISBLANK('Cocktail Finder'!$B$6))</f>
        <v>1</v>
      </c>
      <c r="T80" s="15" t="b">
        <f>OR(I80='Cocktail Finder'!$B$8,ISBLANK('Cocktail Finder'!$B$8))</f>
        <v>1</v>
      </c>
      <c r="U80" s="15" t="b">
        <f>OR(J80='Cocktail Finder'!$B$9,ISBLANK('Cocktail Finder'!$B$8))</f>
        <v>1</v>
      </c>
    </row>
    <row r="81" spans="1:21" ht="15.75" customHeight="1" x14ac:dyDescent="0.2">
      <c r="A81" s="19">
        <f t="shared" si="2"/>
        <v>80</v>
      </c>
      <c r="B81" s="19" t="s">
        <v>355</v>
      </c>
      <c r="C81" s="19" t="s">
        <v>354</v>
      </c>
      <c r="D81" s="19"/>
      <c r="E81" s="19"/>
      <c r="F81" s="19" t="s">
        <v>38</v>
      </c>
      <c r="G81" s="19" t="s">
        <v>57</v>
      </c>
      <c r="H81" s="19"/>
      <c r="I81" s="19"/>
      <c r="J81" s="19"/>
      <c r="K81" s="19"/>
      <c r="L81" s="15">
        <f t="shared" si="0"/>
        <v>1</v>
      </c>
      <c r="M81" s="15" t="str">
        <f t="shared" si="1"/>
        <v>Dutch Squirrel</v>
      </c>
      <c r="N81" s="15" t="b">
        <f>OR(C81='Cocktail Finder'!$B$2,ISBLANK('Cocktail Finder'!$B$2))</f>
        <v>1</v>
      </c>
      <c r="O81" s="15" t="b">
        <f>OR(D81='Cocktail Finder'!$B$7,ISBLANK('Cocktail Finder'!$B$7))</f>
        <v>1</v>
      </c>
      <c r="P81" s="15" t="b">
        <f>OR(E81='Cocktail Finder'!$B$5,ISBLANK('Cocktail Finder'!$B$5))</f>
        <v>1</v>
      </c>
      <c r="Q81" s="15" t="b">
        <f>OR(F81='Cocktail Finder'!$B$4,ISBLANK('Cocktail Finder'!$B$4))</f>
        <v>1</v>
      </c>
      <c r="R81" s="15" t="b">
        <f>OR(G81='Cocktail Finder'!$B$3,ISBLANK('Cocktail Finder'!$B$3))</f>
        <v>1</v>
      </c>
      <c r="S81" s="15" t="b">
        <f>OR(H81='Cocktail Finder'!$B$6,ISBLANK('Cocktail Finder'!$B$6))</f>
        <v>1</v>
      </c>
      <c r="T81" s="15" t="b">
        <f>OR(I81='Cocktail Finder'!$B$8,ISBLANK('Cocktail Finder'!$B$8))</f>
        <v>1</v>
      </c>
      <c r="U81" s="15" t="b">
        <f>OR(J81='Cocktail Finder'!$B$9,ISBLANK('Cocktail Finder'!$B$8))</f>
        <v>1</v>
      </c>
    </row>
    <row r="82" spans="1:21" ht="15.75" customHeight="1" x14ac:dyDescent="0.2">
      <c r="A82" s="19">
        <f t="shared" si="2"/>
        <v>81</v>
      </c>
      <c r="B82" s="19" t="s">
        <v>122</v>
      </c>
      <c r="C82" s="19" t="s">
        <v>49</v>
      </c>
      <c r="D82" s="19"/>
      <c r="E82" s="19" t="s">
        <v>66</v>
      </c>
      <c r="F82" s="19" t="s">
        <v>38</v>
      </c>
      <c r="G82" s="19" t="s">
        <v>100</v>
      </c>
      <c r="H82" s="19"/>
      <c r="I82" s="19"/>
      <c r="J82" s="19"/>
      <c r="K82" s="19"/>
      <c r="L82" s="15">
        <f t="shared" si="0"/>
        <v>1</v>
      </c>
      <c r="M82" s="15" t="str">
        <f t="shared" si="1"/>
        <v>East India Cocktail</v>
      </c>
      <c r="N82" s="15" t="b">
        <f>OR(C82='Cocktail Finder'!$B$2,ISBLANK('Cocktail Finder'!$B$2))</f>
        <v>1</v>
      </c>
      <c r="O82" s="15" t="b">
        <f>OR(D82='Cocktail Finder'!$B$7,ISBLANK('Cocktail Finder'!$B$7))</f>
        <v>1</v>
      </c>
      <c r="P82" s="15" t="b">
        <f>OR(E82='Cocktail Finder'!$B$5,ISBLANK('Cocktail Finder'!$B$5))</f>
        <v>1</v>
      </c>
      <c r="Q82" s="15" t="b">
        <f>OR(F82='Cocktail Finder'!$B$4,ISBLANK('Cocktail Finder'!$B$4))</f>
        <v>1</v>
      </c>
      <c r="R82" s="15" t="b">
        <f>OR(G82='Cocktail Finder'!$B$3,ISBLANK('Cocktail Finder'!$B$3))</f>
        <v>1</v>
      </c>
      <c r="S82" s="15" t="b">
        <f>OR(H82='Cocktail Finder'!$B$6,ISBLANK('Cocktail Finder'!$B$6))</f>
        <v>1</v>
      </c>
      <c r="T82" s="15" t="b">
        <f>OR(I82='Cocktail Finder'!$B$8,ISBLANK('Cocktail Finder'!$B$8))</f>
        <v>1</v>
      </c>
      <c r="U82" s="15" t="b">
        <f>OR(J82='Cocktail Finder'!$B$9,ISBLANK('Cocktail Finder'!$B$8))</f>
        <v>1</v>
      </c>
    </row>
    <row r="83" spans="1:21" ht="15.75" customHeight="1" x14ac:dyDescent="0.2">
      <c r="A83" s="19">
        <f t="shared" si="2"/>
        <v>82</v>
      </c>
      <c r="B83" s="19" t="s">
        <v>285</v>
      </c>
      <c r="C83" s="19" t="s">
        <v>265</v>
      </c>
      <c r="D83" s="19"/>
      <c r="E83" s="19" t="s">
        <v>86</v>
      </c>
      <c r="F83" s="19" t="s">
        <v>90</v>
      </c>
      <c r="G83" s="19" t="s">
        <v>120</v>
      </c>
      <c r="H83" s="19"/>
      <c r="I83" s="19"/>
      <c r="J83" s="19"/>
      <c r="K83" s="19"/>
      <c r="L83" s="15">
        <f t="shared" si="0"/>
        <v>1</v>
      </c>
      <c r="M83" s="15" t="str">
        <f t="shared" si="1"/>
        <v>El Floridita No. 1</v>
      </c>
      <c r="N83" s="15" t="b">
        <f>OR(C83='Cocktail Finder'!$B$2,ISBLANK('Cocktail Finder'!$B$2))</f>
        <v>1</v>
      </c>
      <c r="O83" s="15" t="b">
        <f>OR(D83='Cocktail Finder'!$B$7,ISBLANK('Cocktail Finder'!$B$7))</f>
        <v>1</v>
      </c>
      <c r="P83" s="15" t="b">
        <f>OR(E83='Cocktail Finder'!$B$5,ISBLANK('Cocktail Finder'!$B$5))</f>
        <v>1</v>
      </c>
      <c r="Q83" s="15" t="b">
        <f>OR(F83='Cocktail Finder'!$B$4,ISBLANK('Cocktail Finder'!$B$4))</f>
        <v>1</v>
      </c>
      <c r="R83" s="15" t="b">
        <f>OR(G83='Cocktail Finder'!$B$3,ISBLANK('Cocktail Finder'!$B$3))</f>
        <v>1</v>
      </c>
      <c r="S83" s="15" t="b">
        <f>OR(H83='Cocktail Finder'!$B$6,ISBLANK('Cocktail Finder'!$B$6))</f>
        <v>1</v>
      </c>
      <c r="T83" s="15" t="b">
        <f>OR(I83='Cocktail Finder'!$B$8,ISBLANK('Cocktail Finder'!$B$8))</f>
        <v>1</v>
      </c>
      <c r="U83" s="15" t="b">
        <f>OR(J83='Cocktail Finder'!$B$9,ISBLANK('Cocktail Finder'!$B$8))</f>
        <v>1</v>
      </c>
    </row>
    <row r="84" spans="1:21" ht="15.75" customHeight="1" x14ac:dyDescent="0.2">
      <c r="A84" s="19">
        <f t="shared" si="2"/>
        <v>83</v>
      </c>
      <c r="B84" s="19" t="s">
        <v>284</v>
      </c>
      <c r="C84" s="19" t="s">
        <v>265</v>
      </c>
      <c r="D84" s="19"/>
      <c r="E84" s="19" t="s">
        <v>55</v>
      </c>
      <c r="F84" s="19" t="s">
        <v>90</v>
      </c>
      <c r="G84" s="19" t="s">
        <v>31</v>
      </c>
      <c r="H84" s="19"/>
      <c r="I84" s="19"/>
      <c r="J84" s="19"/>
      <c r="K84" s="19"/>
      <c r="L84" s="15">
        <f t="shared" si="0"/>
        <v>1</v>
      </c>
      <c r="M84" s="15" t="str">
        <f t="shared" si="1"/>
        <v>El Floridita No. 2</v>
      </c>
      <c r="N84" s="15" t="b">
        <f>OR(C84='Cocktail Finder'!$B$2,ISBLANK('Cocktail Finder'!$B$2))</f>
        <v>1</v>
      </c>
      <c r="O84" s="15" t="b">
        <f>OR(D84='Cocktail Finder'!$B$7,ISBLANK('Cocktail Finder'!$B$7))</f>
        <v>1</v>
      </c>
      <c r="P84" s="15" t="b">
        <f>OR(E84='Cocktail Finder'!$B$5,ISBLANK('Cocktail Finder'!$B$5))</f>
        <v>1</v>
      </c>
      <c r="Q84" s="15" t="b">
        <f>OR(F84='Cocktail Finder'!$B$4,ISBLANK('Cocktail Finder'!$B$4))</f>
        <v>1</v>
      </c>
      <c r="R84" s="15" t="b">
        <f>OR(G84='Cocktail Finder'!$B$3,ISBLANK('Cocktail Finder'!$B$3))</f>
        <v>1</v>
      </c>
      <c r="S84" s="15" t="b">
        <f>OR(H84='Cocktail Finder'!$B$6,ISBLANK('Cocktail Finder'!$B$6))</f>
        <v>1</v>
      </c>
      <c r="T84" s="15" t="b">
        <f>OR(I84='Cocktail Finder'!$B$8,ISBLANK('Cocktail Finder'!$B$8))</f>
        <v>1</v>
      </c>
      <c r="U84" s="15" t="b">
        <f>OR(J84='Cocktail Finder'!$B$9,ISBLANK('Cocktail Finder'!$B$8))</f>
        <v>1</v>
      </c>
    </row>
    <row r="85" spans="1:21" ht="15.75" customHeight="1" x14ac:dyDescent="0.2">
      <c r="A85" s="19">
        <f t="shared" si="2"/>
        <v>84</v>
      </c>
      <c r="B85" s="19" t="s">
        <v>276</v>
      </c>
      <c r="C85" s="19" t="s">
        <v>265</v>
      </c>
      <c r="D85" s="19"/>
      <c r="E85" s="23" t="s">
        <v>55</v>
      </c>
      <c r="F85" s="19" t="s">
        <v>90</v>
      </c>
      <c r="G85" s="23"/>
      <c r="H85" s="19"/>
      <c r="I85" s="19"/>
      <c r="J85" s="19"/>
      <c r="K85" s="19"/>
      <c r="L85" s="15">
        <f t="shared" si="0"/>
        <v>1</v>
      </c>
      <c r="M85" s="15" t="str">
        <f t="shared" si="1"/>
        <v>El Presidente</v>
      </c>
      <c r="N85" s="15" t="b">
        <f>OR(C85='Cocktail Finder'!$B$2,ISBLANK('Cocktail Finder'!$B$2))</f>
        <v>1</v>
      </c>
      <c r="O85" s="15" t="b">
        <f>OR(D85='Cocktail Finder'!$B$7,ISBLANK('Cocktail Finder'!$B$7))</f>
        <v>1</v>
      </c>
      <c r="P85" s="15" t="b">
        <f>OR(E85='Cocktail Finder'!$B$5,ISBLANK('Cocktail Finder'!$B$5))</f>
        <v>1</v>
      </c>
      <c r="Q85" s="15" t="b">
        <f>OR(F85='Cocktail Finder'!$B$4,ISBLANK('Cocktail Finder'!$B$4))</f>
        <v>1</v>
      </c>
      <c r="R85" s="15" t="b">
        <f>OR(G85='Cocktail Finder'!$B$3,ISBLANK('Cocktail Finder'!$B$3))</f>
        <v>1</v>
      </c>
      <c r="S85" s="15" t="b">
        <f>OR(H85='Cocktail Finder'!$B$6,ISBLANK('Cocktail Finder'!$B$6))</f>
        <v>1</v>
      </c>
      <c r="T85" s="15" t="b">
        <f>OR(I85='Cocktail Finder'!$B$8,ISBLANK('Cocktail Finder'!$B$8))</f>
        <v>1</v>
      </c>
      <c r="U85" s="15" t="b">
        <f>OR(J85='Cocktail Finder'!$B$9,ISBLANK('Cocktail Finder'!$B$8))</f>
        <v>1</v>
      </c>
    </row>
    <row r="86" spans="1:21" ht="15.75" customHeight="1" x14ac:dyDescent="0.2">
      <c r="A86" s="19">
        <f t="shared" si="2"/>
        <v>85</v>
      </c>
      <c r="B86" s="19" t="s">
        <v>165</v>
      </c>
      <c r="C86" s="18" t="s">
        <v>148</v>
      </c>
      <c r="D86" s="19"/>
      <c r="E86" s="19" t="s">
        <v>55</v>
      </c>
      <c r="F86" s="19" t="s">
        <v>38</v>
      </c>
      <c r="G86" s="19" t="s">
        <v>60</v>
      </c>
      <c r="H86" s="19"/>
      <c r="I86" s="19"/>
      <c r="J86" s="19"/>
      <c r="K86" s="19"/>
      <c r="L86" s="15">
        <f t="shared" si="0"/>
        <v>1</v>
      </c>
      <c r="M86" s="15" t="str">
        <f t="shared" si="1"/>
        <v>English Rose</v>
      </c>
      <c r="N86" s="15" t="b">
        <f>OR(C86='Cocktail Finder'!$B$2,ISBLANK('Cocktail Finder'!$B$2))</f>
        <v>1</v>
      </c>
      <c r="O86" s="15" t="b">
        <f>OR(D86='Cocktail Finder'!$B$7,ISBLANK('Cocktail Finder'!$B$7))</f>
        <v>1</v>
      </c>
      <c r="P86" s="15" t="b">
        <f>OR(E86='Cocktail Finder'!$B$5,ISBLANK('Cocktail Finder'!$B$5))</f>
        <v>1</v>
      </c>
      <c r="Q86" s="15" t="b">
        <f>OR(F86='Cocktail Finder'!$B$4,ISBLANK('Cocktail Finder'!$B$4))</f>
        <v>1</v>
      </c>
      <c r="R86" s="15" t="b">
        <f>OR(G86='Cocktail Finder'!$B$3,ISBLANK('Cocktail Finder'!$B$3))</f>
        <v>1</v>
      </c>
      <c r="S86" s="15" t="b">
        <f>OR(H86='Cocktail Finder'!$B$6,ISBLANK('Cocktail Finder'!$B$6))</f>
        <v>1</v>
      </c>
      <c r="T86" s="15" t="b">
        <f>OR(I86='Cocktail Finder'!$B$8,ISBLANK('Cocktail Finder'!$B$8))</f>
        <v>1</v>
      </c>
      <c r="U86" s="15" t="b">
        <f>OR(J86='Cocktail Finder'!$B$9,ISBLANK('Cocktail Finder'!$B$8))</f>
        <v>1</v>
      </c>
    </row>
    <row r="87" spans="1:21" ht="15.75" customHeight="1" x14ac:dyDescent="0.2">
      <c r="A87" s="19">
        <f t="shared" si="2"/>
        <v>86</v>
      </c>
      <c r="B87" s="19" t="s">
        <v>338</v>
      </c>
      <c r="C87" s="19" t="s">
        <v>339</v>
      </c>
      <c r="D87" s="19"/>
      <c r="E87" s="19"/>
      <c r="F87" s="19" t="s">
        <v>90</v>
      </c>
      <c r="G87" s="19" t="s">
        <v>340</v>
      </c>
      <c r="H87" s="19" t="s">
        <v>126</v>
      </c>
      <c r="I87" s="19"/>
      <c r="J87" s="19"/>
      <c r="K87" s="19"/>
      <c r="L87" s="15">
        <f t="shared" si="0"/>
        <v>1</v>
      </c>
      <c r="M87" s="15" t="str">
        <f t="shared" si="1"/>
        <v>Fernandito</v>
      </c>
      <c r="N87" s="15" t="b">
        <f>OR(C87='Cocktail Finder'!$B$2,ISBLANK('Cocktail Finder'!$B$2))</f>
        <v>1</v>
      </c>
      <c r="O87" s="15" t="b">
        <f>OR(D87='Cocktail Finder'!$B$7,ISBLANK('Cocktail Finder'!$B$7))</f>
        <v>1</v>
      </c>
      <c r="P87" s="15" t="b">
        <f>OR(E87='Cocktail Finder'!$B$5,ISBLANK('Cocktail Finder'!$B$5))</f>
        <v>1</v>
      </c>
      <c r="Q87" s="15" t="b">
        <f>OR(F87='Cocktail Finder'!$B$4,ISBLANK('Cocktail Finder'!$B$4))</f>
        <v>1</v>
      </c>
      <c r="R87" s="15" t="b">
        <f>OR(G87='Cocktail Finder'!$B$3,ISBLANK('Cocktail Finder'!$B$3))</f>
        <v>1</v>
      </c>
      <c r="S87" s="15" t="b">
        <f>OR(H87='Cocktail Finder'!$B$6,ISBLANK('Cocktail Finder'!$B$6))</f>
        <v>1</v>
      </c>
      <c r="T87" s="15" t="b">
        <f>OR(I87='Cocktail Finder'!$B$8,ISBLANK('Cocktail Finder'!$B$8))</f>
        <v>1</v>
      </c>
      <c r="U87" s="15" t="b">
        <f>OR(J87='Cocktail Finder'!$B$9,ISBLANK('Cocktail Finder'!$B$8))</f>
        <v>1</v>
      </c>
    </row>
    <row r="88" spans="1:21" ht="15.75" customHeight="1" x14ac:dyDescent="0.2">
      <c r="A88" s="19">
        <f t="shared" si="2"/>
        <v>87</v>
      </c>
      <c r="B88" s="19" t="s">
        <v>293</v>
      </c>
      <c r="C88" s="19" t="s">
        <v>294</v>
      </c>
      <c r="D88" s="19"/>
      <c r="E88" s="19" t="s">
        <v>86</v>
      </c>
      <c r="F88" s="19" t="s">
        <v>90</v>
      </c>
      <c r="G88" s="19" t="s">
        <v>296</v>
      </c>
      <c r="H88" s="19" t="s">
        <v>38</v>
      </c>
      <c r="I88" s="19"/>
      <c r="J88" s="19"/>
      <c r="K88" s="19"/>
      <c r="L88" s="15">
        <f t="shared" si="0"/>
        <v>1</v>
      </c>
      <c r="M88" s="15" t="str">
        <f t="shared" si="1"/>
        <v>Fish House Cocktail</v>
      </c>
      <c r="N88" s="15" t="b">
        <f>OR(C88='Cocktail Finder'!$B$2,ISBLANK('Cocktail Finder'!$B$2))</f>
        <v>1</v>
      </c>
      <c r="O88" s="15" t="b">
        <f>OR(D88='Cocktail Finder'!$B$7,ISBLANK('Cocktail Finder'!$B$7))</f>
        <v>1</v>
      </c>
      <c r="P88" s="15" t="b">
        <f>OR(E88='Cocktail Finder'!$B$5,ISBLANK('Cocktail Finder'!$B$5))</f>
        <v>1</v>
      </c>
      <c r="Q88" s="15" t="b">
        <f>OR(F88='Cocktail Finder'!$B$4,ISBLANK('Cocktail Finder'!$B$4))</f>
        <v>1</v>
      </c>
      <c r="R88" s="15" t="b">
        <f>OR(G88='Cocktail Finder'!$B$3,ISBLANK('Cocktail Finder'!$B$3))</f>
        <v>1</v>
      </c>
      <c r="S88" s="15" t="b">
        <f>OR(H88='Cocktail Finder'!$B$6,ISBLANK('Cocktail Finder'!$B$6))</f>
        <v>1</v>
      </c>
      <c r="T88" s="15" t="b">
        <f>OR(I88='Cocktail Finder'!$B$8,ISBLANK('Cocktail Finder'!$B$8))</f>
        <v>1</v>
      </c>
      <c r="U88" s="15" t="b">
        <f>OR(J88='Cocktail Finder'!$B$9,ISBLANK('Cocktail Finder'!$B$8))</f>
        <v>1</v>
      </c>
    </row>
    <row r="89" spans="1:21" ht="15.75" customHeight="1" x14ac:dyDescent="0.2">
      <c r="A89" s="19">
        <f t="shared" si="2"/>
        <v>88</v>
      </c>
      <c r="B89" s="19" t="s">
        <v>262</v>
      </c>
      <c r="C89" s="19" t="s">
        <v>261</v>
      </c>
      <c r="D89" s="19"/>
      <c r="E89" s="19" t="s">
        <v>263</v>
      </c>
      <c r="F89" s="19" t="s">
        <v>90</v>
      </c>
      <c r="G89" s="19" t="s">
        <v>100</v>
      </c>
      <c r="H89" s="19"/>
      <c r="I89" s="19"/>
      <c r="J89" s="19"/>
      <c r="K89" s="19"/>
      <c r="L89" s="15">
        <f t="shared" si="0"/>
        <v>1</v>
      </c>
      <c r="M89" s="15" t="str">
        <f t="shared" si="1"/>
        <v>Footloose Cocktail</v>
      </c>
      <c r="N89" s="15" t="b">
        <f>OR(C89='Cocktail Finder'!$B$2,ISBLANK('Cocktail Finder'!$B$2))</f>
        <v>1</v>
      </c>
      <c r="O89" s="15" t="b">
        <f>OR(D89='Cocktail Finder'!$B$7,ISBLANK('Cocktail Finder'!$B$7))</f>
        <v>1</v>
      </c>
      <c r="P89" s="15" t="b">
        <f>OR(E89='Cocktail Finder'!$B$5,ISBLANK('Cocktail Finder'!$B$5))</f>
        <v>1</v>
      </c>
      <c r="Q89" s="15" t="b">
        <f>OR(F89='Cocktail Finder'!$B$4,ISBLANK('Cocktail Finder'!$B$4))</f>
        <v>1</v>
      </c>
      <c r="R89" s="15" t="b">
        <f>OR(G89='Cocktail Finder'!$B$3,ISBLANK('Cocktail Finder'!$B$3))</f>
        <v>1</v>
      </c>
      <c r="S89" s="15" t="b">
        <f>OR(H89='Cocktail Finder'!$B$6,ISBLANK('Cocktail Finder'!$B$6))</f>
        <v>1</v>
      </c>
      <c r="T89" s="15" t="b">
        <f>OR(I89='Cocktail Finder'!$B$8,ISBLANK('Cocktail Finder'!$B$8))</f>
        <v>1</v>
      </c>
      <c r="U89" s="15" t="b">
        <f>OR(J89='Cocktail Finder'!$B$9,ISBLANK('Cocktail Finder'!$B$8))</f>
        <v>1</v>
      </c>
    </row>
    <row r="90" spans="1:21" ht="15.75" customHeight="1" x14ac:dyDescent="0.2">
      <c r="A90" s="19">
        <f t="shared" si="2"/>
        <v>89</v>
      </c>
      <c r="B90" s="19" t="s">
        <v>344</v>
      </c>
      <c r="C90" s="19" t="s">
        <v>343</v>
      </c>
      <c r="D90" s="19"/>
      <c r="E90" s="19"/>
      <c r="F90" s="19" t="s">
        <v>126</v>
      </c>
      <c r="G90" s="19" t="s">
        <v>146</v>
      </c>
      <c r="H90" s="19"/>
      <c r="I90" s="19"/>
      <c r="J90" s="19"/>
      <c r="K90" s="19"/>
      <c r="L90" s="15">
        <f t="shared" si="0"/>
        <v>1</v>
      </c>
      <c r="M90" s="15" t="str">
        <f t="shared" si="1"/>
        <v>Freddie Fudpacker</v>
      </c>
      <c r="N90" s="15" t="b">
        <f>OR(C90='Cocktail Finder'!$B$2,ISBLANK('Cocktail Finder'!$B$2))</f>
        <v>1</v>
      </c>
      <c r="O90" s="15" t="b">
        <f>OR(D90='Cocktail Finder'!$B$7,ISBLANK('Cocktail Finder'!$B$7))</f>
        <v>1</v>
      </c>
      <c r="P90" s="15" t="b">
        <f>OR(E90='Cocktail Finder'!$B$5,ISBLANK('Cocktail Finder'!$B$5))</f>
        <v>1</v>
      </c>
      <c r="Q90" s="15" t="b">
        <f>OR(F90='Cocktail Finder'!$B$4,ISBLANK('Cocktail Finder'!$B$4))</f>
        <v>1</v>
      </c>
      <c r="R90" s="15" t="b">
        <f>OR(G90='Cocktail Finder'!$B$3,ISBLANK('Cocktail Finder'!$B$3))</f>
        <v>1</v>
      </c>
      <c r="S90" s="15" t="b">
        <f>OR(H90='Cocktail Finder'!$B$6,ISBLANK('Cocktail Finder'!$B$6))</f>
        <v>1</v>
      </c>
      <c r="T90" s="15" t="b">
        <f>OR(I90='Cocktail Finder'!$B$8,ISBLANK('Cocktail Finder'!$B$8))</f>
        <v>1</v>
      </c>
      <c r="U90" s="15" t="b">
        <f>OR(J90='Cocktail Finder'!$B$9,ISBLANK('Cocktail Finder'!$B$8))</f>
        <v>1</v>
      </c>
    </row>
    <row r="91" spans="1:21" ht="15.75" customHeight="1" x14ac:dyDescent="0.2">
      <c r="A91" s="19">
        <f t="shared" si="2"/>
        <v>90</v>
      </c>
      <c r="B91" s="20" t="s">
        <v>194</v>
      </c>
      <c r="C91" s="18" t="s">
        <v>148</v>
      </c>
      <c r="D91" s="20"/>
      <c r="E91" s="20" t="s">
        <v>195</v>
      </c>
      <c r="F91" s="20" t="s">
        <v>38</v>
      </c>
      <c r="G91" s="20"/>
      <c r="H91" s="20"/>
      <c r="I91" s="19"/>
      <c r="J91" s="20"/>
      <c r="K91" s="20"/>
      <c r="L91" s="15">
        <f t="shared" si="0"/>
        <v>1</v>
      </c>
      <c r="M91" s="15" t="str">
        <f t="shared" si="1"/>
        <v>French 75</v>
      </c>
      <c r="N91" s="15" t="b">
        <f>OR(C91='Cocktail Finder'!$B$2,ISBLANK('Cocktail Finder'!$B$2))</f>
        <v>1</v>
      </c>
      <c r="O91" s="15" t="b">
        <f>OR(D91='Cocktail Finder'!$B$7,ISBLANK('Cocktail Finder'!$B$7))</f>
        <v>1</v>
      </c>
      <c r="P91" s="15" t="b">
        <f>OR(E91='Cocktail Finder'!$B$5,ISBLANK('Cocktail Finder'!$B$5))</f>
        <v>1</v>
      </c>
      <c r="Q91" s="15" t="b">
        <f>OR(F91='Cocktail Finder'!$B$4,ISBLANK('Cocktail Finder'!$B$4))</f>
        <v>1</v>
      </c>
      <c r="R91" s="15" t="b">
        <f>OR(G91='Cocktail Finder'!$B$3,ISBLANK('Cocktail Finder'!$B$3))</f>
        <v>1</v>
      </c>
      <c r="S91" s="15" t="b">
        <f>OR(H91='Cocktail Finder'!$B$6,ISBLANK('Cocktail Finder'!$B$6))</f>
        <v>1</v>
      </c>
      <c r="T91" s="15" t="b">
        <f>OR(I91='Cocktail Finder'!$B$8,ISBLANK('Cocktail Finder'!$B$8))</f>
        <v>1</v>
      </c>
      <c r="U91" s="15" t="b">
        <f>OR(J91='Cocktail Finder'!$B$9,ISBLANK('Cocktail Finder'!$B$8))</f>
        <v>1</v>
      </c>
    </row>
    <row r="92" spans="1:21" ht="15.75" customHeight="1" x14ac:dyDescent="0.2">
      <c r="A92" s="19">
        <f t="shared" si="2"/>
        <v>91</v>
      </c>
      <c r="B92" s="19" t="s">
        <v>138</v>
      </c>
      <c r="C92" s="19" t="s">
        <v>136</v>
      </c>
      <c r="D92" s="19"/>
      <c r="E92" s="19"/>
      <c r="F92" s="19"/>
      <c r="G92" s="19" t="s">
        <v>139</v>
      </c>
      <c r="H92" s="19"/>
      <c r="I92" s="19"/>
      <c r="J92" s="19"/>
      <c r="K92" s="19"/>
      <c r="L92" s="15">
        <f t="shared" si="0"/>
        <v>1</v>
      </c>
      <c r="M92" s="15" t="str">
        <f t="shared" si="1"/>
        <v>French Connection</v>
      </c>
      <c r="N92" s="15" t="b">
        <f>OR(C92='Cocktail Finder'!$B$2,ISBLANK('Cocktail Finder'!$B$2))</f>
        <v>1</v>
      </c>
      <c r="O92" s="15" t="b">
        <f>OR(D92='Cocktail Finder'!$B$7,ISBLANK('Cocktail Finder'!$B$7))</f>
        <v>1</v>
      </c>
      <c r="P92" s="15" t="b">
        <f>OR(E92='Cocktail Finder'!$B$5,ISBLANK('Cocktail Finder'!$B$5))</f>
        <v>1</v>
      </c>
      <c r="Q92" s="15" t="b">
        <f>OR(F92='Cocktail Finder'!$B$4,ISBLANK('Cocktail Finder'!$B$4))</f>
        <v>1</v>
      </c>
      <c r="R92" s="15" t="b">
        <f>OR(G92='Cocktail Finder'!$B$3,ISBLANK('Cocktail Finder'!$B$3))</f>
        <v>1</v>
      </c>
      <c r="S92" s="15" t="b">
        <f>OR(H92='Cocktail Finder'!$B$6,ISBLANK('Cocktail Finder'!$B$6))</f>
        <v>1</v>
      </c>
      <c r="T92" s="15" t="b">
        <f>OR(I92='Cocktail Finder'!$B$8,ISBLANK('Cocktail Finder'!$B$8))</f>
        <v>1</v>
      </c>
      <c r="U92" s="15" t="b">
        <f>OR(J92='Cocktail Finder'!$B$9,ISBLANK('Cocktail Finder'!$B$8))</f>
        <v>1</v>
      </c>
    </row>
    <row r="93" spans="1:21" ht="15.75" customHeight="1" x14ac:dyDescent="0.2">
      <c r="A93" s="19">
        <f t="shared" si="2"/>
        <v>92</v>
      </c>
      <c r="B93" s="19" t="s">
        <v>123</v>
      </c>
      <c r="C93" s="19" t="s">
        <v>49</v>
      </c>
      <c r="D93" s="19"/>
      <c r="E93" s="19"/>
      <c r="F93" s="19" t="s">
        <v>38</v>
      </c>
      <c r="G93" s="19" t="s">
        <v>57</v>
      </c>
      <c r="H93" s="19"/>
      <c r="I93" s="19"/>
      <c r="J93" s="19"/>
      <c r="K93" s="19"/>
      <c r="L93" s="15">
        <f t="shared" si="0"/>
        <v>1</v>
      </c>
      <c r="M93" s="15" t="str">
        <f t="shared" si="1"/>
        <v>French Squirrel</v>
      </c>
      <c r="N93" s="15" t="b">
        <f>OR(C93='Cocktail Finder'!$B$2,ISBLANK('Cocktail Finder'!$B$2))</f>
        <v>1</v>
      </c>
      <c r="O93" s="15" t="b">
        <f>OR(D93='Cocktail Finder'!$B$7,ISBLANK('Cocktail Finder'!$B$7))</f>
        <v>1</v>
      </c>
      <c r="P93" s="15" t="b">
        <f>OR(E93='Cocktail Finder'!$B$5,ISBLANK('Cocktail Finder'!$B$5))</f>
        <v>1</v>
      </c>
      <c r="Q93" s="15" t="b">
        <f>OR(F93='Cocktail Finder'!$B$4,ISBLANK('Cocktail Finder'!$B$4))</f>
        <v>1</v>
      </c>
      <c r="R93" s="15" t="b">
        <f>OR(G93='Cocktail Finder'!$B$3,ISBLANK('Cocktail Finder'!$B$3))</f>
        <v>1</v>
      </c>
      <c r="S93" s="15" t="b">
        <f>OR(H93='Cocktail Finder'!$B$6,ISBLANK('Cocktail Finder'!$B$6))</f>
        <v>1</v>
      </c>
      <c r="T93" s="15" t="b">
        <f>OR(I93='Cocktail Finder'!$B$8,ISBLANK('Cocktail Finder'!$B$8))</f>
        <v>1</v>
      </c>
      <c r="U93" s="15" t="b">
        <f>OR(J93='Cocktail Finder'!$B$9,ISBLANK('Cocktail Finder'!$B$8))</f>
        <v>1</v>
      </c>
    </row>
    <row r="94" spans="1:21" ht="15.75" customHeight="1" x14ac:dyDescent="0.2">
      <c r="A94" s="19">
        <f t="shared" si="2"/>
        <v>93</v>
      </c>
      <c r="B94" s="19" t="s">
        <v>367</v>
      </c>
      <c r="C94" s="19" t="s">
        <v>357</v>
      </c>
      <c r="D94" s="19"/>
      <c r="E94" s="19"/>
      <c r="F94" s="19" t="s">
        <v>126</v>
      </c>
      <c r="G94" s="19" t="s">
        <v>76</v>
      </c>
      <c r="H94" s="19"/>
      <c r="I94" s="19"/>
      <c r="J94" s="19"/>
      <c r="K94" s="19"/>
      <c r="L94" s="15">
        <f t="shared" si="0"/>
        <v>1</v>
      </c>
      <c r="M94" s="15" t="str">
        <f t="shared" si="1"/>
        <v>Fuzzy Navel</v>
      </c>
      <c r="N94" s="15" t="b">
        <f>OR(C94='Cocktail Finder'!$B$2,ISBLANK('Cocktail Finder'!$B$2))</f>
        <v>1</v>
      </c>
      <c r="O94" s="15" t="b">
        <f>OR(D94='Cocktail Finder'!$B$7,ISBLANK('Cocktail Finder'!$B$7))</f>
        <v>1</v>
      </c>
      <c r="P94" s="15" t="b">
        <f>OR(E94='Cocktail Finder'!$B$5,ISBLANK('Cocktail Finder'!$B$5))</f>
        <v>1</v>
      </c>
      <c r="Q94" s="15" t="b">
        <f>OR(F94='Cocktail Finder'!$B$4,ISBLANK('Cocktail Finder'!$B$4))</f>
        <v>1</v>
      </c>
      <c r="R94" s="15" t="b">
        <f>OR(G94='Cocktail Finder'!$B$3,ISBLANK('Cocktail Finder'!$B$3))</f>
        <v>1</v>
      </c>
      <c r="S94" s="15" t="b">
        <f>OR(H94='Cocktail Finder'!$B$6,ISBLANK('Cocktail Finder'!$B$6))</f>
        <v>1</v>
      </c>
      <c r="T94" s="15" t="b">
        <f>OR(I94='Cocktail Finder'!$B$8,ISBLANK('Cocktail Finder'!$B$8))</f>
        <v>1</v>
      </c>
      <c r="U94" s="15" t="b">
        <f>OR(J94='Cocktail Finder'!$B$9,ISBLANK('Cocktail Finder'!$B$8))</f>
        <v>1</v>
      </c>
    </row>
    <row r="95" spans="1:21" ht="15.75" customHeight="1" x14ac:dyDescent="0.2">
      <c r="A95" s="19">
        <f t="shared" si="2"/>
        <v>94</v>
      </c>
      <c r="B95" s="19" t="s">
        <v>223</v>
      </c>
      <c r="C95" s="19" t="s">
        <v>219</v>
      </c>
      <c r="D95" s="19"/>
      <c r="E95" s="19"/>
      <c r="F95" s="19"/>
      <c r="G95" s="19" t="s">
        <v>52</v>
      </c>
      <c r="H95" s="19"/>
      <c r="I95" s="19" t="s">
        <v>394</v>
      </c>
      <c r="J95" s="19"/>
      <c r="K95" s="19"/>
      <c r="L95" s="15">
        <f t="shared" si="0"/>
        <v>1</v>
      </c>
      <c r="M95" s="15" t="str">
        <f t="shared" si="1"/>
        <v>Gibson</v>
      </c>
      <c r="N95" s="15" t="b">
        <f>OR(C95='Cocktail Finder'!$B$2,ISBLANK('Cocktail Finder'!$B$2))</f>
        <v>1</v>
      </c>
      <c r="O95" s="15" t="b">
        <f>OR(D95='Cocktail Finder'!$B$7,ISBLANK('Cocktail Finder'!$B$7))</f>
        <v>1</v>
      </c>
      <c r="P95" s="15" t="b">
        <f>OR(E95='Cocktail Finder'!$B$5,ISBLANK('Cocktail Finder'!$B$5))</f>
        <v>1</v>
      </c>
      <c r="Q95" s="15" t="b">
        <f>OR(F95='Cocktail Finder'!$B$4,ISBLANK('Cocktail Finder'!$B$4))</f>
        <v>1</v>
      </c>
      <c r="R95" s="15" t="b">
        <f>OR(G95='Cocktail Finder'!$B$3,ISBLANK('Cocktail Finder'!$B$3))</f>
        <v>1</v>
      </c>
      <c r="S95" s="15" t="b">
        <f>OR(H95='Cocktail Finder'!$B$6,ISBLANK('Cocktail Finder'!$B$6))</f>
        <v>1</v>
      </c>
      <c r="T95" s="15" t="b">
        <f>OR(I95='Cocktail Finder'!$B$8,ISBLANK('Cocktail Finder'!$B$8))</f>
        <v>1</v>
      </c>
      <c r="U95" s="15" t="b">
        <f>OR(J95='Cocktail Finder'!$B$9,ISBLANK('Cocktail Finder'!$B$8))</f>
        <v>1</v>
      </c>
    </row>
    <row r="96" spans="1:21" ht="15.75" customHeight="1" x14ac:dyDescent="0.2">
      <c r="A96" s="19">
        <f t="shared" si="2"/>
        <v>95</v>
      </c>
      <c r="B96" s="19" t="s">
        <v>157</v>
      </c>
      <c r="C96" s="18" t="s">
        <v>148</v>
      </c>
      <c r="D96" s="19"/>
      <c r="E96" s="19" t="s">
        <v>158</v>
      </c>
      <c r="F96" s="19"/>
      <c r="G96" s="19"/>
      <c r="H96" s="19"/>
      <c r="I96" s="19"/>
      <c r="J96" s="19"/>
      <c r="K96" s="19"/>
      <c r="L96" s="15">
        <f t="shared" si="0"/>
        <v>1</v>
      </c>
      <c r="M96" s="15" t="str">
        <f t="shared" si="1"/>
        <v>Gin and Tonic</v>
      </c>
      <c r="N96" s="15" t="b">
        <f>OR(C96='Cocktail Finder'!$B$2,ISBLANK('Cocktail Finder'!$B$2))</f>
        <v>1</v>
      </c>
      <c r="O96" s="15" t="b">
        <f>OR(D96='Cocktail Finder'!$B$7,ISBLANK('Cocktail Finder'!$B$7))</f>
        <v>1</v>
      </c>
      <c r="P96" s="15" t="b">
        <f>OR(E96='Cocktail Finder'!$B$5,ISBLANK('Cocktail Finder'!$B$5))</f>
        <v>1</v>
      </c>
      <c r="Q96" s="15" t="b">
        <f>OR(F96='Cocktail Finder'!$B$4,ISBLANK('Cocktail Finder'!$B$4))</f>
        <v>1</v>
      </c>
      <c r="R96" s="15" t="b">
        <f>OR(G96='Cocktail Finder'!$B$3,ISBLANK('Cocktail Finder'!$B$3))</f>
        <v>1</v>
      </c>
      <c r="S96" s="15" t="b">
        <f>OR(H96='Cocktail Finder'!$B$6,ISBLANK('Cocktail Finder'!$B$6))</f>
        <v>1</v>
      </c>
      <c r="T96" s="15" t="b">
        <f>OR(I96='Cocktail Finder'!$B$8,ISBLANK('Cocktail Finder'!$B$8))</f>
        <v>1</v>
      </c>
      <c r="U96" s="15" t="b">
        <f>OR(J96='Cocktail Finder'!$B$9,ISBLANK('Cocktail Finder'!$B$8))</f>
        <v>1</v>
      </c>
    </row>
    <row r="97" spans="1:21" ht="15.75" customHeight="1" x14ac:dyDescent="0.2">
      <c r="A97" s="19">
        <f t="shared" si="2"/>
        <v>96</v>
      </c>
      <c r="B97" s="19" t="s">
        <v>155</v>
      </c>
      <c r="C97" s="18" t="s">
        <v>148</v>
      </c>
      <c r="D97" s="19"/>
      <c r="E97" s="19" t="s">
        <v>156</v>
      </c>
      <c r="F97" s="19"/>
      <c r="G97" s="19"/>
      <c r="H97" s="19"/>
      <c r="I97" s="19"/>
      <c r="J97" s="19"/>
      <c r="K97" s="19"/>
      <c r="L97" s="15">
        <f t="shared" si="0"/>
        <v>1</v>
      </c>
      <c r="M97" s="15" t="str">
        <f t="shared" si="1"/>
        <v>Gin Buck</v>
      </c>
      <c r="N97" s="15" t="b">
        <f>OR(C97='Cocktail Finder'!$B$2,ISBLANK('Cocktail Finder'!$B$2))</f>
        <v>1</v>
      </c>
      <c r="O97" s="15" t="b">
        <f>OR(D97='Cocktail Finder'!$B$7,ISBLANK('Cocktail Finder'!$B$7))</f>
        <v>1</v>
      </c>
      <c r="P97" s="15" t="b">
        <f>OR(E97='Cocktail Finder'!$B$5,ISBLANK('Cocktail Finder'!$B$5))</f>
        <v>1</v>
      </c>
      <c r="Q97" s="15" t="b">
        <f>OR(F97='Cocktail Finder'!$B$4,ISBLANK('Cocktail Finder'!$B$4))</f>
        <v>1</v>
      </c>
      <c r="R97" s="15" t="b">
        <f>OR(G97='Cocktail Finder'!$B$3,ISBLANK('Cocktail Finder'!$B$3))</f>
        <v>1</v>
      </c>
      <c r="S97" s="15" t="b">
        <f>OR(H97='Cocktail Finder'!$B$6,ISBLANK('Cocktail Finder'!$B$6))</f>
        <v>1</v>
      </c>
      <c r="T97" s="15" t="b">
        <f>OR(I97='Cocktail Finder'!$B$8,ISBLANK('Cocktail Finder'!$B$8))</f>
        <v>1</v>
      </c>
      <c r="U97" s="15" t="b">
        <f>OR(J97='Cocktail Finder'!$B$9,ISBLANK('Cocktail Finder'!$B$8))</f>
        <v>1</v>
      </c>
    </row>
    <row r="98" spans="1:21" ht="15.75" customHeight="1" x14ac:dyDescent="0.2">
      <c r="A98" s="19">
        <f t="shared" si="2"/>
        <v>97</v>
      </c>
      <c r="B98" s="19" t="s">
        <v>154</v>
      </c>
      <c r="C98" s="18" t="s">
        <v>148</v>
      </c>
      <c r="D98" s="19"/>
      <c r="E98" s="19" t="s">
        <v>62</v>
      </c>
      <c r="F98" s="19" t="s">
        <v>90</v>
      </c>
      <c r="G98" s="19"/>
      <c r="H98" s="19"/>
      <c r="I98" s="19"/>
      <c r="J98" s="19"/>
      <c r="K98" s="19"/>
      <c r="L98" s="15">
        <f t="shared" si="0"/>
        <v>1</v>
      </c>
      <c r="M98" s="15" t="str">
        <f t="shared" si="1"/>
        <v>Gin Rickey</v>
      </c>
      <c r="N98" s="15" t="b">
        <f>OR(C98='Cocktail Finder'!$B$2,ISBLANK('Cocktail Finder'!$B$2))</f>
        <v>1</v>
      </c>
      <c r="O98" s="15" t="b">
        <f>OR(D98='Cocktail Finder'!$B$7,ISBLANK('Cocktail Finder'!$B$7))</f>
        <v>1</v>
      </c>
      <c r="P98" s="15" t="b">
        <f>OR(E98='Cocktail Finder'!$B$5,ISBLANK('Cocktail Finder'!$B$5))</f>
        <v>1</v>
      </c>
      <c r="Q98" s="15" t="b">
        <f>OR(F98='Cocktail Finder'!$B$4,ISBLANK('Cocktail Finder'!$B$4))</f>
        <v>1</v>
      </c>
      <c r="R98" s="15" t="b">
        <f>OR(G98='Cocktail Finder'!$B$3,ISBLANK('Cocktail Finder'!$B$3))</f>
        <v>1</v>
      </c>
      <c r="S98" s="15" t="b">
        <f>OR(H98='Cocktail Finder'!$B$6,ISBLANK('Cocktail Finder'!$B$6))</f>
        <v>1</v>
      </c>
      <c r="T98" s="15" t="b">
        <f>OR(I98='Cocktail Finder'!$B$8,ISBLANK('Cocktail Finder'!$B$8))</f>
        <v>1</v>
      </c>
      <c r="U98" s="15" t="b">
        <f>OR(J98='Cocktail Finder'!$B$9,ISBLANK('Cocktail Finder'!$B$8))</f>
        <v>1</v>
      </c>
    </row>
    <row r="99" spans="1:21" ht="15.75" customHeight="1" x14ac:dyDescent="0.2">
      <c r="A99" s="19">
        <f t="shared" si="2"/>
        <v>98</v>
      </c>
      <c r="B99" s="19" t="s">
        <v>358</v>
      </c>
      <c r="C99" s="19" t="s">
        <v>357</v>
      </c>
      <c r="D99" s="19"/>
      <c r="E99" s="19" t="s">
        <v>32</v>
      </c>
      <c r="F99" s="19"/>
      <c r="G99" s="19" t="s">
        <v>30</v>
      </c>
      <c r="H99" s="19"/>
      <c r="I99" s="19"/>
      <c r="J99" s="19"/>
      <c r="K99" s="19"/>
      <c r="L99" s="15">
        <f t="shared" si="0"/>
        <v>1</v>
      </c>
      <c r="M99" s="15" t="str">
        <f t="shared" si="1"/>
        <v>Goddaughter</v>
      </c>
      <c r="N99" s="15" t="b">
        <f>OR(C99='Cocktail Finder'!$B$2,ISBLANK('Cocktail Finder'!$B$2))</f>
        <v>1</v>
      </c>
      <c r="O99" s="15" t="b">
        <f>OR(D99='Cocktail Finder'!$B$7,ISBLANK('Cocktail Finder'!$B$7))</f>
        <v>1</v>
      </c>
      <c r="P99" s="15" t="b">
        <f>OR(E99='Cocktail Finder'!$B$5,ISBLANK('Cocktail Finder'!$B$5))</f>
        <v>1</v>
      </c>
      <c r="Q99" s="15" t="b">
        <f>OR(F99='Cocktail Finder'!$B$4,ISBLANK('Cocktail Finder'!$B$4))</f>
        <v>1</v>
      </c>
      <c r="R99" s="15" t="b">
        <f>OR(G99='Cocktail Finder'!$B$3,ISBLANK('Cocktail Finder'!$B$3))</f>
        <v>1</v>
      </c>
      <c r="S99" s="15" t="b">
        <f>OR(H99='Cocktail Finder'!$B$6,ISBLANK('Cocktail Finder'!$B$6))</f>
        <v>1</v>
      </c>
      <c r="T99" s="15" t="b">
        <f>OR(I99='Cocktail Finder'!$B$8,ISBLANK('Cocktail Finder'!$B$8))</f>
        <v>1</v>
      </c>
      <c r="U99" s="15" t="b">
        <f>OR(J99='Cocktail Finder'!$B$9,ISBLANK('Cocktail Finder'!$B$8))</f>
        <v>1</v>
      </c>
    </row>
    <row r="100" spans="1:21" ht="15.75" customHeight="1" x14ac:dyDescent="0.2">
      <c r="A100" s="19">
        <f t="shared" si="2"/>
        <v>99</v>
      </c>
      <c r="B100" s="19" t="s">
        <v>316</v>
      </c>
      <c r="C100" s="19" t="s">
        <v>317</v>
      </c>
      <c r="D100" s="19"/>
      <c r="E100" s="19"/>
      <c r="F100" s="19"/>
      <c r="G100" s="19" t="s">
        <v>30</v>
      </c>
      <c r="H100" s="19"/>
      <c r="I100" s="19"/>
      <c r="J100" s="19"/>
      <c r="K100" s="19"/>
      <c r="L100" s="15">
        <f t="shared" si="0"/>
        <v>1</v>
      </c>
      <c r="M100" s="15" t="str">
        <f t="shared" si="1"/>
        <v>Godfather</v>
      </c>
      <c r="N100" s="15" t="b">
        <f>OR(C100='Cocktail Finder'!$B$2,ISBLANK('Cocktail Finder'!$B$2))</f>
        <v>1</v>
      </c>
      <c r="O100" s="15" t="b">
        <f>OR(D100='Cocktail Finder'!$B$7,ISBLANK('Cocktail Finder'!$B$7))</f>
        <v>1</v>
      </c>
      <c r="P100" s="15" t="b">
        <f>OR(E100='Cocktail Finder'!$B$5,ISBLANK('Cocktail Finder'!$B$5))</f>
        <v>1</v>
      </c>
      <c r="Q100" s="15" t="b">
        <f>OR(F100='Cocktail Finder'!$B$4,ISBLANK('Cocktail Finder'!$B$4))</f>
        <v>1</v>
      </c>
      <c r="R100" s="15" t="b">
        <f>OR(G100='Cocktail Finder'!$B$3,ISBLANK('Cocktail Finder'!$B$3))</f>
        <v>1</v>
      </c>
      <c r="S100" s="15" t="b">
        <f>OR(H100='Cocktail Finder'!$B$6,ISBLANK('Cocktail Finder'!$B$6))</f>
        <v>1</v>
      </c>
      <c r="T100" s="15" t="b">
        <f>OR(I100='Cocktail Finder'!$B$8,ISBLANK('Cocktail Finder'!$B$8))</f>
        <v>1</v>
      </c>
      <c r="U100" s="15" t="b">
        <f>OR(J100='Cocktail Finder'!$B$9,ISBLANK('Cocktail Finder'!$B$8))</f>
        <v>1</v>
      </c>
    </row>
    <row r="101" spans="1:21" ht="15.75" customHeight="1" x14ac:dyDescent="0.2">
      <c r="A101" s="19">
        <f t="shared" si="2"/>
        <v>100</v>
      </c>
      <c r="B101" s="19" t="s">
        <v>356</v>
      </c>
      <c r="C101" s="19" t="s">
        <v>357</v>
      </c>
      <c r="D101" s="19"/>
      <c r="E101" s="19"/>
      <c r="F101" s="19"/>
      <c r="G101" s="19" t="s">
        <v>30</v>
      </c>
      <c r="H101" s="19"/>
      <c r="I101" s="19"/>
      <c r="J101" s="19"/>
      <c r="K101" s="19"/>
      <c r="L101" s="15">
        <f t="shared" si="0"/>
        <v>1</v>
      </c>
      <c r="M101" s="15" t="str">
        <f t="shared" si="1"/>
        <v>Godmother</v>
      </c>
      <c r="N101" s="15" t="b">
        <f>OR(C101='Cocktail Finder'!$B$2,ISBLANK('Cocktail Finder'!$B$2))</f>
        <v>1</v>
      </c>
      <c r="O101" s="15" t="b">
        <f>OR(D101='Cocktail Finder'!$B$7,ISBLANK('Cocktail Finder'!$B$7))</f>
        <v>1</v>
      </c>
      <c r="P101" s="15" t="b">
        <f>OR(E101='Cocktail Finder'!$B$5,ISBLANK('Cocktail Finder'!$B$5))</f>
        <v>1</v>
      </c>
      <c r="Q101" s="15" t="b">
        <f>OR(F101='Cocktail Finder'!$B$4,ISBLANK('Cocktail Finder'!$B$4))</f>
        <v>1</v>
      </c>
      <c r="R101" s="15" t="b">
        <f>OR(G101='Cocktail Finder'!$B$3,ISBLANK('Cocktail Finder'!$B$3))</f>
        <v>1</v>
      </c>
      <c r="S101" s="15" t="b">
        <f>OR(H101='Cocktail Finder'!$B$6,ISBLANK('Cocktail Finder'!$B$6))</f>
        <v>1</v>
      </c>
      <c r="T101" s="15" t="b">
        <f>OR(I101='Cocktail Finder'!$B$8,ISBLANK('Cocktail Finder'!$B$8))</f>
        <v>1</v>
      </c>
      <c r="U101" s="15" t="b">
        <f>OR(J101='Cocktail Finder'!$B$9,ISBLANK('Cocktail Finder'!$B$8))</f>
        <v>1</v>
      </c>
    </row>
    <row r="102" spans="1:21" ht="15.75" customHeight="1" x14ac:dyDescent="0.2">
      <c r="A102" s="19">
        <f t="shared" si="2"/>
        <v>101</v>
      </c>
      <c r="B102" s="19" t="s">
        <v>318</v>
      </c>
      <c r="C102" s="19" t="s">
        <v>317</v>
      </c>
      <c r="D102" s="19"/>
      <c r="E102" s="19" t="s">
        <v>32</v>
      </c>
      <c r="F102" s="19"/>
      <c r="G102" s="19" t="s">
        <v>30</v>
      </c>
      <c r="H102" s="19"/>
      <c r="I102" s="19"/>
      <c r="J102" s="19"/>
      <c r="K102" s="19"/>
      <c r="L102" s="15">
        <f t="shared" si="0"/>
        <v>1</v>
      </c>
      <c r="M102" s="15" t="str">
        <f t="shared" si="1"/>
        <v>Godson</v>
      </c>
      <c r="N102" s="15" t="b">
        <f>OR(C102='Cocktail Finder'!$B$2,ISBLANK('Cocktail Finder'!$B$2))</f>
        <v>1</v>
      </c>
      <c r="O102" s="15" t="b">
        <f>OR(D102='Cocktail Finder'!$B$7,ISBLANK('Cocktail Finder'!$B$7))</f>
        <v>1</v>
      </c>
      <c r="P102" s="15" t="b">
        <f>OR(E102='Cocktail Finder'!$B$5,ISBLANK('Cocktail Finder'!$B$5))</f>
        <v>1</v>
      </c>
      <c r="Q102" s="15" t="b">
        <f>OR(F102='Cocktail Finder'!$B$4,ISBLANK('Cocktail Finder'!$B$4))</f>
        <v>1</v>
      </c>
      <c r="R102" s="15" t="b">
        <f>OR(G102='Cocktail Finder'!$B$3,ISBLANK('Cocktail Finder'!$B$3))</f>
        <v>1</v>
      </c>
      <c r="S102" s="15" t="b">
        <f>OR(H102='Cocktail Finder'!$B$6,ISBLANK('Cocktail Finder'!$B$6))</f>
        <v>1</v>
      </c>
      <c r="T102" s="15" t="b">
        <f>OR(I102='Cocktail Finder'!$B$8,ISBLANK('Cocktail Finder'!$B$8))</f>
        <v>1</v>
      </c>
      <c r="U102" s="15" t="b">
        <f>OR(J102='Cocktail Finder'!$B$9,ISBLANK('Cocktail Finder'!$B$8))</f>
        <v>1</v>
      </c>
    </row>
    <row r="103" spans="1:21" ht="15.75" customHeight="1" x14ac:dyDescent="0.2">
      <c r="A103" s="19">
        <f t="shared" si="2"/>
        <v>102</v>
      </c>
      <c r="B103" s="19" t="s">
        <v>145</v>
      </c>
      <c r="C103" s="19" t="s">
        <v>146</v>
      </c>
      <c r="D103" s="19"/>
      <c r="E103" s="19" t="s">
        <v>32</v>
      </c>
      <c r="F103" s="19"/>
      <c r="G103" s="19" t="s">
        <v>31</v>
      </c>
      <c r="H103" s="19"/>
      <c r="I103" s="19"/>
      <c r="J103" s="19"/>
      <c r="K103" s="19"/>
      <c r="L103" s="15">
        <f t="shared" si="0"/>
        <v>1</v>
      </c>
      <c r="M103" s="15" t="str">
        <f t="shared" si="1"/>
        <v>Golden Cadillac</v>
      </c>
      <c r="N103" s="15" t="b">
        <f>OR(C103='Cocktail Finder'!$B$2,ISBLANK('Cocktail Finder'!$B$2))</f>
        <v>1</v>
      </c>
      <c r="O103" s="15" t="b">
        <f>OR(D103='Cocktail Finder'!$B$7,ISBLANK('Cocktail Finder'!$B$7))</f>
        <v>1</v>
      </c>
      <c r="P103" s="15" t="b">
        <f>OR(E103='Cocktail Finder'!$B$5,ISBLANK('Cocktail Finder'!$B$5))</f>
        <v>1</v>
      </c>
      <c r="Q103" s="15" t="b">
        <f>OR(F103='Cocktail Finder'!$B$4,ISBLANK('Cocktail Finder'!$B$4))</f>
        <v>1</v>
      </c>
      <c r="R103" s="15" t="b">
        <f>OR(G103='Cocktail Finder'!$B$3,ISBLANK('Cocktail Finder'!$B$3))</f>
        <v>1</v>
      </c>
      <c r="S103" s="15" t="b">
        <f>OR(H103='Cocktail Finder'!$B$6,ISBLANK('Cocktail Finder'!$B$6))</f>
        <v>1</v>
      </c>
      <c r="T103" s="15" t="b">
        <f>OR(I103='Cocktail Finder'!$B$8,ISBLANK('Cocktail Finder'!$B$8))</f>
        <v>1</v>
      </c>
      <c r="U103" s="15" t="b">
        <f>OR(J103='Cocktail Finder'!$B$9,ISBLANK('Cocktail Finder'!$B$8))</f>
        <v>1</v>
      </c>
    </row>
    <row r="104" spans="1:21" ht="15.75" customHeight="1" x14ac:dyDescent="0.2">
      <c r="A104" s="19">
        <f t="shared" si="2"/>
        <v>103</v>
      </c>
      <c r="B104" s="19" t="s">
        <v>212</v>
      </c>
      <c r="C104" s="18" t="s">
        <v>148</v>
      </c>
      <c r="D104" s="19"/>
      <c r="E104" s="19"/>
      <c r="F104" s="19"/>
      <c r="G104" s="19" t="s">
        <v>52</v>
      </c>
      <c r="H104" s="19"/>
      <c r="I104" s="19"/>
      <c r="J104" s="19"/>
      <c r="K104" s="19"/>
      <c r="L104" s="15">
        <f t="shared" si="0"/>
        <v>1</v>
      </c>
      <c r="M104" s="15" t="str">
        <f t="shared" si="1"/>
        <v>Goldfish Cocktail</v>
      </c>
      <c r="N104" s="15" t="b">
        <f>OR(C104='Cocktail Finder'!$B$2,ISBLANK('Cocktail Finder'!$B$2))</f>
        <v>1</v>
      </c>
      <c r="O104" s="15" t="b">
        <f>OR(D104='Cocktail Finder'!$B$7,ISBLANK('Cocktail Finder'!$B$7))</f>
        <v>1</v>
      </c>
      <c r="P104" s="15" t="b">
        <f>OR(E104='Cocktail Finder'!$B$5,ISBLANK('Cocktail Finder'!$B$5))</f>
        <v>1</v>
      </c>
      <c r="Q104" s="15" t="b">
        <f>OR(F104='Cocktail Finder'!$B$4,ISBLANK('Cocktail Finder'!$B$4))</f>
        <v>1</v>
      </c>
      <c r="R104" s="15" t="b">
        <f>OR(G104='Cocktail Finder'!$B$3,ISBLANK('Cocktail Finder'!$B$3))</f>
        <v>1</v>
      </c>
      <c r="S104" s="15" t="b">
        <f>OR(H104='Cocktail Finder'!$B$6,ISBLANK('Cocktail Finder'!$B$6))</f>
        <v>1</v>
      </c>
      <c r="T104" s="15" t="b">
        <f>OR(I104='Cocktail Finder'!$B$8,ISBLANK('Cocktail Finder'!$B$8))</f>
        <v>1</v>
      </c>
      <c r="U104" s="15" t="b">
        <f>OR(J104='Cocktail Finder'!$B$9,ISBLANK('Cocktail Finder'!$B$8))</f>
        <v>1</v>
      </c>
    </row>
    <row r="105" spans="1:21" ht="15.75" customHeight="1" x14ac:dyDescent="0.2">
      <c r="A105" s="19">
        <f t="shared" si="2"/>
        <v>104</v>
      </c>
      <c r="B105" s="19" t="s">
        <v>110</v>
      </c>
      <c r="C105" s="19" t="s">
        <v>49</v>
      </c>
      <c r="D105" s="19"/>
      <c r="E105" s="19"/>
      <c r="F105" s="19" t="s">
        <v>38</v>
      </c>
      <c r="G105" s="19" t="s">
        <v>108</v>
      </c>
      <c r="H105" s="19"/>
      <c r="I105" s="19"/>
      <c r="J105" s="19"/>
      <c r="K105" s="19"/>
      <c r="L105" s="15">
        <f t="shared" si="0"/>
        <v>1</v>
      </c>
      <c r="M105" s="15" t="str">
        <f t="shared" si="1"/>
        <v>Gotham Cocktail</v>
      </c>
      <c r="N105" s="15" t="b">
        <f>OR(C105='Cocktail Finder'!$B$2,ISBLANK('Cocktail Finder'!$B$2))</f>
        <v>1</v>
      </c>
      <c r="O105" s="15" t="b">
        <f>OR(D105='Cocktail Finder'!$B$7,ISBLANK('Cocktail Finder'!$B$7))</f>
        <v>1</v>
      </c>
      <c r="P105" s="15" t="b">
        <f>OR(E105='Cocktail Finder'!$B$5,ISBLANK('Cocktail Finder'!$B$5))</f>
        <v>1</v>
      </c>
      <c r="Q105" s="15" t="b">
        <f>OR(F105='Cocktail Finder'!$B$4,ISBLANK('Cocktail Finder'!$B$4))</f>
        <v>1</v>
      </c>
      <c r="R105" s="15" t="b">
        <f>OR(G105='Cocktail Finder'!$B$3,ISBLANK('Cocktail Finder'!$B$3))</f>
        <v>1</v>
      </c>
      <c r="S105" s="15" t="b">
        <f>OR(H105='Cocktail Finder'!$B$6,ISBLANK('Cocktail Finder'!$B$6))</f>
        <v>1</v>
      </c>
      <c r="T105" s="15" t="b">
        <f>OR(I105='Cocktail Finder'!$B$8,ISBLANK('Cocktail Finder'!$B$8))</f>
        <v>1</v>
      </c>
      <c r="U105" s="15" t="b">
        <f>OR(J105='Cocktail Finder'!$B$9,ISBLANK('Cocktail Finder'!$B$8))</f>
        <v>1</v>
      </c>
    </row>
    <row r="106" spans="1:21" ht="15.75" customHeight="1" x14ac:dyDescent="0.2">
      <c r="A106" s="19">
        <f t="shared" si="2"/>
        <v>105</v>
      </c>
      <c r="B106" s="19" t="s">
        <v>387</v>
      </c>
      <c r="C106" s="19" t="s">
        <v>31</v>
      </c>
      <c r="D106" s="19"/>
      <c r="E106" s="19" t="s">
        <v>32</v>
      </c>
      <c r="F106" s="19"/>
      <c r="G106" s="19" t="s">
        <v>388</v>
      </c>
      <c r="H106" s="19"/>
      <c r="I106" s="19"/>
      <c r="J106" s="19"/>
      <c r="K106" s="19"/>
      <c r="L106" s="15">
        <f t="shared" si="0"/>
        <v>1</v>
      </c>
      <c r="M106" s="15" t="str">
        <f t="shared" si="1"/>
        <v>Grasshopper</v>
      </c>
      <c r="N106" s="15" t="b">
        <f>OR(C106='Cocktail Finder'!$B$2,ISBLANK('Cocktail Finder'!$B$2))</f>
        <v>1</v>
      </c>
      <c r="O106" s="15" t="b">
        <f>OR(D106='Cocktail Finder'!$B$7,ISBLANK('Cocktail Finder'!$B$7))</f>
        <v>1</v>
      </c>
      <c r="P106" s="15" t="b">
        <f>OR(E106='Cocktail Finder'!$B$5,ISBLANK('Cocktail Finder'!$B$5))</f>
        <v>1</v>
      </c>
      <c r="Q106" s="15" t="b">
        <f>OR(F106='Cocktail Finder'!$B$4,ISBLANK('Cocktail Finder'!$B$4))</f>
        <v>1</v>
      </c>
      <c r="R106" s="15" t="b">
        <f>OR(G106='Cocktail Finder'!$B$3,ISBLANK('Cocktail Finder'!$B$3))</f>
        <v>1</v>
      </c>
      <c r="S106" s="15" t="b">
        <f>OR(H106='Cocktail Finder'!$B$6,ISBLANK('Cocktail Finder'!$B$6))</f>
        <v>1</v>
      </c>
      <c r="T106" s="15" t="b">
        <f>OR(I106='Cocktail Finder'!$B$8,ISBLANK('Cocktail Finder'!$B$8))</f>
        <v>1</v>
      </c>
      <c r="U106" s="15" t="b">
        <f>OR(J106='Cocktail Finder'!$B$9,ISBLANK('Cocktail Finder'!$B$8))</f>
        <v>1</v>
      </c>
    </row>
    <row r="107" spans="1:21" ht="15.75" customHeight="1" x14ac:dyDescent="0.2">
      <c r="A107" s="19">
        <f t="shared" si="2"/>
        <v>106</v>
      </c>
      <c r="B107" s="19" t="s">
        <v>371</v>
      </c>
      <c r="C107" s="19" t="s">
        <v>357</v>
      </c>
      <c r="D107" s="19"/>
      <c r="E107" s="19"/>
      <c r="F107" s="19" t="s">
        <v>134</v>
      </c>
      <c r="G107" s="19"/>
      <c r="H107" s="19"/>
      <c r="I107" s="19"/>
      <c r="J107" s="19"/>
      <c r="K107" s="19"/>
      <c r="L107" s="15">
        <f t="shared" si="0"/>
        <v>1</v>
      </c>
      <c r="M107" s="15" t="str">
        <f t="shared" si="1"/>
        <v>Greyhound</v>
      </c>
      <c r="N107" s="15" t="b">
        <f>OR(C107='Cocktail Finder'!$B$2,ISBLANK('Cocktail Finder'!$B$2))</f>
        <v>1</v>
      </c>
      <c r="O107" s="15" t="b">
        <f>OR(D107='Cocktail Finder'!$B$7,ISBLANK('Cocktail Finder'!$B$7))</f>
        <v>1</v>
      </c>
      <c r="P107" s="15" t="b">
        <f>OR(E107='Cocktail Finder'!$B$5,ISBLANK('Cocktail Finder'!$B$5))</f>
        <v>1</v>
      </c>
      <c r="Q107" s="15" t="b">
        <f>OR(F107='Cocktail Finder'!$B$4,ISBLANK('Cocktail Finder'!$B$4))</f>
        <v>1</v>
      </c>
      <c r="R107" s="15" t="b">
        <f>OR(G107='Cocktail Finder'!$B$3,ISBLANK('Cocktail Finder'!$B$3))</f>
        <v>1</v>
      </c>
      <c r="S107" s="15" t="b">
        <f>OR(H107='Cocktail Finder'!$B$6,ISBLANK('Cocktail Finder'!$B$6))</f>
        <v>1</v>
      </c>
      <c r="T107" s="15" t="b">
        <f>OR(I107='Cocktail Finder'!$B$8,ISBLANK('Cocktail Finder'!$B$8))</f>
        <v>1</v>
      </c>
      <c r="U107" s="15" t="b">
        <f>OR(J107='Cocktail Finder'!$B$9,ISBLANK('Cocktail Finder'!$B$8))</f>
        <v>1</v>
      </c>
    </row>
    <row r="108" spans="1:21" ht="15.75" customHeight="1" x14ac:dyDescent="0.2">
      <c r="A108" s="19">
        <f t="shared" si="2"/>
        <v>107</v>
      </c>
      <c r="B108" s="19" t="s">
        <v>368</v>
      </c>
      <c r="C108" s="19" t="s">
        <v>357</v>
      </c>
      <c r="D108" s="19"/>
      <c r="E108" s="19"/>
      <c r="F108" s="19" t="s">
        <v>126</v>
      </c>
      <c r="G108" s="19" t="s">
        <v>146</v>
      </c>
      <c r="H108" s="19"/>
      <c r="I108" s="19"/>
      <c r="J108" s="19"/>
      <c r="K108" s="19"/>
      <c r="L108" s="15">
        <f t="shared" si="0"/>
        <v>1</v>
      </c>
      <c r="M108" s="15" t="str">
        <f t="shared" si="1"/>
        <v>Harvey Wallbanger</v>
      </c>
      <c r="N108" s="15" t="b">
        <f>OR(C108='Cocktail Finder'!$B$2,ISBLANK('Cocktail Finder'!$B$2))</f>
        <v>1</v>
      </c>
      <c r="O108" s="15" t="b">
        <f>OR(D108='Cocktail Finder'!$B$7,ISBLANK('Cocktail Finder'!$B$7))</f>
        <v>1</v>
      </c>
      <c r="P108" s="15" t="b">
        <f>OR(E108='Cocktail Finder'!$B$5,ISBLANK('Cocktail Finder'!$B$5))</f>
        <v>1</v>
      </c>
      <c r="Q108" s="15" t="b">
        <f>OR(F108='Cocktail Finder'!$B$4,ISBLANK('Cocktail Finder'!$B$4))</f>
        <v>1</v>
      </c>
      <c r="R108" s="15" t="b">
        <f>OR(G108='Cocktail Finder'!$B$3,ISBLANK('Cocktail Finder'!$B$3))</f>
        <v>1</v>
      </c>
      <c r="S108" s="15" t="b">
        <f>OR(H108='Cocktail Finder'!$B$6,ISBLANK('Cocktail Finder'!$B$6))</f>
        <v>1</v>
      </c>
      <c r="T108" s="15" t="b">
        <f>OR(I108='Cocktail Finder'!$B$8,ISBLANK('Cocktail Finder'!$B$8))</f>
        <v>1</v>
      </c>
      <c r="U108" s="15" t="b">
        <f>OR(J108='Cocktail Finder'!$B$9,ISBLANK('Cocktail Finder'!$B$8))</f>
        <v>1</v>
      </c>
    </row>
    <row r="109" spans="1:21" ht="15.75" customHeight="1" x14ac:dyDescent="0.2">
      <c r="A109" s="19">
        <f t="shared" si="2"/>
        <v>108</v>
      </c>
      <c r="B109" s="19" t="s">
        <v>283</v>
      </c>
      <c r="C109" s="19" t="s">
        <v>265</v>
      </c>
      <c r="D109" s="19"/>
      <c r="E109" s="19" t="s">
        <v>66</v>
      </c>
      <c r="F109" s="19" t="s">
        <v>90</v>
      </c>
      <c r="G109" s="19" t="s">
        <v>60</v>
      </c>
      <c r="H109" s="19"/>
      <c r="I109" s="19"/>
      <c r="J109" s="19"/>
      <c r="K109" s="19"/>
      <c r="L109" s="15">
        <f t="shared" si="0"/>
        <v>1</v>
      </c>
      <c r="M109" s="15" t="str">
        <f t="shared" si="1"/>
        <v>Hop Toad</v>
      </c>
      <c r="N109" s="15" t="b">
        <f>OR(C109='Cocktail Finder'!$B$2,ISBLANK('Cocktail Finder'!$B$2))</f>
        <v>1</v>
      </c>
      <c r="O109" s="15" t="b">
        <f>OR(D109='Cocktail Finder'!$B$7,ISBLANK('Cocktail Finder'!$B$7))</f>
        <v>1</v>
      </c>
      <c r="P109" s="15" t="b">
        <f>OR(E109='Cocktail Finder'!$B$5,ISBLANK('Cocktail Finder'!$B$5))</f>
        <v>1</v>
      </c>
      <c r="Q109" s="15" t="b">
        <f>OR(F109='Cocktail Finder'!$B$4,ISBLANK('Cocktail Finder'!$B$4))</f>
        <v>1</v>
      </c>
      <c r="R109" s="15" t="b">
        <f>OR(G109='Cocktail Finder'!$B$3,ISBLANK('Cocktail Finder'!$B$3))</f>
        <v>1</v>
      </c>
      <c r="S109" s="15" t="b">
        <f>OR(H109='Cocktail Finder'!$B$6,ISBLANK('Cocktail Finder'!$B$6))</f>
        <v>1</v>
      </c>
      <c r="T109" s="15" t="b">
        <f>OR(I109='Cocktail Finder'!$B$8,ISBLANK('Cocktail Finder'!$B$8))</f>
        <v>1</v>
      </c>
      <c r="U109" s="15" t="b">
        <f>OR(J109='Cocktail Finder'!$B$9,ISBLANK('Cocktail Finder'!$B$8))</f>
        <v>1</v>
      </c>
    </row>
    <row r="110" spans="1:21" ht="15.75" customHeight="1" x14ac:dyDescent="0.2">
      <c r="A110" s="19">
        <f t="shared" si="2"/>
        <v>109</v>
      </c>
      <c r="B110" s="19" t="s">
        <v>205</v>
      </c>
      <c r="C110" s="18" t="s">
        <v>148</v>
      </c>
      <c r="D110" s="19"/>
      <c r="E110" s="19" t="s">
        <v>66</v>
      </c>
      <c r="F110" s="19" t="s">
        <v>126</v>
      </c>
      <c r="G110" s="19" t="s">
        <v>52</v>
      </c>
      <c r="H110" s="19"/>
      <c r="I110" s="19"/>
      <c r="J110" s="19" t="s">
        <v>48</v>
      </c>
      <c r="K110" s="19"/>
      <c r="L110" s="15">
        <f t="shared" si="0"/>
        <v>1</v>
      </c>
      <c r="M110" s="15" t="str">
        <f t="shared" si="1"/>
        <v>Income Tax Cocktail</v>
      </c>
      <c r="N110" s="15" t="b">
        <f>OR(C110='Cocktail Finder'!$B$2,ISBLANK('Cocktail Finder'!$B$2))</f>
        <v>1</v>
      </c>
      <c r="O110" s="15" t="b">
        <f>OR(D110='Cocktail Finder'!$B$7,ISBLANK('Cocktail Finder'!$B$7))</f>
        <v>1</v>
      </c>
      <c r="P110" s="15" t="b">
        <f>OR(E110='Cocktail Finder'!$B$5,ISBLANK('Cocktail Finder'!$B$5))</f>
        <v>1</v>
      </c>
      <c r="Q110" s="15" t="b">
        <f>OR(F110='Cocktail Finder'!$B$4,ISBLANK('Cocktail Finder'!$B$4))</f>
        <v>1</v>
      </c>
      <c r="R110" s="15" t="b">
        <f>OR(G110='Cocktail Finder'!$B$3,ISBLANK('Cocktail Finder'!$B$3))</f>
        <v>1</v>
      </c>
      <c r="S110" s="15" t="b">
        <f>OR(H110='Cocktail Finder'!$B$6,ISBLANK('Cocktail Finder'!$B$6))</f>
        <v>1</v>
      </c>
      <c r="T110" s="15" t="b">
        <f>OR(I110='Cocktail Finder'!$B$8,ISBLANK('Cocktail Finder'!$B$8))</f>
        <v>1</v>
      </c>
      <c r="U110" s="15" t="b">
        <f>OR(J110='Cocktail Finder'!$B$9,ISBLANK('Cocktail Finder'!$B$8))</f>
        <v>1</v>
      </c>
    </row>
    <row r="111" spans="1:21" ht="15.75" customHeight="1" x14ac:dyDescent="0.2">
      <c r="A111" s="19">
        <f t="shared" si="2"/>
        <v>110</v>
      </c>
      <c r="B111" s="19" t="s">
        <v>251</v>
      </c>
      <c r="C111" s="19" t="s">
        <v>252</v>
      </c>
      <c r="D111" s="19"/>
      <c r="E111" s="19"/>
      <c r="F111" s="19"/>
      <c r="G111" s="19" t="s">
        <v>253</v>
      </c>
      <c r="H111" s="19"/>
      <c r="I111" s="19"/>
      <c r="J111" s="19"/>
      <c r="K111" s="19"/>
      <c r="L111" s="15">
        <f t="shared" si="0"/>
        <v>1</v>
      </c>
      <c r="M111" s="15" t="str">
        <f t="shared" si="1"/>
        <v>Irish Peach Cream</v>
      </c>
      <c r="N111" s="15" t="b">
        <f>OR(C111='Cocktail Finder'!$B$2,ISBLANK('Cocktail Finder'!$B$2))</f>
        <v>1</v>
      </c>
      <c r="O111" s="15" t="b">
        <f>OR(D111='Cocktail Finder'!$B$7,ISBLANK('Cocktail Finder'!$B$7))</f>
        <v>1</v>
      </c>
      <c r="P111" s="15" t="b">
        <f>OR(E111='Cocktail Finder'!$B$5,ISBLANK('Cocktail Finder'!$B$5))</f>
        <v>1</v>
      </c>
      <c r="Q111" s="15" t="b">
        <f>OR(F111='Cocktail Finder'!$B$4,ISBLANK('Cocktail Finder'!$B$4))</f>
        <v>1</v>
      </c>
      <c r="R111" s="15" t="b">
        <f>OR(G111='Cocktail Finder'!$B$3,ISBLANK('Cocktail Finder'!$B$3))</f>
        <v>1</v>
      </c>
      <c r="S111" s="15" t="b">
        <f>OR(H111='Cocktail Finder'!$B$6,ISBLANK('Cocktail Finder'!$B$6))</f>
        <v>1</v>
      </c>
      <c r="T111" s="15" t="b">
        <f>OR(I111='Cocktail Finder'!$B$8,ISBLANK('Cocktail Finder'!$B$8))</f>
        <v>1</v>
      </c>
      <c r="U111" s="15" t="b">
        <f>OR(J111='Cocktail Finder'!$B$9,ISBLANK('Cocktail Finder'!$B$8))</f>
        <v>1</v>
      </c>
    </row>
    <row r="112" spans="1:21" ht="15.75" customHeight="1" x14ac:dyDescent="0.2">
      <c r="A112" s="19">
        <f t="shared" si="2"/>
        <v>111</v>
      </c>
      <c r="B112" s="19" t="s">
        <v>234</v>
      </c>
      <c r="C112" s="19" t="s">
        <v>233</v>
      </c>
      <c r="D112" s="19"/>
      <c r="E112" s="19"/>
      <c r="F112" s="19" t="s">
        <v>38</v>
      </c>
      <c r="G112" s="19" t="s">
        <v>57</v>
      </c>
      <c r="H112" s="19"/>
      <c r="I112" s="19"/>
      <c r="J112" s="19"/>
      <c r="K112" s="19"/>
      <c r="L112" s="15">
        <f t="shared" si="0"/>
        <v>1</v>
      </c>
      <c r="M112" s="15" t="str">
        <f t="shared" si="1"/>
        <v>Irish Squirrel</v>
      </c>
      <c r="N112" s="15" t="b">
        <f>OR(C112='Cocktail Finder'!$B$2,ISBLANK('Cocktail Finder'!$B$2))</f>
        <v>1</v>
      </c>
      <c r="O112" s="15" t="b">
        <f>OR(D112='Cocktail Finder'!$B$7,ISBLANK('Cocktail Finder'!$B$7))</f>
        <v>1</v>
      </c>
      <c r="P112" s="15" t="b">
        <f>OR(E112='Cocktail Finder'!$B$5,ISBLANK('Cocktail Finder'!$B$5))</f>
        <v>1</v>
      </c>
      <c r="Q112" s="15" t="b">
        <f>OR(F112='Cocktail Finder'!$B$4,ISBLANK('Cocktail Finder'!$B$4))</f>
        <v>1</v>
      </c>
      <c r="R112" s="15" t="b">
        <f>OR(G112='Cocktail Finder'!$B$3,ISBLANK('Cocktail Finder'!$B$3))</f>
        <v>1</v>
      </c>
      <c r="S112" s="15" t="b">
        <f>OR(H112='Cocktail Finder'!$B$6,ISBLANK('Cocktail Finder'!$B$6))</f>
        <v>1</v>
      </c>
      <c r="T112" s="15" t="b">
        <f>OR(I112='Cocktail Finder'!$B$8,ISBLANK('Cocktail Finder'!$B$8))</f>
        <v>1</v>
      </c>
      <c r="U112" s="15" t="b">
        <f>OR(J112='Cocktail Finder'!$B$9,ISBLANK('Cocktail Finder'!$B$8))</f>
        <v>1</v>
      </c>
    </row>
    <row r="113" spans="1:21" ht="15.75" customHeight="1" x14ac:dyDescent="0.2">
      <c r="A113" s="19">
        <f t="shared" si="2"/>
        <v>112</v>
      </c>
      <c r="B113" s="19" t="s">
        <v>235</v>
      </c>
      <c r="C113" s="19" t="s">
        <v>236</v>
      </c>
      <c r="D113" s="19"/>
      <c r="E113" s="19" t="s">
        <v>392</v>
      </c>
      <c r="F113" s="19"/>
      <c r="G113" s="19"/>
      <c r="H113" s="19"/>
      <c r="I113" s="19"/>
      <c r="J113" s="19"/>
      <c r="K113" s="19"/>
      <c r="L113" s="15">
        <f t="shared" si="0"/>
        <v>1</v>
      </c>
      <c r="M113" s="15" t="str">
        <f t="shared" si="1"/>
        <v>Jack and Coke</v>
      </c>
      <c r="N113" s="15" t="b">
        <f>OR(C113='Cocktail Finder'!$B$2,ISBLANK('Cocktail Finder'!$B$2))</f>
        <v>1</v>
      </c>
      <c r="O113" s="15" t="b">
        <f>OR(D113='Cocktail Finder'!$B$7,ISBLANK('Cocktail Finder'!$B$7))</f>
        <v>1</v>
      </c>
      <c r="P113" s="15" t="b">
        <f>OR(E113='Cocktail Finder'!$B$5,ISBLANK('Cocktail Finder'!$B$5))</f>
        <v>1</v>
      </c>
      <c r="Q113" s="15" t="b">
        <f>OR(F113='Cocktail Finder'!$B$4,ISBLANK('Cocktail Finder'!$B$4))</f>
        <v>1</v>
      </c>
      <c r="R113" s="15" t="b">
        <f>OR(G113='Cocktail Finder'!$B$3,ISBLANK('Cocktail Finder'!$B$3))</f>
        <v>1</v>
      </c>
      <c r="S113" s="15" t="b">
        <f>OR(H113='Cocktail Finder'!$B$6,ISBLANK('Cocktail Finder'!$B$6))</f>
        <v>1</v>
      </c>
      <c r="T113" s="15" t="b">
        <f>OR(I113='Cocktail Finder'!$B$8,ISBLANK('Cocktail Finder'!$B$8))</f>
        <v>1</v>
      </c>
      <c r="U113" s="15" t="b">
        <f>OR(J113='Cocktail Finder'!$B$9,ISBLANK('Cocktail Finder'!$B$8))</f>
        <v>1</v>
      </c>
    </row>
    <row r="114" spans="1:21" ht="15.75" customHeight="1" x14ac:dyDescent="0.2">
      <c r="A114" s="19">
        <f t="shared" si="2"/>
        <v>113</v>
      </c>
      <c r="B114" s="19" t="s">
        <v>54</v>
      </c>
      <c r="C114" s="19" t="s">
        <v>47</v>
      </c>
      <c r="D114" s="19"/>
      <c r="E114" s="19" t="s">
        <v>55</v>
      </c>
      <c r="F114" s="19" t="s">
        <v>38</v>
      </c>
      <c r="G114" s="19"/>
      <c r="H114" s="19"/>
      <c r="I114" s="19"/>
      <c r="J114" s="19"/>
      <c r="K114" s="19"/>
      <c r="L114" s="15">
        <f t="shared" si="0"/>
        <v>1</v>
      </c>
      <c r="M114" s="15" t="str">
        <f t="shared" si="1"/>
        <v>Jack Rose</v>
      </c>
      <c r="N114" s="15" t="b">
        <f>OR(C114='Cocktail Finder'!$B$2,ISBLANK('Cocktail Finder'!$B$2))</f>
        <v>1</v>
      </c>
      <c r="O114" s="15" t="b">
        <f>OR(D114='Cocktail Finder'!$B$7,ISBLANK('Cocktail Finder'!$B$7))</f>
        <v>1</v>
      </c>
      <c r="P114" s="15" t="b">
        <f>OR(E114='Cocktail Finder'!$B$5,ISBLANK('Cocktail Finder'!$B$5))</f>
        <v>1</v>
      </c>
      <c r="Q114" s="15" t="b">
        <f>OR(F114='Cocktail Finder'!$B$4,ISBLANK('Cocktail Finder'!$B$4))</f>
        <v>1</v>
      </c>
      <c r="R114" s="15" t="b">
        <f>OR(G114='Cocktail Finder'!$B$3,ISBLANK('Cocktail Finder'!$B$3))</f>
        <v>1</v>
      </c>
      <c r="S114" s="15" t="b">
        <f>OR(H114='Cocktail Finder'!$B$6,ISBLANK('Cocktail Finder'!$B$6))</f>
        <v>1</v>
      </c>
      <c r="T114" s="15" t="b">
        <f>OR(I114='Cocktail Finder'!$B$8,ISBLANK('Cocktail Finder'!$B$8))</f>
        <v>1</v>
      </c>
      <c r="U114" s="15" t="b">
        <f>OR(J114='Cocktail Finder'!$B$9,ISBLANK('Cocktail Finder'!$B$8))</f>
        <v>1</v>
      </c>
    </row>
    <row r="115" spans="1:21" ht="15.75" customHeight="1" x14ac:dyDescent="0.2">
      <c r="A115" s="19">
        <f t="shared" si="2"/>
        <v>114</v>
      </c>
      <c r="B115" s="19" t="s">
        <v>232</v>
      </c>
      <c r="C115" s="19" t="s">
        <v>233</v>
      </c>
      <c r="D115" s="19"/>
      <c r="E115" s="19"/>
      <c r="F115" s="19" t="s">
        <v>90</v>
      </c>
      <c r="G115" s="19" t="s">
        <v>100</v>
      </c>
      <c r="H115" s="19"/>
      <c r="I115" s="19"/>
      <c r="J115" s="19"/>
      <c r="K115" s="19"/>
      <c r="L115" s="15">
        <f t="shared" si="0"/>
        <v>1</v>
      </c>
      <c r="M115" s="15" t="str">
        <f t="shared" si="1"/>
        <v>James Joyce Cocktail</v>
      </c>
      <c r="N115" s="15" t="b">
        <f>OR(C115='Cocktail Finder'!$B$2,ISBLANK('Cocktail Finder'!$B$2))</f>
        <v>1</v>
      </c>
      <c r="O115" s="15" t="b">
        <f>OR(D115='Cocktail Finder'!$B$7,ISBLANK('Cocktail Finder'!$B$7))</f>
        <v>1</v>
      </c>
      <c r="P115" s="15" t="b">
        <f>OR(E115='Cocktail Finder'!$B$5,ISBLANK('Cocktail Finder'!$B$5))</f>
        <v>1</v>
      </c>
      <c r="Q115" s="15" t="b">
        <f>OR(F115='Cocktail Finder'!$B$4,ISBLANK('Cocktail Finder'!$B$4))</f>
        <v>1</v>
      </c>
      <c r="R115" s="15" t="b">
        <f>OR(G115='Cocktail Finder'!$B$3,ISBLANK('Cocktail Finder'!$B$3))</f>
        <v>1</v>
      </c>
      <c r="S115" s="15" t="b">
        <f>OR(H115='Cocktail Finder'!$B$6,ISBLANK('Cocktail Finder'!$B$6))</f>
        <v>1</v>
      </c>
      <c r="T115" s="15" t="b">
        <f>OR(I115='Cocktail Finder'!$B$8,ISBLANK('Cocktail Finder'!$B$8))</f>
        <v>1</v>
      </c>
      <c r="U115" s="15" t="b">
        <f>OR(J115='Cocktail Finder'!$B$9,ISBLANK('Cocktail Finder'!$B$8))</f>
        <v>1</v>
      </c>
    </row>
    <row r="116" spans="1:21" ht="15.75" customHeight="1" x14ac:dyDescent="0.2">
      <c r="A116" s="19">
        <f t="shared" si="2"/>
        <v>115</v>
      </c>
      <c r="B116" s="19" t="s">
        <v>164</v>
      </c>
      <c r="C116" s="18" t="s">
        <v>148</v>
      </c>
      <c r="D116" s="19"/>
      <c r="E116" s="19" t="s">
        <v>66</v>
      </c>
      <c r="F116" s="19" t="s">
        <v>38</v>
      </c>
      <c r="G116" s="19" t="s">
        <v>30</v>
      </c>
      <c r="H116" s="19"/>
      <c r="I116" s="19"/>
      <c r="J116" s="19"/>
      <c r="K116" s="19"/>
      <c r="L116" s="15">
        <f t="shared" si="0"/>
        <v>1</v>
      </c>
      <c r="M116" s="15" t="str">
        <f t="shared" si="1"/>
        <v>Jockey Club Cocktail</v>
      </c>
      <c r="N116" s="15" t="b">
        <f>OR(C116='Cocktail Finder'!$B$2,ISBLANK('Cocktail Finder'!$B$2))</f>
        <v>1</v>
      </c>
      <c r="O116" s="15" t="b">
        <f>OR(D116='Cocktail Finder'!$B$7,ISBLANK('Cocktail Finder'!$B$7))</f>
        <v>1</v>
      </c>
      <c r="P116" s="15" t="b">
        <f>OR(E116='Cocktail Finder'!$B$5,ISBLANK('Cocktail Finder'!$B$5))</f>
        <v>1</v>
      </c>
      <c r="Q116" s="15" t="b">
        <f>OR(F116='Cocktail Finder'!$B$4,ISBLANK('Cocktail Finder'!$B$4))</f>
        <v>1</v>
      </c>
      <c r="R116" s="15" t="b">
        <f>OR(G116='Cocktail Finder'!$B$3,ISBLANK('Cocktail Finder'!$B$3))</f>
        <v>1</v>
      </c>
      <c r="S116" s="15" t="b">
        <f>OR(H116='Cocktail Finder'!$B$6,ISBLANK('Cocktail Finder'!$B$6))</f>
        <v>1</v>
      </c>
      <c r="T116" s="15" t="b">
        <f>OR(I116='Cocktail Finder'!$B$8,ISBLANK('Cocktail Finder'!$B$8))</f>
        <v>1</v>
      </c>
      <c r="U116" s="15" t="b">
        <f>OR(J116='Cocktail Finder'!$B$9,ISBLANK('Cocktail Finder'!$B$8))</f>
        <v>1</v>
      </c>
    </row>
    <row r="117" spans="1:21" ht="15.75" customHeight="1" x14ac:dyDescent="0.2">
      <c r="A117" s="19">
        <f t="shared" si="2"/>
        <v>116</v>
      </c>
      <c r="B117" s="19" t="s">
        <v>93</v>
      </c>
      <c r="C117" s="19" t="s">
        <v>65</v>
      </c>
      <c r="D117" s="19"/>
      <c r="E117" s="19" t="s">
        <v>86</v>
      </c>
      <c r="F117" s="19" t="s">
        <v>38</v>
      </c>
      <c r="G117" s="19"/>
      <c r="H117" s="19"/>
      <c r="I117" s="19"/>
      <c r="J117" s="19"/>
      <c r="K117" s="19"/>
      <c r="L117" s="15">
        <f t="shared" si="0"/>
        <v>1</v>
      </c>
      <c r="M117" s="15" t="str">
        <f t="shared" si="1"/>
        <v>John Collins</v>
      </c>
      <c r="N117" s="15" t="b">
        <f>OR(C117='Cocktail Finder'!$B$2,ISBLANK('Cocktail Finder'!$B$2))</f>
        <v>1</v>
      </c>
      <c r="O117" s="15" t="b">
        <f>OR(D117='Cocktail Finder'!$B$7,ISBLANK('Cocktail Finder'!$B$7))</f>
        <v>1</v>
      </c>
      <c r="P117" s="15" t="b">
        <f>OR(E117='Cocktail Finder'!$B$5,ISBLANK('Cocktail Finder'!$B$5))</f>
        <v>1</v>
      </c>
      <c r="Q117" s="15" t="b">
        <f>OR(F117='Cocktail Finder'!$B$4,ISBLANK('Cocktail Finder'!$B$4))</f>
        <v>1</v>
      </c>
      <c r="R117" s="15" t="b">
        <f>OR(G117='Cocktail Finder'!$B$3,ISBLANK('Cocktail Finder'!$B$3))</f>
        <v>1</v>
      </c>
      <c r="S117" s="15" t="b">
        <f>OR(H117='Cocktail Finder'!$B$6,ISBLANK('Cocktail Finder'!$B$6))</f>
        <v>1</v>
      </c>
      <c r="T117" s="15" t="b">
        <f>OR(I117='Cocktail Finder'!$B$8,ISBLANK('Cocktail Finder'!$B$8))</f>
        <v>1</v>
      </c>
      <c r="U117" s="15" t="b">
        <f>OR(J117='Cocktail Finder'!$B$9,ISBLANK('Cocktail Finder'!$B$8))</f>
        <v>1</v>
      </c>
    </row>
    <row r="118" spans="1:21" ht="15.75" customHeight="1" x14ac:dyDescent="0.2">
      <c r="A118" s="19">
        <f t="shared" si="2"/>
        <v>117</v>
      </c>
      <c r="B118" s="19" t="s">
        <v>381</v>
      </c>
      <c r="C118" s="19" t="s">
        <v>357</v>
      </c>
      <c r="D118" s="19"/>
      <c r="E118" s="19"/>
      <c r="F118" s="19" t="s">
        <v>90</v>
      </c>
      <c r="G118" s="19" t="s">
        <v>100</v>
      </c>
      <c r="H118" s="19"/>
      <c r="I118" s="19"/>
      <c r="J118" s="19"/>
      <c r="K118" s="19"/>
      <c r="L118" s="15">
        <f t="shared" si="0"/>
        <v>1</v>
      </c>
      <c r="M118" s="15" t="str">
        <f t="shared" si="1"/>
        <v>Kamikaze</v>
      </c>
      <c r="N118" s="15" t="b">
        <f>OR(C118='Cocktail Finder'!$B$2,ISBLANK('Cocktail Finder'!$B$2))</f>
        <v>1</v>
      </c>
      <c r="O118" s="15" t="b">
        <f>OR(D118='Cocktail Finder'!$B$7,ISBLANK('Cocktail Finder'!$B$7))</f>
        <v>1</v>
      </c>
      <c r="P118" s="15" t="b">
        <f>OR(E118='Cocktail Finder'!$B$5,ISBLANK('Cocktail Finder'!$B$5))</f>
        <v>1</v>
      </c>
      <c r="Q118" s="15" t="b">
        <f>OR(F118='Cocktail Finder'!$B$4,ISBLANK('Cocktail Finder'!$B$4))</f>
        <v>1</v>
      </c>
      <c r="R118" s="15" t="b">
        <f>OR(G118='Cocktail Finder'!$B$3,ISBLANK('Cocktail Finder'!$B$3))</f>
        <v>1</v>
      </c>
      <c r="S118" s="15" t="b">
        <f>OR(H118='Cocktail Finder'!$B$6,ISBLANK('Cocktail Finder'!$B$6))</f>
        <v>1</v>
      </c>
      <c r="T118" s="15" t="b">
        <f>OR(I118='Cocktail Finder'!$B$8,ISBLANK('Cocktail Finder'!$B$8))</f>
        <v>1</v>
      </c>
      <c r="U118" s="15" t="b">
        <f>OR(J118='Cocktail Finder'!$B$9,ISBLANK('Cocktail Finder'!$B$8))</f>
        <v>1</v>
      </c>
    </row>
    <row r="119" spans="1:21" ht="15.75" customHeight="1" x14ac:dyDescent="0.2">
      <c r="A119" s="19">
        <f t="shared" si="2"/>
        <v>118</v>
      </c>
      <c r="B119" s="19" t="s">
        <v>94</v>
      </c>
      <c r="C119" s="19" t="s">
        <v>65</v>
      </c>
      <c r="D119" s="19"/>
      <c r="E119" s="19"/>
      <c r="F119" s="19" t="s">
        <v>38</v>
      </c>
      <c r="G119" s="19" t="s">
        <v>57</v>
      </c>
      <c r="H119" s="19"/>
      <c r="I119" s="19"/>
      <c r="J119" s="19"/>
      <c r="K119" s="19"/>
      <c r="L119" s="15">
        <f t="shared" si="0"/>
        <v>1</v>
      </c>
      <c r="M119" s="15" t="str">
        <f t="shared" si="1"/>
        <v>Kentucky Squirrel</v>
      </c>
      <c r="N119" s="15" t="b">
        <f>OR(C119='Cocktail Finder'!$B$2,ISBLANK('Cocktail Finder'!$B$2))</f>
        <v>1</v>
      </c>
      <c r="O119" s="15" t="b">
        <f>OR(D119='Cocktail Finder'!$B$7,ISBLANK('Cocktail Finder'!$B$7))</f>
        <v>1</v>
      </c>
      <c r="P119" s="15" t="b">
        <f>OR(E119='Cocktail Finder'!$B$5,ISBLANK('Cocktail Finder'!$B$5))</f>
        <v>1</v>
      </c>
      <c r="Q119" s="15" t="b">
        <f>OR(F119='Cocktail Finder'!$B$4,ISBLANK('Cocktail Finder'!$B$4))</f>
        <v>1</v>
      </c>
      <c r="R119" s="15" t="b">
        <f>OR(G119='Cocktail Finder'!$B$3,ISBLANK('Cocktail Finder'!$B$3))</f>
        <v>1</v>
      </c>
      <c r="S119" s="15" t="b">
        <f>OR(H119='Cocktail Finder'!$B$6,ISBLANK('Cocktail Finder'!$B$6))</f>
        <v>1</v>
      </c>
      <c r="T119" s="15" t="b">
        <f>OR(I119='Cocktail Finder'!$B$8,ISBLANK('Cocktail Finder'!$B$8))</f>
        <v>1</v>
      </c>
      <c r="U119" s="15" t="b">
        <f>OR(J119='Cocktail Finder'!$B$9,ISBLANK('Cocktail Finder'!$B$8))</f>
        <v>1</v>
      </c>
    </row>
    <row r="120" spans="1:21" ht="15.75" customHeight="1" x14ac:dyDescent="0.2">
      <c r="A120" s="19">
        <f t="shared" si="2"/>
        <v>119</v>
      </c>
      <c r="B120" s="19" t="s">
        <v>380</v>
      </c>
      <c r="C120" s="19" t="s">
        <v>357</v>
      </c>
      <c r="D120" s="19"/>
      <c r="E120" s="19" t="s">
        <v>55</v>
      </c>
      <c r="F120" s="19" t="s">
        <v>38</v>
      </c>
      <c r="G120" s="19" t="s">
        <v>31</v>
      </c>
      <c r="H120" s="19"/>
      <c r="I120" s="19"/>
      <c r="J120" s="19"/>
      <c r="K120" s="19"/>
      <c r="L120" s="15">
        <f t="shared" si="0"/>
        <v>1</v>
      </c>
      <c r="M120" s="15" t="str">
        <f t="shared" si="1"/>
        <v>Kretchma Cocktail</v>
      </c>
      <c r="N120" s="15" t="b">
        <f>OR(C120='Cocktail Finder'!$B$2,ISBLANK('Cocktail Finder'!$B$2))</f>
        <v>1</v>
      </c>
      <c r="O120" s="15" t="b">
        <f>OR(D120='Cocktail Finder'!$B$7,ISBLANK('Cocktail Finder'!$B$7))</f>
        <v>1</v>
      </c>
      <c r="P120" s="15" t="b">
        <f>OR(E120='Cocktail Finder'!$B$5,ISBLANK('Cocktail Finder'!$B$5))</f>
        <v>1</v>
      </c>
      <c r="Q120" s="15" t="b">
        <f>OR(F120='Cocktail Finder'!$B$4,ISBLANK('Cocktail Finder'!$B$4))</f>
        <v>1</v>
      </c>
      <c r="R120" s="15" t="b">
        <f>OR(G120='Cocktail Finder'!$B$3,ISBLANK('Cocktail Finder'!$B$3))</f>
        <v>1</v>
      </c>
      <c r="S120" s="15" t="b">
        <f>OR(H120='Cocktail Finder'!$B$6,ISBLANK('Cocktail Finder'!$B$6))</f>
        <v>1</v>
      </c>
      <c r="T120" s="15" t="b">
        <f>OR(I120='Cocktail Finder'!$B$8,ISBLANK('Cocktail Finder'!$B$8))</f>
        <v>1</v>
      </c>
      <c r="U120" s="15" t="b">
        <f>OR(J120='Cocktail Finder'!$B$9,ISBLANK('Cocktail Finder'!$B$8))</f>
        <v>1</v>
      </c>
    </row>
    <row r="121" spans="1:21" ht="15.75" customHeight="1" x14ac:dyDescent="0.2">
      <c r="A121" s="19">
        <f t="shared" si="2"/>
        <v>120</v>
      </c>
      <c r="B121" s="19" t="s">
        <v>171</v>
      </c>
      <c r="C121" s="18" t="s">
        <v>148</v>
      </c>
      <c r="D121" s="19"/>
      <c r="E121" s="19"/>
      <c r="F121" s="19" t="s">
        <v>38</v>
      </c>
      <c r="G121" s="19" t="s">
        <v>139</v>
      </c>
      <c r="H121" s="19"/>
      <c r="I121" s="19"/>
      <c r="J121" s="19"/>
      <c r="K121" s="19"/>
      <c r="L121" s="15">
        <f t="shared" si="0"/>
        <v>1</v>
      </c>
      <c r="M121" s="15" t="str">
        <f t="shared" si="1"/>
        <v>Leap-Year Cocktail</v>
      </c>
      <c r="N121" s="15" t="b">
        <f>OR(C121='Cocktail Finder'!$B$2,ISBLANK('Cocktail Finder'!$B$2))</f>
        <v>1</v>
      </c>
      <c r="O121" s="15" t="b">
        <f>OR(D121='Cocktail Finder'!$B$7,ISBLANK('Cocktail Finder'!$B$7))</f>
        <v>1</v>
      </c>
      <c r="P121" s="15" t="b">
        <f>OR(E121='Cocktail Finder'!$B$5,ISBLANK('Cocktail Finder'!$B$5))</f>
        <v>1</v>
      </c>
      <c r="Q121" s="15" t="b">
        <f>OR(F121='Cocktail Finder'!$B$4,ISBLANK('Cocktail Finder'!$B$4))</f>
        <v>1</v>
      </c>
      <c r="R121" s="15" t="b">
        <f>OR(G121='Cocktail Finder'!$B$3,ISBLANK('Cocktail Finder'!$B$3))</f>
        <v>1</v>
      </c>
      <c r="S121" s="15" t="b">
        <f>OR(H121='Cocktail Finder'!$B$6,ISBLANK('Cocktail Finder'!$B$6))</f>
        <v>1</v>
      </c>
      <c r="T121" s="15" t="b">
        <f>OR(I121='Cocktail Finder'!$B$8,ISBLANK('Cocktail Finder'!$B$8))</f>
        <v>1</v>
      </c>
      <c r="U121" s="15" t="b">
        <f>OR(J121='Cocktail Finder'!$B$9,ISBLANK('Cocktail Finder'!$B$8))</f>
        <v>1</v>
      </c>
    </row>
    <row r="122" spans="1:21" ht="15.75" customHeight="1" x14ac:dyDescent="0.2">
      <c r="A122" s="19">
        <f t="shared" si="2"/>
        <v>121</v>
      </c>
      <c r="B122" s="19" t="s">
        <v>130</v>
      </c>
      <c r="C122" s="19" t="s">
        <v>131</v>
      </c>
      <c r="D122" s="19"/>
      <c r="E122" s="19" t="s">
        <v>86</v>
      </c>
      <c r="F122" s="19" t="s">
        <v>38</v>
      </c>
      <c r="G122" s="19"/>
      <c r="H122" s="19"/>
      <c r="I122" s="19"/>
      <c r="J122" s="19"/>
      <c r="K122" s="19"/>
      <c r="L122" s="15">
        <f t="shared" si="0"/>
        <v>1</v>
      </c>
      <c r="M122" s="15" t="str">
        <f t="shared" si="1"/>
        <v>Lemon Drop</v>
      </c>
      <c r="N122" s="15" t="b">
        <f>OR(C122='Cocktail Finder'!$B$2,ISBLANK('Cocktail Finder'!$B$2))</f>
        <v>1</v>
      </c>
      <c r="O122" s="15" t="b">
        <f>OR(D122='Cocktail Finder'!$B$7,ISBLANK('Cocktail Finder'!$B$7))</f>
        <v>1</v>
      </c>
      <c r="P122" s="15" t="b">
        <f>OR(E122='Cocktail Finder'!$B$5,ISBLANK('Cocktail Finder'!$B$5))</f>
        <v>1</v>
      </c>
      <c r="Q122" s="15" t="b">
        <f>OR(F122='Cocktail Finder'!$B$4,ISBLANK('Cocktail Finder'!$B$4))</f>
        <v>1</v>
      </c>
      <c r="R122" s="15" t="b">
        <f>OR(G122='Cocktail Finder'!$B$3,ISBLANK('Cocktail Finder'!$B$3))</f>
        <v>1</v>
      </c>
      <c r="S122" s="15" t="b">
        <f>OR(H122='Cocktail Finder'!$B$6,ISBLANK('Cocktail Finder'!$B$6))</f>
        <v>1</v>
      </c>
      <c r="T122" s="15" t="b">
        <f>OR(I122='Cocktail Finder'!$B$8,ISBLANK('Cocktail Finder'!$B$8))</f>
        <v>1</v>
      </c>
      <c r="U122" s="15" t="b">
        <f>OR(J122='Cocktail Finder'!$B$9,ISBLANK('Cocktail Finder'!$B$8))</f>
        <v>1</v>
      </c>
    </row>
    <row r="123" spans="1:21" ht="15.75" customHeight="1" x14ac:dyDescent="0.2">
      <c r="A123" s="19">
        <f t="shared" si="2"/>
        <v>122</v>
      </c>
      <c r="B123" s="19" t="s">
        <v>246</v>
      </c>
      <c r="C123" s="19" t="s">
        <v>244</v>
      </c>
      <c r="D123" s="19"/>
      <c r="E123" s="19"/>
      <c r="F123" s="19" t="s">
        <v>90</v>
      </c>
      <c r="G123" s="19" t="s">
        <v>100</v>
      </c>
      <c r="H123" s="24" t="s">
        <v>247</v>
      </c>
      <c r="I123" s="19"/>
      <c r="J123" s="24" t="s">
        <v>45</v>
      </c>
      <c r="K123" s="19"/>
      <c r="L123" s="15">
        <f t="shared" si="0"/>
        <v>1</v>
      </c>
      <c r="M123" s="15" t="str">
        <f t="shared" si="1"/>
        <v>Lola Martini</v>
      </c>
      <c r="N123" s="15" t="b">
        <f>OR(C123='Cocktail Finder'!$B$2,ISBLANK('Cocktail Finder'!$B$2))</f>
        <v>1</v>
      </c>
      <c r="O123" s="15" t="b">
        <f>OR(D123='Cocktail Finder'!$B$7,ISBLANK('Cocktail Finder'!$B$7))</f>
        <v>1</v>
      </c>
      <c r="P123" s="15" t="b">
        <f>OR(E123='Cocktail Finder'!$B$5,ISBLANK('Cocktail Finder'!$B$5))</f>
        <v>1</v>
      </c>
      <c r="Q123" s="15" t="b">
        <f>OR(F123='Cocktail Finder'!$B$4,ISBLANK('Cocktail Finder'!$B$4))</f>
        <v>1</v>
      </c>
      <c r="R123" s="15" t="b">
        <f>OR(G123='Cocktail Finder'!$B$3,ISBLANK('Cocktail Finder'!$B$3))</f>
        <v>1</v>
      </c>
      <c r="S123" s="15" t="b">
        <f>OR(H123='Cocktail Finder'!$B$6,ISBLANK('Cocktail Finder'!$B$6))</f>
        <v>1</v>
      </c>
      <c r="T123" s="15" t="b">
        <f>OR(I123='Cocktail Finder'!$B$8,ISBLANK('Cocktail Finder'!$B$8))</f>
        <v>1</v>
      </c>
      <c r="U123" s="15" t="b">
        <f>OR(J123='Cocktail Finder'!$B$9,ISBLANK('Cocktail Finder'!$B$8))</f>
        <v>1</v>
      </c>
    </row>
    <row r="124" spans="1:21" ht="15.75" customHeight="1" x14ac:dyDescent="0.2">
      <c r="A124" s="19">
        <f t="shared" si="2"/>
        <v>123</v>
      </c>
      <c r="B124" s="19" t="s">
        <v>385</v>
      </c>
      <c r="C124" s="19" t="s">
        <v>386</v>
      </c>
      <c r="D124" s="19"/>
      <c r="E124" s="19" t="s">
        <v>268</v>
      </c>
      <c r="F124" s="19" t="s">
        <v>38</v>
      </c>
      <c r="G124" s="19" t="s">
        <v>100</v>
      </c>
      <c r="H124" s="19"/>
      <c r="I124" s="19"/>
      <c r="J124" s="19"/>
      <c r="K124" s="19"/>
      <c r="L124" s="15">
        <f t="shared" si="0"/>
        <v>1</v>
      </c>
      <c r="M124" s="15" t="str">
        <f t="shared" si="1"/>
        <v>Long Island Iced Tea</v>
      </c>
      <c r="N124" s="15" t="b">
        <f>OR(C124='Cocktail Finder'!$B$2,ISBLANK('Cocktail Finder'!$B$2))</f>
        <v>1</v>
      </c>
      <c r="O124" s="15" t="b">
        <f>OR(D124='Cocktail Finder'!$B$7,ISBLANK('Cocktail Finder'!$B$7))</f>
        <v>1</v>
      </c>
      <c r="P124" s="15" t="b">
        <f>OR(E124='Cocktail Finder'!$B$5,ISBLANK('Cocktail Finder'!$B$5))</f>
        <v>1</v>
      </c>
      <c r="Q124" s="15" t="b">
        <f>OR(F124='Cocktail Finder'!$B$4,ISBLANK('Cocktail Finder'!$B$4))</f>
        <v>1</v>
      </c>
      <c r="R124" s="15" t="b">
        <f>OR(G124='Cocktail Finder'!$B$3,ISBLANK('Cocktail Finder'!$B$3))</f>
        <v>1</v>
      </c>
      <c r="S124" s="15" t="b">
        <f>OR(H124='Cocktail Finder'!$B$6,ISBLANK('Cocktail Finder'!$B$6))</f>
        <v>1</v>
      </c>
      <c r="T124" s="15" t="b">
        <f>OR(I124='Cocktail Finder'!$B$8,ISBLANK('Cocktail Finder'!$B$8))</f>
        <v>1</v>
      </c>
      <c r="U124" s="15" t="b">
        <f>OR(J124='Cocktail Finder'!$B$9,ISBLANK('Cocktail Finder'!$B$8))</f>
        <v>1</v>
      </c>
    </row>
    <row r="125" spans="1:21" ht="15.75" customHeight="1" x14ac:dyDescent="0.2">
      <c r="A125" s="19">
        <f t="shared" si="2"/>
        <v>124</v>
      </c>
      <c r="B125" s="19" t="s">
        <v>375</v>
      </c>
      <c r="C125" s="19" t="s">
        <v>357</v>
      </c>
      <c r="D125" s="19"/>
      <c r="E125" s="19"/>
      <c r="F125" s="19" t="s">
        <v>45</v>
      </c>
      <c r="G125" s="19"/>
      <c r="H125" s="19"/>
      <c r="I125" s="19"/>
      <c r="J125" s="19"/>
      <c r="K125" s="19"/>
      <c r="L125" s="15">
        <f t="shared" si="0"/>
        <v>1</v>
      </c>
      <c r="M125" s="15" t="str">
        <f t="shared" si="1"/>
        <v>Madras</v>
      </c>
      <c r="N125" s="15" t="b">
        <f>OR(C125='Cocktail Finder'!$B$2,ISBLANK('Cocktail Finder'!$B$2))</f>
        <v>1</v>
      </c>
      <c r="O125" s="15" t="b">
        <f>OR(D125='Cocktail Finder'!$B$7,ISBLANK('Cocktail Finder'!$B$7))</f>
        <v>1</v>
      </c>
      <c r="P125" s="15" t="b">
        <f>OR(E125='Cocktail Finder'!$B$5,ISBLANK('Cocktail Finder'!$B$5))</f>
        <v>1</v>
      </c>
      <c r="Q125" s="15" t="b">
        <f>OR(F125='Cocktail Finder'!$B$4,ISBLANK('Cocktail Finder'!$B$4))</f>
        <v>1</v>
      </c>
      <c r="R125" s="15" t="b">
        <f>OR(G125='Cocktail Finder'!$B$3,ISBLANK('Cocktail Finder'!$B$3))</f>
        <v>1</v>
      </c>
      <c r="S125" s="15" t="b">
        <f>OR(H125='Cocktail Finder'!$B$6,ISBLANK('Cocktail Finder'!$B$6))</f>
        <v>1</v>
      </c>
      <c r="T125" s="15" t="b">
        <f>OR(I125='Cocktail Finder'!$B$8,ISBLANK('Cocktail Finder'!$B$8))</f>
        <v>1</v>
      </c>
      <c r="U125" s="15" t="b">
        <f>OR(J125='Cocktail Finder'!$B$9,ISBLANK('Cocktail Finder'!$B$8))</f>
        <v>1</v>
      </c>
    </row>
    <row r="126" spans="1:21" ht="15.75" customHeight="1" x14ac:dyDescent="0.2">
      <c r="A126" s="19">
        <f t="shared" si="2"/>
        <v>125</v>
      </c>
      <c r="B126" s="19" t="s">
        <v>176</v>
      </c>
      <c r="C126" s="18" t="s">
        <v>148</v>
      </c>
      <c r="D126" s="19"/>
      <c r="E126" s="19" t="s">
        <v>55</v>
      </c>
      <c r="F126" s="19" t="s">
        <v>38</v>
      </c>
      <c r="G126" s="19" t="s">
        <v>100</v>
      </c>
      <c r="H126" s="19"/>
      <c r="I126" s="19"/>
      <c r="J126" s="19"/>
      <c r="K126" s="19"/>
      <c r="L126" s="15">
        <f t="shared" si="0"/>
        <v>1</v>
      </c>
      <c r="M126" s="15" t="str">
        <f t="shared" si="1"/>
        <v>Maiden's Blush Cocktail</v>
      </c>
      <c r="N126" s="15" t="b">
        <f>OR(C126='Cocktail Finder'!$B$2,ISBLANK('Cocktail Finder'!$B$2))</f>
        <v>1</v>
      </c>
      <c r="O126" s="15" t="b">
        <f>OR(D126='Cocktail Finder'!$B$7,ISBLANK('Cocktail Finder'!$B$7))</f>
        <v>1</v>
      </c>
      <c r="P126" s="15" t="b">
        <f>OR(E126='Cocktail Finder'!$B$5,ISBLANK('Cocktail Finder'!$B$5))</f>
        <v>1</v>
      </c>
      <c r="Q126" s="15" t="b">
        <f>OR(F126='Cocktail Finder'!$B$4,ISBLANK('Cocktail Finder'!$B$4))</f>
        <v>1</v>
      </c>
      <c r="R126" s="15" t="b">
        <f>OR(G126='Cocktail Finder'!$B$3,ISBLANK('Cocktail Finder'!$B$3))</f>
        <v>1</v>
      </c>
      <c r="S126" s="15" t="b">
        <f>OR(H126='Cocktail Finder'!$B$6,ISBLANK('Cocktail Finder'!$B$6))</f>
        <v>1</v>
      </c>
      <c r="T126" s="15" t="b">
        <f>OR(I126='Cocktail Finder'!$B$8,ISBLANK('Cocktail Finder'!$B$8))</f>
        <v>1</v>
      </c>
      <c r="U126" s="15" t="b">
        <f>OR(J126='Cocktail Finder'!$B$9,ISBLANK('Cocktail Finder'!$B$8))</f>
        <v>1</v>
      </c>
    </row>
    <row r="127" spans="1:21" ht="15.75" customHeight="1" x14ac:dyDescent="0.2">
      <c r="A127" s="19">
        <f t="shared" si="2"/>
        <v>126</v>
      </c>
      <c r="B127" s="19" t="s">
        <v>179</v>
      </c>
      <c r="C127" s="18" t="s">
        <v>148</v>
      </c>
      <c r="D127" s="19"/>
      <c r="E127" s="19" t="s">
        <v>66</v>
      </c>
      <c r="F127" s="19" t="s">
        <v>38</v>
      </c>
      <c r="G127" s="19" t="s">
        <v>100</v>
      </c>
      <c r="H127" s="19"/>
      <c r="I127" s="19"/>
      <c r="J127" s="19"/>
      <c r="K127" s="19"/>
      <c r="L127" s="15">
        <f t="shared" si="0"/>
        <v>1</v>
      </c>
      <c r="M127" s="15" t="str">
        <f t="shared" si="1"/>
        <v>Maiden's Prayer</v>
      </c>
      <c r="N127" s="15" t="b">
        <f>OR(C127='Cocktail Finder'!$B$2,ISBLANK('Cocktail Finder'!$B$2))</f>
        <v>1</v>
      </c>
      <c r="O127" s="15" t="b">
        <f>OR(D127='Cocktail Finder'!$B$7,ISBLANK('Cocktail Finder'!$B$7))</f>
        <v>1</v>
      </c>
      <c r="P127" s="15" t="b">
        <f>OR(E127='Cocktail Finder'!$B$5,ISBLANK('Cocktail Finder'!$B$5))</f>
        <v>1</v>
      </c>
      <c r="Q127" s="15" t="b">
        <f>OR(F127='Cocktail Finder'!$B$4,ISBLANK('Cocktail Finder'!$B$4))</f>
        <v>1</v>
      </c>
      <c r="R127" s="15" t="b">
        <f>OR(G127='Cocktail Finder'!$B$3,ISBLANK('Cocktail Finder'!$B$3))</f>
        <v>1</v>
      </c>
      <c r="S127" s="15" t="b">
        <f>OR(H127='Cocktail Finder'!$B$6,ISBLANK('Cocktail Finder'!$B$6))</f>
        <v>1</v>
      </c>
      <c r="T127" s="15" t="b">
        <f>OR(I127='Cocktail Finder'!$B$8,ISBLANK('Cocktail Finder'!$B$8))</f>
        <v>1</v>
      </c>
      <c r="U127" s="15" t="b">
        <f>OR(J127='Cocktail Finder'!$B$9,ISBLANK('Cocktail Finder'!$B$8))</f>
        <v>1</v>
      </c>
    </row>
    <row r="128" spans="1:21" ht="15.75" customHeight="1" x14ac:dyDescent="0.2">
      <c r="A128" s="19">
        <f t="shared" si="2"/>
        <v>127</v>
      </c>
      <c r="B128" s="19" t="s">
        <v>329</v>
      </c>
      <c r="C128" s="19" t="s">
        <v>317</v>
      </c>
      <c r="D128" s="19"/>
      <c r="E128" s="19" t="s">
        <v>156</v>
      </c>
      <c r="F128" s="19"/>
      <c r="G128" s="19"/>
      <c r="H128" s="19"/>
      <c r="I128" s="19"/>
      <c r="J128" s="19"/>
      <c r="K128" s="19"/>
      <c r="L128" s="15">
        <f t="shared" si="0"/>
        <v>1</v>
      </c>
      <c r="M128" s="15" t="str">
        <f t="shared" si="1"/>
        <v>Mamie Taylor</v>
      </c>
      <c r="N128" s="15" t="b">
        <f>OR(C128='Cocktail Finder'!$B$2,ISBLANK('Cocktail Finder'!$B$2))</f>
        <v>1</v>
      </c>
      <c r="O128" s="15" t="b">
        <f>OR(D128='Cocktail Finder'!$B$7,ISBLANK('Cocktail Finder'!$B$7))</f>
        <v>1</v>
      </c>
      <c r="P128" s="15" t="b">
        <f>OR(E128='Cocktail Finder'!$B$5,ISBLANK('Cocktail Finder'!$B$5))</f>
        <v>1</v>
      </c>
      <c r="Q128" s="15" t="b">
        <f>OR(F128='Cocktail Finder'!$B$4,ISBLANK('Cocktail Finder'!$B$4))</f>
        <v>1</v>
      </c>
      <c r="R128" s="15" t="b">
        <f>OR(G128='Cocktail Finder'!$B$3,ISBLANK('Cocktail Finder'!$B$3))</f>
        <v>1</v>
      </c>
      <c r="S128" s="15" t="b">
        <f>OR(H128='Cocktail Finder'!$B$6,ISBLANK('Cocktail Finder'!$B$6))</f>
        <v>1</v>
      </c>
      <c r="T128" s="15" t="b">
        <f>OR(I128='Cocktail Finder'!$B$8,ISBLANK('Cocktail Finder'!$B$8))</f>
        <v>1</v>
      </c>
      <c r="U128" s="15" t="b">
        <f>OR(J128='Cocktail Finder'!$B$9,ISBLANK('Cocktail Finder'!$B$8))</f>
        <v>1</v>
      </c>
    </row>
    <row r="129" spans="1:21" ht="15.75" customHeight="1" x14ac:dyDescent="0.2">
      <c r="A129" s="19">
        <f t="shared" si="2"/>
        <v>128</v>
      </c>
      <c r="B129" s="20" t="s">
        <v>64</v>
      </c>
      <c r="C129" s="20" t="s">
        <v>65</v>
      </c>
      <c r="D129" s="20"/>
      <c r="E129" s="20" t="s">
        <v>66</v>
      </c>
      <c r="F129" s="20"/>
      <c r="G129" s="20" t="s">
        <v>48</v>
      </c>
      <c r="H129" s="20"/>
      <c r="I129" s="19"/>
      <c r="J129" s="20"/>
      <c r="K129" s="20"/>
      <c r="L129" s="15">
        <f t="shared" si="0"/>
        <v>1</v>
      </c>
      <c r="M129" s="15" t="str">
        <f t="shared" si="1"/>
        <v>Manhattan</v>
      </c>
      <c r="N129" s="15" t="b">
        <f>OR(C129='Cocktail Finder'!$B$2,ISBLANK('Cocktail Finder'!$B$2))</f>
        <v>1</v>
      </c>
      <c r="O129" s="15" t="b">
        <f>OR(D129='Cocktail Finder'!$B$7,ISBLANK('Cocktail Finder'!$B$7))</f>
        <v>1</v>
      </c>
      <c r="P129" s="15" t="b">
        <f>OR(E129='Cocktail Finder'!$B$5,ISBLANK('Cocktail Finder'!$B$5))</f>
        <v>1</v>
      </c>
      <c r="Q129" s="15" t="b">
        <f>OR(F129='Cocktail Finder'!$B$4,ISBLANK('Cocktail Finder'!$B$4))</f>
        <v>1</v>
      </c>
      <c r="R129" s="15" t="b">
        <f>OR(G129='Cocktail Finder'!$B$3,ISBLANK('Cocktail Finder'!$B$3))</f>
        <v>1</v>
      </c>
      <c r="S129" s="15" t="b">
        <f>OR(H129='Cocktail Finder'!$B$6,ISBLANK('Cocktail Finder'!$B$6))</f>
        <v>1</v>
      </c>
      <c r="T129" s="15" t="b">
        <f>OR(I129='Cocktail Finder'!$B$8,ISBLANK('Cocktail Finder'!$B$8))</f>
        <v>1</v>
      </c>
      <c r="U129" s="15" t="b">
        <f>OR(J129='Cocktail Finder'!$B$9,ISBLANK('Cocktail Finder'!$B$8))</f>
        <v>1</v>
      </c>
    </row>
    <row r="130" spans="1:21" ht="15.75" customHeight="1" x14ac:dyDescent="0.2">
      <c r="A130" s="19">
        <f t="shared" si="2"/>
        <v>129</v>
      </c>
      <c r="B130" s="19" t="s">
        <v>190</v>
      </c>
      <c r="C130" s="18" t="s">
        <v>148</v>
      </c>
      <c r="D130" s="19"/>
      <c r="E130" s="23" t="s">
        <v>62</v>
      </c>
      <c r="F130" s="19" t="s">
        <v>38</v>
      </c>
      <c r="G130" s="19" t="s">
        <v>68</v>
      </c>
      <c r="H130" s="18" t="s">
        <v>79</v>
      </c>
      <c r="I130" s="19"/>
      <c r="J130" s="24" t="s">
        <v>66</v>
      </c>
      <c r="K130" s="24" t="s">
        <v>192</v>
      </c>
      <c r="L130" s="15">
        <f t="shared" si="0"/>
        <v>1</v>
      </c>
      <c r="M130" s="15" t="str">
        <f t="shared" si="1"/>
        <v>Maravel Sling</v>
      </c>
      <c r="N130" s="15" t="b">
        <f>OR(C130='Cocktail Finder'!$B$2,ISBLANK('Cocktail Finder'!$B$2))</f>
        <v>1</v>
      </c>
      <c r="O130" s="15" t="b">
        <f>OR(D130='Cocktail Finder'!$B$7,ISBLANK('Cocktail Finder'!$B$7))</f>
        <v>1</v>
      </c>
      <c r="P130" s="15" t="b">
        <f>OR(E130='Cocktail Finder'!$B$5,ISBLANK('Cocktail Finder'!$B$5))</f>
        <v>1</v>
      </c>
      <c r="Q130" s="15" t="b">
        <f>OR(F130='Cocktail Finder'!$B$4,ISBLANK('Cocktail Finder'!$B$4))</f>
        <v>1</v>
      </c>
      <c r="R130" s="15" t="b">
        <f>OR(G130='Cocktail Finder'!$B$3,ISBLANK('Cocktail Finder'!$B$3))</f>
        <v>1</v>
      </c>
      <c r="S130" s="15" t="b">
        <f>OR(H130='Cocktail Finder'!$B$6,ISBLANK('Cocktail Finder'!$B$6))</f>
        <v>1</v>
      </c>
      <c r="T130" s="15" t="b">
        <f>OR(I130='Cocktail Finder'!$B$8,ISBLANK('Cocktail Finder'!$B$8))</f>
        <v>1</v>
      </c>
      <c r="U130" s="15" t="b">
        <f>OR(J130='Cocktail Finder'!$B$9,ISBLANK('Cocktail Finder'!$B$8))</f>
        <v>1</v>
      </c>
    </row>
    <row r="131" spans="1:21" ht="15.75" customHeight="1" x14ac:dyDescent="0.2">
      <c r="A131" s="19">
        <f t="shared" si="2"/>
        <v>130</v>
      </c>
      <c r="B131" s="19" t="s">
        <v>351</v>
      </c>
      <c r="C131" s="19" t="s">
        <v>343</v>
      </c>
      <c r="D131" s="19"/>
      <c r="E131" s="19"/>
      <c r="F131" s="19" t="s">
        <v>90</v>
      </c>
      <c r="G131" s="19" t="s">
        <v>100</v>
      </c>
      <c r="H131" s="19"/>
      <c r="I131" s="19"/>
      <c r="J131" s="19"/>
      <c r="K131" s="19"/>
      <c r="L131" s="15">
        <f t="shared" si="0"/>
        <v>1</v>
      </c>
      <c r="M131" s="15" t="str">
        <f t="shared" si="1"/>
        <v>Margarita</v>
      </c>
      <c r="N131" s="15" t="b">
        <f>OR(C131='Cocktail Finder'!$B$2,ISBLANK('Cocktail Finder'!$B$2))</f>
        <v>1</v>
      </c>
      <c r="O131" s="15" t="b">
        <f>OR(D131='Cocktail Finder'!$B$7,ISBLANK('Cocktail Finder'!$B$7))</f>
        <v>1</v>
      </c>
      <c r="P131" s="15" t="b">
        <f>OR(E131='Cocktail Finder'!$B$5,ISBLANK('Cocktail Finder'!$B$5))</f>
        <v>1</v>
      </c>
      <c r="Q131" s="15" t="b">
        <f>OR(F131='Cocktail Finder'!$B$4,ISBLANK('Cocktail Finder'!$B$4))</f>
        <v>1</v>
      </c>
      <c r="R131" s="15" t="b">
        <f>OR(G131='Cocktail Finder'!$B$3,ISBLANK('Cocktail Finder'!$B$3))</f>
        <v>1</v>
      </c>
      <c r="S131" s="15" t="b">
        <f>OR(H131='Cocktail Finder'!$B$6,ISBLANK('Cocktail Finder'!$B$6))</f>
        <v>1</v>
      </c>
      <c r="T131" s="15" t="b">
        <f>OR(I131='Cocktail Finder'!$B$8,ISBLANK('Cocktail Finder'!$B$8))</f>
        <v>1</v>
      </c>
      <c r="U131" s="15" t="b">
        <f>OR(J131='Cocktail Finder'!$B$9,ISBLANK('Cocktail Finder'!$B$8))</f>
        <v>1</v>
      </c>
    </row>
    <row r="132" spans="1:21" ht="15.75" customHeight="1" x14ac:dyDescent="0.2">
      <c r="A132" s="19">
        <f t="shared" si="2"/>
        <v>131</v>
      </c>
      <c r="B132" s="19" t="s">
        <v>382</v>
      </c>
      <c r="C132" s="19" t="s">
        <v>357</v>
      </c>
      <c r="D132" s="19"/>
      <c r="E132" s="19"/>
      <c r="F132" s="19" t="s">
        <v>90</v>
      </c>
      <c r="G132" s="19" t="s">
        <v>100</v>
      </c>
      <c r="H132" s="19"/>
      <c r="I132" s="19"/>
      <c r="J132" s="24" t="s">
        <v>383</v>
      </c>
      <c r="K132" s="24" t="s">
        <v>76</v>
      </c>
      <c r="L132" s="15">
        <f t="shared" si="0"/>
        <v>1</v>
      </c>
      <c r="M132" s="15" t="str">
        <f t="shared" si="1"/>
        <v>Marin-i-tini</v>
      </c>
      <c r="N132" s="15" t="b">
        <f>OR(C132='Cocktail Finder'!$B$2,ISBLANK('Cocktail Finder'!$B$2))</f>
        <v>1</v>
      </c>
      <c r="O132" s="15" t="b">
        <f>OR(D132='Cocktail Finder'!$B$7,ISBLANK('Cocktail Finder'!$B$7))</f>
        <v>1</v>
      </c>
      <c r="P132" s="15" t="b">
        <f>OR(E132='Cocktail Finder'!$B$5,ISBLANK('Cocktail Finder'!$B$5))</f>
        <v>1</v>
      </c>
      <c r="Q132" s="15" t="b">
        <f>OR(F132='Cocktail Finder'!$B$4,ISBLANK('Cocktail Finder'!$B$4))</f>
        <v>1</v>
      </c>
      <c r="R132" s="15" t="b">
        <f>OR(G132='Cocktail Finder'!$B$3,ISBLANK('Cocktail Finder'!$B$3))</f>
        <v>1</v>
      </c>
      <c r="S132" s="15" t="b">
        <f>OR(H132='Cocktail Finder'!$B$6,ISBLANK('Cocktail Finder'!$B$6))</f>
        <v>1</v>
      </c>
      <c r="T132" s="15" t="b">
        <f>OR(I132='Cocktail Finder'!$B$8,ISBLANK('Cocktail Finder'!$B$8))</f>
        <v>1</v>
      </c>
      <c r="U132" s="15" t="b">
        <f>OR(J132='Cocktail Finder'!$B$9,ISBLANK('Cocktail Finder'!$B$8))</f>
        <v>1</v>
      </c>
    </row>
    <row r="133" spans="1:21" ht="15.75" customHeight="1" x14ac:dyDescent="0.2">
      <c r="A133" s="19">
        <f t="shared" si="2"/>
        <v>132</v>
      </c>
      <c r="B133" s="19" t="s">
        <v>216</v>
      </c>
      <c r="C133" s="18" t="s">
        <v>148</v>
      </c>
      <c r="D133" s="19"/>
      <c r="E133" s="19" t="s">
        <v>73</v>
      </c>
      <c r="F133" s="19"/>
      <c r="G133" s="19" t="s">
        <v>48</v>
      </c>
      <c r="H133" s="19"/>
      <c r="I133" s="19"/>
      <c r="J133" s="19"/>
      <c r="K133" s="19"/>
      <c r="L133" s="15">
        <f t="shared" si="0"/>
        <v>1</v>
      </c>
      <c r="M133" s="15" t="str">
        <f t="shared" si="1"/>
        <v>Martinez</v>
      </c>
      <c r="N133" s="15" t="b">
        <f>OR(C133='Cocktail Finder'!$B$2,ISBLANK('Cocktail Finder'!$B$2))</f>
        <v>1</v>
      </c>
      <c r="O133" s="15" t="b">
        <f>OR(D133='Cocktail Finder'!$B$7,ISBLANK('Cocktail Finder'!$B$7))</f>
        <v>1</v>
      </c>
      <c r="P133" s="15" t="b">
        <f>OR(E133='Cocktail Finder'!$B$5,ISBLANK('Cocktail Finder'!$B$5))</f>
        <v>1</v>
      </c>
      <c r="Q133" s="15" t="b">
        <f>OR(F133='Cocktail Finder'!$B$4,ISBLANK('Cocktail Finder'!$B$4))</f>
        <v>1</v>
      </c>
      <c r="R133" s="15" t="b">
        <f>OR(G133='Cocktail Finder'!$B$3,ISBLANK('Cocktail Finder'!$B$3))</f>
        <v>1</v>
      </c>
      <c r="S133" s="15" t="b">
        <f>OR(H133='Cocktail Finder'!$B$6,ISBLANK('Cocktail Finder'!$B$6))</f>
        <v>1</v>
      </c>
      <c r="T133" s="15" t="b">
        <f>OR(I133='Cocktail Finder'!$B$8,ISBLANK('Cocktail Finder'!$B$8))</f>
        <v>1</v>
      </c>
      <c r="U133" s="15" t="b">
        <f>OR(J133='Cocktail Finder'!$B$9,ISBLANK('Cocktail Finder'!$B$8))</f>
        <v>1</v>
      </c>
    </row>
    <row r="134" spans="1:21" ht="15.75" customHeight="1" x14ac:dyDescent="0.2">
      <c r="A134" s="19">
        <f t="shared" si="2"/>
        <v>133</v>
      </c>
      <c r="B134" s="19" t="s">
        <v>311</v>
      </c>
      <c r="C134" s="19" t="s">
        <v>300</v>
      </c>
      <c r="D134" s="19"/>
      <c r="E134" s="19"/>
      <c r="F134" s="19" t="s">
        <v>38</v>
      </c>
      <c r="G134" s="19" t="s">
        <v>57</v>
      </c>
      <c r="H134" s="19"/>
      <c r="I134" s="19"/>
      <c r="J134" s="19"/>
      <c r="K134" s="19"/>
      <c r="L134" s="15">
        <f t="shared" si="0"/>
        <v>1</v>
      </c>
      <c r="M134" s="15" t="str">
        <f t="shared" si="1"/>
        <v>Maryland Squirrel</v>
      </c>
      <c r="N134" s="15" t="b">
        <f>OR(C134='Cocktail Finder'!$B$2,ISBLANK('Cocktail Finder'!$B$2))</f>
        <v>1</v>
      </c>
      <c r="O134" s="15" t="b">
        <f>OR(D134='Cocktail Finder'!$B$7,ISBLANK('Cocktail Finder'!$B$7))</f>
        <v>1</v>
      </c>
      <c r="P134" s="15" t="b">
        <f>OR(E134='Cocktail Finder'!$B$5,ISBLANK('Cocktail Finder'!$B$5))</f>
        <v>1</v>
      </c>
      <c r="Q134" s="15" t="b">
        <f>OR(F134='Cocktail Finder'!$B$4,ISBLANK('Cocktail Finder'!$B$4))</f>
        <v>1</v>
      </c>
      <c r="R134" s="15" t="b">
        <f>OR(G134='Cocktail Finder'!$B$3,ISBLANK('Cocktail Finder'!$B$3))</f>
        <v>1</v>
      </c>
      <c r="S134" s="15" t="b">
        <f>OR(H134='Cocktail Finder'!$B$6,ISBLANK('Cocktail Finder'!$B$6))</f>
        <v>1</v>
      </c>
      <c r="T134" s="15" t="b">
        <f>OR(I134='Cocktail Finder'!$B$8,ISBLANK('Cocktail Finder'!$B$8))</f>
        <v>1</v>
      </c>
      <c r="U134" s="15" t="b">
        <f>OR(J134='Cocktail Finder'!$B$9,ISBLANK('Cocktail Finder'!$B$8))</f>
        <v>1</v>
      </c>
    </row>
    <row r="135" spans="1:21" ht="15.75" customHeight="1" x14ac:dyDescent="0.2">
      <c r="A135" s="19">
        <f t="shared" si="2"/>
        <v>134</v>
      </c>
      <c r="B135" s="19" t="s">
        <v>206</v>
      </c>
      <c r="C135" s="18" t="s">
        <v>148</v>
      </c>
      <c r="D135" s="19"/>
      <c r="E135" s="19"/>
      <c r="F135" s="19" t="s">
        <v>126</v>
      </c>
      <c r="G135" s="19" t="s">
        <v>52</v>
      </c>
      <c r="H135" s="19"/>
      <c r="I135" s="19"/>
      <c r="J135" s="19" t="s">
        <v>48</v>
      </c>
      <c r="K135" s="24" t="s">
        <v>104</v>
      </c>
      <c r="L135" s="15">
        <f t="shared" si="0"/>
        <v>1</v>
      </c>
      <c r="M135" s="15" t="str">
        <f t="shared" si="1"/>
        <v>Maurice Cocktail</v>
      </c>
      <c r="N135" s="15" t="b">
        <f>OR(C135='Cocktail Finder'!$B$2,ISBLANK('Cocktail Finder'!$B$2))</f>
        <v>1</v>
      </c>
      <c r="O135" s="15" t="b">
        <f>OR(D135='Cocktail Finder'!$B$7,ISBLANK('Cocktail Finder'!$B$7))</f>
        <v>1</v>
      </c>
      <c r="P135" s="15" t="b">
        <f>OR(E135='Cocktail Finder'!$B$5,ISBLANK('Cocktail Finder'!$B$5))</f>
        <v>1</v>
      </c>
      <c r="Q135" s="15" t="b">
        <f>OR(F135='Cocktail Finder'!$B$4,ISBLANK('Cocktail Finder'!$B$4))</f>
        <v>1</v>
      </c>
      <c r="R135" s="15" t="b">
        <f>OR(G135='Cocktail Finder'!$B$3,ISBLANK('Cocktail Finder'!$B$3))</f>
        <v>1</v>
      </c>
      <c r="S135" s="15" t="b">
        <f>OR(H135='Cocktail Finder'!$B$6,ISBLANK('Cocktail Finder'!$B$6))</f>
        <v>1</v>
      </c>
      <c r="T135" s="15" t="b">
        <f>OR(I135='Cocktail Finder'!$B$8,ISBLANK('Cocktail Finder'!$B$8))</f>
        <v>1</v>
      </c>
      <c r="U135" s="15" t="b">
        <f>OR(J135='Cocktail Finder'!$B$9,ISBLANK('Cocktail Finder'!$B$8))</f>
        <v>1</v>
      </c>
    </row>
    <row r="136" spans="1:21" ht="15.75" customHeight="1" x14ac:dyDescent="0.2">
      <c r="A136" s="19">
        <f t="shared" si="2"/>
        <v>135</v>
      </c>
      <c r="B136" s="19" t="s">
        <v>143</v>
      </c>
      <c r="C136" s="19" t="s">
        <v>144</v>
      </c>
      <c r="D136" s="19"/>
      <c r="E136" s="19"/>
      <c r="F136" s="19" t="s">
        <v>90</v>
      </c>
      <c r="G136" s="19" t="s">
        <v>100</v>
      </c>
      <c r="H136" s="24" t="s">
        <v>45</v>
      </c>
      <c r="I136" s="19"/>
      <c r="J136" s="19"/>
      <c r="K136" s="19"/>
      <c r="L136" s="15">
        <f t="shared" si="0"/>
        <v>1</v>
      </c>
      <c r="M136" s="15" t="str">
        <f t="shared" si="1"/>
        <v>Metropolitan</v>
      </c>
      <c r="N136" s="15" t="b">
        <f>OR(C136='Cocktail Finder'!$B$2,ISBLANK('Cocktail Finder'!$B$2))</f>
        <v>1</v>
      </c>
      <c r="O136" s="15" t="b">
        <f>OR(D136='Cocktail Finder'!$B$7,ISBLANK('Cocktail Finder'!$B$7))</f>
        <v>1</v>
      </c>
      <c r="P136" s="15" t="b">
        <f>OR(E136='Cocktail Finder'!$B$5,ISBLANK('Cocktail Finder'!$B$5))</f>
        <v>1</v>
      </c>
      <c r="Q136" s="15" t="b">
        <f>OR(F136='Cocktail Finder'!$B$4,ISBLANK('Cocktail Finder'!$B$4))</f>
        <v>1</v>
      </c>
      <c r="R136" s="15" t="b">
        <f>OR(G136='Cocktail Finder'!$B$3,ISBLANK('Cocktail Finder'!$B$3))</f>
        <v>1</v>
      </c>
      <c r="S136" s="15" t="b">
        <f>OR(H136='Cocktail Finder'!$B$6,ISBLANK('Cocktail Finder'!$B$6))</f>
        <v>1</v>
      </c>
      <c r="T136" s="15" t="b">
        <f>OR(I136='Cocktail Finder'!$B$8,ISBLANK('Cocktail Finder'!$B$8))</f>
        <v>1</v>
      </c>
      <c r="U136" s="15" t="b">
        <f>OR(J136='Cocktail Finder'!$B$9,ISBLANK('Cocktail Finder'!$B$8))</f>
        <v>1</v>
      </c>
    </row>
    <row r="137" spans="1:21" ht="15.75" customHeight="1" x14ac:dyDescent="0.2">
      <c r="A137" s="19">
        <f t="shared" si="2"/>
        <v>136</v>
      </c>
      <c r="B137" s="19" t="s">
        <v>352</v>
      </c>
      <c r="C137" s="19" t="s">
        <v>343</v>
      </c>
      <c r="D137" s="19"/>
      <c r="E137" s="19"/>
      <c r="F137" s="19" t="s">
        <v>90</v>
      </c>
      <c r="G137" s="19" t="s">
        <v>57</v>
      </c>
      <c r="H137" s="19"/>
      <c r="I137" s="19"/>
      <c r="J137" s="19"/>
      <c r="K137" s="19"/>
      <c r="L137" s="15">
        <f t="shared" si="0"/>
        <v>1</v>
      </c>
      <c r="M137" s="15" t="str">
        <f t="shared" si="1"/>
        <v>Mexican Squirrel</v>
      </c>
      <c r="N137" s="15" t="b">
        <f>OR(C137='Cocktail Finder'!$B$2,ISBLANK('Cocktail Finder'!$B$2))</f>
        <v>1</v>
      </c>
      <c r="O137" s="15" t="b">
        <f>OR(D137='Cocktail Finder'!$B$7,ISBLANK('Cocktail Finder'!$B$7))</f>
        <v>1</v>
      </c>
      <c r="P137" s="15" t="b">
        <f>OR(E137='Cocktail Finder'!$B$5,ISBLANK('Cocktail Finder'!$B$5))</f>
        <v>1</v>
      </c>
      <c r="Q137" s="15" t="b">
        <f>OR(F137='Cocktail Finder'!$B$4,ISBLANK('Cocktail Finder'!$B$4))</f>
        <v>1</v>
      </c>
      <c r="R137" s="15" t="b">
        <f>OR(G137='Cocktail Finder'!$B$3,ISBLANK('Cocktail Finder'!$B$3))</f>
        <v>1</v>
      </c>
      <c r="S137" s="15" t="b">
        <f>OR(H137='Cocktail Finder'!$B$6,ISBLANK('Cocktail Finder'!$B$6))</f>
        <v>1</v>
      </c>
      <c r="T137" s="15" t="b">
        <f>OR(I137='Cocktail Finder'!$B$8,ISBLANK('Cocktail Finder'!$B$8))</f>
        <v>1</v>
      </c>
      <c r="U137" s="15" t="b">
        <f>OR(J137='Cocktail Finder'!$B$9,ISBLANK('Cocktail Finder'!$B$8))</f>
        <v>1</v>
      </c>
    </row>
    <row r="138" spans="1:21" ht="15.75" customHeight="1" x14ac:dyDescent="0.2">
      <c r="A138" s="19">
        <f t="shared" si="2"/>
        <v>137</v>
      </c>
      <c r="B138" s="19" t="s">
        <v>75</v>
      </c>
      <c r="C138" s="19" t="s">
        <v>65</v>
      </c>
      <c r="D138" s="19"/>
      <c r="E138" s="19" t="s">
        <v>66</v>
      </c>
      <c r="F138" s="19"/>
      <c r="G138" s="19" t="s">
        <v>48</v>
      </c>
      <c r="H138" s="19"/>
      <c r="I138" s="19"/>
      <c r="J138" s="19"/>
      <c r="K138" s="19"/>
      <c r="L138" s="15">
        <f t="shared" si="0"/>
        <v>1</v>
      </c>
      <c r="M138" s="15" t="str">
        <f t="shared" si="1"/>
        <v>Millennium Manhattan</v>
      </c>
      <c r="N138" s="15" t="b">
        <f>OR(C138='Cocktail Finder'!$B$2,ISBLANK('Cocktail Finder'!$B$2))</f>
        <v>1</v>
      </c>
      <c r="O138" s="15" t="b">
        <f>OR(D138='Cocktail Finder'!$B$7,ISBLANK('Cocktail Finder'!$B$7))</f>
        <v>1</v>
      </c>
      <c r="P138" s="15" t="b">
        <f>OR(E138='Cocktail Finder'!$B$5,ISBLANK('Cocktail Finder'!$B$5))</f>
        <v>1</v>
      </c>
      <c r="Q138" s="15" t="b">
        <f>OR(F138='Cocktail Finder'!$B$4,ISBLANK('Cocktail Finder'!$B$4))</f>
        <v>1</v>
      </c>
      <c r="R138" s="15" t="b">
        <f>OR(G138='Cocktail Finder'!$B$3,ISBLANK('Cocktail Finder'!$B$3))</f>
        <v>1</v>
      </c>
      <c r="S138" s="15" t="b">
        <f>OR(H138='Cocktail Finder'!$B$6,ISBLANK('Cocktail Finder'!$B$6))</f>
        <v>1</v>
      </c>
      <c r="T138" s="15" t="b">
        <f>OR(I138='Cocktail Finder'!$B$8,ISBLANK('Cocktail Finder'!$B$8))</f>
        <v>1</v>
      </c>
      <c r="U138" s="15" t="b">
        <f>OR(J138='Cocktail Finder'!$B$9,ISBLANK('Cocktail Finder'!$B$8))</f>
        <v>1</v>
      </c>
    </row>
    <row r="139" spans="1:21" ht="15.75" customHeight="1" x14ac:dyDescent="0.2">
      <c r="A139" s="19">
        <f t="shared" si="2"/>
        <v>138</v>
      </c>
      <c r="B139" s="19" t="s">
        <v>281</v>
      </c>
      <c r="C139" s="19" t="s">
        <v>265</v>
      </c>
      <c r="D139" s="19" t="s">
        <v>282</v>
      </c>
      <c r="E139" s="19"/>
      <c r="F139" s="19" t="s">
        <v>90</v>
      </c>
      <c r="G139" s="19" t="s">
        <v>60</v>
      </c>
      <c r="H139" s="19"/>
      <c r="I139" s="19"/>
      <c r="J139" s="19"/>
      <c r="K139" s="19"/>
      <c r="L139" s="15">
        <f t="shared" si="0"/>
        <v>1</v>
      </c>
      <c r="M139" s="15" t="str">
        <f t="shared" si="1"/>
        <v>Millionaire Cocktail No. 4</v>
      </c>
      <c r="N139" s="15" t="b">
        <f>OR(C139='Cocktail Finder'!$B$2,ISBLANK('Cocktail Finder'!$B$2))</f>
        <v>1</v>
      </c>
      <c r="O139" s="15" t="b">
        <f>OR(D139='Cocktail Finder'!$B$7,ISBLANK('Cocktail Finder'!$B$7))</f>
        <v>1</v>
      </c>
      <c r="P139" s="15" t="b">
        <f>OR(E139='Cocktail Finder'!$B$5,ISBLANK('Cocktail Finder'!$B$5))</f>
        <v>1</v>
      </c>
      <c r="Q139" s="15" t="b">
        <f>OR(F139='Cocktail Finder'!$B$4,ISBLANK('Cocktail Finder'!$B$4))</f>
        <v>1</v>
      </c>
      <c r="R139" s="15" t="b">
        <f>OR(G139='Cocktail Finder'!$B$3,ISBLANK('Cocktail Finder'!$B$3))</f>
        <v>1</v>
      </c>
      <c r="S139" s="15" t="b">
        <f>OR(H139='Cocktail Finder'!$B$6,ISBLANK('Cocktail Finder'!$B$6))</f>
        <v>1</v>
      </c>
      <c r="T139" s="15" t="b">
        <f>OR(I139='Cocktail Finder'!$B$8,ISBLANK('Cocktail Finder'!$B$8))</f>
        <v>1</v>
      </c>
      <c r="U139" s="15" t="b">
        <f>OR(J139='Cocktail Finder'!$B$9,ISBLANK('Cocktail Finder'!$B$8))</f>
        <v>1</v>
      </c>
    </row>
    <row r="140" spans="1:21" ht="15.75" customHeight="1" x14ac:dyDescent="0.2">
      <c r="A140" s="19">
        <f t="shared" si="2"/>
        <v>139</v>
      </c>
      <c r="B140" s="19" t="s">
        <v>350</v>
      </c>
      <c r="C140" s="19" t="s">
        <v>343</v>
      </c>
      <c r="D140" s="19"/>
      <c r="E140" s="19"/>
      <c r="F140" s="19" t="s">
        <v>90</v>
      </c>
      <c r="G140" s="19" t="s">
        <v>139</v>
      </c>
      <c r="H140" s="19"/>
      <c r="I140" s="19"/>
      <c r="J140" s="19"/>
      <c r="K140" s="19"/>
      <c r="L140" s="15">
        <f t="shared" si="0"/>
        <v>1</v>
      </c>
      <c r="M140" s="15" t="str">
        <f t="shared" si="1"/>
        <v>Millionaire's Margarita</v>
      </c>
      <c r="N140" s="15" t="b">
        <f>OR(C140='Cocktail Finder'!$B$2,ISBLANK('Cocktail Finder'!$B$2))</f>
        <v>1</v>
      </c>
      <c r="O140" s="15" t="b">
        <f>OR(D140='Cocktail Finder'!$B$7,ISBLANK('Cocktail Finder'!$B$7))</f>
        <v>1</v>
      </c>
      <c r="P140" s="15" t="b">
        <f>OR(E140='Cocktail Finder'!$B$5,ISBLANK('Cocktail Finder'!$B$5))</f>
        <v>1</v>
      </c>
      <c r="Q140" s="15" t="b">
        <f>OR(F140='Cocktail Finder'!$B$4,ISBLANK('Cocktail Finder'!$B$4))</f>
        <v>1</v>
      </c>
      <c r="R140" s="15" t="b">
        <f>OR(G140='Cocktail Finder'!$B$3,ISBLANK('Cocktail Finder'!$B$3))</f>
        <v>1</v>
      </c>
      <c r="S140" s="15" t="b">
        <f>OR(H140='Cocktail Finder'!$B$6,ISBLANK('Cocktail Finder'!$B$6))</f>
        <v>1</v>
      </c>
      <c r="T140" s="15" t="b">
        <f>OR(I140='Cocktail Finder'!$B$8,ISBLANK('Cocktail Finder'!$B$8))</f>
        <v>1</v>
      </c>
      <c r="U140" s="15" t="b">
        <f>OR(J140='Cocktail Finder'!$B$9,ISBLANK('Cocktail Finder'!$B$8))</f>
        <v>1</v>
      </c>
    </row>
    <row r="141" spans="1:21" ht="15.75" customHeight="1" x14ac:dyDescent="0.2">
      <c r="A141" s="19">
        <f t="shared" si="2"/>
        <v>140</v>
      </c>
      <c r="B141" s="20" t="s">
        <v>95</v>
      </c>
      <c r="C141" s="20" t="s">
        <v>65</v>
      </c>
      <c r="D141" s="20"/>
      <c r="E141" s="20" t="s">
        <v>86</v>
      </c>
      <c r="F141" s="20"/>
      <c r="G141" s="20"/>
      <c r="H141" s="20"/>
      <c r="I141" s="19" t="s">
        <v>96</v>
      </c>
      <c r="J141" s="20"/>
      <c r="K141" s="20"/>
      <c r="L141" s="15">
        <f t="shared" si="0"/>
        <v>1</v>
      </c>
      <c r="M141" s="15" t="str">
        <f t="shared" si="1"/>
        <v>Mint Julep</v>
      </c>
      <c r="N141" s="15" t="b">
        <f>OR(C141='Cocktail Finder'!$B$2,ISBLANK('Cocktail Finder'!$B$2))</f>
        <v>1</v>
      </c>
      <c r="O141" s="15" t="b">
        <f>OR(D141='Cocktail Finder'!$B$7,ISBLANK('Cocktail Finder'!$B$7))</f>
        <v>1</v>
      </c>
      <c r="P141" s="15" t="b">
        <f>OR(E141='Cocktail Finder'!$B$5,ISBLANK('Cocktail Finder'!$B$5))</f>
        <v>1</v>
      </c>
      <c r="Q141" s="15" t="b">
        <f>OR(F141='Cocktail Finder'!$B$4,ISBLANK('Cocktail Finder'!$B$4))</f>
        <v>1</v>
      </c>
      <c r="R141" s="15" t="b">
        <f>OR(G141='Cocktail Finder'!$B$3,ISBLANK('Cocktail Finder'!$B$3))</f>
        <v>1</v>
      </c>
      <c r="S141" s="15" t="b">
        <f>OR(H141='Cocktail Finder'!$B$6,ISBLANK('Cocktail Finder'!$B$6))</f>
        <v>1</v>
      </c>
      <c r="T141" s="15" t="b">
        <f>OR(I141='Cocktail Finder'!$B$8,ISBLANK('Cocktail Finder'!$B$8))</f>
        <v>1</v>
      </c>
      <c r="U141" s="15" t="b">
        <f>OR(J141='Cocktail Finder'!$B$9,ISBLANK('Cocktail Finder'!$B$8))</f>
        <v>1</v>
      </c>
    </row>
    <row r="142" spans="1:21" ht="15.75" customHeight="1" x14ac:dyDescent="0.2">
      <c r="A142" s="19">
        <f t="shared" si="2"/>
        <v>141</v>
      </c>
      <c r="B142" s="19" t="s">
        <v>287</v>
      </c>
      <c r="C142" s="19" t="s">
        <v>265</v>
      </c>
      <c r="D142" s="19"/>
      <c r="E142" s="19"/>
      <c r="F142" s="19" t="s">
        <v>38</v>
      </c>
      <c r="G142" s="19" t="s">
        <v>100</v>
      </c>
      <c r="H142" s="19"/>
      <c r="I142" s="19"/>
      <c r="J142" s="19"/>
      <c r="K142" s="19"/>
      <c r="L142" s="15">
        <f t="shared" si="0"/>
        <v>1</v>
      </c>
      <c r="M142" s="15" t="str">
        <f t="shared" si="1"/>
        <v>Missing Link</v>
      </c>
      <c r="N142" s="15" t="b">
        <f>OR(C142='Cocktail Finder'!$B$2,ISBLANK('Cocktail Finder'!$B$2))</f>
        <v>1</v>
      </c>
      <c r="O142" s="15" t="b">
        <f>OR(D142='Cocktail Finder'!$B$7,ISBLANK('Cocktail Finder'!$B$7))</f>
        <v>1</v>
      </c>
      <c r="P142" s="15" t="b">
        <f>OR(E142='Cocktail Finder'!$B$5,ISBLANK('Cocktail Finder'!$B$5))</f>
        <v>1</v>
      </c>
      <c r="Q142" s="15" t="b">
        <f>OR(F142='Cocktail Finder'!$B$4,ISBLANK('Cocktail Finder'!$B$4))</f>
        <v>1</v>
      </c>
      <c r="R142" s="15" t="b">
        <f>OR(G142='Cocktail Finder'!$B$3,ISBLANK('Cocktail Finder'!$B$3))</f>
        <v>1</v>
      </c>
      <c r="S142" s="15" t="b">
        <f>OR(H142='Cocktail Finder'!$B$6,ISBLANK('Cocktail Finder'!$B$6))</f>
        <v>1</v>
      </c>
      <c r="T142" s="15" t="b">
        <f>OR(I142='Cocktail Finder'!$B$8,ISBLANK('Cocktail Finder'!$B$8))</f>
        <v>1</v>
      </c>
      <c r="U142" s="15" t="b">
        <f>OR(J142='Cocktail Finder'!$B$9,ISBLANK('Cocktail Finder'!$B$8))</f>
        <v>1</v>
      </c>
    </row>
    <row r="143" spans="1:21" ht="15.75" customHeight="1" x14ac:dyDescent="0.2">
      <c r="A143" s="19">
        <f t="shared" si="2"/>
        <v>142</v>
      </c>
      <c r="B143" s="19" t="s">
        <v>331</v>
      </c>
      <c r="C143" s="19" t="s">
        <v>332</v>
      </c>
      <c r="D143" s="19"/>
      <c r="E143" s="19" t="s">
        <v>74</v>
      </c>
      <c r="F143" s="19" t="s">
        <v>38</v>
      </c>
      <c r="G143" s="19" t="s">
        <v>104</v>
      </c>
      <c r="H143" s="19"/>
      <c r="I143" s="19"/>
      <c r="J143" s="19"/>
      <c r="K143" s="19"/>
      <c r="L143" s="15">
        <f t="shared" si="0"/>
        <v>1</v>
      </c>
      <c r="M143" s="15" t="str">
        <f t="shared" si="1"/>
        <v>Modernista</v>
      </c>
      <c r="N143" s="15" t="b">
        <f>OR(C143='Cocktail Finder'!$B$2,ISBLANK('Cocktail Finder'!$B$2))</f>
        <v>1</v>
      </c>
      <c r="O143" s="15" t="b">
        <f>OR(D143='Cocktail Finder'!$B$7,ISBLANK('Cocktail Finder'!$B$7))</f>
        <v>1</v>
      </c>
      <c r="P143" s="15" t="b">
        <f>OR(E143='Cocktail Finder'!$B$5,ISBLANK('Cocktail Finder'!$B$5))</f>
        <v>1</v>
      </c>
      <c r="Q143" s="15" t="b">
        <f>OR(F143='Cocktail Finder'!$B$4,ISBLANK('Cocktail Finder'!$B$4))</f>
        <v>1</v>
      </c>
      <c r="R143" s="15" t="b">
        <f>OR(G143='Cocktail Finder'!$B$3,ISBLANK('Cocktail Finder'!$B$3))</f>
        <v>1</v>
      </c>
      <c r="S143" s="15" t="b">
        <f>OR(H143='Cocktail Finder'!$B$6,ISBLANK('Cocktail Finder'!$B$6))</f>
        <v>1</v>
      </c>
      <c r="T143" s="15" t="b">
        <f>OR(I143='Cocktail Finder'!$B$8,ISBLANK('Cocktail Finder'!$B$8))</f>
        <v>1</v>
      </c>
      <c r="U143" s="15" t="b">
        <f>OR(J143='Cocktail Finder'!$B$9,ISBLANK('Cocktail Finder'!$B$8))</f>
        <v>1</v>
      </c>
    </row>
    <row r="144" spans="1:21" ht="15.75" customHeight="1" x14ac:dyDescent="0.2">
      <c r="A144" s="19">
        <f t="shared" si="2"/>
        <v>143</v>
      </c>
      <c r="B144" s="20" t="s">
        <v>237</v>
      </c>
      <c r="C144" s="20" t="s">
        <v>238</v>
      </c>
      <c r="D144" s="20"/>
      <c r="E144" s="20" t="s">
        <v>62</v>
      </c>
      <c r="F144" s="20"/>
      <c r="G144" s="20"/>
      <c r="H144" s="20"/>
      <c r="I144" s="19" t="s">
        <v>239</v>
      </c>
      <c r="J144" s="26" t="s">
        <v>240</v>
      </c>
      <c r="K144" s="26" t="s">
        <v>241</v>
      </c>
      <c r="L144" s="15">
        <f t="shared" si="0"/>
        <v>1</v>
      </c>
      <c r="M144" s="15" t="str">
        <f t="shared" si="1"/>
        <v>Mojito</v>
      </c>
      <c r="N144" s="15" t="b">
        <f>OR(C144='Cocktail Finder'!$B$2,ISBLANK('Cocktail Finder'!$B$2))</f>
        <v>1</v>
      </c>
      <c r="O144" s="15" t="b">
        <f>OR(D144='Cocktail Finder'!$B$7,ISBLANK('Cocktail Finder'!$B$7))</f>
        <v>1</v>
      </c>
      <c r="P144" s="15" t="b">
        <f>OR(E144='Cocktail Finder'!$B$5,ISBLANK('Cocktail Finder'!$B$5))</f>
        <v>1</v>
      </c>
      <c r="Q144" s="15" t="b">
        <f>OR(F144='Cocktail Finder'!$B$4,ISBLANK('Cocktail Finder'!$B$4))</f>
        <v>1</v>
      </c>
      <c r="R144" s="15" t="b">
        <f>OR(G144='Cocktail Finder'!$B$3,ISBLANK('Cocktail Finder'!$B$3))</f>
        <v>1</v>
      </c>
      <c r="S144" s="15" t="b">
        <f>OR(H144='Cocktail Finder'!$B$6,ISBLANK('Cocktail Finder'!$B$6))</f>
        <v>1</v>
      </c>
      <c r="T144" s="15" t="b">
        <f>OR(I144='Cocktail Finder'!$B$8,ISBLANK('Cocktail Finder'!$B$8))</f>
        <v>1</v>
      </c>
      <c r="U144" s="15" t="b">
        <f>OR(J144='Cocktail Finder'!$B$9,ISBLANK('Cocktail Finder'!$B$8))</f>
        <v>1</v>
      </c>
    </row>
    <row r="145" spans="1:21" ht="15.75" customHeight="1" x14ac:dyDescent="0.2">
      <c r="A145" s="19">
        <f t="shared" si="2"/>
        <v>144</v>
      </c>
      <c r="B145" s="20" t="s">
        <v>364</v>
      </c>
      <c r="C145" s="20" t="s">
        <v>357</v>
      </c>
      <c r="D145" s="20"/>
      <c r="E145" s="20" t="s">
        <v>270</v>
      </c>
      <c r="F145" s="20"/>
      <c r="G145" s="20"/>
      <c r="H145" s="20"/>
      <c r="I145" s="19"/>
      <c r="J145" s="20"/>
      <c r="K145" s="20"/>
      <c r="L145" s="15">
        <f t="shared" si="0"/>
        <v>1</v>
      </c>
      <c r="M145" s="15" t="str">
        <f t="shared" si="1"/>
        <v>Moscow Mule</v>
      </c>
      <c r="N145" s="15" t="b">
        <f>OR(C145='Cocktail Finder'!$B$2,ISBLANK('Cocktail Finder'!$B$2))</f>
        <v>1</v>
      </c>
      <c r="O145" s="15" t="b">
        <f>OR(D145='Cocktail Finder'!$B$7,ISBLANK('Cocktail Finder'!$B$7))</f>
        <v>1</v>
      </c>
      <c r="P145" s="15" t="b">
        <f>OR(E145='Cocktail Finder'!$B$5,ISBLANK('Cocktail Finder'!$B$5))</f>
        <v>1</v>
      </c>
      <c r="Q145" s="15" t="b">
        <f>OR(F145='Cocktail Finder'!$B$4,ISBLANK('Cocktail Finder'!$B$4))</f>
        <v>1</v>
      </c>
      <c r="R145" s="15" t="b">
        <f>OR(G145='Cocktail Finder'!$B$3,ISBLANK('Cocktail Finder'!$B$3))</f>
        <v>1</v>
      </c>
      <c r="S145" s="15" t="b">
        <f>OR(H145='Cocktail Finder'!$B$6,ISBLANK('Cocktail Finder'!$B$6))</f>
        <v>1</v>
      </c>
      <c r="T145" s="15" t="b">
        <f>OR(I145='Cocktail Finder'!$B$8,ISBLANK('Cocktail Finder'!$B$8))</f>
        <v>1</v>
      </c>
      <c r="U145" s="15" t="b">
        <f>OR(J145='Cocktail Finder'!$B$9,ISBLANK('Cocktail Finder'!$B$8))</f>
        <v>1</v>
      </c>
    </row>
    <row r="146" spans="1:21" ht="15.75" customHeight="1" x14ac:dyDescent="0.2">
      <c r="A146" s="19">
        <f t="shared" si="2"/>
        <v>145</v>
      </c>
      <c r="B146" s="19" t="s">
        <v>286</v>
      </c>
      <c r="C146" s="19" t="s">
        <v>265</v>
      </c>
      <c r="D146" s="19"/>
      <c r="E146" s="19"/>
      <c r="F146" s="19" t="s">
        <v>90</v>
      </c>
      <c r="G146" s="19" t="s">
        <v>100</v>
      </c>
      <c r="H146" s="19"/>
      <c r="I146" s="19"/>
      <c r="J146" s="19"/>
      <c r="K146" s="19"/>
      <c r="L146" s="15">
        <f t="shared" si="0"/>
        <v>1</v>
      </c>
      <c r="M146" s="15" t="str">
        <f t="shared" si="1"/>
        <v>Mount Gay Rumrita</v>
      </c>
      <c r="N146" s="15" t="b">
        <f>OR(C146='Cocktail Finder'!$B$2,ISBLANK('Cocktail Finder'!$B$2))</f>
        <v>1</v>
      </c>
      <c r="O146" s="15" t="b">
        <f>OR(D146='Cocktail Finder'!$B$7,ISBLANK('Cocktail Finder'!$B$7))</f>
        <v>1</v>
      </c>
      <c r="P146" s="15" t="b">
        <f>OR(E146='Cocktail Finder'!$B$5,ISBLANK('Cocktail Finder'!$B$5))</f>
        <v>1</v>
      </c>
      <c r="Q146" s="15" t="b">
        <f>OR(F146='Cocktail Finder'!$B$4,ISBLANK('Cocktail Finder'!$B$4))</f>
        <v>1</v>
      </c>
      <c r="R146" s="15" t="b">
        <f>OR(G146='Cocktail Finder'!$B$3,ISBLANK('Cocktail Finder'!$B$3))</f>
        <v>1</v>
      </c>
      <c r="S146" s="15" t="b">
        <f>OR(H146='Cocktail Finder'!$B$6,ISBLANK('Cocktail Finder'!$B$6))</f>
        <v>1</v>
      </c>
      <c r="T146" s="15" t="b">
        <f>OR(I146='Cocktail Finder'!$B$8,ISBLANK('Cocktail Finder'!$B$8))</f>
        <v>1</v>
      </c>
      <c r="U146" s="15" t="b">
        <f>OR(J146='Cocktail Finder'!$B$9,ISBLANK('Cocktail Finder'!$B$8))</f>
        <v>1</v>
      </c>
    </row>
    <row r="147" spans="1:21" ht="15.75" customHeight="1" x14ac:dyDescent="0.2">
      <c r="A147" s="19">
        <f t="shared" si="2"/>
        <v>146</v>
      </c>
      <c r="B147" s="19" t="s">
        <v>271</v>
      </c>
      <c r="C147" s="19" t="s">
        <v>265</v>
      </c>
      <c r="D147" s="19"/>
      <c r="E147" s="19"/>
      <c r="F147" s="19" t="s">
        <v>134</v>
      </c>
      <c r="G147" s="19"/>
      <c r="H147" s="19"/>
      <c r="I147" s="19" t="s">
        <v>239</v>
      </c>
      <c r="J147" s="19"/>
      <c r="K147" s="19"/>
      <c r="L147" s="15">
        <f t="shared" si="0"/>
        <v>1</v>
      </c>
      <c r="M147" s="15" t="str">
        <f t="shared" si="1"/>
        <v>Muddy Waters</v>
      </c>
      <c r="N147" s="15" t="b">
        <f>OR(C147='Cocktail Finder'!$B$2,ISBLANK('Cocktail Finder'!$B$2))</f>
        <v>1</v>
      </c>
      <c r="O147" s="15" t="b">
        <f>OR(D147='Cocktail Finder'!$B$7,ISBLANK('Cocktail Finder'!$B$7))</f>
        <v>1</v>
      </c>
      <c r="P147" s="15" t="b">
        <f>OR(E147='Cocktail Finder'!$B$5,ISBLANK('Cocktail Finder'!$B$5))</f>
        <v>1</v>
      </c>
      <c r="Q147" s="15" t="b">
        <f>OR(F147='Cocktail Finder'!$B$4,ISBLANK('Cocktail Finder'!$B$4))</f>
        <v>1</v>
      </c>
      <c r="R147" s="15" t="b">
        <f>OR(G147='Cocktail Finder'!$B$3,ISBLANK('Cocktail Finder'!$B$3))</f>
        <v>1</v>
      </c>
      <c r="S147" s="15" t="b">
        <f>OR(H147='Cocktail Finder'!$B$6,ISBLANK('Cocktail Finder'!$B$6))</f>
        <v>1</v>
      </c>
      <c r="T147" s="15" t="b">
        <f>OR(I147='Cocktail Finder'!$B$8,ISBLANK('Cocktail Finder'!$B$8))</f>
        <v>1</v>
      </c>
      <c r="U147" s="15" t="b">
        <f>OR(J147='Cocktail Finder'!$B$9,ISBLANK('Cocktail Finder'!$B$8))</f>
        <v>1</v>
      </c>
    </row>
    <row r="148" spans="1:21" ht="15.75" customHeight="1" x14ac:dyDescent="0.2">
      <c r="A148" s="19">
        <f t="shared" si="2"/>
        <v>147</v>
      </c>
      <c r="B148" s="19" t="s">
        <v>362</v>
      </c>
      <c r="C148" s="19" t="s">
        <v>357</v>
      </c>
      <c r="D148" s="19"/>
      <c r="E148" s="19"/>
      <c r="F148" s="19"/>
      <c r="G148" s="19" t="s">
        <v>36</v>
      </c>
      <c r="H148" s="19"/>
      <c r="I148" s="19"/>
      <c r="J148" s="19"/>
      <c r="K148" s="19"/>
      <c r="L148" s="15">
        <f t="shared" si="0"/>
        <v>1</v>
      </c>
      <c r="M148" s="15" t="str">
        <f t="shared" si="1"/>
        <v>Mudslide</v>
      </c>
      <c r="N148" s="15" t="b">
        <f>OR(C148='Cocktail Finder'!$B$2,ISBLANK('Cocktail Finder'!$B$2))</f>
        <v>1</v>
      </c>
      <c r="O148" s="15" t="b">
        <f>OR(D148='Cocktail Finder'!$B$7,ISBLANK('Cocktail Finder'!$B$7))</f>
        <v>1</v>
      </c>
      <c r="P148" s="15" t="b">
        <f>OR(E148='Cocktail Finder'!$B$5,ISBLANK('Cocktail Finder'!$B$5))</f>
        <v>1</v>
      </c>
      <c r="Q148" s="15" t="b">
        <f>OR(F148='Cocktail Finder'!$B$4,ISBLANK('Cocktail Finder'!$B$4))</f>
        <v>1</v>
      </c>
      <c r="R148" s="15" t="b">
        <f>OR(G148='Cocktail Finder'!$B$3,ISBLANK('Cocktail Finder'!$B$3))</f>
        <v>1</v>
      </c>
      <c r="S148" s="15" t="b">
        <f>OR(H148='Cocktail Finder'!$B$6,ISBLANK('Cocktail Finder'!$B$6))</f>
        <v>1</v>
      </c>
      <c r="T148" s="15" t="b">
        <f>OR(I148='Cocktail Finder'!$B$8,ISBLANK('Cocktail Finder'!$B$8))</f>
        <v>1</v>
      </c>
      <c r="U148" s="15" t="b">
        <f>OR(J148='Cocktail Finder'!$B$9,ISBLANK('Cocktail Finder'!$B$8))</f>
        <v>1</v>
      </c>
    </row>
    <row r="149" spans="1:21" ht="15.75" customHeight="1" x14ac:dyDescent="0.2">
      <c r="A149" s="19">
        <f t="shared" si="2"/>
        <v>148</v>
      </c>
      <c r="B149" s="19" t="s">
        <v>56</v>
      </c>
      <c r="C149" s="19" t="s">
        <v>47</v>
      </c>
      <c r="D149" s="19"/>
      <c r="E149" s="19"/>
      <c r="F149" s="19" t="s">
        <v>38</v>
      </c>
      <c r="G149" s="19" t="s">
        <v>57</v>
      </c>
      <c r="H149" s="19"/>
      <c r="I149" s="19"/>
      <c r="J149" s="19"/>
      <c r="K149" s="19"/>
      <c r="L149" s="15">
        <f t="shared" si="0"/>
        <v>1</v>
      </c>
      <c r="M149" s="15" t="str">
        <f t="shared" si="1"/>
        <v>New Jersey Squirrel</v>
      </c>
      <c r="N149" s="15" t="b">
        <f>OR(C149='Cocktail Finder'!$B$2,ISBLANK('Cocktail Finder'!$B$2))</f>
        <v>1</v>
      </c>
      <c r="O149" s="15" t="b">
        <f>OR(D149='Cocktail Finder'!$B$7,ISBLANK('Cocktail Finder'!$B$7))</f>
        <v>1</v>
      </c>
      <c r="P149" s="15" t="b">
        <f>OR(E149='Cocktail Finder'!$B$5,ISBLANK('Cocktail Finder'!$B$5))</f>
        <v>1</v>
      </c>
      <c r="Q149" s="15" t="b">
        <f>OR(F149='Cocktail Finder'!$B$4,ISBLANK('Cocktail Finder'!$B$4))</f>
        <v>1</v>
      </c>
      <c r="R149" s="15" t="b">
        <f>OR(G149='Cocktail Finder'!$B$3,ISBLANK('Cocktail Finder'!$B$3))</f>
        <v>1</v>
      </c>
      <c r="S149" s="15" t="b">
        <f>OR(H149='Cocktail Finder'!$B$6,ISBLANK('Cocktail Finder'!$B$6))</f>
        <v>1</v>
      </c>
      <c r="T149" s="15" t="b">
        <f>OR(I149='Cocktail Finder'!$B$8,ISBLANK('Cocktail Finder'!$B$8))</f>
        <v>1</v>
      </c>
      <c r="U149" s="15" t="b">
        <f>OR(J149='Cocktail Finder'!$B$9,ISBLANK('Cocktail Finder'!$B$8))</f>
        <v>1</v>
      </c>
    </row>
    <row r="150" spans="1:21" ht="15.75" customHeight="1" x14ac:dyDescent="0.2">
      <c r="A150" s="19">
        <f t="shared" si="2"/>
        <v>149</v>
      </c>
      <c r="B150" s="19" t="s">
        <v>278</v>
      </c>
      <c r="C150" s="19" t="s">
        <v>265</v>
      </c>
      <c r="D150" s="19"/>
      <c r="E150" s="19" t="s">
        <v>86</v>
      </c>
      <c r="F150" s="19" t="s">
        <v>90</v>
      </c>
      <c r="G150" s="19"/>
      <c r="H150" s="19"/>
      <c r="I150" s="19"/>
      <c r="J150" s="19"/>
      <c r="K150" s="19"/>
      <c r="L150" s="15">
        <f t="shared" si="0"/>
        <v>1</v>
      </c>
      <c r="M150" s="15" t="str">
        <f t="shared" si="1"/>
        <v>Old San Juan Sour</v>
      </c>
      <c r="N150" s="15" t="b">
        <f>OR(C150='Cocktail Finder'!$B$2,ISBLANK('Cocktail Finder'!$B$2))</f>
        <v>1</v>
      </c>
      <c r="O150" s="15" t="b">
        <f>OR(D150='Cocktail Finder'!$B$7,ISBLANK('Cocktail Finder'!$B$7))</f>
        <v>1</v>
      </c>
      <c r="P150" s="15" t="b">
        <f>OR(E150='Cocktail Finder'!$B$5,ISBLANK('Cocktail Finder'!$B$5))</f>
        <v>1</v>
      </c>
      <c r="Q150" s="15" t="b">
        <f>OR(F150='Cocktail Finder'!$B$4,ISBLANK('Cocktail Finder'!$B$4))</f>
        <v>1</v>
      </c>
      <c r="R150" s="15" t="b">
        <f>OR(G150='Cocktail Finder'!$B$3,ISBLANK('Cocktail Finder'!$B$3))</f>
        <v>1</v>
      </c>
      <c r="S150" s="15" t="b">
        <f>OR(H150='Cocktail Finder'!$B$6,ISBLANK('Cocktail Finder'!$B$6))</f>
        <v>1</v>
      </c>
      <c r="T150" s="15" t="b">
        <f>OR(I150='Cocktail Finder'!$B$8,ISBLANK('Cocktail Finder'!$B$8))</f>
        <v>1</v>
      </c>
      <c r="U150" s="15" t="b">
        <f>OR(J150='Cocktail Finder'!$B$9,ISBLANK('Cocktail Finder'!$B$8))</f>
        <v>1</v>
      </c>
    </row>
    <row r="151" spans="1:21" ht="15.75" customHeight="1" x14ac:dyDescent="0.2">
      <c r="A151" s="19">
        <f t="shared" si="2"/>
        <v>150</v>
      </c>
      <c r="B151" s="19" t="s">
        <v>243</v>
      </c>
      <c r="C151" s="19" t="s">
        <v>244</v>
      </c>
      <c r="D151" s="19"/>
      <c r="E151" s="19" t="s">
        <v>86</v>
      </c>
      <c r="F151" s="19" t="s">
        <v>38</v>
      </c>
      <c r="G151" s="19"/>
      <c r="H151" s="19"/>
      <c r="I151" s="19"/>
      <c r="J151" s="19"/>
      <c r="K151" s="19"/>
      <c r="L151" s="15">
        <f t="shared" si="0"/>
        <v>1</v>
      </c>
      <c r="M151" s="15" t="str">
        <f t="shared" si="1"/>
        <v>OP Lemonade</v>
      </c>
      <c r="N151" s="15" t="b">
        <f>OR(C151='Cocktail Finder'!$B$2,ISBLANK('Cocktail Finder'!$B$2))</f>
        <v>1</v>
      </c>
      <c r="O151" s="15" t="b">
        <f>OR(D151='Cocktail Finder'!$B$7,ISBLANK('Cocktail Finder'!$B$7))</f>
        <v>1</v>
      </c>
      <c r="P151" s="15" t="b">
        <f>OR(E151='Cocktail Finder'!$B$5,ISBLANK('Cocktail Finder'!$B$5))</f>
        <v>1</v>
      </c>
      <c r="Q151" s="15" t="b">
        <f>OR(F151='Cocktail Finder'!$B$4,ISBLANK('Cocktail Finder'!$B$4))</f>
        <v>1</v>
      </c>
      <c r="R151" s="15" t="b">
        <f>OR(G151='Cocktail Finder'!$B$3,ISBLANK('Cocktail Finder'!$B$3))</f>
        <v>1</v>
      </c>
      <c r="S151" s="15" t="b">
        <f>OR(H151='Cocktail Finder'!$B$6,ISBLANK('Cocktail Finder'!$B$6))</f>
        <v>1</v>
      </c>
      <c r="T151" s="15" t="b">
        <f>OR(I151='Cocktail Finder'!$B$8,ISBLANK('Cocktail Finder'!$B$8))</f>
        <v>1</v>
      </c>
      <c r="U151" s="15" t="b">
        <f>OR(J151='Cocktail Finder'!$B$9,ISBLANK('Cocktail Finder'!$B$8))</f>
        <v>1</v>
      </c>
    </row>
    <row r="152" spans="1:21" ht="15.75" customHeight="1" x14ac:dyDescent="0.2">
      <c r="A152" s="19">
        <f t="shared" si="2"/>
        <v>151</v>
      </c>
      <c r="B152" s="19" t="s">
        <v>310</v>
      </c>
      <c r="C152" s="19" t="s">
        <v>300</v>
      </c>
      <c r="D152" s="19"/>
      <c r="E152" s="19"/>
      <c r="F152" s="19" t="s">
        <v>38</v>
      </c>
      <c r="G152" s="19" t="s">
        <v>100</v>
      </c>
      <c r="H152" s="19"/>
      <c r="I152" s="19"/>
      <c r="J152" s="19"/>
      <c r="K152" s="19"/>
      <c r="L152" s="15">
        <f t="shared" si="0"/>
        <v>1</v>
      </c>
      <c r="M152" s="15" t="str">
        <f t="shared" si="1"/>
        <v>Oriental Cocktail</v>
      </c>
      <c r="N152" s="15" t="b">
        <f>OR(C152='Cocktail Finder'!$B$2,ISBLANK('Cocktail Finder'!$B$2))</f>
        <v>1</v>
      </c>
      <c r="O152" s="15" t="b">
        <f>OR(D152='Cocktail Finder'!$B$7,ISBLANK('Cocktail Finder'!$B$7))</f>
        <v>1</v>
      </c>
      <c r="P152" s="15" t="b">
        <f>OR(E152='Cocktail Finder'!$B$5,ISBLANK('Cocktail Finder'!$B$5))</f>
        <v>1</v>
      </c>
      <c r="Q152" s="15" t="b">
        <f>OR(F152='Cocktail Finder'!$B$4,ISBLANK('Cocktail Finder'!$B$4))</f>
        <v>1</v>
      </c>
      <c r="R152" s="15" t="b">
        <f>OR(G152='Cocktail Finder'!$B$3,ISBLANK('Cocktail Finder'!$B$3))</f>
        <v>1</v>
      </c>
      <c r="S152" s="15" t="b">
        <f>OR(H152='Cocktail Finder'!$B$6,ISBLANK('Cocktail Finder'!$B$6))</f>
        <v>1</v>
      </c>
      <c r="T152" s="15" t="b">
        <f>OR(I152='Cocktail Finder'!$B$8,ISBLANK('Cocktail Finder'!$B$8))</f>
        <v>1</v>
      </c>
      <c r="U152" s="15" t="b">
        <f>OR(J152='Cocktail Finder'!$B$9,ISBLANK('Cocktail Finder'!$B$8))</f>
        <v>1</v>
      </c>
    </row>
    <row r="153" spans="1:21" ht="15.75" customHeight="1" x14ac:dyDescent="0.2">
      <c r="A153" s="19">
        <f t="shared" si="2"/>
        <v>152</v>
      </c>
      <c r="B153" s="19" t="s">
        <v>218</v>
      </c>
      <c r="C153" s="19" t="s">
        <v>219</v>
      </c>
      <c r="D153" s="19"/>
      <c r="E153" s="19"/>
      <c r="F153" s="19"/>
      <c r="G153" s="19" t="s">
        <v>173</v>
      </c>
      <c r="H153" s="19"/>
      <c r="I153" s="19"/>
      <c r="J153" s="19"/>
      <c r="K153" s="19"/>
      <c r="L153" s="15">
        <f t="shared" si="0"/>
        <v>1</v>
      </c>
      <c r="M153" s="15" t="str">
        <f t="shared" si="1"/>
        <v>Pacific Rim</v>
      </c>
      <c r="N153" s="15" t="b">
        <f>OR(C153='Cocktail Finder'!$B$2,ISBLANK('Cocktail Finder'!$B$2))</f>
        <v>1</v>
      </c>
      <c r="O153" s="15" t="b">
        <f>OR(D153='Cocktail Finder'!$B$7,ISBLANK('Cocktail Finder'!$B$7))</f>
        <v>1</v>
      </c>
      <c r="P153" s="15" t="b">
        <f>OR(E153='Cocktail Finder'!$B$5,ISBLANK('Cocktail Finder'!$B$5))</f>
        <v>1</v>
      </c>
      <c r="Q153" s="15" t="b">
        <f>OR(F153='Cocktail Finder'!$B$4,ISBLANK('Cocktail Finder'!$B$4))</f>
        <v>1</v>
      </c>
      <c r="R153" s="15" t="b">
        <f>OR(G153='Cocktail Finder'!$B$3,ISBLANK('Cocktail Finder'!$B$3))</f>
        <v>1</v>
      </c>
      <c r="S153" s="15" t="b">
        <f>OR(H153='Cocktail Finder'!$B$6,ISBLANK('Cocktail Finder'!$B$6))</f>
        <v>1</v>
      </c>
      <c r="T153" s="15" t="b">
        <f>OR(I153='Cocktail Finder'!$B$8,ISBLANK('Cocktail Finder'!$B$8))</f>
        <v>1</v>
      </c>
      <c r="U153" s="15" t="b">
        <f>OR(J153='Cocktail Finder'!$B$9,ISBLANK('Cocktail Finder'!$B$8))</f>
        <v>1</v>
      </c>
    </row>
    <row r="154" spans="1:21" ht="15.75" customHeight="1" x14ac:dyDescent="0.2">
      <c r="A154" s="19">
        <f t="shared" si="2"/>
        <v>153</v>
      </c>
      <c r="B154" s="19" t="s">
        <v>228</v>
      </c>
      <c r="C154" s="19" t="s">
        <v>229</v>
      </c>
      <c r="D154" s="19"/>
      <c r="E154" s="19" t="s">
        <v>66</v>
      </c>
      <c r="F154" s="19"/>
      <c r="G154" s="19" t="s">
        <v>48</v>
      </c>
      <c r="H154" s="19"/>
      <c r="I154" s="19"/>
      <c r="J154" s="19"/>
      <c r="K154" s="19"/>
      <c r="L154" s="15">
        <f t="shared" si="0"/>
        <v>1</v>
      </c>
      <c r="M154" s="15" t="str">
        <f t="shared" si="1"/>
        <v>Paddy Cocktail</v>
      </c>
      <c r="N154" s="15" t="b">
        <f>OR(C154='Cocktail Finder'!$B$2,ISBLANK('Cocktail Finder'!$B$2))</f>
        <v>1</v>
      </c>
      <c r="O154" s="15" t="b">
        <f>OR(D154='Cocktail Finder'!$B$7,ISBLANK('Cocktail Finder'!$B$7))</f>
        <v>1</v>
      </c>
      <c r="P154" s="15" t="b">
        <f>OR(E154='Cocktail Finder'!$B$5,ISBLANK('Cocktail Finder'!$B$5))</f>
        <v>1</v>
      </c>
      <c r="Q154" s="15" t="b">
        <f>OR(F154='Cocktail Finder'!$B$4,ISBLANK('Cocktail Finder'!$B$4))</f>
        <v>1</v>
      </c>
      <c r="R154" s="15" t="b">
        <f>OR(G154='Cocktail Finder'!$B$3,ISBLANK('Cocktail Finder'!$B$3))</f>
        <v>1</v>
      </c>
      <c r="S154" s="15" t="b">
        <f>OR(H154='Cocktail Finder'!$B$6,ISBLANK('Cocktail Finder'!$B$6))</f>
        <v>1</v>
      </c>
      <c r="T154" s="15" t="b">
        <f>OR(I154='Cocktail Finder'!$B$8,ISBLANK('Cocktail Finder'!$B$8))</f>
        <v>1</v>
      </c>
      <c r="U154" s="15" t="b">
        <f>OR(J154='Cocktail Finder'!$B$9,ISBLANK('Cocktail Finder'!$B$8))</f>
        <v>1</v>
      </c>
    </row>
    <row r="155" spans="1:21" ht="15.75" customHeight="1" x14ac:dyDescent="0.2">
      <c r="A155" s="19">
        <f t="shared" si="2"/>
        <v>154</v>
      </c>
      <c r="B155" s="19" t="s">
        <v>166</v>
      </c>
      <c r="C155" s="18" t="s">
        <v>148</v>
      </c>
      <c r="D155" s="19"/>
      <c r="E155" s="19"/>
      <c r="F155" s="19" t="s">
        <v>38</v>
      </c>
      <c r="G155" s="19" t="s">
        <v>60</v>
      </c>
      <c r="H155" s="24" t="s">
        <v>126</v>
      </c>
      <c r="I155" s="19"/>
      <c r="J155" s="19"/>
      <c r="K155" s="19"/>
      <c r="L155" s="15">
        <f t="shared" si="0"/>
        <v>1</v>
      </c>
      <c r="M155" s="15" t="str">
        <f t="shared" si="1"/>
        <v>Paradise Cocktail</v>
      </c>
      <c r="N155" s="15" t="b">
        <f>OR(C155='Cocktail Finder'!$B$2,ISBLANK('Cocktail Finder'!$B$2))</f>
        <v>1</v>
      </c>
      <c r="O155" s="15" t="b">
        <f>OR(D155='Cocktail Finder'!$B$7,ISBLANK('Cocktail Finder'!$B$7))</f>
        <v>1</v>
      </c>
      <c r="P155" s="15" t="b">
        <f>OR(E155='Cocktail Finder'!$B$5,ISBLANK('Cocktail Finder'!$B$5))</f>
        <v>1</v>
      </c>
      <c r="Q155" s="15" t="b">
        <f>OR(F155='Cocktail Finder'!$B$4,ISBLANK('Cocktail Finder'!$B$4))</f>
        <v>1</v>
      </c>
      <c r="R155" s="15" t="b">
        <f>OR(G155='Cocktail Finder'!$B$3,ISBLANK('Cocktail Finder'!$B$3))</f>
        <v>1</v>
      </c>
      <c r="S155" s="15" t="b">
        <f>OR(H155='Cocktail Finder'!$B$6,ISBLANK('Cocktail Finder'!$B$6))</f>
        <v>1</v>
      </c>
      <c r="T155" s="15" t="b">
        <f>OR(I155='Cocktail Finder'!$B$8,ISBLANK('Cocktail Finder'!$B$8))</f>
        <v>1</v>
      </c>
      <c r="U155" s="15" t="b">
        <f>OR(J155='Cocktail Finder'!$B$9,ISBLANK('Cocktail Finder'!$B$8))</f>
        <v>1</v>
      </c>
    </row>
    <row r="156" spans="1:21" ht="15.75" customHeight="1" x14ac:dyDescent="0.2">
      <c r="A156" s="19">
        <f t="shared" si="2"/>
        <v>155</v>
      </c>
      <c r="B156" s="19" t="s">
        <v>175</v>
      </c>
      <c r="C156" s="18" t="s">
        <v>148</v>
      </c>
      <c r="D156" s="19"/>
      <c r="E156" s="19" t="s">
        <v>66</v>
      </c>
      <c r="F156" s="23" t="s">
        <v>90</v>
      </c>
      <c r="G156" s="23" t="s">
        <v>100</v>
      </c>
      <c r="H156" s="19"/>
      <c r="I156" s="19"/>
      <c r="J156" s="24" t="s">
        <v>74</v>
      </c>
      <c r="K156" s="19"/>
      <c r="L156" s="15">
        <f t="shared" si="0"/>
        <v>1</v>
      </c>
      <c r="M156" s="15" t="str">
        <f t="shared" si="1"/>
        <v>Pegu Club Cocktail</v>
      </c>
      <c r="N156" s="15" t="b">
        <f>OR(C156='Cocktail Finder'!$B$2,ISBLANK('Cocktail Finder'!$B$2))</f>
        <v>1</v>
      </c>
      <c r="O156" s="15" t="b">
        <f>OR(D156='Cocktail Finder'!$B$7,ISBLANK('Cocktail Finder'!$B$7))</f>
        <v>1</v>
      </c>
      <c r="P156" s="15" t="b">
        <f>OR(E156='Cocktail Finder'!$B$5,ISBLANK('Cocktail Finder'!$B$5))</f>
        <v>1</v>
      </c>
      <c r="Q156" s="15" t="b">
        <f>OR(F156='Cocktail Finder'!$B$4,ISBLANK('Cocktail Finder'!$B$4))</f>
        <v>1</v>
      </c>
      <c r="R156" s="15" t="b">
        <f>OR(G156='Cocktail Finder'!$B$3,ISBLANK('Cocktail Finder'!$B$3))</f>
        <v>1</v>
      </c>
      <c r="S156" s="15" t="b">
        <f>OR(H156='Cocktail Finder'!$B$6,ISBLANK('Cocktail Finder'!$B$6))</f>
        <v>1</v>
      </c>
      <c r="T156" s="15" t="b">
        <f>OR(I156='Cocktail Finder'!$B$8,ISBLANK('Cocktail Finder'!$B$8))</f>
        <v>1</v>
      </c>
      <c r="U156" s="15" t="b">
        <f>OR(J156='Cocktail Finder'!$B$9,ISBLANK('Cocktail Finder'!$B$8))</f>
        <v>1</v>
      </c>
    </row>
    <row r="157" spans="1:21" ht="15.75" customHeight="1" x14ac:dyDescent="0.2">
      <c r="A157" s="19">
        <f t="shared" si="2"/>
        <v>156</v>
      </c>
      <c r="B157" s="19" t="s">
        <v>103</v>
      </c>
      <c r="C157" s="19" t="s">
        <v>49</v>
      </c>
      <c r="D157" s="19"/>
      <c r="E157" s="19"/>
      <c r="F157" s="19"/>
      <c r="G157" s="19" t="s">
        <v>53</v>
      </c>
      <c r="H157" s="19"/>
      <c r="I157" s="19"/>
      <c r="J157" s="19"/>
      <c r="K157" s="19"/>
      <c r="L157" s="15">
        <f t="shared" si="0"/>
        <v>1</v>
      </c>
      <c r="M157" s="15" t="str">
        <f t="shared" si="1"/>
        <v>Phoebe Snow Cocktail</v>
      </c>
      <c r="N157" s="15" t="b">
        <f>OR(C157='Cocktail Finder'!$B$2,ISBLANK('Cocktail Finder'!$B$2))</f>
        <v>1</v>
      </c>
      <c r="O157" s="15" t="b">
        <f>OR(D157='Cocktail Finder'!$B$7,ISBLANK('Cocktail Finder'!$B$7))</f>
        <v>1</v>
      </c>
      <c r="P157" s="15" t="b">
        <f>OR(E157='Cocktail Finder'!$B$5,ISBLANK('Cocktail Finder'!$B$5))</f>
        <v>1</v>
      </c>
      <c r="Q157" s="15" t="b">
        <f>OR(F157='Cocktail Finder'!$B$4,ISBLANK('Cocktail Finder'!$B$4))</f>
        <v>1</v>
      </c>
      <c r="R157" s="15" t="b">
        <f>OR(G157='Cocktail Finder'!$B$3,ISBLANK('Cocktail Finder'!$B$3))</f>
        <v>1</v>
      </c>
      <c r="S157" s="15" t="b">
        <f>OR(H157='Cocktail Finder'!$B$6,ISBLANK('Cocktail Finder'!$B$6))</f>
        <v>1</v>
      </c>
      <c r="T157" s="15" t="b">
        <f>OR(I157='Cocktail Finder'!$B$8,ISBLANK('Cocktail Finder'!$B$8))</f>
        <v>1</v>
      </c>
      <c r="U157" s="15" t="b">
        <f>OR(J157='Cocktail Finder'!$B$9,ISBLANK('Cocktail Finder'!$B$8))</f>
        <v>1</v>
      </c>
    </row>
    <row r="158" spans="1:21" ht="15.75" customHeight="1" x14ac:dyDescent="0.2">
      <c r="A158" s="19">
        <f t="shared" si="2"/>
        <v>157</v>
      </c>
      <c r="B158" s="19" t="s">
        <v>254</v>
      </c>
      <c r="C158" s="19" t="s">
        <v>255</v>
      </c>
      <c r="D158" s="19"/>
      <c r="E158" s="19" t="s">
        <v>256</v>
      </c>
      <c r="F158" s="19"/>
      <c r="G158" s="19"/>
      <c r="H158" s="19"/>
      <c r="I158" s="19"/>
      <c r="J158" s="19"/>
      <c r="K158" s="19"/>
      <c r="L158" s="15">
        <f t="shared" si="0"/>
        <v>1</v>
      </c>
      <c r="M158" s="15" t="str">
        <f t="shared" si="1"/>
        <v>Pimm's Cup</v>
      </c>
      <c r="N158" s="15" t="b">
        <f>OR(C158='Cocktail Finder'!$B$2,ISBLANK('Cocktail Finder'!$B$2))</f>
        <v>1</v>
      </c>
      <c r="O158" s="15" t="b">
        <f>OR(D158='Cocktail Finder'!$B$7,ISBLANK('Cocktail Finder'!$B$7))</f>
        <v>1</v>
      </c>
      <c r="P158" s="15" t="b">
        <f>OR(E158='Cocktail Finder'!$B$5,ISBLANK('Cocktail Finder'!$B$5))</f>
        <v>1</v>
      </c>
      <c r="Q158" s="15" t="b">
        <f>OR(F158='Cocktail Finder'!$B$4,ISBLANK('Cocktail Finder'!$B$4))</f>
        <v>1</v>
      </c>
      <c r="R158" s="15" t="b">
        <f>OR(G158='Cocktail Finder'!$B$3,ISBLANK('Cocktail Finder'!$B$3))</f>
        <v>1</v>
      </c>
      <c r="S158" s="15" t="b">
        <f>OR(H158='Cocktail Finder'!$B$6,ISBLANK('Cocktail Finder'!$B$6))</f>
        <v>1</v>
      </c>
      <c r="T158" s="15" t="b">
        <f>OR(I158='Cocktail Finder'!$B$8,ISBLANK('Cocktail Finder'!$B$8))</f>
        <v>1</v>
      </c>
      <c r="U158" s="15" t="b">
        <f>OR(J158='Cocktail Finder'!$B$9,ISBLANK('Cocktail Finder'!$B$8))</f>
        <v>1</v>
      </c>
    </row>
    <row r="159" spans="1:21" ht="15.75" customHeight="1" x14ac:dyDescent="0.2">
      <c r="A159" s="19">
        <f t="shared" si="2"/>
        <v>158</v>
      </c>
      <c r="B159" s="19" t="s">
        <v>142</v>
      </c>
      <c r="C159" s="19" t="s">
        <v>57</v>
      </c>
      <c r="D159" s="19"/>
      <c r="E159" s="19" t="s">
        <v>32</v>
      </c>
      <c r="F159" s="19"/>
      <c r="G159" s="19" t="s">
        <v>31</v>
      </c>
      <c r="H159" s="19"/>
      <c r="I159" s="19"/>
      <c r="J159" s="19"/>
      <c r="K159" s="19"/>
      <c r="L159" s="15">
        <f t="shared" si="0"/>
        <v>1</v>
      </c>
      <c r="M159" s="15" t="str">
        <f t="shared" si="1"/>
        <v>Pink Squirrel</v>
      </c>
      <c r="N159" s="15" t="b">
        <f>OR(C159='Cocktail Finder'!$B$2,ISBLANK('Cocktail Finder'!$B$2))</f>
        <v>1</v>
      </c>
      <c r="O159" s="15" t="b">
        <f>OR(D159='Cocktail Finder'!$B$7,ISBLANK('Cocktail Finder'!$B$7))</f>
        <v>1</v>
      </c>
      <c r="P159" s="15" t="b">
        <f>OR(E159='Cocktail Finder'!$B$5,ISBLANK('Cocktail Finder'!$B$5))</f>
        <v>1</v>
      </c>
      <c r="Q159" s="15" t="b">
        <f>OR(F159='Cocktail Finder'!$B$4,ISBLANK('Cocktail Finder'!$B$4))</f>
        <v>1</v>
      </c>
      <c r="R159" s="15" t="b">
        <f>OR(G159='Cocktail Finder'!$B$3,ISBLANK('Cocktail Finder'!$B$3))</f>
        <v>1</v>
      </c>
      <c r="S159" s="15" t="b">
        <f>OR(H159='Cocktail Finder'!$B$6,ISBLANK('Cocktail Finder'!$B$6))</f>
        <v>1</v>
      </c>
      <c r="T159" s="15" t="b">
        <f>OR(I159='Cocktail Finder'!$B$8,ISBLANK('Cocktail Finder'!$B$8))</f>
        <v>1</v>
      </c>
      <c r="U159" s="15" t="b">
        <f>OR(J159='Cocktail Finder'!$B$9,ISBLANK('Cocktail Finder'!$B$8))</f>
        <v>1</v>
      </c>
    </row>
    <row r="160" spans="1:21" ht="15.75" customHeight="1" x14ac:dyDescent="0.2">
      <c r="A160" s="19">
        <f t="shared" si="2"/>
        <v>159</v>
      </c>
      <c r="B160" s="19" t="s">
        <v>257</v>
      </c>
      <c r="C160" s="19" t="s">
        <v>258</v>
      </c>
      <c r="D160" s="19"/>
      <c r="E160" s="19" t="s">
        <v>86</v>
      </c>
      <c r="F160" s="19" t="s">
        <v>38</v>
      </c>
      <c r="G160" s="19"/>
      <c r="H160" s="23"/>
      <c r="I160" s="19"/>
      <c r="J160" s="24" t="s">
        <v>163</v>
      </c>
      <c r="K160" s="24" t="s">
        <v>66</v>
      </c>
      <c r="L160" s="15">
        <f t="shared" si="0"/>
        <v>1</v>
      </c>
      <c r="M160" s="15" t="str">
        <f t="shared" si="1"/>
        <v>Pisco Sour</v>
      </c>
      <c r="N160" s="15" t="b">
        <f>OR(C160='Cocktail Finder'!$B$2,ISBLANK('Cocktail Finder'!$B$2))</f>
        <v>1</v>
      </c>
      <c r="O160" s="15" t="b">
        <f>OR(D160='Cocktail Finder'!$B$7,ISBLANK('Cocktail Finder'!$B$7))</f>
        <v>1</v>
      </c>
      <c r="P160" s="15" t="b">
        <f>OR(E160='Cocktail Finder'!$B$5,ISBLANK('Cocktail Finder'!$B$5))</f>
        <v>1</v>
      </c>
      <c r="Q160" s="15" t="b">
        <f>OR(F160='Cocktail Finder'!$B$4,ISBLANK('Cocktail Finder'!$B$4))</f>
        <v>1</v>
      </c>
      <c r="R160" s="15" t="b">
        <f>OR(G160='Cocktail Finder'!$B$3,ISBLANK('Cocktail Finder'!$B$3))</f>
        <v>1</v>
      </c>
      <c r="S160" s="15" t="b">
        <f>OR(H160='Cocktail Finder'!$B$6,ISBLANK('Cocktail Finder'!$B$6))</f>
        <v>1</v>
      </c>
      <c r="T160" s="15" t="b">
        <f>OR(I160='Cocktail Finder'!$B$8,ISBLANK('Cocktail Finder'!$B$8))</f>
        <v>1</v>
      </c>
      <c r="U160" s="15" t="b">
        <f>OR(J160='Cocktail Finder'!$B$9,ISBLANK('Cocktail Finder'!$B$8))</f>
        <v>1</v>
      </c>
    </row>
    <row r="161" spans="1:21" ht="15.75" customHeight="1" x14ac:dyDescent="0.2">
      <c r="A161" s="19">
        <f t="shared" si="2"/>
        <v>160</v>
      </c>
      <c r="B161" s="19" t="s">
        <v>264</v>
      </c>
      <c r="C161" s="19" t="s">
        <v>265</v>
      </c>
      <c r="D161" s="19"/>
      <c r="E161" s="19"/>
      <c r="F161" s="19"/>
      <c r="G161" s="19" t="s">
        <v>266</v>
      </c>
      <c r="H161" s="19"/>
      <c r="I161" s="19"/>
      <c r="J161" s="19"/>
      <c r="K161" s="19"/>
      <c r="L161" s="15">
        <f t="shared" si="0"/>
        <v>1</v>
      </c>
      <c r="M161" s="15" t="str">
        <f t="shared" si="1"/>
        <v>Planter's Cocktail</v>
      </c>
      <c r="N161" s="15" t="b">
        <f>OR(C161='Cocktail Finder'!$B$2,ISBLANK('Cocktail Finder'!$B$2))</f>
        <v>1</v>
      </c>
      <c r="O161" s="15" t="b">
        <f>OR(D161='Cocktail Finder'!$B$7,ISBLANK('Cocktail Finder'!$B$7))</f>
        <v>1</v>
      </c>
      <c r="P161" s="15" t="b">
        <f>OR(E161='Cocktail Finder'!$B$5,ISBLANK('Cocktail Finder'!$B$5))</f>
        <v>1</v>
      </c>
      <c r="Q161" s="15" t="b">
        <f>OR(F161='Cocktail Finder'!$B$4,ISBLANK('Cocktail Finder'!$B$4))</f>
        <v>1</v>
      </c>
      <c r="R161" s="15" t="b">
        <f>OR(G161='Cocktail Finder'!$B$3,ISBLANK('Cocktail Finder'!$B$3))</f>
        <v>1</v>
      </c>
      <c r="S161" s="15" t="b">
        <f>OR(H161='Cocktail Finder'!$B$6,ISBLANK('Cocktail Finder'!$B$6))</f>
        <v>1</v>
      </c>
      <c r="T161" s="15" t="b">
        <f>OR(I161='Cocktail Finder'!$B$8,ISBLANK('Cocktail Finder'!$B$8))</f>
        <v>1</v>
      </c>
      <c r="U161" s="15" t="b">
        <f>OR(J161='Cocktail Finder'!$B$9,ISBLANK('Cocktail Finder'!$B$8))</f>
        <v>1</v>
      </c>
    </row>
    <row r="162" spans="1:21" ht="15.75" customHeight="1" x14ac:dyDescent="0.2">
      <c r="A162" s="19">
        <f t="shared" si="2"/>
        <v>161</v>
      </c>
      <c r="B162" s="19" t="s">
        <v>211</v>
      </c>
      <c r="C162" s="18" t="s">
        <v>148</v>
      </c>
      <c r="D162" s="19"/>
      <c r="E162" s="19"/>
      <c r="F162" s="19"/>
      <c r="G162" s="19" t="s">
        <v>52</v>
      </c>
      <c r="H162" s="19"/>
      <c r="I162" s="19"/>
      <c r="J162" s="19"/>
      <c r="K162" s="19"/>
      <c r="L162" s="15">
        <f t="shared" si="0"/>
        <v>1</v>
      </c>
      <c r="M162" s="15" t="str">
        <f t="shared" si="1"/>
        <v>Pompier Cocktail</v>
      </c>
      <c r="N162" s="15" t="b">
        <f>OR(C162='Cocktail Finder'!$B$2,ISBLANK('Cocktail Finder'!$B$2))</f>
        <v>1</v>
      </c>
      <c r="O162" s="15" t="b">
        <f>OR(D162='Cocktail Finder'!$B$7,ISBLANK('Cocktail Finder'!$B$7))</f>
        <v>1</v>
      </c>
      <c r="P162" s="15" t="b">
        <f>OR(E162='Cocktail Finder'!$B$5,ISBLANK('Cocktail Finder'!$B$5))</f>
        <v>1</v>
      </c>
      <c r="Q162" s="15" t="b">
        <f>OR(F162='Cocktail Finder'!$B$4,ISBLANK('Cocktail Finder'!$B$4))</f>
        <v>1</v>
      </c>
      <c r="R162" s="15" t="b">
        <f>OR(G162='Cocktail Finder'!$B$3,ISBLANK('Cocktail Finder'!$B$3))</f>
        <v>1</v>
      </c>
      <c r="S162" s="15" t="b">
        <f>OR(H162='Cocktail Finder'!$B$6,ISBLANK('Cocktail Finder'!$B$6))</f>
        <v>1</v>
      </c>
      <c r="T162" s="15" t="b">
        <f>OR(I162='Cocktail Finder'!$B$8,ISBLANK('Cocktail Finder'!$B$8))</f>
        <v>1</v>
      </c>
      <c r="U162" s="15" t="b">
        <f>OR(J162='Cocktail Finder'!$B$9,ISBLANK('Cocktail Finder'!$B$8))</f>
        <v>1</v>
      </c>
    </row>
    <row r="163" spans="1:21" ht="15.75" customHeight="1" x14ac:dyDescent="0.2">
      <c r="A163" s="19">
        <f t="shared" si="2"/>
        <v>162</v>
      </c>
      <c r="B163" s="19" t="s">
        <v>67</v>
      </c>
      <c r="C163" s="19" t="s">
        <v>65</v>
      </c>
      <c r="D163" s="19"/>
      <c r="E163" s="19" t="s">
        <v>66</v>
      </c>
      <c r="F163" s="19"/>
      <c r="G163" s="19" t="s">
        <v>48</v>
      </c>
      <c r="H163" s="19"/>
      <c r="I163" s="19"/>
      <c r="J163" s="19"/>
      <c r="K163" s="19"/>
      <c r="L163" s="15">
        <f t="shared" si="0"/>
        <v>1</v>
      </c>
      <c r="M163" s="15" t="str">
        <f t="shared" si="1"/>
        <v>Preakness Cocktail</v>
      </c>
      <c r="N163" s="15" t="b">
        <f>OR(C163='Cocktail Finder'!$B$2,ISBLANK('Cocktail Finder'!$B$2))</f>
        <v>1</v>
      </c>
      <c r="O163" s="15" t="b">
        <f>OR(D163='Cocktail Finder'!$B$7,ISBLANK('Cocktail Finder'!$B$7))</f>
        <v>1</v>
      </c>
      <c r="P163" s="15" t="b">
        <f>OR(E163='Cocktail Finder'!$B$5,ISBLANK('Cocktail Finder'!$B$5))</f>
        <v>1</v>
      </c>
      <c r="Q163" s="15" t="b">
        <f>OR(F163='Cocktail Finder'!$B$4,ISBLANK('Cocktail Finder'!$B$4))</f>
        <v>1</v>
      </c>
      <c r="R163" s="15" t="b">
        <f>OR(G163='Cocktail Finder'!$B$3,ISBLANK('Cocktail Finder'!$B$3))</f>
        <v>1</v>
      </c>
      <c r="S163" s="15" t="b">
        <f>OR(H163='Cocktail Finder'!$B$6,ISBLANK('Cocktail Finder'!$B$6))</f>
        <v>1</v>
      </c>
      <c r="T163" s="15" t="b">
        <f>OR(I163='Cocktail Finder'!$B$8,ISBLANK('Cocktail Finder'!$B$8))</f>
        <v>1</v>
      </c>
      <c r="U163" s="15" t="b">
        <f>OR(J163='Cocktail Finder'!$B$9,ISBLANK('Cocktail Finder'!$B$8))</f>
        <v>1</v>
      </c>
    </row>
    <row r="164" spans="1:21" ht="15.75" customHeight="1" x14ac:dyDescent="0.2">
      <c r="A164" s="19">
        <f t="shared" si="2"/>
        <v>163</v>
      </c>
      <c r="B164" s="19" t="s">
        <v>301</v>
      </c>
      <c r="C164" s="19" t="s">
        <v>300</v>
      </c>
      <c r="D164" s="19"/>
      <c r="E164" s="19" t="s">
        <v>156</v>
      </c>
      <c r="F164" s="19"/>
      <c r="G164" s="19"/>
      <c r="H164" s="19"/>
      <c r="I164" s="19"/>
      <c r="J164" s="19" t="s">
        <v>62</v>
      </c>
      <c r="K164" s="19"/>
      <c r="L164" s="15">
        <f t="shared" si="0"/>
        <v>1</v>
      </c>
      <c r="M164" s="15" t="str">
        <f t="shared" si="1"/>
        <v>Presbyterian</v>
      </c>
      <c r="N164" s="15" t="b">
        <f>OR(C164='Cocktail Finder'!$B$2,ISBLANK('Cocktail Finder'!$B$2))</f>
        <v>1</v>
      </c>
      <c r="O164" s="15" t="b">
        <f>OR(D164='Cocktail Finder'!$B$7,ISBLANK('Cocktail Finder'!$B$7))</f>
        <v>1</v>
      </c>
      <c r="P164" s="15" t="b">
        <f>OR(E164='Cocktail Finder'!$B$5,ISBLANK('Cocktail Finder'!$B$5))</f>
        <v>1</v>
      </c>
      <c r="Q164" s="15" t="b">
        <f>OR(F164='Cocktail Finder'!$B$4,ISBLANK('Cocktail Finder'!$B$4))</f>
        <v>1</v>
      </c>
      <c r="R164" s="15" t="b">
        <f>OR(G164='Cocktail Finder'!$B$3,ISBLANK('Cocktail Finder'!$B$3))</f>
        <v>1</v>
      </c>
      <c r="S164" s="15" t="b">
        <f>OR(H164='Cocktail Finder'!$B$6,ISBLANK('Cocktail Finder'!$B$6))</f>
        <v>1</v>
      </c>
      <c r="T164" s="15" t="b">
        <f>OR(I164='Cocktail Finder'!$B$8,ISBLANK('Cocktail Finder'!$B$8))</f>
        <v>1</v>
      </c>
      <c r="U164" s="15" t="b">
        <f>OR(J164='Cocktail Finder'!$B$9,ISBLANK('Cocktail Finder'!$B$8))</f>
        <v>1</v>
      </c>
    </row>
    <row r="165" spans="1:21" ht="15.75" customHeight="1" x14ac:dyDescent="0.2">
      <c r="A165" s="19">
        <f t="shared" si="2"/>
        <v>164</v>
      </c>
      <c r="B165" s="19" t="s">
        <v>353</v>
      </c>
      <c r="C165" s="19" t="s">
        <v>354</v>
      </c>
      <c r="D165" s="19"/>
      <c r="E165" s="19" t="s">
        <v>62</v>
      </c>
      <c r="F165" s="19" t="s">
        <v>38</v>
      </c>
      <c r="G165" s="19" t="s">
        <v>57</v>
      </c>
      <c r="H165" s="19"/>
      <c r="I165" s="19"/>
      <c r="J165" s="19"/>
      <c r="K165" s="19"/>
      <c r="L165" s="15">
        <f t="shared" si="0"/>
        <v>1</v>
      </c>
      <c r="M165" s="15" t="str">
        <f t="shared" si="1"/>
        <v>Pretty in Pink</v>
      </c>
      <c r="N165" s="15" t="b">
        <f>OR(C165='Cocktail Finder'!$B$2,ISBLANK('Cocktail Finder'!$B$2))</f>
        <v>1</v>
      </c>
      <c r="O165" s="15" t="b">
        <f>OR(D165='Cocktail Finder'!$B$7,ISBLANK('Cocktail Finder'!$B$7))</f>
        <v>1</v>
      </c>
      <c r="P165" s="15" t="b">
        <f>OR(E165='Cocktail Finder'!$B$5,ISBLANK('Cocktail Finder'!$B$5))</f>
        <v>1</v>
      </c>
      <c r="Q165" s="15" t="b">
        <f>OR(F165='Cocktail Finder'!$B$4,ISBLANK('Cocktail Finder'!$B$4))</f>
        <v>1</v>
      </c>
      <c r="R165" s="15" t="b">
        <f>OR(G165='Cocktail Finder'!$B$3,ISBLANK('Cocktail Finder'!$B$3))</f>
        <v>1</v>
      </c>
      <c r="S165" s="15" t="b">
        <f>OR(H165='Cocktail Finder'!$B$6,ISBLANK('Cocktail Finder'!$B$6))</f>
        <v>1</v>
      </c>
      <c r="T165" s="15" t="b">
        <f>OR(I165='Cocktail Finder'!$B$8,ISBLANK('Cocktail Finder'!$B$8))</f>
        <v>1</v>
      </c>
      <c r="U165" s="15" t="b">
        <f>OR(J165='Cocktail Finder'!$B$9,ISBLANK('Cocktail Finder'!$B$8))</f>
        <v>1</v>
      </c>
    </row>
    <row r="166" spans="1:21" ht="15.75" customHeight="1" x14ac:dyDescent="0.2">
      <c r="A166" s="19">
        <f t="shared" si="2"/>
        <v>165</v>
      </c>
      <c r="B166" s="19" t="s">
        <v>51</v>
      </c>
      <c r="C166" s="19" t="s">
        <v>47</v>
      </c>
      <c r="D166" s="19"/>
      <c r="E166" s="19"/>
      <c r="F166" s="19"/>
      <c r="G166" s="19" t="s">
        <v>52</v>
      </c>
      <c r="H166" s="19"/>
      <c r="I166" s="19"/>
      <c r="J166" s="19"/>
      <c r="K166" s="19"/>
      <c r="L166" s="15">
        <f t="shared" si="0"/>
        <v>1</v>
      </c>
      <c r="M166" s="15" t="str">
        <f t="shared" si="1"/>
        <v>Princess Mary's Pride</v>
      </c>
      <c r="N166" s="15" t="b">
        <f>OR(C166='Cocktail Finder'!$B$2,ISBLANK('Cocktail Finder'!$B$2))</f>
        <v>1</v>
      </c>
      <c r="O166" s="15" t="b">
        <f>OR(D166='Cocktail Finder'!$B$7,ISBLANK('Cocktail Finder'!$B$7))</f>
        <v>1</v>
      </c>
      <c r="P166" s="15" t="b">
        <f>OR(E166='Cocktail Finder'!$B$5,ISBLANK('Cocktail Finder'!$B$5))</f>
        <v>1</v>
      </c>
      <c r="Q166" s="15" t="b">
        <f>OR(F166='Cocktail Finder'!$B$4,ISBLANK('Cocktail Finder'!$B$4))</f>
        <v>1</v>
      </c>
      <c r="R166" s="15" t="b">
        <f>OR(G166='Cocktail Finder'!$B$3,ISBLANK('Cocktail Finder'!$B$3))</f>
        <v>1</v>
      </c>
      <c r="S166" s="15" t="b">
        <f>OR(H166='Cocktail Finder'!$B$6,ISBLANK('Cocktail Finder'!$B$6))</f>
        <v>1</v>
      </c>
      <c r="T166" s="15" t="b">
        <f>OR(I166='Cocktail Finder'!$B$8,ISBLANK('Cocktail Finder'!$B$8))</f>
        <v>1</v>
      </c>
      <c r="U166" s="15" t="b">
        <f>OR(J166='Cocktail Finder'!$B$9,ISBLANK('Cocktail Finder'!$B$8))</f>
        <v>1</v>
      </c>
    </row>
    <row r="167" spans="1:21" ht="15.75" customHeight="1" x14ac:dyDescent="0.2">
      <c r="A167" s="19">
        <f t="shared" si="2"/>
        <v>166</v>
      </c>
      <c r="B167" s="19" t="s">
        <v>188</v>
      </c>
      <c r="C167" s="18" t="s">
        <v>148</v>
      </c>
      <c r="D167" s="19"/>
      <c r="E167" s="23" t="s">
        <v>86</v>
      </c>
      <c r="F167" s="19" t="s">
        <v>90</v>
      </c>
      <c r="G167" s="19"/>
      <c r="H167" s="18" t="s">
        <v>38</v>
      </c>
      <c r="I167" s="19"/>
      <c r="J167" s="24" t="s">
        <v>62</v>
      </c>
      <c r="K167" s="19" t="s">
        <v>189</v>
      </c>
      <c r="L167" s="15">
        <f t="shared" si="0"/>
        <v>1</v>
      </c>
      <c r="M167" s="15" t="str">
        <f t="shared" si="1"/>
        <v>Ramos Gin Fizz</v>
      </c>
      <c r="N167" s="15" t="b">
        <f>OR(C167='Cocktail Finder'!$B$2,ISBLANK('Cocktail Finder'!$B$2))</f>
        <v>1</v>
      </c>
      <c r="O167" s="15" t="b">
        <f>OR(D167='Cocktail Finder'!$B$7,ISBLANK('Cocktail Finder'!$B$7))</f>
        <v>1</v>
      </c>
      <c r="P167" s="15" t="b">
        <f>OR(E167='Cocktail Finder'!$B$5,ISBLANK('Cocktail Finder'!$B$5))</f>
        <v>1</v>
      </c>
      <c r="Q167" s="15" t="b">
        <f>OR(F167='Cocktail Finder'!$B$4,ISBLANK('Cocktail Finder'!$B$4))</f>
        <v>1</v>
      </c>
      <c r="R167" s="15" t="b">
        <f>OR(G167='Cocktail Finder'!$B$3,ISBLANK('Cocktail Finder'!$B$3))</f>
        <v>1</v>
      </c>
      <c r="S167" s="15" t="b">
        <f>OR(H167='Cocktail Finder'!$B$6,ISBLANK('Cocktail Finder'!$B$6))</f>
        <v>1</v>
      </c>
      <c r="T167" s="15" t="b">
        <f>OR(I167='Cocktail Finder'!$B$8,ISBLANK('Cocktail Finder'!$B$8))</f>
        <v>1</v>
      </c>
      <c r="U167" s="15" t="b">
        <f>OR(J167='Cocktail Finder'!$B$9,ISBLANK('Cocktail Finder'!$B$8))</f>
        <v>1</v>
      </c>
    </row>
    <row r="168" spans="1:21" ht="15.75" customHeight="1" x14ac:dyDescent="0.2">
      <c r="A168" s="19">
        <f t="shared" si="2"/>
        <v>167</v>
      </c>
      <c r="B168" s="19" t="s">
        <v>260</v>
      </c>
      <c r="C168" s="19" t="s">
        <v>261</v>
      </c>
      <c r="D168" s="19"/>
      <c r="E168" s="19"/>
      <c r="F168" s="19"/>
      <c r="G168" s="19" t="s">
        <v>139</v>
      </c>
      <c r="H168" s="19"/>
      <c r="I168" s="19"/>
      <c r="J168" s="19"/>
      <c r="K168" s="19"/>
      <c r="L168" s="15">
        <f t="shared" si="0"/>
        <v>1</v>
      </c>
      <c r="M168" s="15" t="str">
        <f t="shared" si="1"/>
        <v>Raspberry Martini</v>
      </c>
      <c r="N168" s="15" t="b">
        <f>OR(C168='Cocktail Finder'!$B$2,ISBLANK('Cocktail Finder'!$B$2))</f>
        <v>1</v>
      </c>
      <c r="O168" s="15" t="b">
        <f>OR(D168='Cocktail Finder'!$B$7,ISBLANK('Cocktail Finder'!$B$7))</f>
        <v>1</v>
      </c>
      <c r="P168" s="15" t="b">
        <f>OR(E168='Cocktail Finder'!$B$5,ISBLANK('Cocktail Finder'!$B$5))</f>
        <v>1</v>
      </c>
      <c r="Q168" s="15" t="b">
        <f>OR(F168='Cocktail Finder'!$B$4,ISBLANK('Cocktail Finder'!$B$4))</f>
        <v>1</v>
      </c>
      <c r="R168" s="15" t="b">
        <f>OR(G168='Cocktail Finder'!$B$3,ISBLANK('Cocktail Finder'!$B$3))</f>
        <v>1</v>
      </c>
      <c r="S168" s="15" t="b">
        <f>OR(H168='Cocktail Finder'!$B$6,ISBLANK('Cocktail Finder'!$B$6))</f>
        <v>1</v>
      </c>
      <c r="T168" s="15" t="b">
        <f>OR(I168='Cocktail Finder'!$B$8,ISBLANK('Cocktail Finder'!$B$8))</f>
        <v>1</v>
      </c>
      <c r="U168" s="15" t="b">
        <f>OR(J168='Cocktail Finder'!$B$9,ISBLANK('Cocktail Finder'!$B$8))</f>
        <v>1</v>
      </c>
    </row>
    <row r="169" spans="1:21" ht="15.75" customHeight="1" x14ac:dyDescent="0.2">
      <c r="A169" s="19">
        <f t="shared" si="2"/>
        <v>168</v>
      </c>
      <c r="B169" s="19" t="s">
        <v>309</v>
      </c>
      <c r="C169" s="19" t="s">
        <v>300</v>
      </c>
      <c r="D169" s="19"/>
      <c r="E169" s="19" t="s">
        <v>55</v>
      </c>
      <c r="F169" s="19" t="s">
        <v>38</v>
      </c>
      <c r="G169" s="19" t="s">
        <v>215</v>
      </c>
      <c r="H169" s="19"/>
      <c r="I169" s="19"/>
      <c r="J169" s="19"/>
      <c r="K169" s="19"/>
      <c r="L169" s="15">
        <f t="shared" si="0"/>
        <v>1</v>
      </c>
      <c r="M169" s="15" t="str">
        <f t="shared" si="1"/>
        <v>RBS Special</v>
      </c>
      <c r="N169" s="15" t="b">
        <f>OR(C169='Cocktail Finder'!$B$2,ISBLANK('Cocktail Finder'!$B$2))</f>
        <v>1</v>
      </c>
      <c r="O169" s="15" t="b">
        <f>OR(D169='Cocktail Finder'!$B$7,ISBLANK('Cocktail Finder'!$B$7))</f>
        <v>1</v>
      </c>
      <c r="P169" s="15" t="b">
        <f>OR(E169='Cocktail Finder'!$B$5,ISBLANK('Cocktail Finder'!$B$5))</f>
        <v>1</v>
      </c>
      <c r="Q169" s="15" t="b">
        <f>OR(F169='Cocktail Finder'!$B$4,ISBLANK('Cocktail Finder'!$B$4))</f>
        <v>1</v>
      </c>
      <c r="R169" s="15" t="b">
        <f>OR(G169='Cocktail Finder'!$B$3,ISBLANK('Cocktail Finder'!$B$3))</f>
        <v>1</v>
      </c>
      <c r="S169" s="15" t="b">
        <f>OR(H169='Cocktail Finder'!$B$6,ISBLANK('Cocktail Finder'!$B$6))</f>
        <v>1</v>
      </c>
      <c r="T169" s="15" t="b">
        <f>OR(I169='Cocktail Finder'!$B$8,ISBLANK('Cocktail Finder'!$B$8))</f>
        <v>1</v>
      </c>
      <c r="U169" s="15" t="b">
        <f>OR(J169='Cocktail Finder'!$B$9,ISBLANK('Cocktail Finder'!$B$8))</f>
        <v>1</v>
      </c>
    </row>
    <row r="170" spans="1:21" ht="15.75" customHeight="1" x14ac:dyDescent="0.2">
      <c r="A170" s="19">
        <f t="shared" si="2"/>
        <v>169</v>
      </c>
      <c r="B170" s="19" t="s">
        <v>69</v>
      </c>
      <c r="C170" s="19" t="s">
        <v>65</v>
      </c>
      <c r="D170" s="19"/>
      <c r="E170" s="19" t="s">
        <v>66</v>
      </c>
      <c r="F170" s="19"/>
      <c r="G170" s="19" t="s">
        <v>48</v>
      </c>
      <c r="H170" s="19"/>
      <c r="I170" s="19"/>
      <c r="J170" s="19"/>
      <c r="K170" s="19"/>
      <c r="L170" s="15">
        <f t="shared" si="0"/>
        <v>1</v>
      </c>
      <c r="M170" s="15" t="str">
        <f t="shared" si="1"/>
        <v>Remember the Maine</v>
      </c>
      <c r="N170" s="15" t="b">
        <f>OR(C170='Cocktail Finder'!$B$2,ISBLANK('Cocktail Finder'!$B$2))</f>
        <v>1</v>
      </c>
      <c r="O170" s="15" t="b">
        <f>OR(D170='Cocktail Finder'!$B$7,ISBLANK('Cocktail Finder'!$B$7))</f>
        <v>1</v>
      </c>
      <c r="P170" s="15" t="b">
        <f>OR(E170='Cocktail Finder'!$B$5,ISBLANK('Cocktail Finder'!$B$5))</f>
        <v>1</v>
      </c>
      <c r="Q170" s="15" t="b">
        <f>OR(F170='Cocktail Finder'!$B$4,ISBLANK('Cocktail Finder'!$B$4))</f>
        <v>1</v>
      </c>
      <c r="R170" s="15" t="b">
        <f>OR(G170='Cocktail Finder'!$B$3,ISBLANK('Cocktail Finder'!$B$3))</f>
        <v>1</v>
      </c>
      <c r="S170" s="15" t="b">
        <f>OR(H170='Cocktail Finder'!$B$6,ISBLANK('Cocktail Finder'!$B$6))</f>
        <v>1</v>
      </c>
      <c r="T170" s="15" t="b">
        <f>OR(I170='Cocktail Finder'!$B$8,ISBLANK('Cocktail Finder'!$B$8))</f>
        <v>1</v>
      </c>
      <c r="U170" s="15" t="b">
        <f>OR(J170='Cocktail Finder'!$B$9,ISBLANK('Cocktail Finder'!$B$8))</f>
        <v>1</v>
      </c>
    </row>
    <row r="171" spans="1:21" ht="15.75" customHeight="1" x14ac:dyDescent="0.2">
      <c r="A171" s="19">
        <f t="shared" si="2"/>
        <v>170</v>
      </c>
      <c r="B171" s="19" t="s">
        <v>200</v>
      </c>
      <c r="C171" s="18" t="s">
        <v>148</v>
      </c>
      <c r="D171" s="19"/>
      <c r="E171" s="19" t="s">
        <v>74</v>
      </c>
      <c r="F171" s="23" t="s">
        <v>126</v>
      </c>
      <c r="G171" s="23" t="s">
        <v>52</v>
      </c>
      <c r="H171" s="19"/>
      <c r="I171" s="19" t="s">
        <v>201</v>
      </c>
      <c r="J171" s="19"/>
      <c r="K171" s="19"/>
      <c r="L171" s="15">
        <f t="shared" si="0"/>
        <v>1</v>
      </c>
      <c r="M171" s="15" t="str">
        <f t="shared" si="1"/>
        <v>Riveredge Cocktail</v>
      </c>
      <c r="N171" s="15" t="b">
        <f>OR(C171='Cocktail Finder'!$B$2,ISBLANK('Cocktail Finder'!$B$2))</f>
        <v>1</v>
      </c>
      <c r="O171" s="15" t="b">
        <f>OR(D171='Cocktail Finder'!$B$7,ISBLANK('Cocktail Finder'!$B$7))</f>
        <v>1</v>
      </c>
      <c r="P171" s="15" t="b">
        <f>OR(E171='Cocktail Finder'!$B$5,ISBLANK('Cocktail Finder'!$B$5))</f>
        <v>1</v>
      </c>
      <c r="Q171" s="15" t="b">
        <f>OR(F171='Cocktail Finder'!$B$4,ISBLANK('Cocktail Finder'!$B$4))</f>
        <v>1</v>
      </c>
      <c r="R171" s="15" t="b">
        <f>OR(G171='Cocktail Finder'!$B$3,ISBLANK('Cocktail Finder'!$B$3))</f>
        <v>1</v>
      </c>
      <c r="S171" s="15" t="b">
        <f>OR(H171='Cocktail Finder'!$B$6,ISBLANK('Cocktail Finder'!$B$6))</f>
        <v>1</v>
      </c>
      <c r="T171" s="15" t="b">
        <f>OR(I171='Cocktail Finder'!$B$8,ISBLANK('Cocktail Finder'!$B$8))</f>
        <v>1</v>
      </c>
      <c r="U171" s="15" t="b">
        <f>OR(J171='Cocktail Finder'!$B$9,ISBLANK('Cocktail Finder'!$B$8))</f>
        <v>1</v>
      </c>
    </row>
    <row r="172" spans="1:21" ht="15.75" customHeight="1" x14ac:dyDescent="0.2">
      <c r="A172" s="19">
        <f t="shared" si="2"/>
        <v>171</v>
      </c>
      <c r="B172" s="19" t="s">
        <v>324</v>
      </c>
      <c r="C172" s="19" t="s">
        <v>317</v>
      </c>
      <c r="D172" s="19"/>
      <c r="E172" s="19" t="s">
        <v>263</v>
      </c>
      <c r="F172" s="19"/>
      <c r="G172" s="19" t="s">
        <v>48</v>
      </c>
      <c r="H172" s="19"/>
      <c r="I172" s="19"/>
      <c r="J172" s="19"/>
      <c r="K172" s="19"/>
      <c r="L172" s="15">
        <f t="shared" si="0"/>
        <v>1</v>
      </c>
      <c r="M172" s="15" t="str">
        <f t="shared" si="1"/>
        <v>Rob Roy</v>
      </c>
      <c r="N172" s="15" t="b">
        <f>OR(C172='Cocktail Finder'!$B$2,ISBLANK('Cocktail Finder'!$B$2))</f>
        <v>1</v>
      </c>
      <c r="O172" s="15" t="b">
        <f>OR(D172='Cocktail Finder'!$B$7,ISBLANK('Cocktail Finder'!$B$7))</f>
        <v>1</v>
      </c>
      <c r="P172" s="15" t="b">
        <f>OR(E172='Cocktail Finder'!$B$5,ISBLANK('Cocktail Finder'!$B$5))</f>
        <v>1</v>
      </c>
      <c r="Q172" s="15" t="b">
        <f>OR(F172='Cocktail Finder'!$B$4,ISBLANK('Cocktail Finder'!$B$4))</f>
        <v>1</v>
      </c>
      <c r="R172" s="15" t="b">
        <f>OR(G172='Cocktail Finder'!$B$3,ISBLANK('Cocktail Finder'!$B$3))</f>
        <v>1</v>
      </c>
      <c r="S172" s="15" t="b">
        <f>OR(H172='Cocktail Finder'!$B$6,ISBLANK('Cocktail Finder'!$B$6))</f>
        <v>1</v>
      </c>
      <c r="T172" s="15" t="b">
        <f>OR(I172='Cocktail Finder'!$B$8,ISBLANK('Cocktail Finder'!$B$8))</f>
        <v>1</v>
      </c>
      <c r="U172" s="15" t="b">
        <f>OR(J172='Cocktail Finder'!$B$9,ISBLANK('Cocktail Finder'!$B$8))</f>
        <v>1</v>
      </c>
    </row>
    <row r="173" spans="1:21" ht="15.75" customHeight="1" x14ac:dyDescent="0.2">
      <c r="A173" s="19">
        <f t="shared" si="2"/>
        <v>172</v>
      </c>
      <c r="B173" s="19" t="s">
        <v>133</v>
      </c>
      <c r="C173" s="19" t="s">
        <v>131</v>
      </c>
      <c r="D173" s="19"/>
      <c r="E173" s="19"/>
      <c r="F173" s="19" t="s">
        <v>90</v>
      </c>
      <c r="G173" s="19" t="s">
        <v>100</v>
      </c>
      <c r="H173" s="24" t="s">
        <v>134</v>
      </c>
      <c r="I173" s="19"/>
      <c r="J173" s="19"/>
      <c r="K173" s="19"/>
      <c r="L173" s="15">
        <f t="shared" si="0"/>
        <v>1</v>
      </c>
      <c r="M173" s="15" t="str">
        <f t="shared" si="1"/>
        <v>Rosebud Cocktail</v>
      </c>
      <c r="N173" s="15" t="b">
        <f>OR(C173='Cocktail Finder'!$B$2,ISBLANK('Cocktail Finder'!$B$2))</f>
        <v>1</v>
      </c>
      <c r="O173" s="15" t="b">
        <f>OR(D173='Cocktail Finder'!$B$7,ISBLANK('Cocktail Finder'!$B$7))</f>
        <v>1</v>
      </c>
      <c r="P173" s="15" t="b">
        <f>OR(E173='Cocktail Finder'!$B$5,ISBLANK('Cocktail Finder'!$B$5))</f>
        <v>1</v>
      </c>
      <c r="Q173" s="15" t="b">
        <f>OR(F173='Cocktail Finder'!$B$4,ISBLANK('Cocktail Finder'!$B$4))</f>
        <v>1</v>
      </c>
      <c r="R173" s="15" t="b">
        <f>OR(G173='Cocktail Finder'!$B$3,ISBLANK('Cocktail Finder'!$B$3))</f>
        <v>1</v>
      </c>
      <c r="S173" s="15" t="b">
        <f>OR(H173='Cocktail Finder'!$B$6,ISBLANK('Cocktail Finder'!$B$6))</f>
        <v>1</v>
      </c>
      <c r="T173" s="15" t="b">
        <f>OR(I173='Cocktail Finder'!$B$8,ISBLANK('Cocktail Finder'!$B$8))</f>
        <v>1</v>
      </c>
      <c r="U173" s="15" t="b">
        <f>OR(J173='Cocktail Finder'!$B$9,ISBLANK('Cocktail Finder'!$B$8))</f>
        <v>1</v>
      </c>
    </row>
    <row r="174" spans="1:21" ht="15.75" customHeight="1" x14ac:dyDescent="0.2">
      <c r="A174" s="19">
        <f t="shared" si="2"/>
        <v>173</v>
      </c>
      <c r="B174" s="19" t="s">
        <v>384</v>
      </c>
      <c r="C174" s="19" t="s">
        <v>357</v>
      </c>
      <c r="D174" s="19"/>
      <c r="E174" s="19"/>
      <c r="F174" s="19" t="s">
        <v>90</v>
      </c>
      <c r="G174" s="19" t="s">
        <v>57</v>
      </c>
      <c r="H174" s="19"/>
      <c r="I174" s="19"/>
      <c r="J174" s="19"/>
      <c r="K174" s="19"/>
      <c r="L174" s="15">
        <f t="shared" si="0"/>
        <v>1</v>
      </c>
      <c r="M174" s="15" t="str">
        <f t="shared" si="1"/>
        <v>Russian Squirrel</v>
      </c>
      <c r="N174" s="15" t="b">
        <f>OR(C174='Cocktail Finder'!$B$2,ISBLANK('Cocktail Finder'!$B$2))</f>
        <v>1</v>
      </c>
      <c r="O174" s="15" t="b">
        <f>OR(D174='Cocktail Finder'!$B$7,ISBLANK('Cocktail Finder'!$B$7))</f>
        <v>1</v>
      </c>
      <c r="P174" s="15" t="b">
        <f>OR(E174='Cocktail Finder'!$B$5,ISBLANK('Cocktail Finder'!$B$5))</f>
        <v>1</v>
      </c>
      <c r="Q174" s="15" t="b">
        <f>OR(F174='Cocktail Finder'!$B$4,ISBLANK('Cocktail Finder'!$B$4))</f>
        <v>1</v>
      </c>
      <c r="R174" s="15" t="b">
        <f>OR(G174='Cocktail Finder'!$B$3,ISBLANK('Cocktail Finder'!$B$3))</f>
        <v>1</v>
      </c>
      <c r="S174" s="15" t="b">
        <f>OR(H174='Cocktail Finder'!$B$6,ISBLANK('Cocktail Finder'!$B$6))</f>
        <v>1</v>
      </c>
      <c r="T174" s="15" t="b">
        <f>OR(I174='Cocktail Finder'!$B$8,ISBLANK('Cocktail Finder'!$B$8))</f>
        <v>1</v>
      </c>
      <c r="U174" s="15" t="b">
        <f>OR(J174='Cocktail Finder'!$B$9,ISBLANK('Cocktail Finder'!$B$8))</f>
        <v>1</v>
      </c>
    </row>
    <row r="175" spans="1:21" ht="15.75" customHeight="1" x14ac:dyDescent="0.2">
      <c r="A175" s="19">
        <f t="shared" si="2"/>
        <v>174</v>
      </c>
      <c r="B175" s="19" t="s">
        <v>322</v>
      </c>
      <c r="C175" s="19" t="s">
        <v>317</v>
      </c>
      <c r="D175" s="19"/>
      <c r="E175" s="19"/>
      <c r="F175" s="19"/>
      <c r="G175" s="19" t="s">
        <v>323</v>
      </c>
      <c r="H175" s="19"/>
      <c r="I175" s="19"/>
      <c r="J175" s="19"/>
      <c r="K175" s="19"/>
      <c r="L175" s="15">
        <f t="shared" si="0"/>
        <v>1</v>
      </c>
      <c r="M175" s="15" t="str">
        <f t="shared" si="1"/>
        <v>Rusty Nail</v>
      </c>
      <c r="N175" s="15" t="b">
        <f>OR(C175='Cocktail Finder'!$B$2,ISBLANK('Cocktail Finder'!$B$2))</f>
        <v>1</v>
      </c>
      <c r="O175" s="15" t="b">
        <f>OR(D175='Cocktail Finder'!$B$7,ISBLANK('Cocktail Finder'!$B$7))</f>
        <v>1</v>
      </c>
      <c r="P175" s="15" t="b">
        <f>OR(E175='Cocktail Finder'!$B$5,ISBLANK('Cocktail Finder'!$B$5))</f>
        <v>1</v>
      </c>
      <c r="Q175" s="15" t="b">
        <f>OR(F175='Cocktail Finder'!$B$4,ISBLANK('Cocktail Finder'!$B$4))</f>
        <v>1</v>
      </c>
      <c r="R175" s="15" t="b">
        <f>OR(G175='Cocktail Finder'!$B$3,ISBLANK('Cocktail Finder'!$B$3))</f>
        <v>1</v>
      </c>
      <c r="S175" s="15" t="b">
        <f>OR(H175='Cocktail Finder'!$B$6,ISBLANK('Cocktail Finder'!$B$6))</f>
        <v>1</v>
      </c>
      <c r="T175" s="15" t="b">
        <f>OR(I175='Cocktail Finder'!$B$8,ISBLANK('Cocktail Finder'!$B$8))</f>
        <v>1</v>
      </c>
      <c r="U175" s="15" t="b">
        <f>OR(J175='Cocktail Finder'!$B$9,ISBLANK('Cocktail Finder'!$B$8))</f>
        <v>1</v>
      </c>
    </row>
    <row r="176" spans="1:21" ht="15.75" customHeight="1" x14ac:dyDescent="0.2">
      <c r="A176" s="19">
        <f t="shared" si="2"/>
        <v>175</v>
      </c>
      <c r="B176" s="19" t="s">
        <v>303</v>
      </c>
      <c r="C176" s="19" t="s">
        <v>300</v>
      </c>
      <c r="D176" s="19"/>
      <c r="E176" s="19" t="s">
        <v>156</v>
      </c>
      <c r="F176" s="19"/>
      <c r="G176" s="19"/>
      <c r="H176" s="19"/>
      <c r="I176" s="19"/>
      <c r="J176" s="19"/>
      <c r="K176" s="19"/>
      <c r="L176" s="15">
        <f t="shared" si="0"/>
        <v>1</v>
      </c>
      <c r="M176" s="15" t="str">
        <f t="shared" si="1"/>
        <v>Rye and Ginger</v>
      </c>
      <c r="N176" s="15" t="b">
        <f>OR(C176='Cocktail Finder'!$B$2,ISBLANK('Cocktail Finder'!$B$2))</f>
        <v>1</v>
      </c>
      <c r="O176" s="15" t="b">
        <f>OR(D176='Cocktail Finder'!$B$7,ISBLANK('Cocktail Finder'!$B$7))</f>
        <v>1</v>
      </c>
      <c r="P176" s="15" t="b">
        <f>OR(E176='Cocktail Finder'!$B$5,ISBLANK('Cocktail Finder'!$B$5))</f>
        <v>1</v>
      </c>
      <c r="Q176" s="15" t="b">
        <f>OR(F176='Cocktail Finder'!$B$4,ISBLANK('Cocktail Finder'!$B$4))</f>
        <v>1</v>
      </c>
      <c r="R176" s="15" t="b">
        <f>OR(G176='Cocktail Finder'!$B$3,ISBLANK('Cocktail Finder'!$B$3))</f>
        <v>1</v>
      </c>
      <c r="S176" s="15" t="b">
        <f>OR(H176='Cocktail Finder'!$B$6,ISBLANK('Cocktail Finder'!$B$6))</f>
        <v>1</v>
      </c>
      <c r="T176" s="15" t="b">
        <f>OR(I176='Cocktail Finder'!$B$8,ISBLANK('Cocktail Finder'!$B$8))</f>
        <v>1</v>
      </c>
      <c r="U176" s="15" t="b">
        <f>OR(J176='Cocktail Finder'!$B$9,ISBLANK('Cocktail Finder'!$B$8))</f>
        <v>1</v>
      </c>
    </row>
    <row r="177" spans="1:21" ht="15.75" customHeight="1" x14ac:dyDescent="0.2">
      <c r="A177" s="19">
        <f t="shared" si="2"/>
        <v>176</v>
      </c>
      <c r="B177" s="19" t="s">
        <v>347</v>
      </c>
      <c r="C177" s="19" t="s">
        <v>343</v>
      </c>
      <c r="D177" s="19"/>
      <c r="E177" s="19"/>
      <c r="F177" s="19" t="s">
        <v>134</v>
      </c>
      <c r="G177" s="19"/>
      <c r="H177" s="19"/>
      <c r="I177" s="19" t="s">
        <v>348</v>
      </c>
      <c r="J177" s="19"/>
      <c r="K177" s="19"/>
      <c r="L177" s="15">
        <f t="shared" si="0"/>
        <v>1</v>
      </c>
      <c r="M177" s="15" t="str">
        <f t="shared" si="1"/>
        <v>Salty Chihuahua</v>
      </c>
      <c r="N177" s="15" t="b">
        <f>OR(C177='Cocktail Finder'!$B$2,ISBLANK('Cocktail Finder'!$B$2))</f>
        <v>1</v>
      </c>
      <c r="O177" s="15" t="b">
        <f>OR(D177='Cocktail Finder'!$B$7,ISBLANK('Cocktail Finder'!$B$7))</f>
        <v>1</v>
      </c>
      <c r="P177" s="15" t="b">
        <f>OR(E177='Cocktail Finder'!$B$5,ISBLANK('Cocktail Finder'!$B$5))</f>
        <v>1</v>
      </c>
      <c r="Q177" s="15" t="b">
        <f>OR(F177='Cocktail Finder'!$B$4,ISBLANK('Cocktail Finder'!$B$4))</f>
        <v>1</v>
      </c>
      <c r="R177" s="15" t="b">
        <f>OR(G177='Cocktail Finder'!$B$3,ISBLANK('Cocktail Finder'!$B$3))</f>
        <v>1</v>
      </c>
      <c r="S177" s="15" t="b">
        <f>OR(H177='Cocktail Finder'!$B$6,ISBLANK('Cocktail Finder'!$B$6))</f>
        <v>1</v>
      </c>
      <c r="T177" s="15" t="b">
        <f>OR(I177='Cocktail Finder'!$B$8,ISBLANK('Cocktail Finder'!$B$8))</f>
        <v>1</v>
      </c>
      <c r="U177" s="15" t="b">
        <f>OR(J177='Cocktail Finder'!$B$9,ISBLANK('Cocktail Finder'!$B$8))</f>
        <v>1</v>
      </c>
    </row>
    <row r="178" spans="1:21" ht="15.75" customHeight="1" x14ac:dyDescent="0.2">
      <c r="A178" s="19">
        <f t="shared" si="2"/>
        <v>177</v>
      </c>
      <c r="B178" s="19" t="s">
        <v>372</v>
      </c>
      <c r="C178" s="19" t="s">
        <v>357</v>
      </c>
      <c r="D178" s="19"/>
      <c r="E178" s="19"/>
      <c r="F178" s="19" t="s">
        <v>134</v>
      </c>
      <c r="G178" s="19"/>
      <c r="H178" s="19"/>
      <c r="I178" s="19" t="s">
        <v>348</v>
      </c>
      <c r="J178" s="19"/>
      <c r="K178" s="19"/>
      <c r="L178" s="15">
        <f t="shared" si="0"/>
        <v>1</v>
      </c>
      <c r="M178" s="15" t="str">
        <f t="shared" si="1"/>
        <v>Salty Dog</v>
      </c>
      <c r="N178" s="15" t="b">
        <f>OR(C178='Cocktail Finder'!$B$2,ISBLANK('Cocktail Finder'!$B$2))</f>
        <v>1</v>
      </c>
      <c r="O178" s="15" t="b">
        <f>OR(D178='Cocktail Finder'!$B$7,ISBLANK('Cocktail Finder'!$B$7))</f>
        <v>1</v>
      </c>
      <c r="P178" s="15" t="b">
        <f>OR(E178='Cocktail Finder'!$B$5,ISBLANK('Cocktail Finder'!$B$5))</f>
        <v>1</v>
      </c>
      <c r="Q178" s="15" t="b">
        <f>OR(F178='Cocktail Finder'!$B$4,ISBLANK('Cocktail Finder'!$B$4))</f>
        <v>1</v>
      </c>
      <c r="R178" s="15" t="b">
        <f>OR(G178='Cocktail Finder'!$B$3,ISBLANK('Cocktail Finder'!$B$3))</f>
        <v>1</v>
      </c>
      <c r="S178" s="15" t="b">
        <f>OR(H178='Cocktail Finder'!$B$6,ISBLANK('Cocktail Finder'!$B$6))</f>
        <v>1</v>
      </c>
      <c r="T178" s="15" t="b">
        <f>OR(I178='Cocktail Finder'!$B$8,ISBLANK('Cocktail Finder'!$B$8))</f>
        <v>1</v>
      </c>
      <c r="U178" s="15" t="b">
        <f>OR(J178='Cocktail Finder'!$B$9,ISBLANK('Cocktail Finder'!$B$8))</f>
        <v>1</v>
      </c>
    </row>
    <row r="179" spans="1:21" ht="15.75" customHeight="1" x14ac:dyDescent="0.2">
      <c r="A179" s="19">
        <f t="shared" si="2"/>
        <v>178</v>
      </c>
      <c r="B179" s="19" t="s">
        <v>87</v>
      </c>
      <c r="C179" s="19" t="s">
        <v>65</v>
      </c>
      <c r="D179" s="19"/>
      <c r="E179" s="19" t="s">
        <v>74</v>
      </c>
      <c r="F179" s="19" t="s">
        <v>38</v>
      </c>
      <c r="G179" s="19" t="s">
        <v>52</v>
      </c>
      <c r="H179" s="19"/>
      <c r="I179" s="19"/>
      <c r="J179" s="24" t="s">
        <v>55</v>
      </c>
      <c r="K179" s="19"/>
      <c r="L179" s="15">
        <f t="shared" si="0"/>
        <v>1</v>
      </c>
      <c r="M179" s="15" t="str">
        <f t="shared" si="1"/>
        <v>Scofflaw Cocktail</v>
      </c>
      <c r="N179" s="15" t="b">
        <f>OR(C179='Cocktail Finder'!$B$2,ISBLANK('Cocktail Finder'!$B$2))</f>
        <v>1</v>
      </c>
      <c r="O179" s="15" t="b">
        <f>OR(D179='Cocktail Finder'!$B$7,ISBLANK('Cocktail Finder'!$B$7))</f>
        <v>1</v>
      </c>
      <c r="P179" s="15" t="b">
        <f>OR(E179='Cocktail Finder'!$B$5,ISBLANK('Cocktail Finder'!$B$5))</f>
        <v>1</v>
      </c>
      <c r="Q179" s="15" t="b">
        <f>OR(F179='Cocktail Finder'!$B$4,ISBLANK('Cocktail Finder'!$B$4))</f>
        <v>1</v>
      </c>
      <c r="R179" s="15" t="b">
        <f>OR(G179='Cocktail Finder'!$B$3,ISBLANK('Cocktail Finder'!$B$3))</f>
        <v>1</v>
      </c>
      <c r="S179" s="15" t="b">
        <f>OR(H179='Cocktail Finder'!$B$6,ISBLANK('Cocktail Finder'!$B$6))</f>
        <v>1</v>
      </c>
      <c r="T179" s="15" t="b">
        <f>OR(I179='Cocktail Finder'!$B$8,ISBLANK('Cocktail Finder'!$B$8))</f>
        <v>1</v>
      </c>
      <c r="U179" s="15" t="b">
        <f>OR(J179='Cocktail Finder'!$B$9,ISBLANK('Cocktail Finder'!$B$8))</f>
        <v>1</v>
      </c>
    </row>
    <row r="180" spans="1:21" ht="15.75" customHeight="1" x14ac:dyDescent="0.2">
      <c r="A180" s="19">
        <f t="shared" si="2"/>
        <v>179</v>
      </c>
      <c r="B180" s="19" t="s">
        <v>328</v>
      </c>
      <c r="C180" s="19" t="s">
        <v>317</v>
      </c>
      <c r="D180" s="19"/>
      <c r="E180" s="19" t="s">
        <v>62</v>
      </c>
      <c r="F180" s="19"/>
      <c r="G180" s="19"/>
      <c r="H180" s="19"/>
      <c r="I180" s="19"/>
      <c r="J180" s="19"/>
      <c r="K180" s="19"/>
      <c r="L180" s="15">
        <f t="shared" si="0"/>
        <v>1</v>
      </c>
      <c r="M180" s="15" t="str">
        <f t="shared" si="1"/>
        <v>Scotch and Soda</v>
      </c>
      <c r="N180" s="15" t="b">
        <f>OR(C180='Cocktail Finder'!$B$2,ISBLANK('Cocktail Finder'!$B$2))</f>
        <v>1</v>
      </c>
      <c r="O180" s="15" t="b">
        <f>OR(D180='Cocktail Finder'!$B$7,ISBLANK('Cocktail Finder'!$B$7))</f>
        <v>1</v>
      </c>
      <c r="P180" s="15" t="b">
        <f>OR(E180='Cocktail Finder'!$B$5,ISBLANK('Cocktail Finder'!$B$5))</f>
        <v>1</v>
      </c>
      <c r="Q180" s="15" t="b">
        <f>OR(F180='Cocktail Finder'!$B$4,ISBLANK('Cocktail Finder'!$B$4))</f>
        <v>1</v>
      </c>
      <c r="R180" s="15" t="b">
        <f>OR(G180='Cocktail Finder'!$B$3,ISBLANK('Cocktail Finder'!$B$3))</f>
        <v>1</v>
      </c>
      <c r="S180" s="15" t="b">
        <f>OR(H180='Cocktail Finder'!$B$6,ISBLANK('Cocktail Finder'!$B$6))</f>
        <v>1</v>
      </c>
      <c r="T180" s="15" t="b">
        <f>OR(I180='Cocktail Finder'!$B$8,ISBLANK('Cocktail Finder'!$B$8))</f>
        <v>1</v>
      </c>
      <c r="U180" s="15" t="b">
        <f>OR(J180='Cocktail Finder'!$B$9,ISBLANK('Cocktail Finder'!$B$8))</f>
        <v>1</v>
      </c>
    </row>
    <row r="181" spans="1:21" ht="15.75" customHeight="1" x14ac:dyDescent="0.2">
      <c r="A181" s="19">
        <f t="shared" si="2"/>
        <v>180</v>
      </c>
      <c r="B181" s="19" t="s">
        <v>327</v>
      </c>
      <c r="C181" s="19" t="s">
        <v>317</v>
      </c>
      <c r="D181" s="19"/>
      <c r="E181" s="19" t="s">
        <v>81</v>
      </c>
      <c r="F181" s="19"/>
      <c r="G181" s="19"/>
      <c r="H181" s="19"/>
      <c r="I181" s="19"/>
      <c r="J181" s="19"/>
      <c r="K181" s="19"/>
      <c r="L181" s="15">
        <f t="shared" si="0"/>
        <v>1</v>
      </c>
      <c r="M181" s="15" t="str">
        <f t="shared" si="1"/>
        <v>Scotch and Water</v>
      </c>
      <c r="N181" s="15" t="b">
        <f>OR(C181='Cocktail Finder'!$B$2,ISBLANK('Cocktail Finder'!$B$2))</f>
        <v>1</v>
      </c>
      <c r="O181" s="15" t="b">
        <f>OR(D181='Cocktail Finder'!$B$7,ISBLANK('Cocktail Finder'!$B$7))</f>
        <v>1</v>
      </c>
      <c r="P181" s="15" t="b">
        <f>OR(E181='Cocktail Finder'!$B$5,ISBLANK('Cocktail Finder'!$B$5))</f>
        <v>1</v>
      </c>
      <c r="Q181" s="15" t="b">
        <f>OR(F181='Cocktail Finder'!$B$4,ISBLANK('Cocktail Finder'!$B$4))</f>
        <v>1</v>
      </c>
      <c r="R181" s="15" t="b">
        <f>OR(G181='Cocktail Finder'!$B$3,ISBLANK('Cocktail Finder'!$B$3))</f>
        <v>1</v>
      </c>
      <c r="S181" s="15" t="b">
        <f>OR(H181='Cocktail Finder'!$B$6,ISBLANK('Cocktail Finder'!$B$6))</f>
        <v>1</v>
      </c>
      <c r="T181" s="15" t="b">
        <f>OR(I181='Cocktail Finder'!$B$8,ISBLANK('Cocktail Finder'!$B$8))</f>
        <v>1</v>
      </c>
      <c r="U181" s="15" t="b">
        <f>OR(J181='Cocktail Finder'!$B$9,ISBLANK('Cocktail Finder'!$B$8))</f>
        <v>1</v>
      </c>
    </row>
    <row r="182" spans="1:21" ht="15.75" customHeight="1" x14ac:dyDescent="0.2">
      <c r="A182" s="19">
        <f t="shared" si="2"/>
        <v>181</v>
      </c>
      <c r="B182" s="19" t="s">
        <v>330</v>
      </c>
      <c r="C182" s="19" t="s">
        <v>317</v>
      </c>
      <c r="D182" s="19"/>
      <c r="E182" s="19"/>
      <c r="F182" s="19" t="s">
        <v>38</v>
      </c>
      <c r="G182" s="19" t="s">
        <v>57</v>
      </c>
      <c r="H182" s="19"/>
      <c r="I182" s="19"/>
      <c r="J182" s="19"/>
      <c r="K182" s="19"/>
      <c r="L182" s="15">
        <f t="shared" si="0"/>
        <v>1</v>
      </c>
      <c r="M182" s="15" t="str">
        <f t="shared" si="1"/>
        <v>Scottish Squirrel</v>
      </c>
      <c r="N182" s="15" t="b">
        <f>OR(C182='Cocktail Finder'!$B$2,ISBLANK('Cocktail Finder'!$B$2))</f>
        <v>1</v>
      </c>
      <c r="O182" s="15" t="b">
        <f>OR(D182='Cocktail Finder'!$B$7,ISBLANK('Cocktail Finder'!$B$7))</f>
        <v>1</v>
      </c>
      <c r="P182" s="15" t="b">
        <f>OR(E182='Cocktail Finder'!$B$5,ISBLANK('Cocktail Finder'!$B$5))</f>
        <v>1</v>
      </c>
      <c r="Q182" s="15" t="b">
        <f>OR(F182='Cocktail Finder'!$B$4,ISBLANK('Cocktail Finder'!$B$4))</f>
        <v>1</v>
      </c>
      <c r="R182" s="15" t="b">
        <f>OR(G182='Cocktail Finder'!$B$3,ISBLANK('Cocktail Finder'!$B$3))</f>
        <v>1</v>
      </c>
      <c r="S182" s="15" t="b">
        <f>OR(H182='Cocktail Finder'!$B$6,ISBLANK('Cocktail Finder'!$B$6))</f>
        <v>1</v>
      </c>
      <c r="T182" s="15" t="b">
        <f>OR(I182='Cocktail Finder'!$B$8,ISBLANK('Cocktail Finder'!$B$8))</f>
        <v>1</v>
      </c>
      <c r="U182" s="15" t="b">
        <f>OR(J182='Cocktail Finder'!$B$9,ISBLANK('Cocktail Finder'!$B$8))</f>
        <v>1</v>
      </c>
    </row>
    <row r="183" spans="1:21" ht="15.75" customHeight="1" x14ac:dyDescent="0.2">
      <c r="A183" s="19">
        <f t="shared" si="2"/>
        <v>182</v>
      </c>
      <c r="B183" s="19" t="s">
        <v>366</v>
      </c>
      <c r="C183" s="19" t="s">
        <v>357</v>
      </c>
      <c r="D183" s="19"/>
      <c r="E183" s="19"/>
      <c r="F183" s="19" t="s">
        <v>126</v>
      </c>
      <c r="G183" s="19"/>
      <c r="H183" s="19"/>
      <c r="I183" s="19"/>
      <c r="J183" s="19"/>
      <c r="K183" s="19"/>
      <c r="L183" s="15">
        <f t="shared" si="0"/>
        <v>1</v>
      </c>
      <c r="M183" s="15" t="str">
        <f t="shared" si="1"/>
        <v>Screwdriver</v>
      </c>
      <c r="N183" s="15" t="b">
        <f>OR(C183='Cocktail Finder'!$B$2,ISBLANK('Cocktail Finder'!$B$2))</f>
        <v>1</v>
      </c>
      <c r="O183" s="15" t="b">
        <f>OR(D183='Cocktail Finder'!$B$7,ISBLANK('Cocktail Finder'!$B$7))</f>
        <v>1</v>
      </c>
      <c r="P183" s="15" t="b">
        <f>OR(E183='Cocktail Finder'!$B$5,ISBLANK('Cocktail Finder'!$B$5))</f>
        <v>1</v>
      </c>
      <c r="Q183" s="15" t="b">
        <f>OR(F183='Cocktail Finder'!$B$4,ISBLANK('Cocktail Finder'!$B$4))</f>
        <v>1</v>
      </c>
      <c r="R183" s="15" t="b">
        <f>OR(G183='Cocktail Finder'!$B$3,ISBLANK('Cocktail Finder'!$B$3))</f>
        <v>1</v>
      </c>
      <c r="S183" s="15" t="b">
        <f>OR(H183='Cocktail Finder'!$B$6,ISBLANK('Cocktail Finder'!$B$6))</f>
        <v>1</v>
      </c>
      <c r="T183" s="15" t="b">
        <f>OR(I183='Cocktail Finder'!$B$8,ISBLANK('Cocktail Finder'!$B$8))</f>
        <v>1</v>
      </c>
      <c r="U183" s="15" t="b">
        <f>OR(J183='Cocktail Finder'!$B$9,ISBLANK('Cocktail Finder'!$B$8))</f>
        <v>1</v>
      </c>
    </row>
    <row r="184" spans="1:21" ht="15.75" customHeight="1" x14ac:dyDescent="0.2">
      <c r="A184" s="19">
        <f t="shared" si="2"/>
        <v>183</v>
      </c>
      <c r="B184" s="19" t="s">
        <v>374</v>
      </c>
      <c r="C184" s="19" t="s">
        <v>357</v>
      </c>
      <c r="D184" s="19"/>
      <c r="E184" s="19"/>
      <c r="F184" s="19" t="s">
        <v>45</v>
      </c>
      <c r="G184" s="19"/>
      <c r="H184" s="19"/>
      <c r="I184" s="19"/>
      <c r="J184" s="19"/>
      <c r="K184" s="19"/>
      <c r="L184" s="15">
        <f t="shared" si="0"/>
        <v>1</v>
      </c>
      <c r="M184" s="15" t="str">
        <f t="shared" si="1"/>
        <v>Sea Breeze</v>
      </c>
      <c r="N184" s="15" t="b">
        <f>OR(C184='Cocktail Finder'!$B$2,ISBLANK('Cocktail Finder'!$B$2))</f>
        <v>1</v>
      </c>
      <c r="O184" s="15" t="b">
        <f>OR(D184='Cocktail Finder'!$B$7,ISBLANK('Cocktail Finder'!$B$7))</f>
        <v>1</v>
      </c>
      <c r="P184" s="15" t="b">
        <f>OR(E184='Cocktail Finder'!$B$5,ISBLANK('Cocktail Finder'!$B$5))</f>
        <v>1</v>
      </c>
      <c r="Q184" s="15" t="b">
        <f>OR(F184='Cocktail Finder'!$B$4,ISBLANK('Cocktail Finder'!$B$4))</f>
        <v>1</v>
      </c>
      <c r="R184" s="15" t="b">
        <f>OR(G184='Cocktail Finder'!$B$3,ISBLANK('Cocktail Finder'!$B$3))</f>
        <v>1</v>
      </c>
      <c r="S184" s="15" t="b">
        <f>OR(H184='Cocktail Finder'!$B$6,ISBLANK('Cocktail Finder'!$B$6))</f>
        <v>1</v>
      </c>
      <c r="T184" s="15" t="b">
        <f>OR(I184='Cocktail Finder'!$B$8,ISBLANK('Cocktail Finder'!$B$8))</f>
        <v>1</v>
      </c>
      <c r="U184" s="15" t="b">
        <f>OR(J184='Cocktail Finder'!$B$9,ISBLANK('Cocktail Finder'!$B$8))</f>
        <v>1</v>
      </c>
    </row>
    <row r="185" spans="1:21" ht="15.75" customHeight="1" x14ac:dyDescent="0.2">
      <c r="A185" s="19">
        <f t="shared" si="2"/>
        <v>184</v>
      </c>
      <c r="B185" s="19" t="s">
        <v>333</v>
      </c>
      <c r="C185" s="19" t="s">
        <v>334</v>
      </c>
      <c r="D185" s="19"/>
      <c r="E185" s="19" t="s">
        <v>335</v>
      </c>
      <c r="F185" s="19"/>
      <c r="G185" s="19"/>
      <c r="H185" s="19"/>
      <c r="I185" s="19"/>
      <c r="J185" s="19"/>
      <c r="K185" s="19"/>
      <c r="L185" s="15">
        <f t="shared" si="0"/>
        <v>1</v>
      </c>
      <c r="M185" s="15" t="str">
        <f t="shared" si="1"/>
        <v>Seven and Seven</v>
      </c>
      <c r="N185" s="15" t="b">
        <f>OR(C185='Cocktail Finder'!$B$2,ISBLANK('Cocktail Finder'!$B$2))</f>
        <v>1</v>
      </c>
      <c r="O185" s="15" t="b">
        <f>OR(D185='Cocktail Finder'!$B$7,ISBLANK('Cocktail Finder'!$B$7))</f>
        <v>1</v>
      </c>
      <c r="P185" s="15" t="b">
        <f>OR(E185='Cocktail Finder'!$B$5,ISBLANK('Cocktail Finder'!$B$5))</f>
        <v>1</v>
      </c>
      <c r="Q185" s="15" t="b">
        <f>OR(F185='Cocktail Finder'!$B$4,ISBLANK('Cocktail Finder'!$B$4))</f>
        <v>1</v>
      </c>
      <c r="R185" s="15" t="b">
        <f>OR(G185='Cocktail Finder'!$B$3,ISBLANK('Cocktail Finder'!$B$3))</f>
        <v>1</v>
      </c>
      <c r="S185" s="15" t="b">
        <f>OR(H185='Cocktail Finder'!$B$6,ISBLANK('Cocktail Finder'!$B$6))</f>
        <v>1</v>
      </c>
      <c r="T185" s="15" t="b">
        <f>OR(I185='Cocktail Finder'!$B$8,ISBLANK('Cocktail Finder'!$B$8))</f>
        <v>1</v>
      </c>
      <c r="U185" s="15" t="b">
        <f>OR(J185='Cocktail Finder'!$B$9,ISBLANK('Cocktail Finder'!$B$8))</f>
        <v>1</v>
      </c>
    </row>
    <row r="186" spans="1:21" ht="15.75" customHeight="1" x14ac:dyDescent="0.2">
      <c r="A186" s="19">
        <f t="shared" si="2"/>
        <v>185</v>
      </c>
      <c r="B186" s="19" t="s">
        <v>376</v>
      </c>
      <c r="C186" s="19" t="s">
        <v>357</v>
      </c>
      <c r="D186" s="19"/>
      <c r="E186" s="19"/>
      <c r="F186" s="19" t="s">
        <v>45</v>
      </c>
      <c r="G186" s="19" t="s">
        <v>76</v>
      </c>
      <c r="H186" s="24" t="s">
        <v>126</v>
      </c>
      <c r="I186" s="19"/>
      <c r="J186" s="19"/>
      <c r="K186" s="19"/>
      <c r="L186" s="15">
        <f t="shared" si="0"/>
        <v>1</v>
      </c>
      <c r="M186" s="15" t="str">
        <f t="shared" si="1"/>
        <v>Sex on the Beach</v>
      </c>
      <c r="N186" s="15" t="b">
        <f>OR(C186='Cocktail Finder'!$B$2,ISBLANK('Cocktail Finder'!$B$2))</f>
        <v>1</v>
      </c>
      <c r="O186" s="15" t="b">
        <f>OR(D186='Cocktail Finder'!$B$7,ISBLANK('Cocktail Finder'!$B$7))</f>
        <v>1</v>
      </c>
      <c r="P186" s="15" t="b">
        <f>OR(E186='Cocktail Finder'!$B$5,ISBLANK('Cocktail Finder'!$B$5))</f>
        <v>1</v>
      </c>
      <c r="Q186" s="15" t="b">
        <f>OR(F186='Cocktail Finder'!$B$4,ISBLANK('Cocktail Finder'!$B$4))</f>
        <v>1</v>
      </c>
      <c r="R186" s="15" t="b">
        <f>OR(G186='Cocktail Finder'!$B$3,ISBLANK('Cocktail Finder'!$B$3))</f>
        <v>1</v>
      </c>
      <c r="S186" s="15" t="b">
        <f>OR(H186='Cocktail Finder'!$B$6,ISBLANK('Cocktail Finder'!$B$6))</f>
        <v>1</v>
      </c>
      <c r="T186" s="15" t="b">
        <f>OR(I186='Cocktail Finder'!$B$8,ISBLANK('Cocktail Finder'!$B$8))</f>
        <v>1</v>
      </c>
      <c r="U186" s="15" t="b">
        <f>OR(J186='Cocktail Finder'!$B$9,ISBLANK('Cocktail Finder'!$B$8))</f>
        <v>1</v>
      </c>
    </row>
    <row r="187" spans="1:21" ht="15.75" customHeight="1" x14ac:dyDescent="0.2">
      <c r="A187" s="19">
        <f t="shared" si="2"/>
        <v>186</v>
      </c>
      <c r="B187" s="20" t="s">
        <v>116</v>
      </c>
      <c r="C187" s="20" t="s">
        <v>49</v>
      </c>
      <c r="D187" s="20"/>
      <c r="E187" s="20"/>
      <c r="F187" s="20" t="s">
        <v>38</v>
      </c>
      <c r="G187" s="20" t="s">
        <v>100</v>
      </c>
      <c r="H187" s="20"/>
      <c r="I187" s="19"/>
      <c r="J187" s="20"/>
      <c r="K187" s="20"/>
      <c r="L187" s="15">
        <f t="shared" si="0"/>
        <v>1</v>
      </c>
      <c r="M187" s="15" t="str">
        <f t="shared" si="1"/>
        <v>Sidecar</v>
      </c>
      <c r="N187" s="15" t="b">
        <f>OR(C187='Cocktail Finder'!$B$2,ISBLANK('Cocktail Finder'!$B$2))</f>
        <v>1</v>
      </c>
      <c r="O187" s="15" t="b">
        <f>OR(D187='Cocktail Finder'!$B$7,ISBLANK('Cocktail Finder'!$B$7))</f>
        <v>1</v>
      </c>
      <c r="P187" s="15" t="b">
        <f>OR(E187='Cocktail Finder'!$B$5,ISBLANK('Cocktail Finder'!$B$5))</f>
        <v>1</v>
      </c>
      <c r="Q187" s="15" t="b">
        <f>OR(F187='Cocktail Finder'!$B$4,ISBLANK('Cocktail Finder'!$B$4))</f>
        <v>1</v>
      </c>
      <c r="R187" s="15" t="b">
        <f>OR(G187='Cocktail Finder'!$B$3,ISBLANK('Cocktail Finder'!$B$3))</f>
        <v>1</v>
      </c>
      <c r="S187" s="15" t="b">
        <f>OR(H187='Cocktail Finder'!$B$6,ISBLANK('Cocktail Finder'!$B$6))</f>
        <v>1</v>
      </c>
      <c r="T187" s="15" t="b">
        <f>OR(I187='Cocktail Finder'!$B$8,ISBLANK('Cocktail Finder'!$B$8))</f>
        <v>1</v>
      </c>
      <c r="U187" s="15" t="b">
        <f>OR(J187='Cocktail Finder'!$B$9,ISBLANK('Cocktail Finder'!$B$8))</f>
        <v>1</v>
      </c>
    </row>
    <row r="188" spans="1:21" ht="15.75" customHeight="1" x14ac:dyDescent="0.2">
      <c r="A188" s="19">
        <f t="shared" si="2"/>
        <v>187</v>
      </c>
      <c r="B188" s="19" t="s">
        <v>181</v>
      </c>
      <c r="C188" s="18" t="s">
        <v>148</v>
      </c>
      <c r="D188" s="19"/>
      <c r="E188" s="19" t="s">
        <v>62</v>
      </c>
      <c r="F188" s="19" t="s">
        <v>38</v>
      </c>
      <c r="G188" s="19" t="s">
        <v>68</v>
      </c>
      <c r="H188" s="19"/>
      <c r="I188" s="19"/>
      <c r="J188" s="19" t="s">
        <v>74</v>
      </c>
      <c r="K188" s="19"/>
      <c r="L188" s="15">
        <f t="shared" si="0"/>
        <v>1</v>
      </c>
      <c r="M188" s="15" t="str">
        <f t="shared" si="1"/>
        <v>Singapore Sling No. 1</v>
      </c>
      <c r="N188" s="15" t="b">
        <f>OR(C188='Cocktail Finder'!$B$2,ISBLANK('Cocktail Finder'!$B$2))</f>
        <v>1</v>
      </c>
      <c r="O188" s="15" t="b">
        <f>OR(D188='Cocktail Finder'!$B$7,ISBLANK('Cocktail Finder'!$B$7))</f>
        <v>1</v>
      </c>
      <c r="P188" s="15" t="b">
        <f>OR(E188='Cocktail Finder'!$B$5,ISBLANK('Cocktail Finder'!$B$5))</f>
        <v>1</v>
      </c>
      <c r="Q188" s="15" t="b">
        <f>OR(F188='Cocktail Finder'!$B$4,ISBLANK('Cocktail Finder'!$B$4))</f>
        <v>1</v>
      </c>
      <c r="R188" s="15" t="b">
        <f>OR(G188='Cocktail Finder'!$B$3,ISBLANK('Cocktail Finder'!$B$3))</f>
        <v>1</v>
      </c>
      <c r="S188" s="15" t="b">
        <f>OR(H188='Cocktail Finder'!$B$6,ISBLANK('Cocktail Finder'!$B$6))</f>
        <v>1</v>
      </c>
      <c r="T188" s="15" t="b">
        <f>OR(I188='Cocktail Finder'!$B$8,ISBLANK('Cocktail Finder'!$B$8))</f>
        <v>1</v>
      </c>
      <c r="U188" s="15" t="b">
        <f>OR(J188='Cocktail Finder'!$B$9,ISBLANK('Cocktail Finder'!$B$8))</f>
        <v>1</v>
      </c>
    </row>
    <row r="189" spans="1:21" ht="15.75" customHeight="1" x14ac:dyDescent="0.2">
      <c r="A189" s="19">
        <f t="shared" si="2"/>
        <v>188</v>
      </c>
      <c r="B189" s="19" t="s">
        <v>184</v>
      </c>
      <c r="C189" s="18" t="s">
        <v>148</v>
      </c>
      <c r="D189" s="19"/>
      <c r="E189" s="19" t="s">
        <v>62</v>
      </c>
      <c r="F189" s="19" t="s">
        <v>90</v>
      </c>
      <c r="G189" s="19" t="s">
        <v>68</v>
      </c>
      <c r="H189" s="19" t="s">
        <v>78</v>
      </c>
      <c r="I189" s="19"/>
      <c r="J189" s="19" t="s">
        <v>100</v>
      </c>
      <c r="K189" s="24" t="s">
        <v>395</v>
      </c>
      <c r="L189" s="15">
        <f t="shared" si="0"/>
        <v>1</v>
      </c>
      <c r="M189" s="15" t="str">
        <f t="shared" si="1"/>
        <v>Singapore Sling No. 2</v>
      </c>
      <c r="N189" s="15" t="b">
        <f>OR(C189='Cocktail Finder'!$B$2,ISBLANK('Cocktail Finder'!$B$2))</f>
        <v>1</v>
      </c>
      <c r="O189" s="15" t="b">
        <f>OR(D189='Cocktail Finder'!$B$7,ISBLANK('Cocktail Finder'!$B$7))</f>
        <v>1</v>
      </c>
      <c r="P189" s="15" t="b">
        <f>OR(E189='Cocktail Finder'!$B$5,ISBLANK('Cocktail Finder'!$B$5))</f>
        <v>1</v>
      </c>
      <c r="Q189" s="15" t="b">
        <f>OR(F189='Cocktail Finder'!$B$4,ISBLANK('Cocktail Finder'!$B$4))</f>
        <v>1</v>
      </c>
      <c r="R189" s="15" t="b">
        <f>OR(G189='Cocktail Finder'!$B$3,ISBLANK('Cocktail Finder'!$B$3))</f>
        <v>1</v>
      </c>
      <c r="S189" s="15" t="b">
        <f>OR(H189='Cocktail Finder'!$B$6,ISBLANK('Cocktail Finder'!$B$6))</f>
        <v>1</v>
      </c>
      <c r="T189" s="15" t="b">
        <f>OR(I189='Cocktail Finder'!$B$8,ISBLANK('Cocktail Finder'!$B$8))</f>
        <v>1</v>
      </c>
      <c r="U189" s="15" t="b">
        <f>OR(J189='Cocktail Finder'!$B$9,ISBLANK('Cocktail Finder'!$B$8))</f>
        <v>1</v>
      </c>
    </row>
    <row r="190" spans="1:21" ht="15.75" customHeight="1" x14ac:dyDescent="0.2">
      <c r="A190" s="19">
        <f t="shared" si="2"/>
        <v>189</v>
      </c>
      <c r="B190" s="19" t="s">
        <v>369</v>
      </c>
      <c r="C190" s="19" t="s">
        <v>357</v>
      </c>
      <c r="D190" s="19" t="s">
        <v>282</v>
      </c>
      <c r="E190" s="19"/>
      <c r="F190" s="19" t="s">
        <v>126</v>
      </c>
      <c r="G190" s="19" t="s">
        <v>30</v>
      </c>
      <c r="H190" s="19"/>
      <c r="I190" s="19"/>
      <c r="J190" s="19"/>
      <c r="K190" s="19"/>
      <c r="L190" s="15">
        <f t="shared" si="0"/>
        <v>1</v>
      </c>
      <c r="M190" s="15" t="str">
        <f t="shared" si="1"/>
        <v>Sloe Comfortable Screw</v>
      </c>
      <c r="N190" s="15" t="b">
        <f>OR(C190='Cocktail Finder'!$B$2,ISBLANK('Cocktail Finder'!$B$2))</f>
        <v>1</v>
      </c>
      <c r="O190" s="15" t="b">
        <f>OR(D190='Cocktail Finder'!$B$7,ISBLANK('Cocktail Finder'!$B$7))</f>
        <v>1</v>
      </c>
      <c r="P190" s="15" t="b">
        <f>OR(E190='Cocktail Finder'!$B$5,ISBLANK('Cocktail Finder'!$B$5))</f>
        <v>1</v>
      </c>
      <c r="Q190" s="15" t="b">
        <f>OR(F190='Cocktail Finder'!$B$4,ISBLANK('Cocktail Finder'!$B$4))</f>
        <v>1</v>
      </c>
      <c r="R190" s="15" t="b">
        <f>OR(G190='Cocktail Finder'!$B$3,ISBLANK('Cocktail Finder'!$B$3))</f>
        <v>1</v>
      </c>
      <c r="S190" s="15" t="b">
        <f>OR(H190='Cocktail Finder'!$B$6,ISBLANK('Cocktail Finder'!$B$6))</f>
        <v>1</v>
      </c>
      <c r="T190" s="15" t="b">
        <f>OR(I190='Cocktail Finder'!$B$8,ISBLANK('Cocktail Finder'!$B$8))</f>
        <v>1</v>
      </c>
      <c r="U190" s="15" t="b">
        <f>OR(J190='Cocktail Finder'!$B$9,ISBLANK('Cocktail Finder'!$B$8))</f>
        <v>1</v>
      </c>
    </row>
    <row r="191" spans="1:21" ht="15.75" customHeight="1" x14ac:dyDescent="0.2">
      <c r="A191" s="19">
        <f t="shared" si="2"/>
        <v>190</v>
      </c>
      <c r="B191" s="19" t="s">
        <v>336</v>
      </c>
      <c r="C191" s="19" t="s">
        <v>282</v>
      </c>
      <c r="D191" s="19"/>
      <c r="E191" s="19" t="s">
        <v>86</v>
      </c>
      <c r="F191" s="19" t="s">
        <v>38</v>
      </c>
      <c r="G191" s="19"/>
      <c r="H191" s="19"/>
      <c r="I191" s="19"/>
      <c r="J191" s="19"/>
      <c r="K191" s="19"/>
      <c r="L191" s="15">
        <f t="shared" si="0"/>
        <v>1</v>
      </c>
      <c r="M191" s="15" t="str">
        <f t="shared" si="1"/>
        <v xml:space="preserve">Sloe Gin Fizz </v>
      </c>
      <c r="N191" s="15" t="b">
        <f>OR(C191='Cocktail Finder'!$B$2,ISBLANK('Cocktail Finder'!$B$2))</f>
        <v>1</v>
      </c>
      <c r="O191" s="15" t="b">
        <f>OR(D191='Cocktail Finder'!$B$7,ISBLANK('Cocktail Finder'!$B$7))</f>
        <v>1</v>
      </c>
      <c r="P191" s="15" t="b">
        <f>OR(E191='Cocktail Finder'!$B$5,ISBLANK('Cocktail Finder'!$B$5))</f>
        <v>1</v>
      </c>
      <c r="Q191" s="15" t="b">
        <f>OR(F191='Cocktail Finder'!$B$4,ISBLANK('Cocktail Finder'!$B$4))</f>
        <v>1</v>
      </c>
      <c r="R191" s="15" t="b">
        <f>OR(G191='Cocktail Finder'!$B$3,ISBLANK('Cocktail Finder'!$B$3))</f>
        <v>1</v>
      </c>
      <c r="S191" s="15" t="b">
        <f>OR(H191='Cocktail Finder'!$B$6,ISBLANK('Cocktail Finder'!$B$6))</f>
        <v>1</v>
      </c>
      <c r="T191" s="15" t="b">
        <f>OR(I191='Cocktail Finder'!$B$8,ISBLANK('Cocktail Finder'!$B$8))</f>
        <v>1</v>
      </c>
      <c r="U191" s="15" t="b">
        <f>OR(J191='Cocktail Finder'!$B$9,ISBLANK('Cocktail Finder'!$B$8))</f>
        <v>1</v>
      </c>
    </row>
    <row r="192" spans="1:21" ht="15.75" customHeight="1" x14ac:dyDescent="0.2">
      <c r="A192" s="19">
        <f t="shared" si="2"/>
        <v>191</v>
      </c>
      <c r="B192" s="19" t="s">
        <v>150</v>
      </c>
      <c r="C192" s="18" t="s">
        <v>148</v>
      </c>
      <c r="D192" s="19"/>
      <c r="E192" s="19"/>
      <c r="F192" s="19"/>
      <c r="G192" s="19" t="s">
        <v>396</v>
      </c>
      <c r="H192" s="19"/>
      <c r="I192" s="19"/>
      <c r="J192" s="19"/>
      <c r="K192" s="19"/>
      <c r="L192" s="15">
        <f t="shared" si="0"/>
        <v>1</v>
      </c>
      <c r="M192" s="15" t="str">
        <f t="shared" si="1"/>
        <v>Starry Night</v>
      </c>
      <c r="N192" s="15" t="b">
        <f>OR(C192='Cocktail Finder'!$B$2,ISBLANK('Cocktail Finder'!$B$2))</f>
        <v>1</v>
      </c>
      <c r="O192" s="15" t="b">
        <f>OR(D192='Cocktail Finder'!$B$7,ISBLANK('Cocktail Finder'!$B$7))</f>
        <v>1</v>
      </c>
      <c r="P192" s="15" t="b">
        <f>OR(E192='Cocktail Finder'!$B$5,ISBLANK('Cocktail Finder'!$B$5))</f>
        <v>1</v>
      </c>
      <c r="Q192" s="15" t="b">
        <f>OR(F192='Cocktail Finder'!$B$4,ISBLANK('Cocktail Finder'!$B$4))</f>
        <v>1</v>
      </c>
      <c r="R192" s="15" t="b">
        <f>OR(G192='Cocktail Finder'!$B$3,ISBLANK('Cocktail Finder'!$B$3))</f>
        <v>1</v>
      </c>
      <c r="S192" s="15" t="b">
        <f>OR(H192='Cocktail Finder'!$B$6,ISBLANK('Cocktail Finder'!$B$6))</f>
        <v>1</v>
      </c>
      <c r="T192" s="15" t="b">
        <f>OR(I192='Cocktail Finder'!$B$8,ISBLANK('Cocktail Finder'!$B$8))</f>
        <v>1</v>
      </c>
      <c r="U192" s="15" t="b">
        <f>OR(J192='Cocktail Finder'!$B$9,ISBLANK('Cocktail Finder'!$B$8))</f>
        <v>1</v>
      </c>
    </row>
    <row r="193" spans="1:21" ht="15.75" customHeight="1" x14ac:dyDescent="0.2">
      <c r="A193" s="19">
        <f t="shared" si="2"/>
        <v>192</v>
      </c>
      <c r="B193" s="19" t="s">
        <v>89</v>
      </c>
      <c r="C193" s="19" t="s">
        <v>65</v>
      </c>
      <c r="D193" s="19"/>
      <c r="E193" s="19"/>
      <c r="F193" s="19" t="s">
        <v>90</v>
      </c>
      <c r="G193" s="19" t="s">
        <v>30</v>
      </c>
      <c r="H193" s="19"/>
      <c r="I193" s="19"/>
      <c r="J193" s="19"/>
      <c r="K193" s="19"/>
      <c r="L193" s="15">
        <f t="shared" si="0"/>
        <v>1</v>
      </c>
      <c r="M193" s="15" t="str">
        <f t="shared" si="1"/>
        <v>Stiletto</v>
      </c>
      <c r="N193" s="15" t="b">
        <f>OR(C193='Cocktail Finder'!$B$2,ISBLANK('Cocktail Finder'!$B$2))</f>
        <v>1</v>
      </c>
      <c r="O193" s="15" t="b">
        <f>OR(D193='Cocktail Finder'!$B$7,ISBLANK('Cocktail Finder'!$B$7))</f>
        <v>1</v>
      </c>
      <c r="P193" s="15" t="b">
        <f>OR(E193='Cocktail Finder'!$B$5,ISBLANK('Cocktail Finder'!$B$5))</f>
        <v>1</v>
      </c>
      <c r="Q193" s="15" t="b">
        <f>OR(F193='Cocktail Finder'!$B$4,ISBLANK('Cocktail Finder'!$B$4))</f>
        <v>1</v>
      </c>
      <c r="R193" s="15" t="b">
        <f>OR(G193='Cocktail Finder'!$B$3,ISBLANK('Cocktail Finder'!$B$3))</f>
        <v>1</v>
      </c>
      <c r="S193" s="15" t="b">
        <f>OR(H193='Cocktail Finder'!$B$6,ISBLANK('Cocktail Finder'!$B$6))</f>
        <v>1</v>
      </c>
      <c r="T193" s="15" t="b">
        <f>OR(I193='Cocktail Finder'!$B$8,ISBLANK('Cocktail Finder'!$B$8))</f>
        <v>1</v>
      </c>
      <c r="U193" s="15" t="b">
        <f>OR(J193='Cocktail Finder'!$B$9,ISBLANK('Cocktail Finder'!$B$8))</f>
        <v>1</v>
      </c>
    </row>
    <row r="194" spans="1:21" ht="15.75" customHeight="1" x14ac:dyDescent="0.2">
      <c r="A194" s="19">
        <f t="shared" si="2"/>
        <v>193</v>
      </c>
      <c r="B194" s="19" t="s">
        <v>102</v>
      </c>
      <c r="C194" s="19" t="s">
        <v>49</v>
      </c>
      <c r="D194" s="19"/>
      <c r="E194" s="19"/>
      <c r="F194" s="19"/>
      <c r="G194" s="27" t="s">
        <v>31</v>
      </c>
      <c r="H194" s="19"/>
      <c r="I194" s="19"/>
      <c r="J194" s="19"/>
      <c r="K194" s="19"/>
      <c r="L194" s="15">
        <f t="shared" si="0"/>
        <v>1</v>
      </c>
      <c r="M194" s="15" t="str">
        <f t="shared" si="1"/>
        <v>Stinger</v>
      </c>
      <c r="N194" s="15" t="b">
        <f>OR(C194='Cocktail Finder'!$B$2,ISBLANK('Cocktail Finder'!$B$2))</f>
        <v>1</v>
      </c>
      <c r="O194" s="15" t="b">
        <f>OR(D194='Cocktail Finder'!$B$7,ISBLANK('Cocktail Finder'!$B$7))</f>
        <v>1</v>
      </c>
      <c r="P194" s="15" t="b">
        <f>OR(E194='Cocktail Finder'!$B$5,ISBLANK('Cocktail Finder'!$B$5))</f>
        <v>1</v>
      </c>
      <c r="Q194" s="15" t="b">
        <f>OR(F194='Cocktail Finder'!$B$4,ISBLANK('Cocktail Finder'!$B$4))</f>
        <v>1</v>
      </c>
      <c r="R194" s="15" t="b">
        <f>OR(G194='Cocktail Finder'!$B$3,ISBLANK('Cocktail Finder'!$B$3))</f>
        <v>1</v>
      </c>
      <c r="S194" s="15" t="b">
        <f>OR(H194='Cocktail Finder'!$B$6,ISBLANK('Cocktail Finder'!$B$6))</f>
        <v>1</v>
      </c>
      <c r="T194" s="15" t="b">
        <f>OR(I194='Cocktail Finder'!$B$8,ISBLANK('Cocktail Finder'!$B$8))</f>
        <v>1</v>
      </c>
      <c r="U194" s="15" t="b">
        <f>OR(J194='Cocktail Finder'!$B$9,ISBLANK('Cocktail Finder'!$B$8))</f>
        <v>1</v>
      </c>
    </row>
    <row r="195" spans="1:21" ht="15.75" customHeight="1" x14ac:dyDescent="0.2">
      <c r="A195" s="19">
        <f t="shared" si="2"/>
        <v>194</v>
      </c>
      <c r="B195" s="19" t="s">
        <v>248</v>
      </c>
      <c r="C195" s="19" t="s">
        <v>249</v>
      </c>
      <c r="D195" s="19"/>
      <c r="E195" s="19" t="s">
        <v>250</v>
      </c>
      <c r="F195" s="19" t="s">
        <v>38</v>
      </c>
      <c r="G195" s="19"/>
      <c r="H195" s="19"/>
      <c r="I195" s="19"/>
      <c r="J195" s="19"/>
      <c r="K195" s="19"/>
      <c r="L195" s="15">
        <f t="shared" si="0"/>
        <v>1</v>
      </c>
      <c r="M195" s="15" t="str">
        <f t="shared" si="1"/>
        <v>Tea Tini</v>
      </c>
      <c r="N195" s="15" t="b">
        <f>OR(C195='Cocktail Finder'!$B$2,ISBLANK('Cocktail Finder'!$B$2))</f>
        <v>1</v>
      </c>
      <c r="O195" s="15" t="b">
        <f>OR(D195='Cocktail Finder'!$B$7,ISBLANK('Cocktail Finder'!$B$7))</f>
        <v>1</v>
      </c>
      <c r="P195" s="15" t="b">
        <f>OR(E195='Cocktail Finder'!$B$5,ISBLANK('Cocktail Finder'!$B$5))</f>
        <v>1</v>
      </c>
      <c r="Q195" s="15" t="b">
        <f>OR(F195='Cocktail Finder'!$B$4,ISBLANK('Cocktail Finder'!$B$4))</f>
        <v>1</v>
      </c>
      <c r="R195" s="15" t="b">
        <f>OR(G195='Cocktail Finder'!$B$3,ISBLANK('Cocktail Finder'!$B$3))</f>
        <v>1</v>
      </c>
      <c r="S195" s="15" t="b">
        <f>OR(H195='Cocktail Finder'!$B$6,ISBLANK('Cocktail Finder'!$B$6))</f>
        <v>1</v>
      </c>
      <c r="T195" s="15" t="b">
        <f>OR(I195='Cocktail Finder'!$B$8,ISBLANK('Cocktail Finder'!$B$8))</f>
        <v>1</v>
      </c>
      <c r="U195" s="15" t="b">
        <f>OR(J195='Cocktail Finder'!$B$9,ISBLANK('Cocktail Finder'!$B$8))</f>
        <v>1</v>
      </c>
    </row>
    <row r="196" spans="1:21" ht="15.75" customHeight="1" x14ac:dyDescent="0.2">
      <c r="A196" s="19">
        <f t="shared" si="2"/>
        <v>195</v>
      </c>
      <c r="B196" s="19" t="s">
        <v>346</v>
      </c>
      <c r="C196" s="19" t="s">
        <v>343</v>
      </c>
      <c r="D196" s="19"/>
      <c r="E196" s="19" t="s">
        <v>55</v>
      </c>
      <c r="F196" s="19" t="s">
        <v>126</v>
      </c>
      <c r="G196" s="19"/>
      <c r="H196" s="19"/>
      <c r="I196" s="19"/>
      <c r="J196" s="19"/>
      <c r="K196" s="19"/>
      <c r="L196" s="15">
        <f t="shared" si="0"/>
        <v>1</v>
      </c>
      <c r="M196" s="15" t="str">
        <f t="shared" si="1"/>
        <v>Tequila Sunrise</v>
      </c>
      <c r="N196" s="15" t="b">
        <f>OR(C196='Cocktail Finder'!$B$2,ISBLANK('Cocktail Finder'!$B$2))</f>
        <v>1</v>
      </c>
      <c r="O196" s="15" t="b">
        <f>OR(D196='Cocktail Finder'!$B$7,ISBLANK('Cocktail Finder'!$B$7))</f>
        <v>1</v>
      </c>
      <c r="P196" s="15" t="b">
        <f>OR(E196='Cocktail Finder'!$B$5,ISBLANK('Cocktail Finder'!$B$5))</f>
        <v>1</v>
      </c>
      <c r="Q196" s="15" t="b">
        <f>OR(F196='Cocktail Finder'!$B$4,ISBLANK('Cocktail Finder'!$B$4))</f>
        <v>1</v>
      </c>
      <c r="R196" s="15" t="b">
        <f>OR(G196='Cocktail Finder'!$B$3,ISBLANK('Cocktail Finder'!$B$3))</f>
        <v>1</v>
      </c>
      <c r="S196" s="15" t="b">
        <f>OR(H196='Cocktail Finder'!$B$6,ISBLANK('Cocktail Finder'!$B$6))</f>
        <v>1</v>
      </c>
      <c r="T196" s="15" t="b">
        <f>OR(I196='Cocktail Finder'!$B$8,ISBLANK('Cocktail Finder'!$B$8))</f>
        <v>1</v>
      </c>
      <c r="U196" s="15" t="b">
        <f>OR(J196='Cocktail Finder'!$B$9,ISBLANK('Cocktail Finder'!$B$8))</f>
        <v>1</v>
      </c>
    </row>
    <row r="197" spans="1:21" ht="15.75" customHeight="1" x14ac:dyDescent="0.2">
      <c r="A197" s="19">
        <f t="shared" si="2"/>
        <v>196</v>
      </c>
      <c r="B197" s="19" t="s">
        <v>197</v>
      </c>
      <c r="C197" s="18" t="s">
        <v>148</v>
      </c>
      <c r="D197" s="19"/>
      <c r="E197" s="19"/>
      <c r="F197" s="19"/>
      <c r="G197" s="19" t="s">
        <v>52</v>
      </c>
      <c r="H197" s="19"/>
      <c r="I197" s="19"/>
      <c r="J197" s="19"/>
      <c r="K197" s="19"/>
      <c r="L197" s="15">
        <f t="shared" si="0"/>
        <v>1</v>
      </c>
      <c r="M197" s="15" t="str">
        <f t="shared" si="1"/>
        <v>Third Degree</v>
      </c>
      <c r="N197" s="15" t="b">
        <f>OR(C197='Cocktail Finder'!$B$2,ISBLANK('Cocktail Finder'!$B$2))</f>
        <v>1</v>
      </c>
      <c r="O197" s="15" t="b">
        <f>OR(D197='Cocktail Finder'!$B$7,ISBLANK('Cocktail Finder'!$B$7))</f>
        <v>1</v>
      </c>
      <c r="P197" s="15" t="b">
        <f>OR(E197='Cocktail Finder'!$B$5,ISBLANK('Cocktail Finder'!$B$5))</f>
        <v>1</v>
      </c>
      <c r="Q197" s="15" t="b">
        <f>OR(F197='Cocktail Finder'!$B$4,ISBLANK('Cocktail Finder'!$B$4))</f>
        <v>1</v>
      </c>
      <c r="R197" s="15" t="b">
        <f>OR(G197='Cocktail Finder'!$B$3,ISBLANK('Cocktail Finder'!$B$3))</f>
        <v>1</v>
      </c>
      <c r="S197" s="15" t="b">
        <f>OR(H197='Cocktail Finder'!$B$6,ISBLANK('Cocktail Finder'!$B$6))</f>
        <v>1</v>
      </c>
      <c r="T197" s="15" t="b">
        <f>OR(I197='Cocktail Finder'!$B$8,ISBLANK('Cocktail Finder'!$B$8))</f>
        <v>1</v>
      </c>
      <c r="U197" s="15" t="b">
        <f>OR(J197='Cocktail Finder'!$B$9,ISBLANK('Cocktail Finder'!$B$8))</f>
        <v>1</v>
      </c>
    </row>
    <row r="198" spans="1:21" ht="15.75" customHeight="1" x14ac:dyDescent="0.2">
      <c r="A198" s="19">
        <f t="shared" si="2"/>
        <v>197</v>
      </c>
      <c r="B198" s="19" t="s">
        <v>35</v>
      </c>
      <c r="C198" s="19" t="s">
        <v>30</v>
      </c>
      <c r="D198" s="19"/>
      <c r="E198" s="19" t="s">
        <v>32</v>
      </c>
      <c r="F198" s="19"/>
      <c r="G198" s="19" t="s">
        <v>36</v>
      </c>
      <c r="H198" s="19"/>
      <c r="I198" s="19"/>
      <c r="J198" s="19"/>
      <c r="K198" s="19"/>
      <c r="L198" s="15">
        <f t="shared" si="0"/>
        <v>1</v>
      </c>
      <c r="M198" s="15" t="str">
        <f t="shared" si="1"/>
        <v>Toasted Almond</v>
      </c>
      <c r="N198" s="15" t="b">
        <f>OR(C198='Cocktail Finder'!$B$2,ISBLANK('Cocktail Finder'!$B$2))</f>
        <v>1</v>
      </c>
      <c r="O198" s="15" t="b">
        <f>OR(D198='Cocktail Finder'!$B$7,ISBLANK('Cocktail Finder'!$B$7))</f>
        <v>1</v>
      </c>
      <c r="P198" s="15" t="b">
        <f>OR(E198='Cocktail Finder'!$B$5,ISBLANK('Cocktail Finder'!$B$5))</f>
        <v>1</v>
      </c>
      <c r="Q198" s="15" t="b">
        <f>OR(F198='Cocktail Finder'!$B$4,ISBLANK('Cocktail Finder'!$B$4))</f>
        <v>1</v>
      </c>
      <c r="R198" s="15" t="b">
        <f>OR(G198='Cocktail Finder'!$B$3,ISBLANK('Cocktail Finder'!$B$3))</f>
        <v>1</v>
      </c>
      <c r="S198" s="15" t="b">
        <f>OR(H198='Cocktail Finder'!$B$6,ISBLANK('Cocktail Finder'!$B$6))</f>
        <v>1</v>
      </c>
      <c r="T198" s="15" t="b">
        <f>OR(I198='Cocktail Finder'!$B$8,ISBLANK('Cocktail Finder'!$B$8))</f>
        <v>1</v>
      </c>
      <c r="U198" s="15" t="b">
        <f>OR(J198='Cocktail Finder'!$B$9,ISBLANK('Cocktail Finder'!$B$8))</f>
        <v>1</v>
      </c>
    </row>
    <row r="199" spans="1:21" ht="15.75" customHeight="1" x14ac:dyDescent="0.2">
      <c r="A199" s="19">
        <f t="shared" si="2"/>
        <v>198</v>
      </c>
      <c r="B199" s="19" t="s">
        <v>180</v>
      </c>
      <c r="C199" s="18" t="s">
        <v>148</v>
      </c>
      <c r="D199" s="19"/>
      <c r="E199" s="19" t="s">
        <v>86</v>
      </c>
      <c r="F199" s="19" t="s">
        <v>38</v>
      </c>
      <c r="G199" s="19"/>
      <c r="H199" s="19"/>
      <c r="I199" s="19"/>
      <c r="J199" s="19"/>
      <c r="K199" s="19"/>
      <c r="L199" s="15">
        <f t="shared" si="0"/>
        <v>1</v>
      </c>
      <c r="M199" s="15" t="str">
        <f t="shared" si="1"/>
        <v>Tom Collins</v>
      </c>
      <c r="N199" s="15" t="b">
        <f>OR(C199='Cocktail Finder'!$B$2,ISBLANK('Cocktail Finder'!$B$2))</f>
        <v>1</v>
      </c>
      <c r="O199" s="15" t="b">
        <f>OR(D199='Cocktail Finder'!$B$7,ISBLANK('Cocktail Finder'!$B$7))</f>
        <v>1</v>
      </c>
      <c r="P199" s="15" t="b">
        <f>OR(E199='Cocktail Finder'!$B$5,ISBLANK('Cocktail Finder'!$B$5))</f>
        <v>1</v>
      </c>
      <c r="Q199" s="15" t="b">
        <f>OR(F199='Cocktail Finder'!$B$4,ISBLANK('Cocktail Finder'!$B$4))</f>
        <v>1</v>
      </c>
      <c r="R199" s="15" t="b">
        <f>OR(G199='Cocktail Finder'!$B$3,ISBLANK('Cocktail Finder'!$B$3))</f>
        <v>1</v>
      </c>
      <c r="S199" s="15" t="b">
        <f>OR(H199='Cocktail Finder'!$B$6,ISBLANK('Cocktail Finder'!$B$6))</f>
        <v>1</v>
      </c>
      <c r="T199" s="15" t="b">
        <f>OR(I199='Cocktail Finder'!$B$8,ISBLANK('Cocktail Finder'!$B$8))</f>
        <v>1</v>
      </c>
      <c r="U199" s="15" t="b">
        <f>OR(J199='Cocktail Finder'!$B$9,ISBLANK('Cocktail Finder'!$B$8))</f>
        <v>1</v>
      </c>
    </row>
    <row r="200" spans="1:21" ht="15.75" customHeight="1" x14ac:dyDescent="0.2">
      <c r="A200" s="19">
        <f t="shared" si="2"/>
        <v>199</v>
      </c>
      <c r="B200" s="19" t="s">
        <v>140</v>
      </c>
      <c r="C200" s="19" t="s">
        <v>136</v>
      </c>
      <c r="D200" s="19"/>
      <c r="E200" s="19"/>
      <c r="F200" s="19"/>
      <c r="G200" s="19" t="s">
        <v>104</v>
      </c>
      <c r="H200" s="19"/>
      <c r="I200" s="19"/>
      <c r="J200" s="19"/>
      <c r="K200" s="19"/>
      <c r="L200" s="15">
        <f t="shared" si="0"/>
        <v>1</v>
      </c>
      <c r="M200" s="15" t="str">
        <f t="shared" si="1"/>
        <v>Tremblement de Terre</v>
      </c>
      <c r="N200" s="15" t="b">
        <f>OR(C200='Cocktail Finder'!$B$2,ISBLANK('Cocktail Finder'!$B$2))</f>
        <v>1</v>
      </c>
      <c r="O200" s="15" t="b">
        <f>OR(D200='Cocktail Finder'!$B$7,ISBLANK('Cocktail Finder'!$B$7))</f>
        <v>1</v>
      </c>
      <c r="P200" s="15" t="b">
        <f>OR(E200='Cocktail Finder'!$B$5,ISBLANK('Cocktail Finder'!$B$5))</f>
        <v>1</v>
      </c>
      <c r="Q200" s="15" t="b">
        <f>OR(F200='Cocktail Finder'!$B$4,ISBLANK('Cocktail Finder'!$B$4))</f>
        <v>1</v>
      </c>
      <c r="R200" s="15" t="b">
        <f>OR(G200='Cocktail Finder'!$B$3,ISBLANK('Cocktail Finder'!$B$3))</f>
        <v>1</v>
      </c>
      <c r="S200" s="15" t="b">
        <f>OR(H200='Cocktail Finder'!$B$6,ISBLANK('Cocktail Finder'!$B$6))</f>
        <v>1</v>
      </c>
      <c r="T200" s="15" t="b">
        <f>OR(I200='Cocktail Finder'!$B$8,ISBLANK('Cocktail Finder'!$B$8))</f>
        <v>1</v>
      </c>
      <c r="U200" s="15" t="b">
        <f>OR(J200='Cocktail Finder'!$B$9,ISBLANK('Cocktail Finder'!$B$8))</f>
        <v>1</v>
      </c>
    </row>
    <row r="201" spans="1:21" ht="15.75" customHeight="1" x14ac:dyDescent="0.2">
      <c r="A201" s="19">
        <f t="shared" si="2"/>
        <v>200</v>
      </c>
      <c r="B201" s="19" t="s">
        <v>277</v>
      </c>
      <c r="C201" s="19" t="s">
        <v>265</v>
      </c>
      <c r="D201" s="19"/>
      <c r="E201" s="23" t="s">
        <v>55</v>
      </c>
      <c r="F201" s="19" t="s">
        <v>90</v>
      </c>
      <c r="G201" s="23"/>
      <c r="H201" s="23"/>
      <c r="I201" s="19"/>
      <c r="J201" s="19"/>
      <c r="K201" s="19"/>
      <c r="L201" s="15">
        <f t="shared" si="0"/>
        <v>1</v>
      </c>
      <c r="M201" s="15" t="str">
        <f t="shared" si="1"/>
        <v>Tropical Cocktail</v>
      </c>
      <c r="N201" s="15" t="b">
        <f>OR(C201='Cocktail Finder'!$B$2,ISBLANK('Cocktail Finder'!$B$2))</f>
        <v>1</v>
      </c>
      <c r="O201" s="15" t="b">
        <f>OR(D201='Cocktail Finder'!$B$7,ISBLANK('Cocktail Finder'!$B$7))</f>
        <v>1</v>
      </c>
      <c r="P201" s="15" t="b">
        <f>OR(E201='Cocktail Finder'!$B$5,ISBLANK('Cocktail Finder'!$B$5))</f>
        <v>1</v>
      </c>
      <c r="Q201" s="15" t="b">
        <f>OR(F201='Cocktail Finder'!$B$4,ISBLANK('Cocktail Finder'!$B$4))</f>
        <v>1</v>
      </c>
      <c r="R201" s="15" t="b">
        <f>OR(G201='Cocktail Finder'!$B$3,ISBLANK('Cocktail Finder'!$B$3))</f>
        <v>1</v>
      </c>
      <c r="S201" s="15" t="b">
        <f>OR(H201='Cocktail Finder'!$B$6,ISBLANK('Cocktail Finder'!$B$6))</f>
        <v>1</v>
      </c>
      <c r="T201" s="15" t="b">
        <f>OR(I201='Cocktail Finder'!$B$8,ISBLANK('Cocktail Finder'!$B$8))</f>
        <v>1</v>
      </c>
      <c r="U201" s="15" t="b">
        <f>OR(J201='Cocktail Finder'!$B$9,ISBLANK('Cocktail Finder'!$B$8))</f>
        <v>1</v>
      </c>
    </row>
    <row r="202" spans="1:21" ht="15.75" customHeight="1" x14ac:dyDescent="0.2">
      <c r="A202" s="19">
        <f t="shared" si="2"/>
        <v>201</v>
      </c>
      <c r="B202" s="19" t="s">
        <v>167</v>
      </c>
      <c r="C202" s="18" t="s">
        <v>148</v>
      </c>
      <c r="D202" s="19"/>
      <c r="E202" s="19"/>
      <c r="F202" s="19" t="s">
        <v>38</v>
      </c>
      <c r="G202" s="19" t="s">
        <v>31</v>
      </c>
      <c r="H202" s="19"/>
      <c r="I202" s="19"/>
      <c r="J202" s="19"/>
      <c r="K202" s="19"/>
      <c r="L202" s="15">
        <f t="shared" si="0"/>
        <v>1</v>
      </c>
      <c r="M202" s="15" t="str">
        <f t="shared" si="1"/>
        <v>Twentieth-Century Cocktail</v>
      </c>
      <c r="N202" s="15" t="b">
        <f>OR(C202='Cocktail Finder'!$B$2,ISBLANK('Cocktail Finder'!$B$2))</f>
        <v>1</v>
      </c>
      <c r="O202" s="15" t="b">
        <f>OR(D202='Cocktail Finder'!$B$7,ISBLANK('Cocktail Finder'!$B$7))</f>
        <v>1</v>
      </c>
      <c r="P202" s="15" t="b">
        <f>OR(E202='Cocktail Finder'!$B$5,ISBLANK('Cocktail Finder'!$B$5))</f>
        <v>1</v>
      </c>
      <c r="Q202" s="15" t="b">
        <f>OR(F202='Cocktail Finder'!$B$4,ISBLANK('Cocktail Finder'!$B$4))</f>
        <v>1</v>
      </c>
      <c r="R202" s="15" t="b">
        <f>OR(G202='Cocktail Finder'!$B$3,ISBLANK('Cocktail Finder'!$B$3))</f>
        <v>1</v>
      </c>
      <c r="S202" s="15" t="b">
        <f>OR(H202='Cocktail Finder'!$B$6,ISBLANK('Cocktail Finder'!$B$6))</f>
        <v>1</v>
      </c>
      <c r="T202" s="15" t="b">
        <f>OR(I202='Cocktail Finder'!$B$8,ISBLANK('Cocktail Finder'!$B$8))</f>
        <v>1</v>
      </c>
      <c r="U202" s="15" t="b">
        <f>OR(J202='Cocktail Finder'!$B$9,ISBLANK('Cocktail Finder'!$B$8))</f>
        <v>1</v>
      </c>
    </row>
    <row r="203" spans="1:21" ht="15.75" customHeight="1" x14ac:dyDescent="0.2">
      <c r="A203" s="19">
        <f t="shared" si="2"/>
        <v>202</v>
      </c>
      <c r="B203" s="19" t="s">
        <v>227</v>
      </c>
      <c r="C203" s="19" t="s">
        <v>219</v>
      </c>
      <c r="D203" s="19"/>
      <c r="E203" s="19"/>
      <c r="F203" s="19"/>
      <c r="G203" s="19" t="s">
        <v>178</v>
      </c>
      <c r="H203" s="19"/>
      <c r="I203" s="19"/>
      <c r="J203" s="19"/>
      <c r="K203" s="19"/>
      <c r="L203" s="15">
        <f t="shared" si="0"/>
        <v>1</v>
      </c>
      <c r="M203" s="15" t="str">
        <f t="shared" si="1"/>
        <v>Vesper Martini</v>
      </c>
      <c r="N203" s="15" t="b">
        <f>OR(C203='Cocktail Finder'!$B$2,ISBLANK('Cocktail Finder'!$B$2))</f>
        <v>1</v>
      </c>
      <c r="O203" s="15" t="b">
        <f>OR(D203='Cocktail Finder'!$B$7,ISBLANK('Cocktail Finder'!$B$7))</f>
        <v>1</v>
      </c>
      <c r="P203" s="15" t="b">
        <f>OR(E203='Cocktail Finder'!$B$5,ISBLANK('Cocktail Finder'!$B$5))</f>
        <v>1</v>
      </c>
      <c r="Q203" s="15" t="b">
        <f>OR(F203='Cocktail Finder'!$B$4,ISBLANK('Cocktail Finder'!$B$4))</f>
        <v>1</v>
      </c>
      <c r="R203" s="15" t="b">
        <f>OR(G203='Cocktail Finder'!$B$3,ISBLANK('Cocktail Finder'!$B$3))</f>
        <v>1</v>
      </c>
      <c r="S203" s="15" t="b">
        <f>OR(H203='Cocktail Finder'!$B$6,ISBLANK('Cocktail Finder'!$B$6))</f>
        <v>1</v>
      </c>
      <c r="T203" s="15" t="b">
        <f>OR(I203='Cocktail Finder'!$B$8,ISBLANK('Cocktail Finder'!$B$8))</f>
        <v>1</v>
      </c>
      <c r="U203" s="15" t="b">
        <f>OR(J203='Cocktail Finder'!$B$9,ISBLANK('Cocktail Finder'!$B$8))</f>
        <v>1</v>
      </c>
    </row>
    <row r="204" spans="1:21" ht="15.75" customHeight="1" x14ac:dyDescent="0.2">
      <c r="A204" s="19">
        <f t="shared" si="2"/>
        <v>203</v>
      </c>
      <c r="B204" s="19" t="s">
        <v>365</v>
      </c>
      <c r="C204" s="19" t="s">
        <v>357</v>
      </c>
      <c r="D204" s="19"/>
      <c r="E204" s="19" t="s">
        <v>158</v>
      </c>
      <c r="F204" s="19"/>
      <c r="G204" s="19"/>
      <c r="H204" s="19"/>
      <c r="I204" s="19"/>
      <c r="J204" s="19"/>
      <c r="K204" s="19"/>
      <c r="L204" s="15">
        <f t="shared" si="0"/>
        <v>1</v>
      </c>
      <c r="M204" s="15" t="str">
        <f t="shared" si="1"/>
        <v>Vodka and Tonic</v>
      </c>
      <c r="N204" s="15" t="b">
        <f>OR(C204='Cocktail Finder'!$B$2,ISBLANK('Cocktail Finder'!$B$2))</f>
        <v>1</v>
      </c>
      <c r="O204" s="15" t="b">
        <f>OR(D204='Cocktail Finder'!$B$7,ISBLANK('Cocktail Finder'!$B$7))</f>
        <v>1</v>
      </c>
      <c r="P204" s="15" t="b">
        <f>OR(E204='Cocktail Finder'!$B$5,ISBLANK('Cocktail Finder'!$B$5))</f>
        <v>1</v>
      </c>
      <c r="Q204" s="15" t="b">
        <f>OR(F204='Cocktail Finder'!$B$4,ISBLANK('Cocktail Finder'!$B$4))</f>
        <v>1</v>
      </c>
      <c r="R204" s="15" t="b">
        <f>OR(G204='Cocktail Finder'!$B$3,ISBLANK('Cocktail Finder'!$B$3))</f>
        <v>1</v>
      </c>
      <c r="S204" s="15" t="b">
        <f>OR(H204='Cocktail Finder'!$B$6,ISBLANK('Cocktail Finder'!$B$6))</f>
        <v>1</v>
      </c>
      <c r="T204" s="15" t="b">
        <f>OR(I204='Cocktail Finder'!$B$8,ISBLANK('Cocktail Finder'!$B$8))</f>
        <v>1</v>
      </c>
      <c r="U204" s="15" t="b">
        <f>OR(J204='Cocktail Finder'!$B$9,ISBLANK('Cocktail Finder'!$B$8))</f>
        <v>1</v>
      </c>
    </row>
    <row r="205" spans="1:21" ht="15.75" customHeight="1" x14ac:dyDescent="0.2">
      <c r="A205" s="19">
        <f t="shared" si="2"/>
        <v>204</v>
      </c>
      <c r="B205" s="19" t="s">
        <v>304</v>
      </c>
      <c r="C205" s="19" t="s">
        <v>300</v>
      </c>
      <c r="D205" s="19"/>
      <c r="E205" s="19" t="s">
        <v>55</v>
      </c>
      <c r="F205" s="19" t="s">
        <v>38</v>
      </c>
      <c r="G205" s="19"/>
      <c r="H205" s="19"/>
      <c r="I205" s="19"/>
      <c r="J205" s="19"/>
      <c r="K205" s="19"/>
      <c r="L205" s="15">
        <f t="shared" si="0"/>
        <v>1</v>
      </c>
      <c r="M205" s="15" t="str">
        <f t="shared" si="1"/>
        <v>Ward Eight</v>
      </c>
      <c r="N205" s="15" t="b">
        <f>OR(C205='Cocktail Finder'!$B$2,ISBLANK('Cocktail Finder'!$B$2))</f>
        <v>1</v>
      </c>
      <c r="O205" s="15" t="b">
        <f>OR(D205='Cocktail Finder'!$B$7,ISBLANK('Cocktail Finder'!$B$7))</f>
        <v>1</v>
      </c>
      <c r="P205" s="15" t="b">
        <f>OR(E205='Cocktail Finder'!$B$5,ISBLANK('Cocktail Finder'!$B$5))</f>
        <v>1</v>
      </c>
      <c r="Q205" s="15" t="b">
        <f>OR(F205='Cocktail Finder'!$B$4,ISBLANK('Cocktail Finder'!$B$4))</f>
        <v>1</v>
      </c>
      <c r="R205" s="15" t="b">
        <f>OR(G205='Cocktail Finder'!$B$3,ISBLANK('Cocktail Finder'!$B$3))</f>
        <v>1</v>
      </c>
      <c r="S205" s="15" t="b">
        <f>OR(H205='Cocktail Finder'!$B$6,ISBLANK('Cocktail Finder'!$B$6))</f>
        <v>1</v>
      </c>
      <c r="T205" s="15" t="b">
        <f>OR(I205='Cocktail Finder'!$B$8,ISBLANK('Cocktail Finder'!$B$8))</f>
        <v>1</v>
      </c>
      <c r="U205" s="15" t="b">
        <f>OR(J205='Cocktail Finder'!$B$9,ISBLANK('Cocktail Finder'!$B$8))</f>
        <v>1</v>
      </c>
    </row>
    <row r="206" spans="1:21" ht="15.75" customHeight="1" x14ac:dyDescent="0.2">
      <c r="A206" s="19">
        <f t="shared" si="2"/>
        <v>205</v>
      </c>
      <c r="B206" s="20" t="s">
        <v>312</v>
      </c>
      <c r="C206" s="20" t="s">
        <v>313</v>
      </c>
      <c r="D206" s="20"/>
      <c r="E206" s="20" t="s">
        <v>66</v>
      </c>
      <c r="F206" s="20"/>
      <c r="G206" s="20"/>
      <c r="H206" s="20"/>
      <c r="I206" s="19" t="s">
        <v>240</v>
      </c>
      <c r="J206" s="20"/>
      <c r="K206" s="20"/>
      <c r="L206" s="15">
        <f t="shared" si="0"/>
        <v>1</v>
      </c>
      <c r="M206" s="15" t="str">
        <f t="shared" si="1"/>
        <v>Whiskey Old-Fashioned</v>
      </c>
      <c r="N206" s="15" t="b">
        <f>OR(C206='Cocktail Finder'!$B$2,ISBLANK('Cocktail Finder'!$B$2))</f>
        <v>1</v>
      </c>
      <c r="O206" s="15" t="b">
        <f>OR(D206='Cocktail Finder'!$B$7,ISBLANK('Cocktail Finder'!$B$7))</f>
        <v>1</v>
      </c>
      <c r="P206" s="15" t="b">
        <f>OR(E206='Cocktail Finder'!$B$5,ISBLANK('Cocktail Finder'!$B$5))</f>
        <v>1</v>
      </c>
      <c r="Q206" s="15" t="b">
        <f>OR(F206='Cocktail Finder'!$B$4,ISBLANK('Cocktail Finder'!$B$4))</f>
        <v>1</v>
      </c>
      <c r="R206" s="15" t="b">
        <f>OR(G206='Cocktail Finder'!$B$3,ISBLANK('Cocktail Finder'!$B$3))</f>
        <v>1</v>
      </c>
      <c r="S206" s="15" t="b">
        <f>OR(H206='Cocktail Finder'!$B$6,ISBLANK('Cocktail Finder'!$B$6))</f>
        <v>1</v>
      </c>
      <c r="T206" s="15" t="b">
        <f>OR(I206='Cocktail Finder'!$B$8,ISBLANK('Cocktail Finder'!$B$8))</f>
        <v>1</v>
      </c>
      <c r="U206" s="15" t="b">
        <f>OR(J206='Cocktail Finder'!$B$9,ISBLANK('Cocktail Finder'!$B$8))</f>
        <v>1</v>
      </c>
    </row>
    <row r="207" spans="1:21" ht="15.75" customHeight="1" x14ac:dyDescent="0.2">
      <c r="A207" s="19">
        <f t="shared" si="2"/>
        <v>206</v>
      </c>
      <c r="B207" s="19" t="s">
        <v>85</v>
      </c>
      <c r="C207" s="19" t="s">
        <v>65</v>
      </c>
      <c r="D207" s="19"/>
      <c r="E207" s="19" t="s">
        <v>86</v>
      </c>
      <c r="F207" s="19" t="s">
        <v>38</v>
      </c>
      <c r="G207" s="19"/>
      <c r="H207" s="19"/>
      <c r="I207" s="19"/>
      <c r="J207" s="19"/>
      <c r="K207" s="19"/>
      <c r="L207" s="15">
        <f t="shared" si="0"/>
        <v>1</v>
      </c>
      <c r="M207" s="15" t="str">
        <f t="shared" si="1"/>
        <v>Whiskey Sour</v>
      </c>
      <c r="N207" s="15" t="b">
        <f>OR(C207='Cocktail Finder'!$B$2,ISBLANK('Cocktail Finder'!$B$2))</f>
        <v>1</v>
      </c>
      <c r="O207" s="15" t="b">
        <f>OR(D207='Cocktail Finder'!$B$7,ISBLANK('Cocktail Finder'!$B$7))</f>
        <v>1</v>
      </c>
      <c r="P207" s="15" t="b">
        <f>OR(E207='Cocktail Finder'!$B$5,ISBLANK('Cocktail Finder'!$B$5))</f>
        <v>1</v>
      </c>
      <c r="Q207" s="15" t="b">
        <f>OR(F207='Cocktail Finder'!$B$4,ISBLANK('Cocktail Finder'!$B$4))</f>
        <v>1</v>
      </c>
      <c r="R207" s="15" t="b">
        <f>OR(G207='Cocktail Finder'!$B$3,ISBLANK('Cocktail Finder'!$B$3))</f>
        <v>1</v>
      </c>
      <c r="S207" s="15" t="b">
        <f>OR(H207='Cocktail Finder'!$B$6,ISBLANK('Cocktail Finder'!$B$6))</f>
        <v>1</v>
      </c>
      <c r="T207" s="15" t="b">
        <f>OR(I207='Cocktail Finder'!$B$8,ISBLANK('Cocktail Finder'!$B$8))</f>
        <v>1</v>
      </c>
      <c r="U207" s="15" t="b">
        <f>OR(J207='Cocktail Finder'!$B$9,ISBLANK('Cocktail Finder'!$B$8))</f>
        <v>1</v>
      </c>
    </row>
    <row r="208" spans="1:21" ht="15.75" customHeight="1" x14ac:dyDescent="0.2">
      <c r="A208" s="19">
        <f t="shared" si="2"/>
        <v>207</v>
      </c>
      <c r="B208" s="19" t="s">
        <v>361</v>
      </c>
      <c r="C208" s="19" t="s">
        <v>357</v>
      </c>
      <c r="D208" s="19"/>
      <c r="E208" s="19" t="s">
        <v>32</v>
      </c>
      <c r="F208" s="19"/>
      <c r="G208" s="19" t="s">
        <v>36</v>
      </c>
      <c r="H208" s="19"/>
      <c r="I208" s="19"/>
      <c r="J208" s="19"/>
      <c r="K208" s="19"/>
      <c r="L208" s="15">
        <f t="shared" si="0"/>
        <v>1</v>
      </c>
      <c r="M208" s="15" t="str">
        <f t="shared" si="1"/>
        <v>White Russian</v>
      </c>
      <c r="N208" s="15" t="b">
        <f>OR(C208='Cocktail Finder'!$B$2,ISBLANK('Cocktail Finder'!$B$2))</f>
        <v>1</v>
      </c>
      <c r="O208" s="15" t="b">
        <f>OR(D208='Cocktail Finder'!$B$7,ISBLANK('Cocktail Finder'!$B$7))</f>
        <v>1</v>
      </c>
      <c r="P208" s="15" t="b">
        <f>OR(E208='Cocktail Finder'!$B$5,ISBLANK('Cocktail Finder'!$B$5))</f>
        <v>1</v>
      </c>
      <c r="Q208" s="15" t="b">
        <f>OR(F208='Cocktail Finder'!$B$4,ISBLANK('Cocktail Finder'!$B$4))</f>
        <v>1</v>
      </c>
      <c r="R208" s="15" t="b">
        <f>OR(G208='Cocktail Finder'!$B$3,ISBLANK('Cocktail Finder'!$B$3))</f>
        <v>1</v>
      </c>
      <c r="S208" s="15" t="b">
        <f>OR(H208='Cocktail Finder'!$B$6,ISBLANK('Cocktail Finder'!$B$6))</f>
        <v>1</v>
      </c>
      <c r="T208" s="15" t="b">
        <f>OR(I208='Cocktail Finder'!$B$8,ISBLANK('Cocktail Finder'!$B$8))</f>
        <v>1</v>
      </c>
      <c r="U208" s="15" t="b">
        <f>OR(J208='Cocktail Finder'!$B$9,ISBLANK('Cocktail Finder'!$B$8))</f>
        <v>1</v>
      </c>
    </row>
    <row r="209" spans="1:21" ht="15.75" customHeight="1" x14ac:dyDescent="0.2">
      <c r="A209" s="19">
        <f t="shared" si="2"/>
        <v>208</v>
      </c>
      <c r="B209" s="19" t="s">
        <v>363</v>
      </c>
      <c r="C209" s="19" t="s">
        <v>357</v>
      </c>
      <c r="D209" s="19"/>
      <c r="E209" s="19"/>
      <c r="F209" s="19"/>
      <c r="G209" s="19" t="s">
        <v>31</v>
      </c>
      <c r="H209" s="19"/>
      <c r="I209" s="19"/>
      <c r="J209" s="19"/>
      <c r="K209" s="19"/>
      <c r="L209" s="15">
        <f t="shared" si="0"/>
        <v>1</v>
      </c>
      <c r="M209" s="15" t="str">
        <f t="shared" si="1"/>
        <v>White Spider</v>
      </c>
      <c r="N209" s="15" t="b">
        <f>OR(C209='Cocktail Finder'!$B$2,ISBLANK('Cocktail Finder'!$B$2))</f>
        <v>1</v>
      </c>
      <c r="O209" s="15" t="b">
        <f>OR(D209='Cocktail Finder'!$B$7,ISBLANK('Cocktail Finder'!$B$7))</f>
        <v>1</v>
      </c>
      <c r="P209" s="15" t="b">
        <f>OR(E209='Cocktail Finder'!$B$5,ISBLANK('Cocktail Finder'!$B$5))</f>
        <v>1</v>
      </c>
      <c r="Q209" s="15" t="b">
        <f>OR(F209='Cocktail Finder'!$B$4,ISBLANK('Cocktail Finder'!$B$4))</f>
        <v>1</v>
      </c>
      <c r="R209" s="15" t="b">
        <f>OR(G209='Cocktail Finder'!$B$3,ISBLANK('Cocktail Finder'!$B$3))</f>
        <v>1</v>
      </c>
      <c r="S209" s="15" t="b">
        <f>OR(H209='Cocktail Finder'!$B$6,ISBLANK('Cocktail Finder'!$B$6))</f>
        <v>1</v>
      </c>
      <c r="T209" s="15" t="b">
        <f>OR(I209='Cocktail Finder'!$B$8,ISBLANK('Cocktail Finder'!$B$8))</f>
        <v>1</v>
      </c>
      <c r="U209" s="15" t="b">
        <f>OR(J209='Cocktail Finder'!$B$9,ISBLANK('Cocktail Finder'!$B$8))</f>
        <v>1</v>
      </c>
    </row>
    <row r="210" spans="1:21" ht="15.75" customHeight="1" x14ac:dyDescent="0.2">
      <c r="A210" s="19">
        <f t="shared" si="2"/>
        <v>209</v>
      </c>
      <c r="B210" s="19" t="s">
        <v>377</v>
      </c>
      <c r="C210" s="19" t="s">
        <v>357</v>
      </c>
      <c r="D210" s="19"/>
      <c r="E210" s="19"/>
      <c r="F210" s="19" t="s">
        <v>45</v>
      </c>
      <c r="G210" s="19" t="s">
        <v>76</v>
      </c>
      <c r="H210" s="19"/>
      <c r="I210" s="19"/>
      <c r="J210" s="19"/>
      <c r="K210" s="19"/>
      <c r="L210" s="15">
        <f t="shared" si="0"/>
        <v>1</v>
      </c>
      <c r="M210" s="15" t="str">
        <f t="shared" si="1"/>
        <v>Woo Woo</v>
      </c>
      <c r="N210" s="15" t="b">
        <f>OR(C210='Cocktail Finder'!$B$2,ISBLANK('Cocktail Finder'!$B$2))</f>
        <v>1</v>
      </c>
      <c r="O210" s="15" t="b">
        <f>OR(D210='Cocktail Finder'!$B$7,ISBLANK('Cocktail Finder'!$B$7))</f>
        <v>1</v>
      </c>
      <c r="P210" s="15" t="b">
        <f>OR(E210='Cocktail Finder'!$B$5,ISBLANK('Cocktail Finder'!$B$5))</f>
        <v>1</v>
      </c>
      <c r="Q210" s="15" t="b">
        <f>OR(F210='Cocktail Finder'!$B$4,ISBLANK('Cocktail Finder'!$B$4))</f>
        <v>1</v>
      </c>
      <c r="R210" s="15" t="b">
        <f>OR(G210='Cocktail Finder'!$B$3,ISBLANK('Cocktail Finder'!$B$3))</f>
        <v>1</v>
      </c>
      <c r="S210" s="15" t="b">
        <f>OR(H210='Cocktail Finder'!$B$6,ISBLANK('Cocktail Finder'!$B$6))</f>
        <v>1</v>
      </c>
      <c r="T210" s="15" t="b">
        <f>OR(I210='Cocktail Finder'!$B$8,ISBLANK('Cocktail Finder'!$B$8))</f>
        <v>1</v>
      </c>
      <c r="U210" s="15" t="b">
        <f>OR(J210='Cocktail Finder'!$B$9,ISBLANK('Cocktail Finder'!$B$8))</f>
        <v>1</v>
      </c>
    </row>
    <row r="211" spans="1:21" ht="15.75" customHeight="1" x14ac:dyDescent="0.2"/>
    <row r="212" spans="1:21" ht="15.75" customHeight="1" x14ac:dyDescent="0.2"/>
    <row r="213" spans="1:21" ht="15.75" customHeight="1" x14ac:dyDescent="0.2"/>
    <row r="214" spans="1:21" ht="15.75" customHeight="1" x14ac:dyDescent="0.2"/>
    <row r="215" spans="1:21" ht="15.75" customHeight="1" x14ac:dyDescent="0.2"/>
    <row r="216" spans="1:21" ht="15.75" customHeight="1" x14ac:dyDescent="0.2"/>
    <row r="217" spans="1:21" ht="15.75" customHeight="1" x14ac:dyDescent="0.2"/>
    <row r="218" spans="1:21" ht="15.75" customHeight="1" x14ac:dyDescent="0.2"/>
    <row r="219" spans="1:21" ht="15.75" customHeight="1" x14ac:dyDescent="0.2"/>
    <row r="220" spans="1:21" ht="15.75" customHeight="1" x14ac:dyDescent="0.2"/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S1000" xr:uid="{00000000-0009-0000-0000-000002000000}"/>
  <pageMargins left="0.25" right="0.25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5.1640625" customWidth="1"/>
    <col min="2" max="2" width="14.5" customWidth="1"/>
    <col min="3" max="3" width="17.1640625" customWidth="1"/>
    <col min="4" max="4" width="21.5" customWidth="1"/>
    <col min="5" max="5" width="15.83203125" customWidth="1"/>
    <col min="6" max="6" width="13.5" customWidth="1"/>
    <col min="7" max="8" width="9.5" customWidth="1"/>
    <col min="9" max="10" width="14.5" customWidth="1"/>
    <col min="11" max="11" width="18.5" customWidth="1"/>
  </cols>
  <sheetData>
    <row r="1" spans="1:22" x14ac:dyDescent="0.2">
      <c r="A1" s="16" t="s">
        <v>10</v>
      </c>
      <c r="B1" s="16" t="s">
        <v>11</v>
      </c>
      <c r="C1" s="16" t="s">
        <v>1</v>
      </c>
      <c r="D1" s="17" t="s">
        <v>6</v>
      </c>
      <c r="E1" s="17" t="s">
        <v>4</v>
      </c>
      <c r="F1" s="17" t="s">
        <v>3</v>
      </c>
      <c r="G1" s="17" t="s">
        <v>2</v>
      </c>
      <c r="H1" s="17" t="s">
        <v>5</v>
      </c>
      <c r="I1" s="17" t="s">
        <v>7</v>
      </c>
      <c r="J1" s="22" t="s">
        <v>8</v>
      </c>
      <c r="K1" s="22" t="s">
        <v>9</v>
      </c>
      <c r="L1" s="17" t="s">
        <v>391</v>
      </c>
      <c r="M1" s="17" t="s">
        <v>397</v>
      </c>
      <c r="N1" s="17" t="s">
        <v>66</v>
      </c>
      <c r="O1" s="17" t="s">
        <v>398</v>
      </c>
      <c r="P1" s="17" t="s">
        <v>3</v>
      </c>
      <c r="Q1" s="17" t="s">
        <v>399</v>
      </c>
      <c r="R1" s="17" t="s">
        <v>400</v>
      </c>
      <c r="S1" s="17" t="s">
        <v>401</v>
      </c>
      <c r="T1" s="17" t="s">
        <v>402</v>
      </c>
      <c r="U1" s="17" t="s">
        <v>403</v>
      </c>
      <c r="V1" s="28" t="s">
        <v>404</v>
      </c>
    </row>
    <row r="2" spans="1:22" ht="25" x14ac:dyDescent="0.2">
      <c r="A2" s="18">
        <v>1</v>
      </c>
      <c r="B2" s="19" t="s">
        <v>91</v>
      </c>
      <c r="C2" s="19" t="s">
        <v>65</v>
      </c>
      <c r="D2" s="19"/>
      <c r="E2" s="19" t="s">
        <v>86</v>
      </c>
      <c r="F2" s="19" t="s">
        <v>38</v>
      </c>
      <c r="G2" s="19" t="s">
        <v>92</v>
      </c>
      <c r="H2" s="19"/>
      <c r="I2" s="19"/>
      <c r="J2" s="19"/>
      <c r="K2" s="19"/>
      <c r="L2" s="15">
        <f t="shared" ref="L2:L210" si="0">N2*O2*P2*Q2*R2*S2*T2*U2</f>
        <v>0</v>
      </c>
      <c r="M2" s="15" t="b">
        <f t="shared" ref="M2:M210" si="1">COUNTIF($E2:$K2, "*syrup*") &gt; 0</f>
        <v>1</v>
      </c>
      <c r="N2" s="15" t="b">
        <f t="shared" ref="N2:N210" si="2">COUNTIF($E2:$K2, "*angostura*") &gt; 0</f>
        <v>0</v>
      </c>
      <c r="O2" s="15" t="b">
        <f t="shared" ref="O2:O210" si="3">OR(COUNTIF($E2:$K2, "*cream*") &gt; 0, COUNTIF($E2:$K2,"*crème*") &gt; 0)</f>
        <v>0</v>
      </c>
      <c r="P2" s="15" t="b">
        <f t="shared" ref="P2:P210" si="4">COUNTIF($E2:$K2, "*juice*") &gt; 0</f>
        <v>1</v>
      </c>
      <c r="Q2" s="15" t="b">
        <f t="shared" ref="Q2:Q210" si="5">COUNTIF($E2:$K2, "*club soda*") &gt; 0</f>
        <v>0</v>
      </c>
      <c r="R2" s="15" t="b">
        <f t="shared" ref="R2:R210" si="6">COUNTIF($E2:$K2, "*tonic*") &gt; 0</f>
        <v>0</v>
      </c>
      <c r="S2" s="15" t="b">
        <f t="shared" ref="S2:S210" si="7">COUNTIF($E2:$K2, "*dry*vermouth*") &gt; 0</f>
        <v>0</v>
      </c>
      <c r="T2" s="15" t="b">
        <f t="shared" ref="T2:T210" si="8">COUNTIF($E2:$K2, "*sweet*vermouth*") &gt; 0</f>
        <v>0</v>
      </c>
      <c r="U2" s="15" t="b">
        <f t="shared" ref="U2:U210" si="9">COUNTIF($E2:$K2, "*water*") &gt; 0</f>
        <v>0</v>
      </c>
      <c r="V2" s="15" t="b">
        <f t="shared" ref="V2:V210" si="10">COUNTIF($E2:$K2, "*triple*sec*") &gt; 0</f>
        <v>0</v>
      </c>
    </row>
    <row r="3" spans="1:22" x14ac:dyDescent="0.2">
      <c r="A3" s="19">
        <f t="shared" ref="A3:A210" si="11">A2+1</f>
        <v>2</v>
      </c>
      <c r="B3" s="19" t="s">
        <v>202</v>
      </c>
      <c r="C3" s="18" t="s">
        <v>148</v>
      </c>
      <c r="D3" s="19"/>
      <c r="E3" s="19" t="s">
        <v>66</v>
      </c>
      <c r="F3" s="19" t="s">
        <v>126</v>
      </c>
      <c r="G3" s="19" t="s">
        <v>178</v>
      </c>
      <c r="H3" s="19"/>
      <c r="I3" s="19"/>
      <c r="J3" s="19"/>
      <c r="K3" s="19"/>
      <c r="L3" s="15">
        <f t="shared" si="0"/>
        <v>0</v>
      </c>
      <c r="M3" s="15" t="b">
        <f t="shared" si="1"/>
        <v>0</v>
      </c>
      <c r="N3" s="15" t="b">
        <f t="shared" si="2"/>
        <v>1</v>
      </c>
      <c r="O3" s="15" t="b">
        <f t="shared" si="3"/>
        <v>0</v>
      </c>
      <c r="P3" s="15" t="b">
        <f t="shared" si="4"/>
        <v>1</v>
      </c>
      <c r="Q3" s="15" t="b">
        <f t="shared" si="5"/>
        <v>0</v>
      </c>
      <c r="R3" s="15" t="b">
        <f t="shared" si="6"/>
        <v>0</v>
      </c>
      <c r="S3" s="15" t="b">
        <f t="shared" si="7"/>
        <v>0</v>
      </c>
      <c r="T3" s="15" t="b">
        <f t="shared" si="8"/>
        <v>0</v>
      </c>
      <c r="U3" s="15" t="b">
        <f t="shared" si="9"/>
        <v>0</v>
      </c>
      <c r="V3" s="15" t="b">
        <f t="shared" si="10"/>
        <v>0</v>
      </c>
    </row>
    <row r="4" spans="1:22" x14ac:dyDescent="0.2">
      <c r="A4" s="19">
        <f t="shared" si="11"/>
        <v>3</v>
      </c>
      <c r="B4" s="19" t="s">
        <v>337</v>
      </c>
      <c r="C4" s="19" t="s">
        <v>280</v>
      </c>
      <c r="D4" s="19" t="s">
        <v>282</v>
      </c>
      <c r="E4" s="19"/>
      <c r="F4" s="19" t="s">
        <v>126</v>
      </c>
      <c r="G4" s="19" t="s">
        <v>30</v>
      </c>
      <c r="H4" s="19"/>
      <c r="I4" s="19"/>
      <c r="J4" s="19"/>
      <c r="K4" s="19"/>
      <c r="L4" s="15">
        <f t="shared" si="0"/>
        <v>0</v>
      </c>
      <c r="M4" s="15" t="b">
        <f t="shared" si="1"/>
        <v>0</v>
      </c>
      <c r="N4" s="15" t="b">
        <f t="shared" si="2"/>
        <v>0</v>
      </c>
      <c r="O4" s="15" t="b">
        <f t="shared" si="3"/>
        <v>0</v>
      </c>
      <c r="P4" s="15" t="b">
        <f t="shared" si="4"/>
        <v>1</v>
      </c>
      <c r="Q4" s="15" t="b">
        <f t="shared" si="5"/>
        <v>0</v>
      </c>
      <c r="R4" s="15" t="b">
        <f t="shared" si="6"/>
        <v>0</v>
      </c>
      <c r="S4" s="15" t="b">
        <f t="shared" si="7"/>
        <v>0</v>
      </c>
      <c r="T4" s="15" t="b">
        <f t="shared" si="8"/>
        <v>0</v>
      </c>
      <c r="U4" s="15" t="b">
        <f t="shared" si="9"/>
        <v>0</v>
      </c>
      <c r="V4" s="15" t="b">
        <f t="shared" si="10"/>
        <v>0</v>
      </c>
    </row>
    <row r="5" spans="1:22" ht="25" x14ac:dyDescent="0.2">
      <c r="A5" s="19">
        <f t="shared" si="11"/>
        <v>4</v>
      </c>
      <c r="B5" s="19" t="s">
        <v>152</v>
      </c>
      <c r="C5" s="18" t="s">
        <v>148</v>
      </c>
      <c r="D5" s="19"/>
      <c r="E5" s="19"/>
      <c r="F5" s="19"/>
      <c r="G5" s="19" t="s">
        <v>153</v>
      </c>
      <c r="H5" s="19"/>
      <c r="I5" s="19"/>
      <c r="J5" s="19"/>
      <c r="K5" s="19"/>
      <c r="L5" s="15">
        <f t="shared" si="0"/>
        <v>0</v>
      </c>
      <c r="M5" s="15" t="b">
        <f t="shared" si="1"/>
        <v>0</v>
      </c>
      <c r="N5" s="15" t="b">
        <f t="shared" si="2"/>
        <v>0</v>
      </c>
      <c r="O5" s="15" t="b">
        <f t="shared" si="3"/>
        <v>0</v>
      </c>
      <c r="P5" s="15" t="b">
        <f t="shared" si="4"/>
        <v>0</v>
      </c>
      <c r="Q5" s="15" t="b">
        <f t="shared" si="5"/>
        <v>0</v>
      </c>
      <c r="R5" s="15" t="b">
        <f t="shared" si="6"/>
        <v>0</v>
      </c>
      <c r="S5" s="15" t="b">
        <f t="shared" si="7"/>
        <v>0</v>
      </c>
      <c r="T5" s="15" t="b">
        <f t="shared" si="8"/>
        <v>0</v>
      </c>
      <c r="U5" s="15" t="b">
        <f t="shared" si="9"/>
        <v>0</v>
      </c>
      <c r="V5" s="15" t="b">
        <f t="shared" si="10"/>
        <v>0</v>
      </c>
    </row>
    <row r="6" spans="1:22" ht="25" x14ac:dyDescent="0.2">
      <c r="A6" s="19">
        <f t="shared" si="11"/>
        <v>5</v>
      </c>
      <c r="B6" s="19" t="s">
        <v>147</v>
      </c>
      <c r="C6" s="18" t="s">
        <v>148</v>
      </c>
      <c r="D6" s="19"/>
      <c r="E6" s="19" t="s">
        <v>32</v>
      </c>
      <c r="F6" s="19"/>
      <c r="G6" s="19" t="s">
        <v>31</v>
      </c>
      <c r="H6" s="19"/>
      <c r="I6" s="19"/>
      <c r="J6" s="19"/>
      <c r="K6" s="19"/>
      <c r="L6" s="15">
        <f t="shared" si="0"/>
        <v>0</v>
      </c>
      <c r="M6" s="15" t="b">
        <f t="shared" si="1"/>
        <v>0</v>
      </c>
      <c r="N6" s="15" t="b">
        <f t="shared" si="2"/>
        <v>0</v>
      </c>
      <c r="O6" s="15" t="b">
        <f t="shared" si="3"/>
        <v>1</v>
      </c>
      <c r="P6" s="15" t="b">
        <f t="shared" si="4"/>
        <v>0</v>
      </c>
      <c r="Q6" s="15" t="b">
        <f t="shared" si="5"/>
        <v>0</v>
      </c>
      <c r="R6" s="15" t="b">
        <f t="shared" si="6"/>
        <v>0</v>
      </c>
      <c r="S6" s="15" t="b">
        <f t="shared" si="7"/>
        <v>0</v>
      </c>
      <c r="T6" s="15" t="b">
        <f t="shared" si="8"/>
        <v>0</v>
      </c>
      <c r="U6" s="15" t="b">
        <f t="shared" si="9"/>
        <v>0</v>
      </c>
      <c r="V6" s="15" t="b">
        <f t="shared" si="10"/>
        <v>0</v>
      </c>
    </row>
    <row r="7" spans="1:22" x14ac:dyDescent="0.2">
      <c r="A7" s="19">
        <f t="shared" si="11"/>
        <v>6</v>
      </c>
      <c r="B7" s="19" t="s">
        <v>299</v>
      </c>
      <c r="C7" s="19" t="s">
        <v>300</v>
      </c>
      <c r="D7" s="19"/>
      <c r="E7" s="19"/>
      <c r="F7" s="19" t="s">
        <v>78</v>
      </c>
      <c r="G7" s="19" t="s">
        <v>52</v>
      </c>
      <c r="H7" s="19"/>
      <c r="I7" s="19"/>
      <c r="J7" s="19"/>
      <c r="K7" s="19"/>
      <c r="L7" s="15">
        <f t="shared" si="0"/>
        <v>0</v>
      </c>
      <c r="M7" s="15" t="b">
        <f t="shared" si="1"/>
        <v>0</v>
      </c>
      <c r="N7" s="15" t="b">
        <f t="shared" si="2"/>
        <v>0</v>
      </c>
      <c r="O7" s="15" t="b">
        <f t="shared" si="3"/>
        <v>0</v>
      </c>
      <c r="P7" s="15" t="b">
        <f t="shared" si="4"/>
        <v>1</v>
      </c>
      <c r="Q7" s="15" t="b">
        <f t="shared" si="5"/>
        <v>0</v>
      </c>
      <c r="R7" s="15" t="b">
        <f t="shared" si="6"/>
        <v>0</v>
      </c>
      <c r="S7" s="15" t="b">
        <f t="shared" si="7"/>
        <v>1</v>
      </c>
      <c r="T7" s="15" t="b">
        <f t="shared" si="8"/>
        <v>0</v>
      </c>
      <c r="U7" s="15" t="b">
        <f t="shared" si="9"/>
        <v>0</v>
      </c>
      <c r="V7" s="15" t="b">
        <f t="shared" si="10"/>
        <v>0</v>
      </c>
    </row>
    <row r="8" spans="1:22" x14ac:dyDescent="0.2">
      <c r="A8" s="19">
        <f t="shared" si="11"/>
        <v>7</v>
      </c>
      <c r="B8" s="19" t="s">
        <v>214</v>
      </c>
      <c r="C8" s="18" t="s">
        <v>148</v>
      </c>
      <c r="D8" s="19"/>
      <c r="E8" s="19"/>
      <c r="F8" s="19"/>
      <c r="G8" s="19" t="s">
        <v>52</v>
      </c>
      <c r="H8" s="19"/>
      <c r="I8" s="19"/>
      <c r="J8" s="19"/>
      <c r="K8" s="19"/>
      <c r="L8" s="15">
        <f t="shared" si="0"/>
        <v>0</v>
      </c>
      <c r="M8" s="15" t="b">
        <f t="shared" si="1"/>
        <v>0</v>
      </c>
      <c r="N8" s="15" t="b">
        <f t="shared" si="2"/>
        <v>0</v>
      </c>
      <c r="O8" s="15" t="b">
        <f t="shared" si="3"/>
        <v>0</v>
      </c>
      <c r="P8" s="15" t="b">
        <f t="shared" si="4"/>
        <v>0</v>
      </c>
      <c r="Q8" s="15" t="b">
        <f t="shared" si="5"/>
        <v>0</v>
      </c>
      <c r="R8" s="15" t="b">
        <f t="shared" si="6"/>
        <v>0</v>
      </c>
      <c r="S8" s="15" t="b">
        <f t="shared" si="7"/>
        <v>1</v>
      </c>
      <c r="T8" s="15" t="b">
        <f t="shared" si="8"/>
        <v>0</v>
      </c>
      <c r="U8" s="15" t="b">
        <f t="shared" si="9"/>
        <v>0</v>
      </c>
      <c r="V8" s="15" t="b">
        <f t="shared" si="10"/>
        <v>0</v>
      </c>
    </row>
    <row r="9" spans="1:22" ht="25" x14ac:dyDescent="0.2">
      <c r="A9" s="19">
        <f t="shared" si="11"/>
        <v>8</v>
      </c>
      <c r="B9" s="19" t="s">
        <v>29</v>
      </c>
      <c r="C9" s="19" t="s">
        <v>30</v>
      </c>
      <c r="D9" s="19"/>
      <c r="E9" s="19" t="s">
        <v>32</v>
      </c>
      <c r="F9" s="19"/>
      <c r="G9" s="19" t="s">
        <v>31</v>
      </c>
      <c r="H9" s="19"/>
      <c r="I9" s="19"/>
      <c r="J9" s="19"/>
      <c r="K9" s="19"/>
      <c r="L9" s="15">
        <f t="shared" si="0"/>
        <v>0</v>
      </c>
      <c r="M9" s="15" t="b">
        <f t="shared" si="1"/>
        <v>0</v>
      </c>
      <c r="N9" s="15" t="b">
        <f t="shared" si="2"/>
        <v>0</v>
      </c>
      <c r="O9" s="15" t="b">
        <f t="shared" si="3"/>
        <v>1</v>
      </c>
      <c r="P9" s="15" t="b">
        <f t="shared" si="4"/>
        <v>0</v>
      </c>
      <c r="Q9" s="15" t="b">
        <f t="shared" si="5"/>
        <v>0</v>
      </c>
      <c r="R9" s="15" t="b">
        <f t="shared" si="6"/>
        <v>0</v>
      </c>
      <c r="S9" s="15" t="b">
        <f t="shared" si="7"/>
        <v>0</v>
      </c>
      <c r="T9" s="15" t="b">
        <f t="shared" si="8"/>
        <v>0</v>
      </c>
      <c r="U9" s="15" t="b">
        <f t="shared" si="9"/>
        <v>0</v>
      </c>
      <c r="V9" s="15" t="b">
        <f t="shared" si="10"/>
        <v>0</v>
      </c>
    </row>
    <row r="10" spans="1:22" x14ac:dyDescent="0.2">
      <c r="A10" s="19">
        <f t="shared" si="11"/>
        <v>9</v>
      </c>
      <c r="B10" s="19" t="s">
        <v>37</v>
      </c>
      <c r="C10" s="19" t="s">
        <v>30</v>
      </c>
      <c r="D10" s="19"/>
      <c r="E10" s="19"/>
      <c r="F10" s="19" t="s">
        <v>38</v>
      </c>
      <c r="G10" s="19"/>
      <c r="H10" s="19"/>
      <c r="I10" s="19"/>
      <c r="J10" s="19"/>
      <c r="K10" s="19"/>
      <c r="L10" s="15">
        <f t="shared" si="0"/>
        <v>0</v>
      </c>
      <c r="M10" s="15" t="b">
        <f t="shared" si="1"/>
        <v>0</v>
      </c>
      <c r="N10" s="15" t="b">
        <f t="shared" si="2"/>
        <v>0</v>
      </c>
      <c r="O10" s="15" t="b">
        <f t="shared" si="3"/>
        <v>0</v>
      </c>
      <c r="P10" s="15" t="b">
        <f t="shared" si="4"/>
        <v>1</v>
      </c>
      <c r="Q10" s="15" t="b">
        <f t="shared" si="5"/>
        <v>0</v>
      </c>
      <c r="R10" s="15" t="b">
        <f t="shared" si="6"/>
        <v>0</v>
      </c>
      <c r="S10" s="15" t="b">
        <f t="shared" si="7"/>
        <v>0</v>
      </c>
      <c r="T10" s="15" t="b">
        <f t="shared" si="8"/>
        <v>0</v>
      </c>
      <c r="U10" s="15" t="b">
        <f t="shared" si="9"/>
        <v>0</v>
      </c>
      <c r="V10" s="15" t="b">
        <f t="shared" si="10"/>
        <v>0</v>
      </c>
    </row>
    <row r="11" spans="1:22" ht="25" x14ac:dyDescent="0.2">
      <c r="A11" s="19">
        <f t="shared" si="11"/>
        <v>10</v>
      </c>
      <c r="B11" s="19" t="s">
        <v>169</v>
      </c>
      <c r="C11" s="18" t="s">
        <v>148</v>
      </c>
      <c r="D11" s="19"/>
      <c r="E11" s="23" t="s">
        <v>86</v>
      </c>
      <c r="F11" s="19" t="s">
        <v>90</v>
      </c>
      <c r="G11" s="19" t="s">
        <v>120</v>
      </c>
      <c r="H11" s="23"/>
      <c r="I11" s="19"/>
      <c r="J11" s="19"/>
      <c r="K11" s="19"/>
      <c r="L11" s="15">
        <f t="shared" si="0"/>
        <v>0</v>
      </c>
      <c r="M11" s="15" t="b">
        <f t="shared" si="1"/>
        <v>1</v>
      </c>
      <c r="N11" s="15" t="b">
        <f t="shared" si="2"/>
        <v>0</v>
      </c>
      <c r="O11" s="15" t="b">
        <f t="shared" si="3"/>
        <v>0</v>
      </c>
      <c r="P11" s="15" t="b">
        <f t="shared" si="4"/>
        <v>1</v>
      </c>
      <c r="Q11" s="15" t="b">
        <f t="shared" si="5"/>
        <v>0</v>
      </c>
      <c r="R11" s="15" t="b">
        <f t="shared" si="6"/>
        <v>0</v>
      </c>
      <c r="S11" s="15" t="b">
        <f t="shared" si="7"/>
        <v>0</v>
      </c>
      <c r="T11" s="15" t="b">
        <f t="shared" si="8"/>
        <v>0</v>
      </c>
      <c r="U11" s="15" t="b">
        <f t="shared" si="9"/>
        <v>0</v>
      </c>
      <c r="V11" s="15" t="b">
        <f t="shared" si="10"/>
        <v>0</v>
      </c>
    </row>
    <row r="12" spans="1:22" ht="25" x14ac:dyDescent="0.2">
      <c r="A12" s="19">
        <f t="shared" si="11"/>
        <v>11</v>
      </c>
      <c r="B12" s="19" t="s">
        <v>220</v>
      </c>
      <c r="C12" s="19" t="s">
        <v>219</v>
      </c>
      <c r="D12" s="19"/>
      <c r="E12" s="19"/>
      <c r="F12" s="19"/>
      <c r="G12" s="19" t="s">
        <v>221</v>
      </c>
      <c r="H12" s="19"/>
      <c r="I12" s="19"/>
      <c r="J12" s="19"/>
      <c r="K12" s="19"/>
      <c r="L12" s="15">
        <f t="shared" si="0"/>
        <v>0</v>
      </c>
      <c r="M12" s="15" t="b">
        <f t="shared" si="1"/>
        <v>0</v>
      </c>
      <c r="N12" s="15" t="b">
        <f t="shared" si="2"/>
        <v>0</v>
      </c>
      <c r="O12" s="15" t="b">
        <f t="shared" si="3"/>
        <v>0</v>
      </c>
      <c r="P12" s="15" t="b">
        <f t="shared" si="4"/>
        <v>0</v>
      </c>
      <c r="Q12" s="15" t="b">
        <f t="shared" si="5"/>
        <v>0</v>
      </c>
      <c r="R12" s="15" t="b">
        <f t="shared" si="6"/>
        <v>0</v>
      </c>
      <c r="S12" s="15" t="b">
        <f t="shared" si="7"/>
        <v>0</v>
      </c>
      <c r="T12" s="15" t="b">
        <f t="shared" si="8"/>
        <v>0</v>
      </c>
      <c r="U12" s="15" t="b">
        <f t="shared" si="9"/>
        <v>0</v>
      </c>
      <c r="V12" s="15" t="b">
        <f t="shared" si="10"/>
        <v>0</v>
      </c>
    </row>
    <row r="13" spans="1:22" x14ac:dyDescent="0.2">
      <c r="A13" s="19">
        <f t="shared" si="11"/>
        <v>12</v>
      </c>
      <c r="B13" s="19" t="s">
        <v>378</v>
      </c>
      <c r="C13" s="19" t="s">
        <v>357</v>
      </c>
      <c r="D13" s="19"/>
      <c r="E13" s="19"/>
      <c r="F13" s="19" t="s">
        <v>38</v>
      </c>
      <c r="G13" s="19" t="s">
        <v>379</v>
      </c>
      <c r="H13" s="19"/>
      <c r="I13" s="19"/>
      <c r="J13" s="19"/>
      <c r="K13" s="19"/>
      <c r="L13" s="15">
        <f t="shared" si="0"/>
        <v>0</v>
      </c>
      <c r="M13" s="15" t="b">
        <f t="shared" si="1"/>
        <v>0</v>
      </c>
      <c r="N13" s="15" t="b">
        <f t="shared" si="2"/>
        <v>0</v>
      </c>
      <c r="O13" s="15" t="b">
        <f t="shared" si="3"/>
        <v>0</v>
      </c>
      <c r="P13" s="15" t="b">
        <f t="shared" si="4"/>
        <v>1</v>
      </c>
      <c r="Q13" s="15" t="b">
        <f t="shared" si="5"/>
        <v>0</v>
      </c>
      <c r="R13" s="15" t="b">
        <f t="shared" si="6"/>
        <v>0</v>
      </c>
      <c r="S13" s="15" t="b">
        <f t="shared" si="7"/>
        <v>0</v>
      </c>
      <c r="T13" s="15" t="b">
        <f t="shared" si="8"/>
        <v>0</v>
      </c>
      <c r="U13" s="15" t="b">
        <f t="shared" si="9"/>
        <v>0</v>
      </c>
      <c r="V13" s="15" t="b">
        <f t="shared" si="10"/>
        <v>0</v>
      </c>
    </row>
    <row r="14" spans="1:22" x14ac:dyDescent="0.2">
      <c r="A14" s="19">
        <f t="shared" si="11"/>
        <v>13</v>
      </c>
      <c r="B14" s="19" t="s">
        <v>61</v>
      </c>
      <c r="C14" s="19" t="s">
        <v>60</v>
      </c>
      <c r="D14" s="19"/>
      <c r="E14" s="19" t="s">
        <v>62</v>
      </c>
      <c r="F14" s="19" t="s">
        <v>38</v>
      </c>
      <c r="G14" s="19"/>
      <c r="H14" s="19"/>
      <c r="I14" s="19"/>
      <c r="J14" s="19"/>
      <c r="K14" s="19"/>
      <c r="L14" s="15">
        <f t="shared" si="0"/>
        <v>0</v>
      </c>
      <c r="M14" s="15" t="b">
        <f t="shared" si="1"/>
        <v>0</v>
      </c>
      <c r="N14" s="15" t="b">
        <f t="shared" si="2"/>
        <v>0</v>
      </c>
      <c r="O14" s="15" t="b">
        <f t="shared" si="3"/>
        <v>0</v>
      </c>
      <c r="P14" s="15" t="b">
        <f t="shared" si="4"/>
        <v>1</v>
      </c>
      <c r="Q14" s="15" t="b">
        <f t="shared" si="5"/>
        <v>1</v>
      </c>
      <c r="R14" s="15" t="b">
        <f t="shared" si="6"/>
        <v>0</v>
      </c>
      <c r="S14" s="15" t="b">
        <f t="shared" si="7"/>
        <v>0</v>
      </c>
      <c r="T14" s="15" t="b">
        <f t="shared" si="8"/>
        <v>0</v>
      </c>
      <c r="U14" s="15" t="b">
        <f t="shared" si="9"/>
        <v>0</v>
      </c>
      <c r="V14" s="15" t="b">
        <f t="shared" si="10"/>
        <v>0</v>
      </c>
    </row>
    <row r="15" spans="1:22" x14ac:dyDescent="0.2">
      <c r="A15" s="19">
        <f t="shared" si="11"/>
        <v>14</v>
      </c>
      <c r="B15" s="19" t="s">
        <v>59</v>
      </c>
      <c r="C15" s="19" t="s">
        <v>60</v>
      </c>
      <c r="D15" s="19"/>
      <c r="E15" s="19"/>
      <c r="F15" s="19" t="s">
        <v>38</v>
      </c>
      <c r="G15" s="19"/>
      <c r="H15" s="19"/>
      <c r="I15" s="19"/>
      <c r="J15" s="19"/>
      <c r="K15" s="19"/>
      <c r="L15" s="15">
        <f t="shared" si="0"/>
        <v>0</v>
      </c>
      <c r="M15" s="15" t="b">
        <f t="shared" si="1"/>
        <v>0</v>
      </c>
      <c r="N15" s="15" t="b">
        <f t="shared" si="2"/>
        <v>0</v>
      </c>
      <c r="O15" s="15" t="b">
        <f t="shared" si="3"/>
        <v>0</v>
      </c>
      <c r="P15" s="15" t="b">
        <f t="shared" si="4"/>
        <v>1</v>
      </c>
      <c r="Q15" s="15" t="b">
        <f t="shared" si="5"/>
        <v>0</v>
      </c>
      <c r="R15" s="15" t="b">
        <f t="shared" si="6"/>
        <v>0</v>
      </c>
      <c r="S15" s="15" t="b">
        <f t="shared" si="7"/>
        <v>0</v>
      </c>
      <c r="T15" s="15" t="b">
        <f t="shared" si="8"/>
        <v>0</v>
      </c>
      <c r="U15" s="15" t="b">
        <f t="shared" si="9"/>
        <v>0</v>
      </c>
      <c r="V15" s="15" t="b">
        <f t="shared" si="10"/>
        <v>0</v>
      </c>
    </row>
    <row r="16" spans="1:22" x14ac:dyDescent="0.2">
      <c r="A16" s="19">
        <f t="shared" si="11"/>
        <v>15</v>
      </c>
      <c r="B16" s="19" t="s">
        <v>77</v>
      </c>
      <c r="C16" s="19" t="s">
        <v>65</v>
      </c>
      <c r="D16" s="19"/>
      <c r="E16" s="19" t="s">
        <v>66</v>
      </c>
      <c r="F16" s="19" t="s">
        <v>78</v>
      </c>
      <c r="G16" s="19" t="s">
        <v>52</v>
      </c>
      <c r="H16" s="19" t="s">
        <v>79</v>
      </c>
      <c r="I16" s="19"/>
      <c r="J16" s="19"/>
      <c r="K16" s="19"/>
      <c r="L16" s="15">
        <f t="shared" si="0"/>
        <v>0</v>
      </c>
      <c r="M16" s="15" t="b">
        <f t="shared" si="1"/>
        <v>0</v>
      </c>
      <c r="N16" s="15" t="b">
        <f t="shared" si="2"/>
        <v>1</v>
      </c>
      <c r="O16" s="15" t="b">
        <f t="shared" si="3"/>
        <v>0</v>
      </c>
      <c r="P16" s="15" t="b">
        <f t="shared" si="4"/>
        <v>1</v>
      </c>
      <c r="Q16" s="15" t="b">
        <f t="shared" si="5"/>
        <v>0</v>
      </c>
      <c r="R16" s="15" t="b">
        <f t="shared" si="6"/>
        <v>0</v>
      </c>
      <c r="S16" s="15" t="b">
        <f t="shared" si="7"/>
        <v>1</v>
      </c>
      <c r="T16" s="15" t="b">
        <f t="shared" si="8"/>
        <v>0</v>
      </c>
      <c r="U16" s="15" t="b">
        <f t="shared" si="9"/>
        <v>0</v>
      </c>
      <c r="V16" s="15" t="b">
        <f t="shared" si="10"/>
        <v>0</v>
      </c>
    </row>
    <row r="17" spans="1:22" ht="25" x14ac:dyDescent="0.2">
      <c r="A17" s="19">
        <f t="shared" si="11"/>
        <v>16</v>
      </c>
      <c r="B17" s="19" t="s">
        <v>168</v>
      </c>
      <c r="C17" s="18" t="s">
        <v>148</v>
      </c>
      <c r="D17" s="19"/>
      <c r="E17" s="19"/>
      <c r="F17" s="19" t="s">
        <v>38</v>
      </c>
      <c r="G17" s="19" t="s">
        <v>120</v>
      </c>
      <c r="H17" s="19"/>
      <c r="I17" s="19"/>
      <c r="J17" s="19"/>
      <c r="K17" s="19"/>
      <c r="L17" s="15">
        <f t="shared" si="0"/>
        <v>0</v>
      </c>
      <c r="M17" s="15" t="b">
        <f t="shared" si="1"/>
        <v>0</v>
      </c>
      <c r="N17" s="15" t="b">
        <f t="shared" si="2"/>
        <v>0</v>
      </c>
      <c r="O17" s="15" t="b">
        <f t="shared" si="3"/>
        <v>0</v>
      </c>
      <c r="P17" s="15" t="b">
        <f t="shared" si="4"/>
        <v>1</v>
      </c>
      <c r="Q17" s="15" t="b">
        <f t="shared" si="5"/>
        <v>0</v>
      </c>
      <c r="R17" s="15" t="b">
        <f t="shared" si="6"/>
        <v>0</v>
      </c>
      <c r="S17" s="15" t="b">
        <f t="shared" si="7"/>
        <v>0</v>
      </c>
      <c r="T17" s="15" t="b">
        <f t="shared" si="8"/>
        <v>0</v>
      </c>
      <c r="U17" s="15" t="b">
        <f t="shared" si="9"/>
        <v>0</v>
      </c>
      <c r="V17" s="15" t="b">
        <f t="shared" si="10"/>
        <v>0</v>
      </c>
    </row>
    <row r="18" spans="1:22" x14ac:dyDescent="0.2">
      <c r="A18" s="19">
        <f t="shared" si="11"/>
        <v>17</v>
      </c>
      <c r="B18" s="19" t="s">
        <v>291</v>
      </c>
      <c r="C18" s="18" t="s">
        <v>265</v>
      </c>
      <c r="D18" s="19"/>
      <c r="E18" s="19" t="s">
        <v>55</v>
      </c>
      <c r="F18" s="19" t="s">
        <v>90</v>
      </c>
      <c r="G18" s="19"/>
      <c r="H18" s="19"/>
      <c r="I18" s="19"/>
      <c r="J18" s="19"/>
      <c r="K18" s="19"/>
      <c r="L18" s="15">
        <f t="shared" si="0"/>
        <v>0</v>
      </c>
      <c r="M18" s="15" t="b">
        <f t="shared" si="1"/>
        <v>0</v>
      </c>
      <c r="N18" s="15" t="b">
        <f t="shared" si="2"/>
        <v>0</v>
      </c>
      <c r="O18" s="15" t="b">
        <f t="shared" si="3"/>
        <v>0</v>
      </c>
      <c r="P18" s="15" t="b">
        <f t="shared" si="4"/>
        <v>1</v>
      </c>
      <c r="Q18" s="15" t="b">
        <f t="shared" si="5"/>
        <v>0</v>
      </c>
      <c r="R18" s="15" t="b">
        <f t="shared" si="6"/>
        <v>0</v>
      </c>
      <c r="S18" s="15" t="b">
        <f t="shared" si="7"/>
        <v>0</v>
      </c>
      <c r="T18" s="15" t="b">
        <f t="shared" si="8"/>
        <v>0</v>
      </c>
      <c r="U18" s="15" t="b">
        <f t="shared" si="9"/>
        <v>0</v>
      </c>
      <c r="V18" s="15" t="b">
        <f t="shared" si="10"/>
        <v>0</v>
      </c>
    </row>
    <row r="19" spans="1:22" x14ac:dyDescent="0.2">
      <c r="A19" s="19">
        <f t="shared" si="11"/>
        <v>18</v>
      </c>
      <c r="B19" s="19" t="s">
        <v>273</v>
      </c>
      <c r="C19" s="19" t="s">
        <v>265</v>
      </c>
      <c r="D19" s="19"/>
      <c r="E19" s="19"/>
      <c r="F19" s="19" t="s">
        <v>45</v>
      </c>
      <c r="G19" s="19"/>
      <c r="H19" s="19"/>
      <c r="I19" s="19"/>
      <c r="J19" s="19"/>
      <c r="K19" s="19"/>
      <c r="L19" s="15">
        <f t="shared" si="0"/>
        <v>0</v>
      </c>
      <c r="M19" s="15" t="b">
        <f t="shared" si="1"/>
        <v>0</v>
      </c>
      <c r="N19" s="15" t="b">
        <f t="shared" si="2"/>
        <v>0</v>
      </c>
      <c r="O19" s="15" t="b">
        <f t="shared" si="3"/>
        <v>0</v>
      </c>
      <c r="P19" s="15" t="b">
        <f t="shared" si="4"/>
        <v>1</v>
      </c>
      <c r="Q19" s="15" t="b">
        <f t="shared" si="5"/>
        <v>0</v>
      </c>
      <c r="R19" s="15" t="b">
        <f t="shared" si="6"/>
        <v>0</v>
      </c>
      <c r="S19" s="15" t="b">
        <f t="shared" si="7"/>
        <v>0</v>
      </c>
      <c r="T19" s="15" t="b">
        <f t="shared" si="8"/>
        <v>0</v>
      </c>
      <c r="U19" s="15" t="b">
        <f t="shared" si="9"/>
        <v>0</v>
      </c>
      <c r="V19" s="15" t="b">
        <f t="shared" si="10"/>
        <v>0</v>
      </c>
    </row>
    <row r="20" spans="1:22" x14ac:dyDescent="0.2">
      <c r="A20" s="19">
        <f t="shared" si="11"/>
        <v>19</v>
      </c>
      <c r="B20" s="19" t="s">
        <v>288</v>
      </c>
      <c r="C20" s="19" t="s">
        <v>265</v>
      </c>
      <c r="D20" s="19"/>
      <c r="E20" s="19"/>
      <c r="F20" s="19" t="s">
        <v>90</v>
      </c>
      <c r="G20" s="19" t="s">
        <v>100</v>
      </c>
      <c r="H20" s="19"/>
      <c r="I20" s="19"/>
      <c r="J20" s="19"/>
      <c r="K20" s="19"/>
      <c r="L20" s="15">
        <f t="shared" si="0"/>
        <v>0</v>
      </c>
      <c r="M20" s="15" t="b">
        <f t="shared" si="1"/>
        <v>0</v>
      </c>
      <c r="N20" s="15" t="b">
        <f t="shared" si="2"/>
        <v>0</v>
      </c>
      <c r="O20" s="15" t="b">
        <f t="shared" si="3"/>
        <v>0</v>
      </c>
      <c r="P20" s="15" t="b">
        <f t="shared" si="4"/>
        <v>1</v>
      </c>
      <c r="Q20" s="15" t="b">
        <f t="shared" si="5"/>
        <v>0</v>
      </c>
      <c r="R20" s="15" t="b">
        <f t="shared" si="6"/>
        <v>0</v>
      </c>
      <c r="S20" s="15" t="b">
        <f t="shared" si="7"/>
        <v>0</v>
      </c>
      <c r="T20" s="15" t="b">
        <f t="shared" si="8"/>
        <v>0</v>
      </c>
      <c r="U20" s="15" t="b">
        <f t="shared" si="9"/>
        <v>0</v>
      </c>
      <c r="V20" s="15" t="b">
        <f t="shared" si="10"/>
        <v>1</v>
      </c>
    </row>
    <row r="21" spans="1:22" ht="15.75" customHeight="1" x14ac:dyDescent="0.2">
      <c r="A21" s="19">
        <f t="shared" si="11"/>
        <v>20</v>
      </c>
      <c r="B21" s="19" t="s">
        <v>160</v>
      </c>
      <c r="C21" s="18" t="s">
        <v>148</v>
      </c>
      <c r="D21" s="19"/>
      <c r="E21" s="19" t="s">
        <v>86</v>
      </c>
      <c r="F21" s="23" t="s">
        <v>90</v>
      </c>
      <c r="G21" s="23"/>
      <c r="H21" s="19"/>
      <c r="I21" s="19"/>
      <c r="J21" s="24" t="s">
        <v>66</v>
      </c>
      <c r="K21" s="19"/>
      <c r="L21" s="15">
        <f t="shared" si="0"/>
        <v>0</v>
      </c>
      <c r="M21" s="15" t="b">
        <f t="shared" si="1"/>
        <v>1</v>
      </c>
      <c r="N21" s="15" t="b">
        <f t="shared" si="2"/>
        <v>1</v>
      </c>
      <c r="O21" s="15" t="b">
        <f t="shared" si="3"/>
        <v>0</v>
      </c>
      <c r="P21" s="15" t="b">
        <f t="shared" si="4"/>
        <v>1</v>
      </c>
      <c r="Q21" s="15" t="b">
        <f t="shared" si="5"/>
        <v>0</v>
      </c>
      <c r="R21" s="15" t="b">
        <f t="shared" si="6"/>
        <v>0</v>
      </c>
      <c r="S21" s="15" t="b">
        <f t="shared" si="7"/>
        <v>0</v>
      </c>
      <c r="T21" s="15" t="b">
        <f t="shared" si="8"/>
        <v>0</v>
      </c>
      <c r="U21" s="15" t="b">
        <f t="shared" si="9"/>
        <v>0</v>
      </c>
      <c r="V21" s="15" t="b">
        <f t="shared" si="10"/>
        <v>0</v>
      </c>
    </row>
    <row r="22" spans="1:22" ht="15.75" customHeight="1" x14ac:dyDescent="0.2">
      <c r="A22" s="19">
        <f t="shared" si="11"/>
        <v>21</v>
      </c>
      <c r="B22" s="19" t="s">
        <v>217</v>
      </c>
      <c r="C22" s="18" t="s">
        <v>148</v>
      </c>
      <c r="D22" s="19"/>
      <c r="E22" s="19" t="s">
        <v>55</v>
      </c>
      <c r="F22" s="19"/>
      <c r="G22" s="19" t="s">
        <v>48</v>
      </c>
      <c r="H22" s="19"/>
      <c r="I22" s="19"/>
      <c r="J22" s="19"/>
      <c r="K22" s="19"/>
      <c r="L22" s="15">
        <f t="shared" si="0"/>
        <v>0</v>
      </c>
      <c r="M22" s="15" t="b">
        <f t="shared" si="1"/>
        <v>0</v>
      </c>
      <c r="N22" s="15" t="b">
        <f t="shared" si="2"/>
        <v>0</v>
      </c>
      <c r="O22" s="15" t="b">
        <f t="shared" si="3"/>
        <v>0</v>
      </c>
      <c r="P22" s="15" t="b">
        <f t="shared" si="4"/>
        <v>0</v>
      </c>
      <c r="Q22" s="15" t="b">
        <f t="shared" si="5"/>
        <v>0</v>
      </c>
      <c r="R22" s="15" t="b">
        <f t="shared" si="6"/>
        <v>0</v>
      </c>
      <c r="S22" s="15" t="b">
        <f t="shared" si="7"/>
        <v>0</v>
      </c>
      <c r="T22" s="15" t="b">
        <f t="shared" si="8"/>
        <v>1</v>
      </c>
      <c r="U22" s="15" t="b">
        <f t="shared" si="9"/>
        <v>0</v>
      </c>
      <c r="V22" s="15" t="b">
        <f t="shared" si="10"/>
        <v>0</v>
      </c>
    </row>
    <row r="23" spans="1:22" ht="15.75" customHeight="1" x14ac:dyDescent="0.2">
      <c r="A23" s="19">
        <f t="shared" si="11"/>
        <v>22</v>
      </c>
      <c r="B23" s="19" t="s">
        <v>298</v>
      </c>
      <c r="C23" s="19" t="s">
        <v>294</v>
      </c>
      <c r="D23" s="19"/>
      <c r="E23" s="19"/>
      <c r="F23" s="19" t="s">
        <v>38</v>
      </c>
      <c r="G23" s="19" t="s">
        <v>100</v>
      </c>
      <c r="H23" s="19"/>
      <c r="I23" s="19"/>
      <c r="J23" s="19"/>
      <c r="K23" s="19"/>
      <c r="L23" s="15">
        <f t="shared" si="0"/>
        <v>0</v>
      </c>
      <c r="M23" s="15" t="b">
        <f t="shared" si="1"/>
        <v>0</v>
      </c>
      <c r="N23" s="15" t="b">
        <f t="shared" si="2"/>
        <v>0</v>
      </c>
      <c r="O23" s="15" t="b">
        <f t="shared" si="3"/>
        <v>0</v>
      </c>
      <c r="P23" s="15" t="b">
        <f t="shared" si="4"/>
        <v>1</v>
      </c>
      <c r="Q23" s="15" t="b">
        <f t="shared" si="5"/>
        <v>0</v>
      </c>
      <c r="R23" s="15" t="b">
        <f t="shared" si="6"/>
        <v>0</v>
      </c>
      <c r="S23" s="15" t="b">
        <f t="shared" si="7"/>
        <v>0</v>
      </c>
      <c r="T23" s="15" t="b">
        <f t="shared" si="8"/>
        <v>0</v>
      </c>
      <c r="U23" s="15" t="b">
        <f t="shared" si="9"/>
        <v>0</v>
      </c>
      <c r="V23" s="15" t="b">
        <f t="shared" si="10"/>
        <v>1</v>
      </c>
    </row>
    <row r="24" spans="1:22" ht="15.75" customHeight="1" x14ac:dyDescent="0.2">
      <c r="A24" s="19">
        <f t="shared" si="11"/>
        <v>23</v>
      </c>
      <c r="B24" s="19" t="s">
        <v>174</v>
      </c>
      <c r="C24" s="18" t="s">
        <v>148</v>
      </c>
      <c r="D24" s="19"/>
      <c r="E24" s="19"/>
      <c r="F24" s="19" t="s">
        <v>90</v>
      </c>
      <c r="G24" s="19" t="s">
        <v>100</v>
      </c>
      <c r="H24" s="19"/>
      <c r="I24" s="19"/>
      <c r="J24" s="19"/>
      <c r="K24" s="19"/>
      <c r="L24" s="15">
        <f t="shared" si="0"/>
        <v>0</v>
      </c>
      <c r="M24" s="15" t="b">
        <f t="shared" si="1"/>
        <v>0</v>
      </c>
      <c r="N24" s="15" t="b">
        <f t="shared" si="2"/>
        <v>0</v>
      </c>
      <c r="O24" s="15" t="b">
        <f t="shared" si="3"/>
        <v>0</v>
      </c>
      <c r="P24" s="15" t="b">
        <f t="shared" si="4"/>
        <v>1</v>
      </c>
      <c r="Q24" s="15" t="b">
        <f t="shared" si="5"/>
        <v>0</v>
      </c>
      <c r="R24" s="15" t="b">
        <f t="shared" si="6"/>
        <v>0</v>
      </c>
      <c r="S24" s="15" t="b">
        <f t="shared" si="7"/>
        <v>0</v>
      </c>
      <c r="T24" s="15" t="b">
        <f t="shared" si="8"/>
        <v>0</v>
      </c>
      <c r="U24" s="15" t="b">
        <f t="shared" si="9"/>
        <v>0</v>
      </c>
      <c r="V24" s="15" t="b">
        <f t="shared" si="10"/>
        <v>1</v>
      </c>
    </row>
    <row r="25" spans="1:22" ht="15.75" customHeight="1" x14ac:dyDescent="0.2">
      <c r="A25" s="19">
        <f t="shared" si="11"/>
        <v>24</v>
      </c>
      <c r="B25" s="19" t="s">
        <v>111</v>
      </c>
      <c r="C25" s="19" t="s">
        <v>49</v>
      </c>
      <c r="D25" s="19"/>
      <c r="E25" s="19"/>
      <c r="F25" s="19" t="s">
        <v>38</v>
      </c>
      <c r="G25" s="19" t="s">
        <v>112</v>
      </c>
      <c r="H25" s="19" t="s">
        <v>115</v>
      </c>
      <c r="I25" s="19"/>
      <c r="J25" s="24" t="s">
        <v>114</v>
      </c>
      <c r="K25" s="19"/>
      <c r="L25" s="15">
        <f t="shared" si="0"/>
        <v>0</v>
      </c>
      <c r="M25" s="15" t="b">
        <f t="shared" si="1"/>
        <v>0</v>
      </c>
      <c r="N25" s="15" t="b">
        <f t="shared" si="2"/>
        <v>0</v>
      </c>
      <c r="O25" s="15" t="b">
        <f t="shared" si="3"/>
        <v>0</v>
      </c>
      <c r="P25" s="15" t="b">
        <f t="shared" si="4"/>
        <v>1</v>
      </c>
      <c r="Q25" s="15" t="b">
        <f t="shared" si="5"/>
        <v>0</v>
      </c>
      <c r="R25" s="15" t="b">
        <f t="shared" si="6"/>
        <v>0</v>
      </c>
      <c r="S25" s="15" t="b">
        <f t="shared" si="7"/>
        <v>0</v>
      </c>
      <c r="T25" s="15" t="b">
        <f t="shared" si="8"/>
        <v>0</v>
      </c>
      <c r="U25" s="15" t="b">
        <f t="shared" si="9"/>
        <v>0</v>
      </c>
      <c r="V25" s="15" t="b">
        <f t="shared" si="10"/>
        <v>0</v>
      </c>
    </row>
    <row r="26" spans="1:22" ht="15.75" customHeight="1" x14ac:dyDescent="0.2">
      <c r="A26" s="19">
        <f t="shared" si="11"/>
        <v>25</v>
      </c>
      <c r="B26" s="19" t="s">
        <v>360</v>
      </c>
      <c r="C26" s="19" t="s">
        <v>357</v>
      </c>
      <c r="D26" s="19"/>
      <c r="E26" s="19"/>
      <c r="F26" s="19"/>
      <c r="G26" s="19" t="s">
        <v>36</v>
      </c>
      <c r="H26" s="19"/>
      <c r="I26" s="19"/>
      <c r="J26" s="19"/>
      <c r="K26" s="19"/>
      <c r="L26" s="15">
        <f t="shared" si="0"/>
        <v>0</v>
      </c>
      <c r="M26" s="15" t="b">
        <f t="shared" si="1"/>
        <v>0</v>
      </c>
      <c r="N26" s="15" t="b">
        <f t="shared" si="2"/>
        <v>0</v>
      </c>
      <c r="O26" s="15" t="b">
        <f t="shared" si="3"/>
        <v>0</v>
      </c>
      <c r="P26" s="15" t="b">
        <f t="shared" si="4"/>
        <v>0</v>
      </c>
      <c r="Q26" s="15" t="b">
        <f t="shared" si="5"/>
        <v>0</v>
      </c>
      <c r="R26" s="15" t="b">
        <f t="shared" si="6"/>
        <v>0</v>
      </c>
      <c r="S26" s="15" t="b">
        <f t="shared" si="7"/>
        <v>0</v>
      </c>
      <c r="T26" s="15" t="b">
        <f t="shared" si="8"/>
        <v>0</v>
      </c>
      <c r="U26" s="15" t="b">
        <f t="shared" si="9"/>
        <v>0</v>
      </c>
      <c r="V26" s="15" t="b">
        <f t="shared" si="10"/>
        <v>0</v>
      </c>
    </row>
    <row r="27" spans="1:22" ht="15.75" customHeight="1" x14ac:dyDescent="0.2">
      <c r="A27" s="19">
        <f t="shared" si="11"/>
        <v>26</v>
      </c>
      <c r="B27" s="19" t="s">
        <v>370</v>
      </c>
      <c r="C27" s="19" t="s">
        <v>357</v>
      </c>
      <c r="D27" s="19" t="s">
        <v>265</v>
      </c>
      <c r="E27" s="23"/>
      <c r="F27" s="19" t="s">
        <v>126</v>
      </c>
      <c r="G27" s="25" t="s">
        <v>100</v>
      </c>
      <c r="H27" s="19"/>
      <c r="I27" s="19"/>
      <c r="J27" s="19"/>
      <c r="K27" s="19"/>
      <c r="L27" s="15">
        <f t="shared" si="0"/>
        <v>0</v>
      </c>
      <c r="M27" s="15" t="b">
        <f t="shared" si="1"/>
        <v>0</v>
      </c>
      <c r="N27" s="15" t="b">
        <f t="shared" si="2"/>
        <v>0</v>
      </c>
      <c r="O27" s="15" t="b">
        <f t="shared" si="3"/>
        <v>0</v>
      </c>
      <c r="P27" s="15" t="b">
        <f t="shared" si="4"/>
        <v>1</v>
      </c>
      <c r="Q27" s="15" t="b">
        <f t="shared" si="5"/>
        <v>0</v>
      </c>
      <c r="R27" s="15" t="b">
        <f t="shared" si="6"/>
        <v>0</v>
      </c>
      <c r="S27" s="15" t="b">
        <f t="shared" si="7"/>
        <v>0</v>
      </c>
      <c r="T27" s="15" t="b">
        <f t="shared" si="8"/>
        <v>0</v>
      </c>
      <c r="U27" s="15" t="b">
        <f t="shared" si="9"/>
        <v>0</v>
      </c>
      <c r="V27" s="15" t="b">
        <f t="shared" si="10"/>
        <v>1</v>
      </c>
    </row>
    <row r="28" spans="1:22" ht="15.75" customHeight="1" x14ac:dyDescent="0.2">
      <c r="A28" s="19">
        <f t="shared" si="11"/>
        <v>27</v>
      </c>
      <c r="B28" s="19" t="s">
        <v>230</v>
      </c>
      <c r="C28" s="19" t="s">
        <v>229</v>
      </c>
      <c r="D28" s="19"/>
      <c r="E28" s="19" t="s">
        <v>66</v>
      </c>
      <c r="F28" s="23"/>
      <c r="G28" s="23" t="s">
        <v>48</v>
      </c>
      <c r="H28" s="19"/>
      <c r="I28" s="19"/>
      <c r="J28" s="19"/>
      <c r="K28" s="19"/>
      <c r="L28" s="15">
        <f t="shared" si="0"/>
        <v>0</v>
      </c>
      <c r="M28" s="15" t="b">
        <f t="shared" si="1"/>
        <v>0</v>
      </c>
      <c r="N28" s="15" t="b">
        <f t="shared" si="2"/>
        <v>1</v>
      </c>
      <c r="O28" s="15" t="b">
        <f t="shared" si="3"/>
        <v>0</v>
      </c>
      <c r="P28" s="15" t="b">
        <f t="shared" si="4"/>
        <v>0</v>
      </c>
      <c r="Q28" s="15" t="b">
        <f t="shared" si="5"/>
        <v>0</v>
      </c>
      <c r="R28" s="15" t="b">
        <f t="shared" si="6"/>
        <v>0</v>
      </c>
      <c r="S28" s="15" t="b">
        <f t="shared" si="7"/>
        <v>0</v>
      </c>
      <c r="T28" s="15" t="b">
        <f t="shared" si="8"/>
        <v>1</v>
      </c>
      <c r="U28" s="15" t="b">
        <f t="shared" si="9"/>
        <v>0</v>
      </c>
      <c r="V28" s="15" t="b">
        <f t="shared" si="10"/>
        <v>0</v>
      </c>
    </row>
    <row r="29" spans="1:22" ht="15.75" customHeight="1" x14ac:dyDescent="0.2">
      <c r="A29" s="19">
        <f t="shared" si="11"/>
        <v>28</v>
      </c>
      <c r="B29" s="19" t="s">
        <v>105</v>
      </c>
      <c r="C29" s="19" t="s">
        <v>49</v>
      </c>
      <c r="D29" s="19"/>
      <c r="E29" s="19" t="s">
        <v>66</v>
      </c>
      <c r="F29" s="24" t="s">
        <v>3</v>
      </c>
      <c r="G29" s="19" t="s">
        <v>52</v>
      </c>
      <c r="H29" s="19"/>
      <c r="I29" s="19"/>
      <c r="J29" s="24" t="s">
        <v>100</v>
      </c>
      <c r="K29" s="19"/>
      <c r="L29" s="15">
        <f t="shared" si="0"/>
        <v>0</v>
      </c>
      <c r="M29" s="15" t="b">
        <f t="shared" si="1"/>
        <v>0</v>
      </c>
      <c r="N29" s="15" t="b">
        <f t="shared" si="2"/>
        <v>1</v>
      </c>
      <c r="O29" s="15" t="b">
        <f t="shared" si="3"/>
        <v>0</v>
      </c>
      <c r="P29" s="15" t="b">
        <f t="shared" si="4"/>
        <v>1</v>
      </c>
      <c r="Q29" s="15" t="b">
        <f t="shared" si="5"/>
        <v>0</v>
      </c>
      <c r="R29" s="15" t="b">
        <f t="shared" si="6"/>
        <v>0</v>
      </c>
      <c r="S29" s="15" t="b">
        <f t="shared" si="7"/>
        <v>1</v>
      </c>
      <c r="T29" s="15" t="b">
        <f t="shared" si="8"/>
        <v>0</v>
      </c>
      <c r="U29" s="15" t="b">
        <f t="shared" si="9"/>
        <v>0</v>
      </c>
      <c r="V29" s="15" t="b">
        <f t="shared" si="10"/>
        <v>1</v>
      </c>
    </row>
    <row r="30" spans="1:22" ht="15.75" customHeight="1" x14ac:dyDescent="0.2">
      <c r="A30" s="19">
        <f t="shared" si="11"/>
        <v>29</v>
      </c>
      <c r="B30" s="19" t="s">
        <v>326</v>
      </c>
      <c r="C30" s="19" t="s">
        <v>317</v>
      </c>
      <c r="D30" s="19"/>
      <c r="E30" s="19"/>
      <c r="F30" s="19" t="s">
        <v>126</v>
      </c>
      <c r="G30" s="19" t="s">
        <v>48</v>
      </c>
      <c r="H30" s="19"/>
      <c r="I30" s="19"/>
      <c r="J30" s="19"/>
      <c r="K30" s="19"/>
      <c r="L30" s="15">
        <f t="shared" si="0"/>
        <v>0</v>
      </c>
      <c r="M30" s="15" t="b">
        <f t="shared" si="1"/>
        <v>0</v>
      </c>
      <c r="N30" s="15" t="b">
        <f t="shared" si="2"/>
        <v>0</v>
      </c>
      <c r="O30" s="15" t="b">
        <f t="shared" si="3"/>
        <v>0</v>
      </c>
      <c r="P30" s="15" t="b">
        <f t="shared" si="4"/>
        <v>1</v>
      </c>
      <c r="Q30" s="15" t="b">
        <f t="shared" si="5"/>
        <v>0</v>
      </c>
      <c r="R30" s="15" t="b">
        <f t="shared" si="6"/>
        <v>0</v>
      </c>
      <c r="S30" s="15" t="b">
        <f t="shared" si="7"/>
        <v>0</v>
      </c>
      <c r="T30" s="15" t="b">
        <f t="shared" si="8"/>
        <v>1</v>
      </c>
      <c r="U30" s="15" t="b">
        <f t="shared" si="9"/>
        <v>0</v>
      </c>
      <c r="V30" s="15" t="b">
        <f t="shared" si="10"/>
        <v>0</v>
      </c>
    </row>
    <row r="31" spans="1:22" ht="15.75" customHeight="1" x14ac:dyDescent="0.2">
      <c r="A31" s="19">
        <f t="shared" si="11"/>
        <v>30</v>
      </c>
      <c r="B31" s="19" t="s">
        <v>325</v>
      </c>
      <c r="C31" s="19" t="s">
        <v>317</v>
      </c>
      <c r="D31" s="19"/>
      <c r="E31" s="19"/>
      <c r="F31" s="19"/>
      <c r="G31" s="19" t="s">
        <v>48</v>
      </c>
      <c r="H31" s="19"/>
      <c r="I31" s="19"/>
      <c r="J31" s="19"/>
      <c r="K31" s="19"/>
      <c r="L31" s="15">
        <f t="shared" si="0"/>
        <v>0</v>
      </c>
      <c r="M31" s="15" t="b">
        <f t="shared" si="1"/>
        <v>0</v>
      </c>
      <c r="N31" s="15" t="b">
        <f t="shared" si="2"/>
        <v>0</v>
      </c>
      <c r="O31" s="15" t="b">
        <f t="shared" si="3"/>
        <v>0</v>
      </c>
      <c r="P31" s="15" t="b">
        <f t="shared" si="4"/>
        <v>0</v>
      </c>
      <c r="Q31" s="15" t="b">
        <f t="shared" si="5"/>
        <v>0</v>
      </c>
      <c r="R31" s="15" t="b">
        <f t="shared" si="6"/>
        <v>0</v>
      </c>
      <c r="S31" s="15" t="b">
        <f t="shared" si="7"/>
        <v>0</v>
      </c>
      <c r="T31" s="15" t="b">
        <f t="shared" si="8"/>
        <v>1</v>
      </c>
      <c r="U31" s="15" t="b">
        <f t="shared" si="9"/>
        <v>0</v>
      </c>
      <c r="V31" s="15" t="b">
        <f t="shared" si="10"/>
        <v>0</v>
      </c>
    </row>
    <row r="32" spans="1:22" ht="15.75" customHeight="1" x14ac:dyDescent="0.2">
      <c r="A32" s="19">
        <f t="shared" si="11"/>
        <v>31</v>
      </c>
      <c r="B32" s="19" t="s">
        <v>389</v>
      </c>
      <c r="C32" s="19"/>
      <c r="D32" s="19"/>
      <c r="E32" s="19"/>
      <c r="F32" s="19" t="s">
        <v>126</v>
      </c>
      <c r="G32" s="19" t="s">
        <v>30</v>
      </c>
      <c r="H32" s="19"/>
      <c r="I32" s="19"/>
      <c r="J32" s="19"/>
      <c r="K32" s="19"/>
      <c r="L32" s="15">
        <f t="shared" si="0"/>
        <v>0</v>
      </c>
      <c r="M32" s="15" t="b">
        <f t="shared" si="1"/>
        <v>0</v>
      </c>
      <c r="N32" s="15" t="b">
        <f t="shared" si="2"/>
        <v>0</v>
      </c>
      <c r="O32" s="15" t="b">
        <f t="shared" si="3"/>
        <v>0</v>
      </c>
      <c r="P32" s="15" t="b">
        <f t="shared" si="4"/>
        <v>1</v>
      </c>
      <c r="Q32" s="15" t="b">
        <f t="shared" si="5"/>
        <v>0</v>
      </c>
      <c r="R32" s="15" t="b">
        <f t="shared" si="6"/>
        <v>0</v>
      </c>
      <c r="S32" s="15" t="b">
        <f t="shared" si="7"/>
        <v>0</v>
      </c>
      <c r="T32" s="15" t="b">
        <f t="shared" si="8"/>
        <v>0</v>
      </c>
      <c r="U32" s="15" t="b">
        <f t="shared" si="9"/>
        <v>0</v>
      </c>
      <c r="V32" s="15" t="b">
        <f t="shared" si="10"/>
        <v>0</v>
      </c>
    </row>
    <row r="33" spans="1:22" ht="15.75" customHeight="1" x14ac:dyDescent="0.2">
      <c r="A33" s="19">
        <f t="shared" si="11"/>
        <v>32</v>
      </c>
      <c r="B33" s="19" t="s">
        <v>297</v>
      </c>
      <c r="C33" s="19" t="s">
        <v>294</v>
      </c>
      <c r="D33" s="19"/>
      <c r="E33" s="19" t="s">
        <v>86</v>
      </c>
      <c r="F33" s="19" t="s">
        <v>90</v>
      </c>
      <c r="G33" s="19"/>
      <c r="H33" s="19"/>
      <c r="I33" s="19"/>
      <c r="J33" s="19"/>
      <c r="K33" s="19"/>
      <c r="L33" s="15">
        <f t="shared" si="0"/>
        <v>0</v>
      </c>
      <c r="M33" s="15" t="b">
        <f t="shared" si="1"/>
        <v>1</v>
      </c>
      <c r="N33" s="15" t="b">
        <f t="shared" si="2"/>
        <v>0</v>
      </c>
      <c r="O33" s="15" t="b">
        <f t="shared" si="3"/>
        <v>0</v>
      </c>
      <c r="P33" s="15" t="b">
        <f t="shared" si="4"/>
        <v>1</v>
      </c>
      <c r="Q33" s="15" t="b">
        <f t="shared" si="5"/>
        <v>0</v>
      </c>
      <c r="R33" s="15" t="b">
        <f t="shared" si="6"/>
        <v>0</v>
      </c>
      <c r="S33" s="15" t="b">
        <f t="shared" si="7"/>
        <v>0</v>
      </c>
      <c r="T33" s="15" t="b">
        <f t="shared" si="8"/>
        <v>0</v>
      </c>
      <c r="U33" s="15" t="b">
        <f t="shared" si="9"/>
        <v>0</v>
      </c>
      <c r="V33" s="15" t="b">
        <f t="shared" si="10"/>
        <v>0</v>
      </c>
    </row>
    <row r="34" spans="1:22" ht="15.75" customHeight="1" x14ac:dyDescent="0.2">
      <c r="A34" s="19">
        <f t="shared" si="11"/>
        <v>33</v>
      </c>
      <c r="B34" s="19" t="s">
        <v>80</v>
      </c>
      <c r="C34" s="19" t="s">
        <v>65</v>
      </c>
      <c r="D34" s="19"/>
      <c r="E34" s="19" t="s">
        <v>81</v>
      </c>
      <c r="F34" s="19"/>
      <c r="G34" s="19"/>
      <c r="H34" s="19"/>
      <c r="I34" s="19"/>
      <c r="J34" s="19"/>
      <c r="K34" s="19"/>
      <c r="L34" s="15">
        <f t="shared" si="0"/>
        <v>0</v>
      </c>
      <c r="M34" s="15" t="b">
        <f t="shared" si="1"/>
        <v>0</v>
      </c>
      <c r="N34" s="15" t="b">
        <f t="shared" si="2"/>
        <v>0</v>
      </c>
      <c r="O34" s="15" t="b">
        <f t="shared" si="3"/>
        <v>0</v>
      </c>
      <c r="P34" s="15" t="b">
        <f t="shared" si="4"/>
        <v>0</v>
      </c>
      <c r="Q34" s="15" t="b">
        <f t="shared" si="5"/>
        <v>0</v>
      </c>
      <c r="R34" s="15" t="b">
        <f t="shared" si="6"/>
        <v>0</v>
      </c>
      <c r="S34" s="15" t="b">
        <f t="shared" si="7"/>
        <v>0</v>
      </c>
      <c r="T34" s="15" t="b">
        <f t="shared" si="8"/>
        <v>0</v>
      </c>
      <c r="U34" s="15" t="b">
        <f t="shared" si="9"/>
        <v>1</v>
      </c>
      <c r="V34" s="15" t="b">
        <f t="shared" si="10"/>
        <v>0</v>
      </c>
    </row>
    <row r="35" spans="1:22" ht="15.75" customHeight="1" x14ac:dyDescent="0.2">
      <c r="A35" s="19">
        <f t="shared" si="11"/>
        <v>34</v>
      </c>
      <c r="B35" s="19" t="s">
        <v>83</v>
      </c>
      <c r="C35" s="19" t="s">
        <v>65</v>
      </c>
      <c r="D35" s="19"/>
      <c r="E35" s="19" t="s">
        <v>392</v>
      </c>
      <c r="F35" s="19"/>
      <c r="G35" s="19"/>
      <c r="H35" s="19"/>
      <c r="I35" s="19"/>
      <c r="J35" s="19"/>
      <c r="K35" s="19"/>
      <c r="L35" s="15">
        <f t="shared" si="0"/>
        <v>0</v>
      </c>
      <c r="M35" s="15" t="b">
        <f t="shared" si="1"/>
        <v>0</v>
      </c>
      <c r="N35" s="15" t="b">
        <f t="shared" si="2"/>
        <v>0</v>
      </c>
      <c r="O35" s="15" t="b">
        <f t="shared" si="3"/>
        <v>0</v>
      </c>
      <c r="P35" s="15" t="b">
        <f t="shared" si="4"/>
        <v>0</v>
      </c>
      <c r="Q35" s="15" t="b">
        <f t="shared" si="5"/>
        <v>0</v>
      </c>
      <c r="R35" s="15" t="b">
        <f t="shared" si="6"/>
        <v>0</v>
      </c>
      <c r="S35" s="15" t="b">
        <f t="shared" si="7"/>
        <v>0</v>
      </c>
      <c r="T35" s="15" t="b">
        <f t="shared" si="8"/>
        <v>0</v>
      </c>
      <c r="U35" s="15" t="b">
        <f t="shared" si="9"/>
        <v>0</v>
      </c>
      <c r="V35" s="15" t="b">
        <f t="shared" si="10"/>
        <v>0</v>
      </c>
    </row>
    <row r="36" spans="1:22" ht="15.75" customHeight="1" x14ac:dyDescent="0.2">
      <c r="A36" s="19">
        <f t="shared" si="11"/>
        <v>35</v>
      </c>
      <c r="B36" s="19" t="s">
        <v>135</v>
      </c>
      <c r="C36" s="19" t="s">
        <v>136</v>
      </c>
      <c r="D36" s="19"/>
      <c r="E36" s="19" t="s">
        <v>32</v>
      </c>
      <c r="F36" s="19"/>
      <c r="G36" s="19" t="s">
        <v>137</v>
      </c>
      <c r="H36" s="19"/>
      <c r="I36" s="19"/>
      <c r="J36" s="19"/>
      <c r="K36" s="19"/>
      <c r="L36" s="15">
        <f t="shared" si="0"/>
        <v>0</v>
      </c>
      <c r="M36" s="15" t="b">
        <f t="shared" si="1"/>
        <v>0</v>
      </c>
      <c r="N36" s="15" t="b">
        <f t="shared" si="2"/>
        <v>0</v>
      </c>
      <c r="O36" s="15" t="b">
        <f t="shared" si="3"/>
        <v>1</v>
      </c>
      <c r="P36" s="15" t="b">
        <f t="shared" si="4"/>
        <v>0</v>
      </c>
      <c r="Q36" s="15" t="b">
        <f t="shared" si="5"/>
        <v>0</v>
      </c>
      <c r="R36" s="15" t="b">
        <f t="shared" si="6"/>
        <v>0</v>
      </c>
      <c r="S36" s="15" t="b">
        <f t="shared" si="7"/>
        <v>0</v>
      </c>
      <c r="T36" s="15" t="b">
        <f t="shared" si="8"/>
        <v>0</v>
      </c>
      <c r="U36" s="15" t="b">
        <f t="shared" si="9"/>
        <v>0</v>
      </c>
      <c r="V36" s="15" t="b">
        <f t="shared" si="10"/>
        <v>0</v>
      </c>
    </row>
    <row r="37" spans="1:22" ht="15.75" customHeight="1" x14ac:dyDescent="0.2">
      <c r="A37" s="19">
        <f t="shared" si="11"/>
        <v>36</v>
      </c>
      <c r="B37" s="19" t="s">
        <v>109</v>
      </c>
      <c r="C37" s="19" t="s">
        <v>49</v>
      </c>
      <c r="D37" s="19"/>
      <c r="E37" s="19" t="s">
        <v>62</v>
      </c>
      <c r="F37" s="19"/>
      <c r="G37" s="19"/>
      <c r="H37" s="19"/>
      <c r="I37" s="19"/>
      <c r="J37" s="19"/>
      <c r="K37" s="19"/>
      <c r="L37" s="15">
        <f t="shared" si="0"/>
        <v>0</v>
      </c>
      <c r="M37" s="15" t="b">
        <f t="shared" si="1"/>
        <v>0</v>
      </c>
      <c r="N37" s="15" t="b">
        <f t="shared" si="2"/>
        <v>0</v>
      </c>
      <c r="O37" s="15" t="b">
        <f t="shared" si="3"/>
        <v>0</v>
      </c>
      <c r="P37" s="15" t="b">
        <f t="shared" si="4"/>
        <v>0</v>
      </c>
      <c r="Q37" s="15" t="b">
        <f t="shared" si="5"/>
        <v>1</v>
      </c>
      <c r="R37" s="15" t="b">
        <f t="shared" si="6"/>
        <v>0</v>
      </c>
      <c r="S37" s="15" t="b">
        <f t="shared" si="7"/>
        <v>0</v>
      </c>
      <c r="T37" s="15" t="b">
        <f t="shared" si="8"/>
        <v>0</v>
      </c>
      <c r="U37" s="15" t="b">
        <f t="shared" si="9"/>
        <v>0</v>
      </c>
      <c r="V37" s="15" t="b">
        <f t="shared" si="10"/>
        <v>0</v>
      </c>
    </row>
    <row r="38" spans="1:22" ht="15.75" customHeight="1" x14ac:dyDescent="0.2">
      <c r="A38" s="19">
        <f t="shared" si="11"/>
        <v>37</v>
      </c>
      <c r="B38" s="19" t="s">
        <v>342</v>
      </c>
      <c r="C38" s="19" t="s">
        <v>343</v>
      </c>
      <c r="D38" s="19"/>
      <c r="E38" s="19"/>
      <c r="F38" s="19"/>
      <c r="G38" s="19" t="s">
        <v>36</v>
      </c>
      <c r="H38" s="19"/>
      <c r="I38" s="19"/>
      <c r="J38" s="19"/>
      <c r="K38" s="19"/>
      <c r="L38" s="15">
        <f t="shared" si="0"/>
        <v>0</v>
      </c>
      <c r="M38" s="15" t="b">
        <f t="shared" si="1"/>
        <v>0</v>
      </c>
      <c r="N38" s="15" t="b">
        <f t="shared" si="2"/>
        <v>0</v>
      </c>
      <c r="O38" s="15" t="b">
        <f t="shared" si="3"/>
        <v>0</v>
      </c>
      <c r="P38" s="15" t="b">
        <f t="shared" si="4"/>
        <v>0</v>
      </c>
      <c r="Q38" s="15" t="b">
        <f t="shared" si="5"/>
        <v>0</v>
      </c>
      <c r="R38" s="15" t="b">
        <f t="shared" si="6"/>
        <v>0</v>
      </c>
      <c r="S38" s="15" t="b">
        <f t="shared" si="7"/>
        <v>0</v>
      </c>
      <c r="T38" s="15" t="b">
        <f t="shared" si="8"/>
        <v>0</v>
      </c>
      <c r="U38" s="15" t="b">
        <f t="shared" si="9"/>
        <v>0</v>
      </c>
      <c r="V38" s="15" t="b">
        <f t="shared" si="10"/>
        <v>0</v>
      </c>
    </row>
    <row r="39" spans="1:22" ht="15.75" customHeight="1" x14ac:dyDescent="0.2">
      <c r="A39" s="19">
        <f t="shared" si="11"/>
        <v>38</v>
      </c>
      <c r="B39" s="19" t="s">
        <v>193</v>
      </c>
      <c r="C39" s="18" t="s">
        <v>148</v>
      </c>
      <c r="D39" s="19"/>
      <c r="E39" s="19"/>
      <c r="F39" s="19" t="s">
        <v>90</v>
      </c>
      <c r="G39" s="19" t="s">
        <v>57</v>
      </c>
      <c r="H39" s="19"/>
      <c r="I39" s="19"/>
      <c r="J39" s="19"/>
      <c r="K39" s="19"/>
      <c r="L39" s="15">
        <f t="shared" si="0"/>
        <v>0</v>
      </c>
      <c r="M39" s="15" t="b">
        <f t="shared" si="1"/>
        <v>0</v>
      </c>
      <c r="N39" s="15" t="b">
        <f t="shared" si="2"/>
        <v>0</v>
      </c>
      <c r="O39" s="15" t="b">
        <f t="shared" si="3"/>
        <v>1</v>
      </c>
      <c r="P39" s="15" t="b">
        <f t="shared" si="4"/>
        <v>1</v>
      </c>
      <c r="Q39" s="15" t="b">
        <f t="shared" si="5"/>
        <v>0</v>
      </c>
      <c r="R39" s="15" t="b">
        <f t="shared" si="6"/>
        <v>0</v>
      </c>
      <c r="S39" s="15" t="b">
        <f t="shared" si="7"/>
        <v>0</v>
      </c>
      <c r="T39" s="15" t="b">
        <f t="shared" si="8"/>
        <v>0</v>
      </c>
      <c r="U39" s="15" t="b">
        <f t="shared" si="9"/>
        <v>0</v>
      </c>
      <c r="V39" s="15" t="b">
        <f t="shared" si="10"/>
        <v>0</v>
      </c>
    </row>
    <row r="40" spans="1:22" ht="15.75" customHeight="1" x14ac:dyDescent="0.2">
      <c r="A40" s="19">
        <f t="shared" si="11"/>
        <v>39</v>
      </c>
      <c r="B40" s="19" t="s">
        <v>203</v>
      </c>
      <c r="C40" s="18" t="s">
        <v>148</v>
      </c>
      <c r="D40" s="19"/>
      <c r="E40" s="19" t="s">
        <v>74</v>
      </c>
      <c r="F40" s="19" t="s">
        <v>126</v>
      </c>
      <c r="G40" s="19" t="s">
        <v>52</v>
      </c>
      <c r="H40" s="19"/>
      <c r="I40" s="19"/>
      <c r="J40" s="19" t="s">
        <v>48</v>
      </c>
      <c r="K40" s="19"/>
      <c r="L40" s="15">
        <f t="shared" si="0"/>
        <v>0</v>
      </c>
      <c r="M40" s="15" t="b">
        <f t="shared" si="1"/>
        <v>0</v>
      </c>
      <c r="N40" s="15" t="b">
        <f t="shared" si="2"/>
        <v>0</v>
      </c>
      <c r="O40" s="15" t="b">
        <f t="shared" si="3"/>
        <v>0</v>
      </c>
      <c r="P40" s="15" t="b">
        <f t="shared" si="4"/>
        <v>1</v>
      </c>
      <c r="Q40" s="15" t="b">
        <f t="shared" si="5"/>
        <v>0</v>
      </c>
      <c r="R40" s="15" t="b">
        <f t="shared" si="6"/>
        <v>0</v>
      </c>
      <c r="S40" s="15" t="b">
        <f t="shared" si="7"/>
        <v>1</v>
      </c>
      <c r="T40" s="15" t="b">
        <f t="shared" si="8"/>
        <v>1</v>
      </c>
      <c r="U40" s="15" t="b">
        <f t="shared" si="9"/>
        <v>0</v>
      </c>
      <c r="V40" s="15" t="b">
        <f t="shared" si="10"/>
        <v>0</v>
      </c>
    </row>
    <row r="41" spans="1:22" ht="15.75" customHeight="1" x14ac:dyDescent="0.2">
      <c r="A41" s="19">
        <f t="shared" si="11"/>
        <v>40</v>
      </c>
      <c r="B41" s="19" t="s">
        <v>321</v>
      </c>
      <c r="C41" s="19" t="s">
        <v>317</v>
      </c>
      <c r="D41" s="19"/>
      <c r="E41" s="19"/>
      <c r="F41" s="19"/>
      <c r="G41" s="19" t="s">
        <v>70</v>
      </c>
      <c r="H41" s="19"/>
      <c r="I41" s="19"/>
      <c r="J41" s="19"/>
      <c r="K41" s="19"/>
      <c r="L41" s="15">
        <f t="shared" si="0"/>
        <v>0</v>
      </c>
      <c r="M41" s="15" t="b">
        <f t="shared" si="1"/>
        <v>0</v>
      </c>
      <c r="N41" s="15" t="b">
        <f t="shared" si="2"/>
        <v>0</v>
      </c>
      <c r="O41" s="15" t="b">
        <f t="shared" si="3"/>
        <v>0</v>
      </c>
      <c r="P41" s="15" t="b">
        <f t="shared" si="4"/>
        <v>0</v>
      </c>
      <c r="Q41" s="15" t="b">
        <f t="shared" si="5"/>
        <v>0</v>
      </c>
      <c r="R41" s="15" t="b">
        <f t="shared" si="6"/>
        <v>0</v>
      </c>
      <c r="S41" s="15" t="b">
        <f t="shared" si="7"/>
        <v>0</v>
      </c>
      <c r="T41" s="15" t="b">
        <f t="shared" si="8"/>
        <v>0</v>
      </c>
      <c r="U41" s="15" t="b">
        <f t="shared" si="9"/>
        <v>0</v>
      </c>
      <c r="V41" s="15" t="b">
        <f t="shared" si="10"/>
        <v>0</v>
      </c>
    </row>
    <row r="42" spans="1:22" ht="15.75" customHeight="1" x14ac:dyDescent="0.2">
      <c r="A42" s="19">
        <f t="shared" si="11"/>
        <v>41</v>
      </c>
      <c r="B42" s="19" t="s">
        <v>141</v>
      </c>
      <c r="C42" s="19" t="s">
        <v>136</v>
      </c>
      <c r="D42" s="19"/>
      <c r="E42" s="19"/>
      <c r="F42" s="19"/>
      <c r="G42" s="19" t="s">
        <v>114</v>
      </c>
      <c r="H42" s="19"/>
      <c r="I42" s="19"/>
      <c r="J42" s="19"/>
      <c r="K42" s="19"/>
      <c r="L42" s="15">
        <f t="shared" si="0"/>
        <v>0</v>
      </c>
      <c r="M42" s="15" t="b">
        <f t="shared" si="1"/>
        <v>0</v>
      </c>
      <c r="N42" s="15" t="b">
        <f t="shared" si="2"/>
        <v>0</v>
      </c>
      <c r="O42" s="15" t="b">
        <f t="shared" si="3"/>
        <v>0</v>
      </c>
      <c r="P42" s="15" t="b">
        <f t="shared" si="4"/>
        <v>0</v>
      </c>
      <c r="Q42" s="15" t="b">
        <f t="shared" si="5"/>
        <v>0</v>
      </c>
      <c r="R42" s="15" t="b">
        <f t="shared" si="6"/>
        <v>0</v>
      </c>
      <c r="S42" s="15" t="b">
        <f t="shared" si="7"/>
        <v>0</v>
      </c>
      <c r="T42" s="15" t="b">
        <f t="shared" si="8"/>
        <v>0</v>
      </c>
      <c r="U42" s="15" t="b">
        <f t="shared" si="9"/>
        <v>0</v>
      </c>
      <c r="V42" s="15" t="b">
        <f t="shared" si="10"/>
        <v>0</v>
      </c>
    </row>
    <row r="43" spans="1:22" ht="15.75" customHeight="1" x14ac:dyDescent="0.2">
      <c r="A43" s="19">
        <f t="shared" si="11"/>
        <v>42</v>
      </c>
      <c r="B43" s="19" t="s">
        <v>259</v>
      </c>
      <c r="C43" s="19" t="s">
        <v>258</v>
      </c>
      <c r="D43" s="19"/>
      <c r="E43" s="19"/>
      <c r="F43" s="19" t="s">
        <v>90</v>
      </c>
      <c r="G43" s="19" t="s">
        <v>100</v>
      </c>
      <c r="H43" s="19"/>
      <c r="I43" s="19"/>
      <c r="J43" s="19"/>
      <c r="K43" s="19"/>
      <c r="L43" s="15">
        <f t="shared" si="0"/>
        <v>0</v>
      </c>
      <c r="M43" s="15" t="b">
        <f t="shared" si="1"/>
        <v>0</v>
      </c>
      <c r="N43" s="15" t="b">
        <f t="shared" si="2"/>
        <v>0</v>
      </c>
      <c r="O43" s="15" t="b">
        <f t="shared" si="3"/>
        <v>0</v>
      </c>
      <c r="P43" s="15" t="b">
        <f t="shared" si="4"/>
        <v>1</v>
      </c>
      <c r="Q43" s="15" t="b">
        <f t="shared" si="5"/>
        <v>0</v>
      </c>
      <c r="R43" s="15" t="b">
        <f t="shared" si="6"/>
        <v>0</v>
      </c>
      <c r="S43" s="15" t="b">
        <f t="shared" si="7"/>
        <v>0</v>
      </c>
      <c r="T43" s="15" t="b">
        <f t="shared" si="8"/>
        <v>0</v>
      </c>
      <c r="U43" s="15" t="b">
        <f t="shared" si="9"/>
        <v>0</v>
      </c>
      <c r="V43" s="15" t="b">
        <f t="shared" si="10"/>
        <v>1</v>
      </c>
    </row>
    <row r="44" spans="1:22" ht="15.75" customHeight="1" x14ac:dyDescent="0.2">
      <c r="A44" s="19">
        <f t="shared" si="11"/>
        <v>43</v>
      </c>
      <c r="B44" s="19" t="s">
        <v>124</v>
      </c>
      <c r="C44" s="19" t="s">
        <v>125</v>
      </c>
      <c r="D44" s="19"/>
      <c r="E44" s="19" t="s">
        <v>74</v>
      </c>
      <c r="F44" s="19" t="s">
        <v>38</v>
      </c>
      <c r="G44" s="19" t="s">
        <v>100</v>
      </c>
      <c r="H44" s="19"/>
      <c r="I44" s="19"/>
      <c r="J44" s="19"/>
      <c r="K44" s="19"/>
      <c r="L44" s="15">
        <f t="shared" si="0"/>
        <v>0</v>
      </c>
      <c r="M44" s="15" t="b">
        <f t="shared" si="1"/>
        <v>0</v>
      </c>
      <c r="N44" s="15" t="b">
        <f t="shared" si="2"/>
        <v>0</v>
      </c>
      <c r="O44" s="15" t="b">
        <f t="shared" si="3"/>
        <v>0</v>
      </c>
      <c r="P44" s="15" t="b">
        <f t="shared" si="4"/>
        <v>1</v>
      </c>
      <c r="Q44" s="15" t="b">
        <f t="shared" si="5"/>
        <v>0</v>
      </c>
      <c r="R44" s="15" t="b">
        <f t="shared" si="6"/>
        <v>0</v>
      </c>
      <c r="S44" s="15" t="b">
        <f t="shared" si="7"/>
        <v>0</v>
      </c>
      <c r="T44" s="15" t="b">
        <f t="shared" si="8"/>
        <v>0</v>
      </c>
      <c r="U44" s="15" t="b">
        <f t="shared" si="9"/>
        <v>0</v>
      </c>
      <c r="V44" s="15" t="b">
        <f t="shared" si="10"/>
        <v>1</v>
      </c>
    </row>
    <row r="45" spans="1:22" ht="15.75" customHeight="1" x14ac:dyDescent="0.2">
      <c r="A45" s="19">
        <f t="shared" si="11"/>
        <v>44</v>
      </c>
      <c r="B45" s="19" t="s">
        <v>279</v>
      </c>
      <c r="C45" s="19" t="s">
        <v>265</v>
      </c>
      <c r="D45" s="19" t="s">
        <v>280</v>
      </c>
      <c r="E45" s="19"/>
      <c r="F45" s="19" t="s">
        <v>90</v>
      </c>
      <c r="G45" s="19" t="s">
        <v>30</v>
      </c>
      <c r="H45" s="19"/>
      <c r="I45" s="19"/>
      <c r="J45" s="19"/>
      <c r="K45" s="19"/>
      <c r="L45" s="15">
        <f t="shared" si="0"/>
        <v>0</v>
      </c>
      <c r="M45" s="15" t="b">
        <f t="shared" si="1"/>
        <v>0</v>
      </c>
      <c r="N45" s="15" t="b">
        <f t="shared" si="2"/>
        <v>0</v>
      </c>
      <c r="O45" s="15" t="b">
        <f t="shared" si="3"/>
        <v>0</v>
      </c>
      <c r="P45" s="15" t="b">
        <f t="shared" si="4"/>
        <v>1</v>
      </c>
      <c r="Q45" s="15" t="b">
        <f t="shared" si="5"/>
        <v>0</v>
      </c>
      <c r="R45" s="15" t="b">
        <f t="shared" si="6"/>
        <v>0</v>
      </c>
      <c r="S45" s="15" t="b">
        <f t="shared" si="7"/>
        <v>0</v>
      </c>
      <c r="T45" s="15" t="b">
        <f t="shared" si="8"/>
        <v>0</v>
      </c>
      <c r="U45" s="15" t="b">
        <f t="shared" si="9"/>
        <v>0</v>
      </c>
      <c r="V45" s="15" t="b">
        <f t="shared" si="10"/>
        <v>0</v>
      </c>
    </row>
    <row r="46" spans="1:22" ht="15.75" customHeight="1" x14ac:dyDescent="0.2">
      <c r="A46" s="19">
        <f t="shared" si="11"/>
        <v>45</v>
      </c>
      <c r="B46" s="19" t="s">
        <v>373</v>
      </c>
      <c r="C46" s="19" t="s">
        <v>357</v>
      </c>
      <c r="D46" s="19"/>
      <c r="E46" s="19"/>
      <c r="F46" s="19" t="s">
        <v>45</v>
      </c>
      <c r="G46" s="19"/>
      <c r="H46" s="19"/>
      <c r="I46" s="19"/>
      <c r="J46" s="19"/>
      <c r="K46" s="19"/>
      <c r="L46" s="15">
        <f t="shared" si="0"/>
        <v>0</v>
      </c>
      <c r="M46" s="15" t="b">
        <f t="shared" si="1"/>
        <v>0</v>
      </c>
      <c r="N46" s="15" t="b">
        <f t="shared" si="2"/>
        <v>0</v>
      </c>
      <c r="O46" s="15" t="b">
        <f t="shared" si="3"/>
        <v>0</v>
      </c>
      <c r="P46" s="15" t="b">
        <f t="shared" si="4"/>
        <v>1</v>
      </c>
      <c r="Q46" s="15" t="b">
        <f t="shared" si="5"/>
        <v>0</v>
      </c>
      <c r="R46" s="15" t="b">
        <f t="shared" si="6"/>
        <v>0</v>
      </c>
      <c r="S46" s="15" t="b">
        <f t="shared" si="7"/>
        <v>0</v>
      </c>
      <c r="T46" s="15" t="b">
        <f t="shared" si="8"/>
        <v>0</v>
      </c>
      <c r="U46" s="15" t="b">
        <f t="shared" si="9"/>
        <v>0</v>
      </c>
      <c r="V46" s="15" t="b">
        <f t="shared" si="10"/>
        <v>0</v>
      </c>
    </row>
    <row r="47" spans="1:22" ht="15.75" customHeight="1" x14ac:dyDescent="0.2">
      <c r="A47" s="19">
        <f t="shared" si="11"/>
        <v>46</v>
      </c>
      <c r="B47" s="19" t="s">
        <v>289</v>
      </c>
      <c r="C47" s="19" t="s">
        <v>265</v>
      </c>
      <c r="D47" s="19" t="s">
        <v>282</v>
      </c>
      <c r="E47" s="19" t="s">
        <v>62</v>
      </c>
      <c r="F47" s="19" t="s">
        <v>90</v>
      </c>
      <c r="G47" s="19"/>
      <c r="H47" s="19"/>
      <c r="I47" s="19"/>
      <c r="J47" s="19"/>
      <c r="K47" s="19"/>
      <c r="L47" s="15">
        <f t="shared" si="0"/>
        <v>0</v>
      </c>
      <c r="M47" s="15" t="b">
        <f t="shared" si="1"/>
        <v>0</v>
      </c>
      <c r="N47" s="15" t="b">
        <f t="shared" si="2"/>
        <v>0</v>
      </c>
      <c r="O47" s="15" t="b">
        <f t="shared" si="3"/>
        <v>0</v>
      </c>
      <c r="P47" s="15" t="b">
        <f t="shared" si="4"/>
        <v>1</v>
      </c>
      <c r="Q47" s="15" t="b">
        <f t="shared" si="5"/>
        <v>1</v>
      </c>
      <c r="R47" s="15" t="b">
        <f t="shared" si="6"/>
        <v>0</v>
      </c>
      <c r="S47" s="15" t="b">
        <f t="shared" si="7"/>
        <v>0</v>
      </c>
      <c r="T47" s="15" t="b">
        <f t="shared" si="8"/>
        <v>0</v>
      </c>
      <c r="U47" s="15" t="b">
        <f t="shared" si="9"/>
        <v>0</v>
      </c>
      <c r="V47" s="15" t="b">
        <f t="shared" si="10"/>
        <v>0</v>
      </c>
    </row>
    <row r="48" spans="1:22" ht="15.75" customHeight="1" x14ac:dyDescent="0.2">
      <c r="A48" s="19">
        <f t="shared" si="11"/>
        <v>47</v>
      </c>
      <c r="B48" s="19" t="s">
        <v>127</v>
      </c>
      <c r="C48" s="19" t="s">
        <v>128</v>
      </c>
      <c r="D48" s="19"/>
      <c r="E48" s="19" t="s">
        <v>66</v>
      </c>
      <c r="F48" s="19" t="s">
        <v>90</v>
      </c>
      <c r="G48" s="19" t="s">
        <v>100</v>
      </c>
      <c r="H48" s="19" t="s">
        <v>78</v>
      </c>
      <c r="I48" s="19"/>
      <c r="J48" s="24" t="s">
        <v>45</v>
      </c>
      <c r="K48" s="19"/>
      <c r="L48" s="15">
        <f t="shared" si="0"/>
        <v>0</v>
      </c>
      <c r="M48" s="15" t="b">
        <f t="shared" si="1"/>
        <v>0</v>
      </c>
      <c r="N48" s="15" t="b">
        <f t="shared" si="2"/>
        <v>1</v>
      </c>
      <c r="O48" s="15" t="b">
        <f t="shared" si="3"/>
        <v>0</v>
      </c>
      <c r="P48" s="15" t="b">
        <f t="shared" si="4"/>
        <v>1</v>
      </c>
      <c r="Q48" s="15" t="b">
        <f t="shared" si="5"/>
        <v>0</v>
      </c>
      <c r="R48" s="15" t="b">
        <f t="shared" si="6"/>
        <v>0</v>
      </c>
      <c r="S48" s="15" t="b">
        <f t="shared" si="7"/>
        <v>0</v>
      </c>
      <c r="T48" s="15" t="b">
        <f t="shared" si="8"/>
        <v>0</v>
      </c>
      <c r="U48" s="15" t="b">
        <f t="shared" si="9"/>
        <v>0</v>
      </c>
      <c r="V48" s="15" t="b">
        <f t="shared" si="10"/>
        <v>1</v>
      </c>
    </row>
    <row r="49" spans="1:22" ht="15.75" customHeight="1" x14ac:dyDescent="0.2">
      <c r="A49" s="19">
        <f t="shared" si="11"/>
        <v>48</v>
      </c>
      <c r="B49" s="19" t="s">
        <v>207</v>
      </c>
      <c r="C49" s="18" t="s">
        <v>148</v>
      </c>
      <c r="D49" s="19" t="s">
        <v>208</v>
      </c>
      <c r="E49" s="19"/>
      <c r="F49" s="19" t="s">
        <v>134</v>
      </c>
      <c r="G49" s="19" t="s">
        <v>48</v>
      </c>
      <c r="H49" s="19"/>
      <c r="I49" s="19"/>
      <c r="J49" s="19"/>
      <c r="K49" s="19"/>
      <c r="L49" s="15">
        <f t="shared" si="0"/>
        <v>0</v>
      </c>
      <c r="M49" s="15" t="b">
        <f t="shared" si="1"/>
        <v>0</v>
      </c>
      <c r="N49" s="15" t="b">
        <f t="shared" si="2"/>
        <v>0</v>
      </c>
      <c r="O49" s="15" t="b">
        <f t="shared" si="3"/>
        <v>0</v>
      </c>
      <c r="P49" s="15" t="b">
        <f t="shared" si="4"/>
        <v>1</v>
      </c>
      <c r="Q49" s="15" t="b">
        <f t="shared" si="5"/>
        <v>0</v>
      </c>
      <c r="R49" s="15" t="b">
        <f t="shared" si="6"/>
        <v>0</v>
      </c>
      <c r="S49" s="15" t="b">
        <f t="shared" si="7"/>
        <v>0</v>
      </c>
      <c r="T49" s="15" t="b">
        <f t="shared" si="8"/>
        <v>1</v>
      </c>
      <c r="U49" s="15" t="b">
        <f t="shared" si="9"/>
        <v>0</v>
      </c>
      <c r="V49" s="15" t="b">
        <f t="shared" si="10"/>
        <v>0</v>
      </c>
    </row>
    <row r="50" spans="1:22" ht="15.75" customHeight="1" x14ac:dyDescent="0.2">
      <c r="A50" s="19">
        <f t="shared" si="11"/>
        <v>49</v>
      </c>
      <c r="B50" s="19" t="s">
        <v>290</v>
      </c>
      <c r="C50" s="19" t="s">
        <v>265</v>
      </c>
      <c r="D50" s="19"/>
      <c r="E50" s="19"/>
      <c r="F50" s="19" t="s">
        <v>38</v>
      </c>
      <c r="G50" s="19" t="s">
        <v>57</v>
      </c>
      <c r="H50" s="19"/>
      <c r="I50" s="19"/>
      <c r="J50" s="19"/>
      <c r="K50" s="19"/>
      <c r="L50" s="15">
        <f t="shared" si="0"/>
        <v>0</v>
      </c>
      <c r="M50" s="15" t="b">
        <f t="shared" si="1"/>
        <v>0</v>
      </c>
      <c r="N50" s="15" t="b">
        <f t="shared" si="2"/>
        <v>0</v>
      </c>
      <c r="O50" s="15" t="b">
        <f t="shared" si="3"/>
        <v>1</v>
      </c>
      <c r="P50" s="15" t="b">
        <f t="shared" si="4"/>
        <v>1</v>
      </c>
      <c r="Q50" s="15" t="b">
        <f t="shared" si="5"/>
        <v>0</v>
      </c>
      <c r="R50" s="15" t="b">
        <f t="shared" si="6"/>
        <v>0</v>
      </c>
      <c r="S50" s="15" t="b">
        <f t="shared" si="7"/>
        <v>0</v>
      </c>
      <c r="T50" s="15" t="b">
        <f t="shared" si="8"/>
        <v>0</v>
      </c>
      <c r="U50" s="15" t="b">
        <f t="shared" si="9"/>
        <v>0</v>
      </c>
      <c r="V50" s="15" t="b">
        <f t="shared" si="10"/>
        <v>0</v>
      </c>
    </row>
    <row r="51" spans="1:22" ht="15.75" customHeight="1" x14ac:dyDescent="0.2">
      <c r="A51" s="19">
        <f t="shared" si="11"/>
        <v>50</v>
      </c>
      <c r="B51" s="19" t="s">
        <v>106</v>
      </c>
      <c r="C51" s="19" t="s">
        <v>49</v>
      </c>
      <c r="D51" s="19"/>
      <c r="E51" s="19" t="s">
        <v>74</v>
      </c>
      <c r="F51" s="24" t="s">
        <v>3</v>
      </c>
      <c r="G51" s="19" t="s">
        <v>107</v>
      </c>
      <c r="H51" s="19"/>
      <c r="I51" s="19"/>
      <c r="J51" s="19" t="s">
        <v>108</v>
      </c>
      <c r="K51" s="19"/>
      <c r="L51" s="15">
        <f t="shared" si="0"/>
        <v>0</v>
      </c>
      <c r="M51" s="15" t="b">
        <f t="shared" si="1"/>
        <v>0</v>
      </c>
      <c r="N51" s="15" t="b">
        <f t="shared" si="2"/>
        <v>0</v>
      </c>
      <c r="O51" s="15" t="b">
        <f t="shared" si="3"/>
        <v>1</v>
      </c>
      <c r="P51" s="15" t="b">
        <f t="shared" si="4"/>
        <v>1</v>
      </c>
      <c r="Q51" s="15" t="b">
        <f t="shared" si="5"/>
        <v>0</v>
      </c>
      <c r="R51" s="15" t="b">
        <f t="shared" si="6"/>
        <v>0</v>
      </c>
      <c r="S51" s="15" t="b">
        <f t="shared" si="7"/>
        <v>0</v>
      </c>
      <c r="T51" s="15" t="b">
        <f t="shared" si="8"/>
        <v>0</v>
      </c>
      <c r="U51" s="15" t="b">
        <f t="shared" si="9"/>
        <v>0</v>
      </c>
      <c r="V51" s="15" t="b">
        <f t="shared" si="10"/>
        <v>0</v>
      </c>
    </row>
    <row r="52" spans="1:22" ht="15.75" customHeight="1" x14ac:dyDescent="0.2">
      <c r="A52" s="19">
        <f t="shared" si="11"/>
        <v>51</v>
      </c>
      <c r="B52" s="19" t="s">
        <v>209</v>
      </c>
      <c r="C52" s="18" t="s">
        <v>148</v>
      </c>
      <c r="D52" s="19"/>
      <c r="E52" s="19"/>
      <c r="F52" s="19"/>
      <c r="G52" s="19" t="s">
        <v>52</v>
      </c>
      <c r="H52" s="19"/>
      <c r="I52" s="19"/>
      <c r="J52" s="19"/>
      <c r="K52" s="19"/>
      <c r="L52" s="15">
        <f t="shared" si="0"/>
        <v>0</v>
      </c>
      <c r="M52" s="15" t="b">
        <f t="shared" si="1"/>
        <v>0</v>
      </c>
      <c r="N52" s="15" t="b">
        <f t="shared" si="2"/>
        <v>0</v>
      </c>
      <c r="O52" s="15" t="b">
        <f t="shared" si="3"/>
        <v>0</v>
      </c>
      <c r="P52" s="15" t="b">
        <f t="shared" si="4"/>
        <v>0</v>
      </c>
      <c r="Q52" s="15" t="b">
        <f t="shared" si="5"/>
        <v>0</v>
      </c>
      <c r="R52" s="15" t="b">
        <f t="shared" si="6"/>
        <v>0</v>
      </c>
      <c r="S52" s="15" t="b">
        <f t="shared" si="7"/>
        <v>1</v>
      </c>
      <c r="T52" s="15" t="b">
        <f t="shared" si="8"/>
        <v>0</v>
      </c>
      <c r="U52" s="15" t="b">
        <f t="shared" si="9"/>
        <v>0</v>
      </c>
      <c r="V52" s="15" t="b">
        <f t="shared" si="10"/>
        <v>0</v>
      </c>
    </row>
    <row r="53" spans="1:22" ht="15.75" customHeight="1" x14ac:dyDescent="0.2">
      <c r="A53" s="19">
        <f t="shared" si="11"/>
        <v>52</v>
      </c>
      <c r="B53" s="19" t="s">
        <v>390</v>
      </c>
      <c r="C53" s="19"/>
      <c r="D53" s="19" t="s">
        <v>282</v>
      </c>
      <c r="E53" s="19"/>
      <c r="F53" s="19" t="s">
        <v>90</v>
      </c>
      <c r="G53" s="19" t="s">
        <v>60</v>
      </c>
      <c r="H53" s="19"/>
      <c r="I53" s="19"/>
      <c r="J53" s="19"/>
      <c r="K53" s="19"/>
      <c r="L53" s="15">
        <f t="shared" si="0"/>
        <v>0</v>
      </c>
      <c r="M53" s="15" t="b">
        <f t="shared" si="1"/>
        <v>0</v>
      </c>
      <c r="N53" s="15" t="b">
        <f t="shared" si="2"/>
        <v>0</v>
      </c>
      <c r="O53" s="15" t="b">
        <f t="shared" si="3"/>
        <v>0</v>
      </c>
      <c r="P53" s="15" t="b">
        <f t="shared" si="4"/>
        <v>1</v>
      </c>
      <c r="Q53" s="15" t="b">
        <f t="shared" si="5"/>
        <v>0</v>
      </c>
      <c r="R53" s="15" t="b">
        <f t="shared" si="6"/>
        <v>0</v>
      </c>
      <c r="S53" s="15" t="b">
        <f t="shared" si="7"/>
        <v>0</v>
      </c>
      <c r="T53" s="15" t="b">
        <f t="shared" si="8"/>
        <v>0</v>
      </c>
      <c r="U53" s="15" t="b">
        <f t="shared" si="9"/>
        <v>0</v>
      </c>
      <c r="V53" s="15" t="b">
        <f t="shared" si="10"/>
        <v>0</v>
      </c>
    </row>
    <row r="54" spans="1:22" ht="15.75" customHeight="1" x14ac:dyDescent="0.2">
      <c r="A54" s="19">
        <f t="shared" si="11"/>
        <v>53</v>
      </c>
      <c r="B54" s="19" t="s">
        <v>172</v>
      </c>
      <c r="C54" s="18" t="s">
        <v>148</v>
      </c>
      <c r="D54" s="19"/>
      <c r="E54" s="19"/>
      <c r="F54" s="19" t="s">
        <v>38</v>
      </c>
      <c r="G54" s="19" t="s">
        <v>173</v>
      </c>
      <c r="H54" s="19"/>
      <c r="I54" s="19"/>
      <c r="J54" s="19"/>
      <c r="K54" s="19"/>
      <c r="L54" s="15">
        <f t="shared" si="0"/>
        <v>0</v>
      </c>
      <c r="M54" s="15" t="b">
        <f t="shared" si="1"/>
        <v>0</v>
      </c>
      <c r="N54" s="15" t="b">
        <f t="shared" si="2"/>
        <v>0</v>
      </c>
      <c r="O54" s="15" t="b">
        <f t="shared" si="3"/>
        <v>0</v>
      </c>
      <c r="P54" s="15" t="b">
        <f t="shared" si="4"/>
        <v>1</v>
      </c>
      <c r="Q54" s="15" t="b">
        <f t="shared" si="5"/>
        <v>0</v>
      </c>
      <c r="R54" s="15" t="b">
        <f t="shared" si="6"/>
        <v>0</v>
      </c>
      <c r="S54" s="15" t="b">
        <f t="shared" si="7"/>
        <v>0</v>
      </c>
      <c r="T54" s="15" t="b">
        <f t="shared" si="8"/>
        <v>0</v>
      </c>
      <c r="U54" s="15" t="b">
        <f t="shared" si="9"/>
        <v>0</v>
      </c>
      <c r="V54" s="15" t="b">
        <f t="shared" si="10"/>
        <v>0</v>
      </c>
    </row>
    <row r="55" spans="1:22" ht="15.75" customHeight="1" x14ac:dyDescent="0.2">
      <c r="A55" s="19">
        <f t="shared" si="11"/>
        <v>54</v>
      </c>
      <c r="B55" s="19" t="s">
        <v>40</v>
      </c>
      <c r="C55" s="19" t="s">
        <v>41</v>
      </c>
      <c r="D55" s="19"/>
      <c r="E55" s="19"/>
      <c r="F55" s="19" t="s">
        <v>90</v>
      </c>
      <c r="G55" s="19"/>
      <c r="H55" s="19" t="s">
        <v>45</v>
      </c>
      <c r="I55" s="19"/>
      <c r="J55" s="19"/>
      <c r="K55" s="19"/>
      <c r="L55" s="15">
        <f t="shared" si="0"/>
        <v>0</v>
      </c>
      <c r="M55" s="15" t="b">
        <f t="shared" si="1"/>
        <v>0</v>
      </c>
      <c r="N55" s="15" t="b">
        <f t="shared" si="2"/>
        <v>0</v>
      </c>
      <c r="O55" s="15" t="b">
        <f t="shared" si="3"/>
        <v>0</v>
      </c>
      <c r="P55" s="15" t="b">
        <f t="shared" si="4"/>
        <v>1</v>
      </c>
      <c r="Q55" s="15" t="b">
        <f t="shared" si="5"/>
        <v>0</v>
      </c>
      <c r="R55" s="15" t="b">
        <f t="shared" si="6"/>
        <v>0</v>
      </c>
      <c r="S55" s="15" t="b">
        <f t="shared" si="7"/>
        <v>0</v>
      </c>
      <c r="T55" s="15" t="b">
        <f t="shared" si="8"/>
        <v>0</v>
      </c>
      <c r="U55" s="15" t="b">
        <f t="shared" si="9"/>
        <v>0</v>
      </c>
      <c r="V55" s="15" t="b">
        <f t="shared" si="10"/>
        <v>0</v>
      </c>
    </row>
    <row r="56" spans="1:22" ht="15.75" customHeight="1" x14ac:dyDescent="0.2">
      <c r="A56" s="19">
        <f t="shared" si="11"/>
        <v>55</v>
      </c>
      <c r="B56" s="19" t="s">
        <v>121</v>
      </c>
      <c r="C56" s="19" t="s">
        <v>49</v>
      </c>
      <c r="D56" s="19"/>
      <c r="E56" s="19"/>
      <c r="F56" s="19" t="s">
        <v>38</v>
      </c>
      <c r="G56" s="19" t="s">
        <v>100</v>
      </c>
      <c r="H56" s="19"/>
      <c r="I56" s="19"/>
      <c r="J56" s="19"/>
      <c r="K56" s="19"/>
      <c r="L56" s="15">
        <f t="shared" si="0"/>
        <v>0</v>
      </c>
      <c r="M56" s="15" t="b">
        <f t="shared" si="1"/>
        <v>0</v>
      </c>
      <c r="N56" s="15" t="b">
        <f t="shared" si="2"/>
        <v>0</v>
      </c>
      <c r="O56" s="15" t="b">
        <f t="shared" si="3"/>
        <v>0</v>
      </c>
      <c r="P56" s="15" t="b">
        <f t="shared" si="4"/>
        <v>1</v>
      </c>
      <c r="Q56" s="15" t="b">
        <f t="shared" si="5"/>
        <v>0</v>
      </c>
      <c r="R56" s="15" t="b">
        <f t="shared" si="6"/>
        <v>0</v>
      </c>
      <c r="S56" s="15" t="b">
        <f t="shared" si="7"/>
        <v>0</v>
      </c>
      <c r="T56" s="15" t="b">
        <f t="shared" si="8"/>
        <v>0</v>
      </c>
      <c r="U56" s="15" t="b">
        <f t="shared" si="9"/>
        <v>0</v>
      </c>
      <c r="V56" s="15" t="b">
        <f t="shared" si="10"/>
        <v>1</v>
      </c>
    </row>
    <row r="57" spans="1:22" ht="15.75" customHeight="1" x14ac:dyDescent="0.2">
      <c r="A57" s="19">
        <f t="shared" si="11"/>
        <v>56</v>
      </c>
      <c r="B57" s="19" t="s">
        <v>359</v>
      </c>
      <c r="C57" s="19" t="s">
        <v>357</v>
      </c>
      <c r="D57" s="19"/>
      <c r="E57" s="19"/>
      <c r="F57" s="19"/>
      <c r="G57" s="19" t="s">
        <v>31</v>
      </c>
      <c r="H57" s="19"/>
      <c r="I57" s="19"/>
      <c r="J57" s="19"/>
      <c r="K57" s="19"/>
      <c r="L57" s="15">
        <f t="shared" si="0"/>
        <v>0</v>
      </c>
      <c r="M57" s="15" t="b">
        <f t="shared" si="1"/>
        <v>0</v>
      </c>
      <c r="N57" s="15" t="b">
        <f t="shared" si="2"/>
        <v>0</v>
      </c>
      <c r="O57" s="15" t="b">
        <f t="shared" si="3"/>
        <v>1</v>
      </c>
      <c r="P57" s="15" t="b">
        <f t="shared" si="4"/>
        <v>0</v>
      </c>
      <c r="Q57" s="15" t="b">
        <f t="shared" si="5"/>
        <v>0</v>
      </c>
      <c r="R57" s="15" t="b">
        <f t="shared" si="6"/>
        <v>0</v>
      </c>
      <c r="S57" s="15" t="b">
        <f t="shared" si="7"/>
        <v>0</v>
      </c>
      <c r="T57" s="15" t="b">
        <f t="shared" si="8"/>
        <v>0</v>
      </c>
      <c r="U57" s="15" t="b">
        <f t="shared" si="9"/>
        <v>0</v>
      </c>
      <c r="V57" s="15" t="b">
        <f t="shared" si="10"/>
        <v>0</v>
      </c>
    </row>
    <row r="58" spans="1:22" ht="15.75" customHeight="1" x14ac:dyDescent="0.2">
      <c r="A58" s="19">
        <f t="shared" si="11"/>
        <v>57</v>
      </c>
      <c r="B58" s="19" t="s">
        <v>210</v>
      </c>
      <c r="C58" s="18" t="s">
        <v>148</v>
      </c>
      <c r="D58" s="19"/>
      <c r="E58" s="19"/>
      <c r="F58" s="19"/>
      <c r="G58" s="19" t="s">
        <v>52</v>
      </c>
      <c r="H58" s="19"/>
      <c r="I58" s="19"/>
      <c r="J58" s="24" t="s">
        <v>100</v>
      </c>
      <c r="K58" s="24" t="s">
        <v>60</v>
      </c>
      <c r="L58" s="15">
        <f t="shared" si="0"/>
        <v>0</v>
      </c>
      <c r="M58" s="15" t="b">
        <f t="shared" si="1"/>
        <v>0</v>
      </c>
      <c r="N58" s="15" t="b">
        <f t="shared" si="2"/>
        <v>0</v>
      </c>
      <c r="O58" s="15" t="b">
        <f t="shared" si="3"/>
        <v>0</v>
      </c>
      <c r="P58" s="15" t="b">
        <f t="shared" si="4"/>
        <v>0</v>
      </c>
      <c r="Q58" s="15" t="b">
        <f t="shared" si="5"/>
        <v>0</v>
      </c>
      <c r="R58" s="15" t="b">
        <f t="shared" si="6"/>
        <v>0</v>
      </c>
      <c r="S58" s="15" t="b">
        <f t="shared" si="7"/>
        <v>1</v>
      </c>
      <c r="T58" s="15" t="b">
        <f t="shared" si="8"/>
        <v>0</v>
      </c>
      <c r="U58" s="15" t="b">
        <f t="shared" si="9"/>
        <v>0</v>
      </c>
      <c r="V58" s="15" t="b">
        <f t="shared" si="10"/>
        <v>1</v>
      </c>
    </row>
    <row r="59" spans="1:22" ht="15.75" customHeight="1" x14ac:dyDescent="0.2">
      <c r="A59" s="19">
        <f t="shared" si="11"/>
        <v>58</v>
      </c>
      <c r="B59" s="19" t="s">
        <v>119</v>
      </c>
      <c r="C59" s="19" t="s">
        <v>49</v>
      </c>
      <c r="D59" s="19"/>
      <c r="E59" s="19"/>
      <c r="F59" s="19" t="s">
        <v>38</v>
      </c>
      <c r="G59" s="19" t="s">
        <v>100</v>
      </c>
      <c r="H59" s="19"/>
      <c r="I59" s="19"/>
      <c r="J59" s="19"/>
      <c r="K59" s="19"/>
      <c r="L59" s="15">
        <f t="shared" si="0"/>
        <v>0</v>
      </c>
      <c r="M59" s="15" t="b">
        <f t="shared" si="1"/>
        <v>0</v>
      </c>
      <c r="N59" s="15" t="b">
        <f t="shared" si="2"/>
        <v>0</v>
      </c>
      <c r="O59" s="15" t="b">
        <f t="shared" si="3"/>
        <v>0</v>
      </c>
      <c r="P59" s="15" t="b">
        <f t="shared" si="4"/>
        <v>1</v>
      </c>
      <c r="Q59" s="15" t="b">
        <f t="shared" si="5"/>
        <v>0</v>
      </c>
      <c r="R59" s="15" t="b">
        <f t="shared" si="6"/>
        <v>0</v>
      </c>
      <c r="S59" s="15" t="b">
        <f t="shared" si="7"/>
        <v>0</v>
      </c>
      <c r="T59" s="15" t="b">
        <f t="shared" si="8"/>
        <v>0</v>
      </c>
      <c r="U59" s="15" t="b">
        <f t="shared" si="9"/>
        <v>0</v>
      </c>
      <c r="V59" s="15" t="b">
        <f t="shared" si="10"/>
        <v>1</v>
      </c>
    </row>
    <row r="60" spans="1:22" ht="15.75" customHeight="1" x14ac:dyDescent="0.2">
      <c r="A60" s="19">
        <f t="shared" si="11"/>
        <v>59</v>
      </c>
      <c r="B60" s="19" t="s">
        <v>161</v>
      </c>
      <c r="C60" s="18" t="s">
        <v>148</v>
      </c>
      <c r="D60" s="19"/>
      <c r="E60" s="19" t="s">
        <v>163</v>
      </c>
      <c r="F60" s="19" t="s">
        <v>38</v>
      </c>
      <c r="G60" s="19"/>
      <c r="H60" s="19"/>
      <c r="I60" s="19"/>
      <c r="J60" s="19"/>
      <c r="K60" s="19"/>
      <c r="L60" s="15">
        <f t="shared" si="0"/>
        <v>0</v>
      </c>
      <c r="M60" s="15" t="b">
        <f t="shared" si="1"/>
        <v>0</v>
      </c>
      <c r="N60" s="15" t="b">
        <f t="shared" si="2"/>
        <v>0</v>
      </c>
      <c r="O60" s="15" t="b">
        <f t="shared" si="3"/>
        <v>0</v>
      </c>
      <c r="P60" s="15" t="b">
        <f t="shared" si="4"/>
        <v>1</v>
      </c>
      <c r="Q60" s="15" t="b">
        <f t="shared" si="5"/>
        <v>0</v>
      </c>
      <c r="R60" s="15" t="b">
        <f t="shared" si="6"/>
        <v>0</v>
      </c>
      <c r="S60" s="15" t="b">
        <f t="shared" si="7"/>
        <v>0</v>
      </c>
      <c r="T60" s="15" t="b">
        <f t="shared" si="8"/>
        <v>0</v>
      </c>
      <c r="U60" s="15" t="b">
        <f t="shared" si="9"/>
        <v>0</v>
      </c>
      <c r="V60" s="15" t="b">
        <f t="shared" si="10"/>
        <v>0</v>
      </c>
    </row>
    <row r="61" spans="1:22" ht="15.75" customHeight="1" x14ac:dyDescent="0.2">
      <c r="A61" s="19">
        <f t="shared" si="11"/>
        <v>60</v>
      </c>
      <c r="B61" s="19" t="s">
        <v>320</v>
      </c>
      <c r="C61" s="19" t="s">
        <v>317</v>
      </c>
      <c r="D61" s="19"/>
      <c r="E61" s="19"/>
      <c r="F61" s="19"/>
      <c r="G61" s="19" t="s">
        <v>60</v>
      </c>
      <c r="H61" s="19"/>
      <c r="I61" s="19"/>
      <c r="J61" s="19"/>
      <c r="K61" s="19"/>
      <c r="L61" s="15">
        <f t="shared" si="0"/>
        <v>0</v>
      </c>
      <c r="M61" s="15" t="b">
        <f t="shared" si="1"/>
        <v>0</v>
      </c>
      <c r="N61" s="15" t="b">
        <f t="shared" si="2"/>
        <v>0</v>
      </c>
      <c r="O61" s="15" t="b">
        <f t="shared" si="3"/>
        <v>0</v>
      </c>
      <c r="P61" s="15" t="b">
        <f t="shared" si="4"/>
        <v>0</v>
      </c>
      <c r="Q61" s="15" t="b">
        <f t="shared" si="5"/>
        <v>0</v>
      </c>
      <c r="R61" s="15" t="b">
        <f t="shared" si="6"/>
        <v>0</v>
      </c>
      <c r="S61" s="15" t="b">
        <f t="shared" si="7"/>
        <v>0</v>
      </c>
      <c r="T61" s="15" t="b">
        <f t="shared" si="8"/>
        <v>0</v>
      </c>
      <c r="U61" s="15" t="b">
        <f t="shared" si="9"/>
        <v>0</v>
      </c>
      <c r="V61" s="15" t="b">
        <f t="shared" si="10"/>
        <v>0</v>
      </c>
    </row>
    <row r="62" spans="1:22" ht="15.75" customHeight="1" x14ac:dyDescent="0.2">
      <c r="A62" s="19">
        <f t="shared" si="11"/>
        <v>61</v>
      </c>
      <c r="B62" s="19" t="s">
        <v>46</v>
      </c>
      <c r="C62" s="19" t="s">
        <v>47</v>
      </c>
      <c r="D62" s="19"/>
      <c r="E62" s="19"/>
      <c r="F62" s="19"/>
      <c r="G62" s="19" t="s">
        <v>48</v>
      </c>
      <c r="H62" s="19"/>
      <c r="I62" s="19"/>
      <c r="J62" s="19"/>
      <c r="K62" s="19"/>
      <c r="L62" s="15">
        <f t="shared" si="0"/>
        <v>0</v>
      </c>
      <c r="M62" s="15" t="b">
        <f t="shared" si="1"/>
        <v>0</v>
      </c>
      <c r="N62" s="15" t="b">
        <f t="shared" si="2"/>
        <v>0</v>
      </c>
      <c r="O62" s="15" t="b">
        <f t="shared" si="3"/>
        <v>0</v>
      </c>
      <c r="P62" s="15" t="b">
        <f t="shared" si="4"/>
        <v>0</v>
      </c>
      <c r="Q62" s="15" t="b">
        <f t="shared" si="5"/>
        <v>0</v>
      </c>
      <c r="R62" s="15" t="b">
        <f t="shared" si="6"/>
        <v>0</v>
      </c>
      <c r="S62" s="15" t="b">
        <f t="shared" si="7"/>
        <v>0</v>
      </c>
      <c r="T62" s="15" t="b">
        <f t="shared" si="8"/>
        <v>1</v>
      </c>
      <c r="U62" s="15" t="b">
        <f t="shared" si="9"/>
        <v>0</v>
      </c>
      <c r="V62" s="15" t="b">
        <f t="shared" si="10"/>
        <v>0</v>
      </c>
    </row>
    <row r="63" spans="1:22" ht="15.75" customHeight="1" x14ac:dyDescent="0.2">
      <c r="A63" s="19">
        <f t="shared" si="11"/>
        <v>62</v>
      </c>
      <c r="B63" s="19" t="s">
        <v>177</v>
      </c>
      <c r="C63" s="18" t="s">
        <v>148</v>
      </c>
      <c r="D63" s="19"/>
      <c r="E63" s="19"/>
      <c r="F63" s="19" t="s">
        <v>38</v>
      </c>
      <c r="G63" s="19" t="s">
        <v>100</v>
      </c>
      <c r="H63" s="19"/>
      <c r="I63" s="19"/>
      <c r="J63" s="24" t="s">
        <v>393</v>
      </c>
      <c r="K63" s="24" t="s">
        <v>178</v>
      </c>
      <c r="L63" s="15">
        <f t="shared" si="0"/>
        <v>0</v>
      </c>
      <c r="M63" s="15" t="b">
        <f t="shared" si="1"/>
        <v>0</v>
      </c>
      <c r="N63" s="15" t="b">
        <f t="shared" si="2"/>
        <v>0</v>
      </c>
      <c r="O63" s="15" t="b">
        <f t="shared" si="3"/>
        <v>0</v>
      </c>
      <c r="P63" s="15" t="b">
        <f t="shared" si="4"/>
        <v>1</v>
      </c>
      <c r="Q63" s="15" t="b">
        <f t="shared" si="5"/>
        <v>0</v>
      </c>
      <c r="R63" s="15" t="b">
        <f t="shared" si="6"/>
        <v>0</v>
      </c>
      <c r="S63" s="15" t="b">
        <f t="shared" si="7"/>
        <v>0</v>
      </c>
      <c r="T63" s="15" t="b">
        <f t="shared" si="8"/>
        <v>0</v>
      </c>
      <c r="U63" s="15" t="b">
        <f t="shared" si="9"/>
        <v>0</v>
      </c>
      <c r="V63" s="15" t="b">
        <f t="shared" si="10"/>
        <v>1</v>
      </c>
    </row>
    <row r="64" spans="1:22" ht="15.75" customHeight="1" x14ac:dyDescent="0.2">
      <c r="A64" s="19">
        <f t="shared" si="11"/>
        <v>63</v>
      </c>
      <c r="B64" s="20" t="s">
        <v>132</v>
      </c>
      <c r="C64" s="20" t="s">
        <v>131</v>
      </c>
      <c r="D64" s="20"/>
      <c r="E64" s="20"/>
      <c r="F64" s="20" t="s">
        <v>90</v>
      </c>
      <c r="G64" s="20" t="s">
        <v>100</v>
      </c>
      <c r="H64" s="26" t="s">
        <v>45</v>
      </c>
      <c r="I64" s="19"/>
      <c r="J64" s="20"/>
      <c r="K64" s="20"/>
      <c r="L64" s="15">
        <f t="shared" si="0"/>
        <v>0</v>
      </c>
      <c r="M64" s="15" t="b">
        <f t="shared" si="1"/>
        <v>0</v>
      </c>
      <c r="N64" s="15" t="b">
        <f t="shared" si="2"/>
        <v>0</v>
      </c>
      <c r="O64" s="15" t="b">
        <f t="shared" si="3"/>
        <v>0</v>
      </c>
      <c r="P64" s="15" t="b">
        <f t="shared" si="4"/>
        <v>1</v>
      </c>
      <c r="Q64" s="15" t="b">
        <f t="shared" si="5"/>
        <v>0</v>
      </c>
      <c r="R64" s="15" t="b">
        <f t="shared" si="6"/>
        <v>0</v>
      </c>
      <c r="S64" s="15" t="b">
        <f t="shared" si="7"/>
        <v>0</v>
      </c>
      <c r="T64" s="15" t="b">
        <f t="shared" si="8"/>
        <v>0</v>
      </c>
      <c r="U64" s="15" t="b">
        <f t="shared" si="9"/>
        <v>0</v>
      </c>
      <c r="V64" s="15" t="b">
        <f t="shared" si="10"/>
        <v>1</v>
      </c>
    </row>
    <row r="65" spans="1:22" ht="15.75" customHeight="1" x14ac:dyDescent="0.2">
      <c r="A65" s="19">
        <f t="shared" si="11"/>
        <v>64</v>
      </c>
      <c r="B65" s="19" t="s">
        <v>117</v>
      </c>
      <c r="C65" s="19" t="s">
        <v>49</v>
      </c>
      <c r="D65" s="19"/>
      <c r="E65" s="19"/>
      <c r="F65" s="19" t="s">
        <v>38</v>
      </c>
      <c r="G65" s="19" t="s">
        <v>100</v>
      </c>
      <c r="H65" s="19"/>
      <c r="I65" s="19"/>
      <c r="J65" s="19"/>
      <c r="K65" s="19"/>
      <c r="L65" s="15">
        <f t="shared" si="0"/>
        <v>0</v>
      </c>
      <c r="M65" s="15" t="b">
        <f t="shared" si="1"/>
        <v>0</v>
      </c>
      <c r="N65" s="15" t="b">
        <f t="shared" si="2"/>
        <v>0</v>
      </c>
      <c r="O65" s="15" t="b">
        <f t="shared" si="3"/>
        <v>0</v>
      </c>
      <c r="P65" s="15" t="b">
        <f t="shared" si="4"/>
        <v>1</v>
      </c>
      <c r="Q65" s="15" t="b">
        <f t="shared" si="5"/>
        <v>0</v>
      </c>
      <c r="R65" s="15" t="b">
        <f t="shared" si="6"/>
        <v>0</v>
      </c>
      <c r="S65" s="15" t="b">
        <f t="shared" si="7"/>
        <v>0</v>
      </c>
      <c r="T65" s="15" t="b">
        <f t="shared" si="8"/>
        <v>0</v>
      </c>
      <c r="U65" s="15" t="b">
        <f t="shared" si="9"/>
        <v>0</v>
      </c>
      <c r="V65" s="15" t="b">
        <f t="shared" si="10"/>
        <v>1</v>
      </c>
    </row>
    <row r="66" spans="1:22" ht="15.75" customHeight="1" x14ac:dyDescent="0.2">
      <c r="A66" s="19">
        <f t="shared" si="11"/>
        <v>65</v>
      </c>
      <c r="B66" s="20" t="s">
        <v>267</v>
      </c>
      <c r="C66" s="20" t="s">
        <v>265</v>
      </c>
      <c r="D66" s="20"/>
      <c r="E66" s="20" t="s">
        <v>268</v>
      </c>
      <c r="F66" s="20" t="s">
        <v>90</v>
      </c>
      <c r="G66" s="20"/>
      <c r="H66" s="20"/>
      <c r="I66" s="19"/>
      <c r="J66" s="20"/>
      <c r="K66" s="20"/>
      <c r="L66" s="15">
        <f t="shared" si="0"/>
        <v>0</v>
      </c>
      <c r="M66" s="15" t="b">
        <f t="shared" si="1"/>
        <v>0</v>
      </c>
      <c r="N66" s="15" t="b">
        <f t="shared" si="2"/>
        <v>0</v>
      </c>
      <c r="O66" s="15" t="b">
        <f t="shared" si="3"/>
        <v>0</v>
      </c>
      <c r="P66" s="15" t="b">
        <f t="shared" si="4"/>
        <v>1</v>
      </c>
      <c r="Q66" s="15" t="b">
        <f t="shared" si="5"/>
        <v>0</v>
      </c>
      <c r="R66" s="15" t="b">
        <f t="shared" si="6"/>
        <v>0</v>
      </c>
      <c r="S66" s="15" t="b">
        <f t="shared" si="7"/>
        <v>0</v>
      </c>
      <c r="T66" s="15" t="b">
        <f t="shared" si="8"/>
        <v>0</v>
      </c>
      <c r="U66" s="15" t="b">
        <f t="shared" si="9"/>
        <v>0</v>
      </c>
      <c r="V66" s="15" t="b">
        <f t="shared" si="10"/>
        <v>0</v>
      </c>
    </row>
    <row r="67" spans="1:22" ht="15.75" customHeight="1" x14ac:dyDescent="0.2">
      <c r="A67" s="19">
        <f t="shared" si="11"/>
        <v>66</v>
      </c>
      <c r="B67" s="19" t="s">
        <v>275</v>
      </c>
      <c r="C67" s="19" t="s">
        <v>265</v>
      </c>
      <c r="D67" s="19"/>
      <c r="E67" s="19" t="s">
        <v>86</v>
      </c>
      <c r="F67" s="19" t="s">
        <v>90</v>
      </c>
      <c r="G67" s="19"/>
      <c r="H67" s="19"/>
      <c r="I67" s="19"/>
      <c r="J67" s="19"/>
      <c r="K67" s="19"/>
      <c r="L67" s="15">
        <f t="shared" si="0"/>
        <v>0</v>
      </c>
      <c r="M67" s="15" t="b">
        <f t="shared" si="1"/>
        <v>1</v>
      </c>
      <c r="N67" s="15" t="b">
        <f t="shared" si="2"/>
        <v>0</v>
      </c>
      <c r="O67" s="15" t="b">
        <f t="shared" si="3"/>
        <v>0</v>
      </c>
      <c r="P67" s="15" t="b">
        <f t="shared" si="4"/>
        <v>1</v>
      </c>
      <c r="Q67" s="15" t="b">
        <f t="shared" si="5"/>
        <v>0</v>
      </c>
      <c r="R67" s="15" t="b">
        <f t="shared" si="6"/>
        <v>0</v>
      </c>
      <c r="S67" s="15" t="b">
        <f t="shared" si="7"/>
        <v>0</v>
      </c>
      <c r="T67" s="15" t="b">
        <f t="shared" si="8"/>
        <v>0</v>
      </c>
      <c r="U67" s="15" t="b">
        <f t="shared" si="9"/>
        <v>0</v>
      </c>
      <c r="V67" s="15" t="b">
        <f t="shared" si="10"/>
        <v>0</v>
      </c>
    </row>
    <row r="68" spans="1:22" ht="15.75" customHeight="1" x14ac:dyDescent="0.2">
      <c r="A68" s="19">
        <f t="shared" si="11"/>
        <v>67</v>
      </c>
      <c r="B68" s="19" t="s">
        <v>269</v>
      </c>
      <c r="C68" s="19" t="s">
        <v>265</v>
      </c>
      <c r="D68" s="19"/>
      <c r="E68" s="19" t="s">
        <v>270</v>
      </c>
      <c r="F68" s="19"/>
      <c r="G68" s="19"/>
      <c r="H68" s="19"/>
      <c r="I68" s="19"/>
      <c r="J68" s="19"/>
      <c r="K68" s="19"/>
      <c r="L68" s="15">
        <f t="shared" si="0"/>
        <v>0</v>
      </c>
      <c r="M68" s="15" t="b">
        <f t="shared" si="1"/>
        <v>0</v>
      </c>
      <c r="N68" s="15" t="b">
        <f t="shared" si="2"/>
        <v>0</v>
      </c>
      <c r="O68" s="15" t="b">
        <f t="shared" si="3"/>
        <v>0</v>
      </c>
      <c r="P68" s="15" t="b">
        <f t="shared" si="4"/>
        <v>0</v>
      </c>
      <c r="Q68" s="15" t="b">
        <f t="shared" si="5"/>
        <v>0</v>
      </c>
      <c r="R68" s="15" t="b">
        <f t="shared" si="6"/>
        <v>0</v>
      </c>
      <c r="S68" s="15" t="b">
        <f t="shared" si="7"/>
        <v>0</v>
      </c>
      <c r="T68" s="15" t="b">
        <f t="shared" si="8"/>
        <v>0</v>
      </c>
      <c r="U68" s="15" t="b">
        <f t="shared" si="9"/>
        <v>0</v>
      </c>
      <c r="V68" s="15" t="b">
        <f t="shared" si="10"/>
        <v>0</v>
      </c>
    </row>
    <row r="69" spans="1:22" ht="15.75" customHeight="1" x14ac:dyDescent="0.2">
      <c r="A69" s="19">
        <f t="shared" si="11"/>
        <v>68</v>
      </c>
      <c r="B69" s="19" t="s">
        <v>72</v>
      </c>
      <c r="C69" s="19" t="s">
        <v>65</v>
      </c>
      <c r="D69" s="19"/>
      <c r="E69" s="19" t="s">
        <v>73</v>
      </c>
      <c r="F69" s="19"/>
      <c r="G69" s="19" t="s">
        <v>48</v>
      </c>
      <c r="H69" s="19"/>
      <c r="I69" s="19"/>
      <c r="J69" s="19"/>
      <c r="K69" s="19"/>
      <c r="L69" s="15">
        <f t="shared" si="0"/>
        <v>0</v>
      </c>
      <c r="M69" s="15" t="b">
        <f t="shared" si="1"/>
        <v>0</v>
      </c>
      <c r="N69" s="15" t="b">
        <f t="shared" si="2"/>
        <v>0</v>
      </c>
      <c r="O69" s="15" t="b">
        <f t="shared" si="3"/>
        <v>0</v>
      </c>
      <c r="P69" s="15" t="b">
        <f t="shared" si="4"/>
        <v>0</v>
      </c>
      <c r="Q69" s="15" t="b">
        <f t="shared" si="5"/>
        <v>0</v>
      </c>
      <c r="R69" s="15" t="b">
        <f t="shared" si="6"/>
        <v>0</v>
      </c>
      <c r="S69" s="15" t="b">
        <f t="shared" si="7"/>
        <v>0</v>
      </c>
      <c r="T69" s="15" t="b">
        <f t="shared" si="8"/>
        <v>1</v>
      </c>
      <c r="U69" s="15" t="b">
        <f t="shared" si="9"/>
        <v>0</v>
      </c>
      <c r="V69" s="15" t="b">
        <f t="shared" si="10"/>
        <v>0</v>
      </c>
    </row>
    <row r="70" spans="1:22" ht="15.75" customHeight="1" x14ac:dyDescent="0.2">
      <c r="A70" s="19">
        <f t="shared" si="11"/>
        <v>69</v>
      </c>
      <c r="B70" s="19" t="s">
        <v>98</v>
      </c>
      <c r="C70" s="19" t="s">
        <v>99</v>
      </c>
      <c r="D70" s="19"/>
      <c r="E70" s="19"/>
      <c r="F70" s="19" t="s">
        <v>38</v>
      </c>
      <c r="G70" s="19" t="s">
        <v>100</v>
      </c>
      <c r="H70" s="19"/>
      <c r="I70" s="19"/>
      <c r="J70" s="19"/>
      <c r="K70" s="19"/>
      <c r="L70" s="15">
        <f t="shared" si="0"/>
        <v>0</v>
      </c>
      <c r="M70" s="15" t="b">
        <f t="shared" si="1"/>
        <v>0</v>
      </c>
      <c r="N70" s="15" t="b">
        <f t="shared" si="2"/>
        <v>0</v>
      </c>
      <c r="O70" s="15" t="b">
        <f t="shared" si="3"/>
        <v>0</v>
      </c>
      <c r="P70" s="15" t="b">
        <f t="shared" si="4"/>
        <v>1</v>
      </c>
      <c r="Q70" s="15" t="b">
        <f t="shared" si="5"/>
        <v>0</v>
      </c>
      <c r="R70" s="15" t="b">
        <f t="shared" si="6"/>
        <v>0</v>
      </c>
      <c r="S70" s="15" t="b">
        <f t="shared" si="7"/>
        <v>0</v>
      </c>
      <c r="T70" s="15" t="b">
        <f t="shared" si="8"/>
        <v>0</v>
      </c>
      <c r="U70" s="15" t="b">
        <f t="shared" si="9"/>
        <v>0</v>
      </c>
      <c r="V70" s="15" t="b">
        <f t="shared" si="10"/>
        <v>1</v>
      </c>
    </row>
    <row r="71" spans="1:22" ht="15.75" customHeight="1" x14ac:dyDescent="0.2">
      <c r="A71" s="19">
        <f t="shared" si="11"/>
        <v>70</v>
      </c>
      <c r="B71" s="19" t="s">
        <v>319</v>
      </c>
      <c r="C71" s="19" t="s">
        <v>317</v>
      </c>
      <c r="D71" s="19"/>
      <c r="E71" s="19"/>
      <c r="F71" s="19"/>
      <c r="G71" s="19" t="s">
        <v>173</v>
      </c>
      <c r="H71" s="19"/>
      <c r="I71" s="19"/>
      <c r="J71" s="19"/>
      <c r="K71" s="19"/>
      <c r="L71" s="15">
        <f t="shared" si="0"/>
        <v>0</v>
      </c>
      <c r="M71" s="15" t="b">
        <f t="shared" si="1"/>
        <v>0</v>
      </c>
      <c r="N71" s="15" t="b">
        <f t="shared" si="2"/>
        <v>0</v>
      </c>
      <c r="O71" s="15" t="b">
        <f t="shared" si="3"/>
        <v>0</v>
      </c>
      <c r="P71" s="15" t="b">
        <f t="shared" si="4"/>
        <v>0</v>
      </c>
      <c r="Q71" s="15" t="b">
        <f t="shared" si="5"/>
        <v>0</v>
      </c>
      <c r="R71" s="15" t="b">
        <f t="shared" si="6"/>
        <v>0</v>
      </c>
      <c r="S71" s="15" t="b">
        <f t="shared" si="7"/>
        <v>0</v>
      </c>
      <c r="T71" s="15" t="b">
        <f t="shared" si="8"/>
        <v>0</v>
      </c>
      <c r="U71" s="15" t="b">
        <f t="shared" si="9"/>
        <v>0</v>
      </c>
      <c r="V71" s="15" t="b">
        <f t="shared" si="10"/>
        <v>0</v>
      </c>
    </row>
    <row r="72" spans="1:22" ht="15.75" customHeight="1" x14ac:dyDescent="0.2">
      <c r="A72" s="19">
        <f t="shared" si="11"/>
        <v>71</v>
      </c>
      <c r="B72" s="19" t="s">
        <v>159</v>
      </c>
      <c r="C72" s="18" t="s">
        <v>148</v>
      </c>
      <c r="D72" s="19"/>
      <c r="E72" s="19" t="s">
        <v>86</v>
      </c>
      <c r="F72" s="19" t="s">
        <v>90</v>
      </c>
      <c r="G72" s="19"/>
      <c r="H72" s="19"/>
      <c r="I72" s="19"/>
      <c r="J72" s="19"/>
      <c r="K72" s="19"/>
      <c r="L72" s="15">
        <f t="shared" si="0"/>
        <v>0</v>
      </c>
      <c r="M72" s="15" t="b">
        <f t="shared" si="1"/>
        <v>1</v>
      </c>
      <c r="N72" s="15" t="b">
        <f t="shared" si="2"/>
        <v>0</v>
      </c>
      <c r="O72" s="15" t="b">
        <f t="shared" si="3"/>
        <v>0</v>
      </c>
      <c r="P72" s="15" t="b">
        <f t="shared" si="4"/>
        <v>1</v>
      </c>
      <c r="Q72" s="15" t="b">
        <f t="shared" si="5"/>
        <v>0</v>
      </c>
      <c r="R72" s="15" t="b">
        <f t="shared" si="6"/>
        <v>0</v>
      </c>
      <c r="S72" s="15" t="b">
        <f t="shared" si="7"/>
        <v>0</v>
      </c>
      <c r="T72" s="15" t="b">
        <f t="shared" si="8"/>
        <v>0</v>
      </c>
      <c r="U72" s="15" t="b">
        <f t="shared" si="9"/>
        <v>0</v>
      </c>
      <c r="V72" s="15" t="b">
        <f t="shared" si="10"/>
        <v>0</v>
      </c>
    </row>
    <row r="73" spans="1:22" ht="15.75" customHeight="1" x14ac:dyDescent="0.2">
      <c r="A73" s="19">
        <f t="shared" si="11"/>
        <v>72</v>
      </c>
      <c r="B73" s="19" t="s">
        <v>307</v>
      </c>
      <c r="C73" s="19" t="s">
        <v>300</v>
      </c>
      <c r="D73" s="19"/>
      <c r="E73" s="19"/>
      <c r="F73" s="19" t="s">
        <v>38</v>
      </c>
      <c r="G73" s="19" t="s">
        <v>308</v>
      </c>
      <c r="H73" s="19"/>
      <c r="I73" s="19"/>
      <c r="J73" s="19"/>
      <c r="K73" s="19"/>
      <c r="L73" s="15">
        <f t="shared" si="0"/>
        <v>0</v>
      </c>
      <c r="M73" s="15" t="b">
        <f t="shared" si="1"/>
        <v>0</v>
      </c>
      <c r="N73" s="15" t="b">
        <f t="shared" si="2"/>
        <v>0</v>
      </c>
      <c r="O73" s="15" t="b">
        <f t="shared" si="3"/>
        <v>1</v>
      </c>
      <c r="P73" s="15" t="b">
        <f t="shared" si="4"/>
        <v>1</v>
      </c>
      <c r="Q73" s="15" t="b">
        <f t="shared" si="5"/>
        <v>0</v>
      </c>
      <c r="R73" s="15" t="b">
        <f t="shared" si="6"/>
        <v>0</v>
      </c>
      <c r="S73" s="15" t="b">
        <f t="shared" si="7"/>
        <v>0</v>
      </c>
      <c r="T73" s="15" t="b">
        <f t="shared" si="8"/>
        <v>0</v>
      </c>
      <c r="U73" s="15" t="b">
        <f t="shared" si="9"/>
        <v>0</v>
      </c>
      <c r="V73" s="15" t="b">
        <f t="shared" si="10"/>
        <v>0</v>
      </c>
    </row>
    <row r="74" spans="1:22" ht="15.75" customHeight="1" x14ac:dyDescent="0.2">
      <c r="A74" s="19">
        <f t="shared" si="11"/>
        <v>73</v>
      </c>
      <c r="B74" s="19" t="s">
        <v>306</v>
      </c>
      <c r="C74" s="19" t="s">
        <v>300</v>
      </c>
      <c r="D74" s="19"/>
      <c r="E74" s="19"/>
      <c r="F74" s="19" t="s">
        <v>38</v>
      </c>
      <c r="G74" s="19" t="s">
        <v>31</v>
      </c>
      <c r="H74" s="19"/>
      <c r="I74" s="19"/>
      <c r="J74" s="19"/>
      <c r="K74" s="19"/>
      <c r="L74" s="15">
        <f t="shared" si="0"/>
        <v>0</v>
      </c>
      <c r="M74" s="15" t="b">
        <f t="shared" si="1"/>
        <v>0</v>
      </c>
      <c r="N74" s="15" t="b">
        <f t="shared" si="2"/>
        <v>0</v>
      </c>
      <c r="O74" s="15" t="b">
        <f t="shared" si="3"/>
        <v>1</v>
      </c>
      <c r="P74" s="15" t="b">
        <f t="shared" si="4"/>
        <v>1</v>
      </c>
      <c r="Q74" s="15" t="b">
        <f t="shared" si="5"/>
        <v>0</v>
      </c>
      <c r="R74" s="15" t="b">
        <f t="shared" si="6"/>
        <v>0</v>
      </c>
      <c r="S74" s="15" t="b">
        <f t="shared" si="7"/>
        <v>0</v>
      </c>
      <c r="T74" s="15" t="b">
        <f t="shared" si="8"/>
        <v>0</v>
      </c>
      <c r="U74" s="15" t="b">
        <f t="shared" si="9"/>
        <v>0</v>
      </c>
      <c r="V74" s="15" t="b">
        <f t="shared" si="10"/>
        <v>0</v>
      </c>
    </row>
    <row r="75" spans="1:22" ht="15.75" customHeight="1" x14ac:dyDescent="0.2">
      <c r="A75" s="19">
        <f t="shared" si="11"/>
        <v>74</v>
      </c>
      <c r="B75" s="19" t="s">
        <v>305</v>
      </c>
      <c r="C75" s="19" t="s">
        <v>300</v>
      </c>
      <c r="D75" s="19"/>
      <c r="E75" s="19"/>
      <c r="F75" s="19" t="s">
        <v>38</v>
      </c>
      <c r="G75" s="19" t="s">
        <v>30</v>
      </c>
      <c r="H75" s="19"/>
      <c r="I75" s="19"/>
      <c r="J75" s="19"/>
      <c r="K75" s="19"/>
      <c r="L75" s="15">
        <f t="shared" si="0"/>
        <v>0</v>
      </c>
      <c r="M75" s="15" t="b">
        <f t="shared" si="1"/>
        <v>0</v>
      </c>
      <c r="N75" s="15" t="b">
        <f t="shared" si="2"/>
        <v>0</v>
      </c>
      <c r="O75" s="15" t="b">
        <f t="shared" si="3"/>
        <v>0</v>
      </c>
      <c r="P75" s="15" t="b">
        <f t="shared" si="4"/>
        <v>1</v>
      </c>
      <c r="Q75" s="15" t="b">
        <f t="shared" si="5"/>
        <v>0</v>
      </c>
      <c r="R75" s="15" t="b">
        <f t="shared" si="6"/>
        <v>0</v>
      </c>
      <c r="S75" s="15" t="b">
        <f t="shared" si="7"/>
        <v>0</v>
      </c>
      <c r="T75" s="15" t="b">
        <f t="shared" si="8"/>
        <v>0</v>
      </c>
      <c r="U75" s="15" t="b">
        <f t="shared" si="9"/>
        <v>0</v>
      </c>
      <c r="V75" s="15" t="b">
        <f t="shared" si="10"/>
        <v>0</v>
      </c>
    </row>
    <row r="76" spans="1:22" ht="15.75" customHeight="1" x14ac:dyDescent="0.2">
      <c r="A76" s="19">
        <f t="shared" si="11"/>
        <v>75</v>
      </c>
      <c r="B76" s="20" t="s">
        <v>225</v>
      </c>
      <c r="C76" s="20" t="s">
        <v>219</v>
      </c>
      <c r="D76" s="20"/>
      <c r="E76" s="20" t="s">
        <v>226</v>
      </c>
      <c r="F76" s="20"/>
      <c r="G76" s="20" t="s">
        <v>52</v>
      </c>
      <c r="H76" s="20"/>
      <c r="I76" s="19"/>
      <c r="J76" s="20"/>
      <c r="K76" s="20"/>
      <c r="L76" s="15">
        <f t="shared" si="0"/>
        <v>0</v>
      </c>
      <c r="M76" s="15" t="b">
        <f t="shared" si="1"/>
        <v>0</v>
      </c>
      <c r="N76" s="15" t="b">
        <f t="shared" si="2"/>
        <v>0</v>
      </c>
      <c r="O76" s="15" t="b">
        <f t="shared" si="3"/>
        <v>0</v>
      </c>
      <c r="P76" s="15" t="b">
        <f t="shared" si="4"/>
        <v>0</v>
      </c>
      <c r="Q76" s="15" t="b">
        <f t="shared" si="5"/>
        <v>0</v>
      </c>
      <c r="R76" s="15" t="b">
        <f t="shared" si="6"/>
        <v>0</v>
      </c>
      <c r="S76" s="15" t="b">
        <f t="shared" si="7"/>
        <v>1</v>
      </c>
      <c r="T76" s="15" t="b">
        <f t="shared" si="8"/>
        <v>0</v>
      </c>
      <c r="U76" s="15" t="b">
        <f t="shared" si="9"/>
        <v>0</v>
      </c>
      <c r="V76" s="15" t="b">
        <f t="shared" si="10"/>
        <v>0</v>
      </c>
    </row>
    <row r="77" spans="1:22" ht="15.75" customHeight="1" x14ac:dyDescent="0.2">
      <c r="A77" s="19">
        <f t="shared" si="11"/>
        <v>76</v>
      </c>
      <c r="B77" s="19" t="s">
        <v>349</v>
      </c>
      <c r="C77" s="19" t="s">
        <v>343</v>
      </c>
      <c r="D77" s="19"/>
      <c r="E77" s="19"/>
      <c r="F77" s="19" t="s">
        <v>90</v>
      </c>
      <c r="G77" s="19" t="s">
        <v>30</v>
      </c>
      <c r="H77" s="19"/>
      <c r="I77" s="19"/>
      <c r="J77" s="19"/>
      <c r="K77" s="19"/>
      <c r="L77" s="15">
        <f t="shared" si="0"/>
        <v>0</v>
      </c>
      <c r="M77" s="15" t="b">
        <f t="shared" si="1"/>
        <v>0</v>
      </c>
      <c r="N77" s="15" t="b">
        <f t="shared" si="2"/>
        <v>0</v>
      </c>
      <c r="O77" s="15" t="b">
        <f t="shared" si="3"/>
        <v>0</v>
      </c>
      <c r="P77" s="15" t="b">
        <f t="shared" si="4"/>
        <v>1</v>
      </c>
      <c r="Q77" s="15" t="b">
        <f t="shared" si="5"/>
        <v>0</v>
      </c>
      <c r="R77" s="15" t="b">
        <f t="shared" si="6"/>
        <v>0</v>
      </c>
      <c r="S77" s="15" t="b">
        <f t="shared" si="7"/>
        <v>0</v>
      </c>
      <c r="T77" s="15" t="b">
        <f t="shared" si="8"/>
        <v>0</v>
      </c>
      <c r="U77" s="15" t="b">
        <f t="shared" si="9"/>
        <v>0</v>
      </c>
      <c r="V77" s="15" t="b">
        <f t="shared" si="10"/>
        <v>0</v>
      </c>
    </row>
    <row r="78" spans="1:22" ht="15.75" customHeight="1" x14ac:dyDescent="0.2">
      <c r="A78" s="19">
        <f t="shared" si="11"/>
        <v>77</v>
      </c>
      <c r="B78" s="20" t="s">
        <v>222</v>
      </c>
      <c r="C78" s="20" t="s">
        <v>219</v>
      </c>
      <c r="D78" s="20"/>
      <c r="E78" s="20"/>
      <c r="F78" s="20"/>
      <c r="G78" s="20" t="s">
        <v>52</v>
      </c>
      <c r="H78" s="20"/>
      <c r="I78" s="19"/>
      <c r="J78" s="20"/>
      <c r="K78" s="20"/>
      <c r="L78" s="15">
        <f t="shared" si="0"/>
        <v>0</v>
      </c>
      <c r="M78" s="15" t="b">
        <f t="shared" si="1"/>
        <v>0</v>
      </c>
      <c r="N78" s="15" t="b">
        <f t="shared" si="2"/>
        <v>0</v>
      </c>
      <c r="O78" s="15" t="b">
        <f t="shared" si="3"/>
        <v>0</v>
      </c>
      <c r="P78" s="15" t="b">
        <f t="shared" si="4"/>
        <v>0</v>
      </c>
      <c r="Q78" s="15" t="b">
        <f t="shared" si="5"/>
        <v>0</v>
      </c>
      <c r="R78" s="15" t="b">
        <f t="shared" si="6"/>
        <v>0</v>
      </c>
      <c r="S78" s="15" t="b">
        <f t="shared" si="7"/>
        <v>1</v>
      </c>
      <c r="T78" s="15" t="b">
        <f t="shared" si="8"/>
        <v>0</v>
      </c>
      <c r="U78" s="15" t="b">
        <f t="shared" si="9"/>
        <v>0</v>
      </c>
      <c r="V78" s="15" t="b">
        <f t="shared" si="10"/>
        <v>0</v>
      </c>
    </row>
    <row r="79" spans="1:22" ht="15.75" customHeight="1" x14ac:dyDescent="0.2">
      <c r="A79" s="19">
        <f t="shared" si="11"/>
        <v>78</v>
      </c>
      <c r="B79" s="19" t="s">
        <v>231</v>
      </c>
      <c r="C79" s="19" t="s">
        <v>229</v>
      </c>
      <c r="D79" s="19"/>
      <c r="E79" s="19" t="s">
        <v>74</v>
      </c>
      <c r="F79" s="19"/>
      <c r="G79" s="19" t="s">
        <v>48</v>
      </c>
      <c r="H79" s="19"/>
      <c r="I79" s="19"/>
      <c r="J79" s="19"/>
      <c r="K79" s="19"/>
      <c r="L79" s="15">
        <f t="shared" si="0"/>
        <v>0</v>
      </c>
      <c r="M79" s="15" t="b">
        <f t="shared" si="1"/>
        <v>0</v>
      </c>
      <c r="N79" s="15" t="b">
        <f t="shared" si="2"/>
        <v>0</v>
      </c>
      <c r="O79" s="15" t="b">
        <f t="shared" si="3"/>
        <v>0</v>
      </c>
      <c r="P79" s="15" t="b">
        <f t="shared" si="4"/>
        <v>0</v>
      </c>
      <c r="Q79" s="15" t="b">
        <f t="shared" si="5"/>
        <v>0</v>
      </c>
      <c r="R79" s="15" t="b">
        <f t="shared" si="6"/>
        <v>0</v>
      </c>
      <c r="S79" s="15" t="b">
        <f t="shared" si="7"/>
        <v>0</v>
      </c>
      <c r="T79" s="15" t="b">
        <f t="shared" si="8"/>
        <v>1</v>
      </c>
      <c r="U79" s="15" t="b">
        <f t="shared" si="9"/>
        <v>0</v>
      </c>
      <c r="V79" s="15" t="b">
        <f t="shared" si="10"/>
        <v>0</v>
      </c>
    </row>
    <row r="80" spans="1:22" ht="15.75" customHeight="1" x14ac:dyDescent="0.2">
      <c r="A80" s="19">
        <f t="shared" si="11"/>
        <v>79</v>
      </c>
      <c r="B80" s="19" t="s">
        <v>149</v>
      </c>
      <c r="C80" s="18" t="s">
        <v>148</v>
      </c>
      <c r="D80" s="19"/>
      <c r="E80" s="19"/>
      <c r="F80" s="19"/>
      <c r="G80" s="19" t="s">
        <v>53</v>
      </c>
      <c r="H80" s="19"/>
      <c r="I80" s="19"/>
      <c r="J80" s="19"/>
      <c r="K80" s="19"/>
      <c r="L80" s="15">
        <f t="shared" si="0"/>
        <v>0</v>
      </c>
      <c r="M80" s="15" t="b">
        <f t="shared" si="1"/>
        <v>0</v>
      </c>
      <c r="N80" s="15" t="b">
        <f t="shared" si="2"/>
        <v>0</v>
      </c>
      <c r="O80" s="15" t="b">
        <f t="shared" si="3"/>
        <v>0</v>
      </c>
      <c r="P80" s="15" t="b">
        <f t="shared" si="4"/>
        <v>0</v>
      </c>
      <c r="Q80" s="15" t="b">
        <f t="shared" si="5"/>
        <v>0</v>
      </c>
      <c r="R80" s="15" t="b">
        <f t="shared" si="6"/>
        <v>0</v>
      </c>
      <c r="S80" s="15" t="b">
        <f t="shared" si="7"/>
        <v>0</v>
      </c>
      <c r="T80" s="15" t="b">
        <f t="shared" si="8"/>
        <v>0</v>
      </c>
      <c r="U80" s="15" t="b">
        <f t="shared" si="9"/>
        <v>0</v>
      </c>
      <c r="V80" s="15" t="b">
        <f t="shared" si="10"/>
        <v>0</v>
      </c>
    </row>
    <row r="81" spans="1:22" ht="15.75" customHeight="1" x14ac:dyDescent="0.2">
      <c r="A81" s="19">
        <f t="shared" si="11"/>
        <v>80</v>
      </c>
      <c r="B81" s="19" t="s">
        <v>355</v>
      </c>
      <c r="C81" s="19" t="s">
        <v>354</v>
      </c>
      <c r="D81" s="19"/>
      <c r="E81" s="19"/>
      <c r="F81" s="19" t="s">
        <v>38</v>
      </c>
      <c r="G81" s="19" t="s">
        <v>57</v>
      </c>
      <c r="H81" s="19"/>
      <c r="I81" s="19"/>
      <c r="J81" s="19"/>
      <c r="K81" s="19"/>
      <c r="L81" s="15">
        <f t="shared" si="0"/>
        <v>0</v>
      </c>
      <c r="M81" s="15" t="b">
        <f t="shared" si="1"/>
        <v>0</v>
      </c>
      <c r="N81" s="15" t="b">
        <f t="shared" si="2"/>
        <v>0</v>
      </c>
      <c r="O81" s="15" t="b">
        <f t="shared" si="3"/>
        <v>1</v>
      </c>
      <c r="P81" s="15" t="b">
        <f t="shared" si="4"/>
        <v>1</v>
      </c>
      <c r="Q81" s="15" t="b">
        <f t="shared" si="5"/>
        <v>0</v>
      </c>
      <c r="R81" s="15" t="b">
        <f t="shared" si="6"/>
        <v>0</v>
      </c>
      <c r="S81" s="15" t="b">
        <f t="shared" si="7"/>
        <v>0</v>
      </c>
      <c r="T81" s="15" t="b">
        <f t="shared" si="8"/>
        <v>0</v>
      </c>
      <c r="U81" s="15" t="b">
        <f t="shared" si="9"/>
        <v>0</v>
      </c>
      <c r="V81" s="15" t="b">
        <f t="shared" si="10"/>
        <v>0</v>
      </c>
    </row>
    <row r="82" spans="1:22" ht="15.75" customHeight="1" x14ac:dyDescent="0.2">
      <c r="A82" s="19">
        <f t="shared" si="11"/>
        <v>81</v>
      </c>
      <c r="B82" s="19" t="s">
        <v>122</v>
      </c>
      <c r="C82" s="19" t="s">
        <v>49</v>
      </c>
      <c r="D82" s="19"/>
      <c r="E82" s="19" t="s">
        <v>66</v>
      </c>
      <c r="F82" s="19" t="s">
        <v>38</v>
      </c>
      <c r="G82" s="19" t="s">
        <v>100</v>
      </c>
      <c r="H82" s="19"/>
      <c r="I82" s="19"/>
      <c r="J82" s="19"/>
      <c r="K82" s="19"/>
      <c r="L82" s="15">
        <f t="shared" si="0"/>
        <v>0</v>
      </c>
      <c r="M82" s="15" t="b">
        <f t="shared" si="1"/>
        <v>0</v>
      </c>
      <c r="N82" s="15" t="b">
        <f t="shared" si="2"/>
        <v>1</v>
      </c>
      <c r="O82" s="15" t="b">
        <f t="shared" si="3"/>
        <v>0</v>
      </c>
      <c r="P82" s="15" t="b">
        <f t="shared" si="4"/>
        <v>1</v>
      </c>
      <c r="Q82" s="15" t="b">
        <f t="shared" si="5"/>
        <v>0</v>
      </c>
      <c r="R82" s="15" t="b">
        <f t="shared" si="6"/>
        <v>0</v>
      </c>
      <c r="S82" s="15" t="b">
        <f t="shared" si="7"/>
        <v>0</v>
      </c>
      <c r="T82" s="15" t="b">
        <f t="shared" si="8"/>
        <v>0</v>
      </c>
      <c r="U82" s="15" t="b">
        <f t="shared" si="9"/>
        <v>0</v>
      </c>
      <c r="V82" s="15" t="b">
        <f t="shared" si="10"/>
        <v>1</v>
      </c>
    </row>
    <row r="83" spans="1:22" ht="15.75" customHeight="1" x14ac:dyDescent="0.2">
      <c r="A83" s="19">
        <f t="shared" si="11"/>
        <v>82</v>
      </c>
      <c r="B83" s="19" t="s">
        <v>285</v>
      </c>
      <c r="C83" s="19" t="s">
        <v>265</v>
      </c>
      <c r="D83" s="19"/>
      <c r="E83" s="19" t="s">
        <v>86</v>
      </c>
      <c r="F83" s="19" t="s">
        <v>90</v>
      </c>
      <c r="G83" s="19" t="s">
        <v>120</v>
      </c>
      <c r="H83" s="19"/>
      <c r="I83" s="19"/>
      <c r="J83" s="19"/>
      <c r="K83" s="19"/>
      <c r="L83" s="15">
        <f t="shared" si="0"/>
        <v>0</v>
      </c>
      <c r="M83" s="15" t="b">
        <f t="shared" si="1"/>
        <v>1</v>
      </c>
      <c r="N83" s="15" t="b">
        <f t="shared" si="2"/>
        <v>0</v>
      </c>
      <c r="O83" s="15" t="b">
        <f t="shared" si="3"/>
        <v>0</v>
      </c>
      <c r="P83" s="15" t="b">
        <f t="shared" si="4"/>
        <v>1</v>
      </c>
      <c r="Q83" s="15" t="b">
        <f t="shared" si="5"/>
        <v>0</v>
      </c>
      <c r="R83" s="15" t="b">
        <f t="shared" si="6"/>
        <v>0</v>
      </c>
      <c r="S83" s="15" t="b">
        <f t="shared" si="7"/>
        <v>0</v>
      </c>
      <c r="T83" s="15" t="b">
        <f t="shared" si="8"/>
        <v>0</v>
      </c>
      <c r="U83" s="15" t="b">
        <f t="shared" si="9"/>
        <v>0</v>
      </c>
      <c r="V83" s="15" t="b">
        <f t="shared" si="10"/>
        <v>0</v>
      </c>
    </row>
    <row r="84" spans="1:22" ht="15.75" customHeight="1" x14ac:dyDescent="0.2">
      <c r="A84" s="19">
        <f t="shared" si="11"/>
        <v>83</v>
      </c>
      <c r="B84" s="19" t="s">
        <v>284</v>
      </c>
      <c r="C84" s="19" t="s">
        <v>265</v>
      </c>
      <c r="D84" s="19"/>
      <c r="E84" s="19" t="s">
        <v>55</v>
      </c>
      <c r="F84" s="19" t="s">
        <v>90</v>
      </c>
      <c r="G84" s="19" t="s">
        <v>31</v>
      </c>
      <c r="H84" s="19"/>
      <c r="I84" s="19"/>
      <c r="J84" s="19"/>
      <c r="K84" s="19"/>
      <c r="L84" s="15">
        <f t="shared" si="0"/>
        <v>0</v>
      </c>
      <c r="M84" s="15" t="b">
        <f t="shared" si="1"/>
        <v>0</v>
      </c>
      <c r="N84" s="15" t="b">
        <f t="shared" si="2"/>
        <v>0</v>
      </c>
      <c r="O84" s="15" t="b">
        <f t="shared" si="3"/>
        <v>1</v>
      </c>
      <c r="P84" s="15" t="b">
        <f t="shared" si="4"/>
        <v>1</v>
      </c>
      <c r="Q84" s="15" t="b">
        <f t="shared" si="5"/>
        <v>0</v>
      </c>
      <c r="R84" s="15" t="b">
        <f t="shared" si="6"/>
        <v>0</v>
      </c>
      <c r="S84" s="15" t="b">
        <f t="shared" si="7"/>
        <v>0</v>
      </c>
      <c r="T84" s="15" t="b">
        <f t="shared" si="8"/>
        <v>0</v>
      </c>
      <c r="U84" s="15" t="b">
        <f t="shared" si="9"/>
        <v>0</v>
      </c>
      <c r="V84" s="15" t="b">
        <f t="shared" si="10"/>
        <v>0</v>
      </c>
    </row>
    <row r="85" spans="1:22" ht="15.75" customHeight="1" x14ac:dyDescent="0.2">
      <c r="A85" s="19">
        <f t="shared" si="11"/>
        <v>84</v>
      </c>
      <c r="B85" s="19" t="s">
        <v>276</v>
      </c>
      <c r="C85" s="19" t="s">
        <v>265</v>
      </c>
      <c r="D85" s="19"/>
      <c r="E85" s="23" t="s">
        <v>55</v>
      </c>
      <c r="F85" s="19" t="s">
        <v>90</v>
      </c>
      <c r="G85" s="23"/>
      <c r="H85" s="19"/>
      <c r="I85" s="19"/>
      <c r="J85" s="19"/>
      <c r="K85" s="19"/>
      <c r="L85" s="15">
        <f t="shared" si="0"/>
        <v>0</v>
      </c>
      <c r="M85" s="15" t="b">
        <f t="shared" si="1"/>
        <v>0</v>
      </c>
      <c r="N85" s="15" t="b">
        <f t="shared" si="2"/>
        <v>0</v>
      </c>
      <c r="O85" s="15" t="b">
        <f t="shared" si="3"/>
        <v>0</v>
      </c>
      <c r="P85" s="15" t="b">
        <f t="shared" si="4"/>
        <v>1</v>
      </c>
      <c r="Q85" s="15" t="b">
        <f t="shared" si="5"/>
        <v>0</v>
      </c>
      <c r="R85" s="15" t="b">
        <f t="shared" si="6"/>
        <v>0</v>
      </c>
      <c r="S85" s="15" t="b">
        <f t="shared" si="7"/>
        <v>0</v>
      </c>
      <c r="T85" s="15" t="b">
        <f t="shared" si="8"/>
        <v>0</v>
      </c>
      <c r="U85" s="15" t="b">
        <f t="shared" si="9"/>
        <v>0</v>
      </c>
      <c r="V85" s="15" t="b">
        <f t="shared" si="10"/>
        <v>0</v>
      </c>
    </row>
    <row r="86" spans="1:22" ht="15.75" customHeight="1" x14ac:dyDescent="0.2">
      <c r="A86" s="19">
        <f t="shared" si="11"/>
        <v>85</v>
      </c>
      <c r="B86" s="19" t="s">
        <v>165</v>
      </c>
      <c r="C86" s="18" t="s">
        <v>148</v>
      </c>
      <c r="D86" s="19"/>
      <c r="E86" s="19" t="s">
        <v>55</v>
      </c>
      <c r="F86" s="19" t="s">
        <v>38</v>
      </c>
      <c r="G86" s="19" t="s">
        <v>60</v>
      </c>
      <c r="H86" s="19"/>
      <c r="I86" s="19"/>
      <c r="J86" s="19"/>
      <c r="K86" s="19"/>
      <c r="L86" s="15">
        <f t="shared" si="0"/>
        <v>0</v>
      </c>
      <c r="M86" s="15" t="b">
        <f t="shared" si="1"/>
        <v>0</v>
      </c>
      <c r="N86" s="15" t="b">
        <f t="shared" si="2"/>
        <v>0</v>
      </c>
      <c r="O86" s="15" t="b">
        <f t="shared" si="3"/>
        <v>0</v>
      </c>
      <c r="P86" s="15" t="b">
        <f t="shared" si="4"/>
        <v>1</v>
      </c>
      <c r="Q86" s="15" t="b">
        <f t="shared" si="5"/>
        <v>0</v>
      </c>
      <c r="R86" s="15" t="b">
        <f t="shared" si="6"/>
        <v>0</v>
      </c>
      <c r="S86" s="15" t="b">
        <f t="shared" si="7"/>
        <v>0</v>
      </c>
      <c r="T86" s="15" t="b">
        <f t="shared" si="8"/>
        <v>0</v>
      </c>
      <c r="U86" s="15" t="b">
        <f t="shared" si="9"/>
        <v>0</v>
      </c>
      <c r="V86" s="15" t="b">
        <f t="shared" si="10"/>
        <v>0</v>
      </c>
    </row>
    <row r="87" spans="1:22" ht="15.75" customHeight="1" x14ac:dyDescent="0.2">
      <c r="A87" s="19">
        <f t="shared" si="11"/>
        <v>86</v>
      </c>
      <c r="B87" s="19" t="s">
        <v>338</v>
      </c>
      <c r="C87" s="19" t="s">
        <v>339</v>
      </c>
      <c r="D87" s="19"/>
      <c r="E87" s="19"/>
      <c r="F87" s="19" t="s">
        <v>90</v>
      </c>
      <c r="G87" s="19" t="s">
        <v>340</v>
      </c>
      <c r="H87" s="19" t="s">
        <v>126</v>
      </c>
      <c r="I87" s="19"/>
      <c r="J87" s="19"/>
      <c r="K87" s="19"/>
      <c r="L87" s="15">
        <f t="shared" si="0"/>
        <v>0</v>
      </c>
      <c r="M87" s="15" t="b">
        <f t="shared" si="1"/>
        <v>0</v>
      </c>
      <c r="N87" s="15" t="b">
        <f t="shared" si="2"/>
        <v>0</v>
      </c>
      <c r="O87" s="15" t="b">
        <f t="shared" si="3"/>
        <v>0</v>
      </c>
      <c r="P87" s="15" t="b">
        <f t="shared" si="4"/>
        <v>1</v>
      </c>
      <c r="Q87" s="15" t="b">
        <f t="shared" si="5"/>
        <v>0</v>
      </c>
      <c r="R87" s="15" t="b">
        <f t="shared" si="6"/>
        <v>0</v>
      </c>
      <c r="S87" s="15" t="b">
        <f t="shared" si="7"/>
        <v>0</v>
      </c>
      <c r="T87" s="15" t="b">
        <f t="shared" si="8"/>
        <v>0</v>
      </c>
      <c r="U87" s="15" t="b">
        <f t="shared" si="9"/>
        <v>0</v>
      </c>
      <c r="V87" s="15" t="b">
        <f t="shared" si="10"/>
        <v>0</v>
      </c>
    </row>
    <row r="88" spans="1:22" ht="15.75" customHeight="1" x14ac:dyDescent="0.2">
      <c r="A88" s="19">
        <f t="shared" si="11"/>
        <v>87</v>
      </c>
      <c r="B88" s="19" t="s">
        <v>293</v>
      </c>
      <c r="C88" s="19" t="s">
        <v>294</v>
      </c>
      <c r="D88" s="19"/>
      <c r="E88" s="19" t="s">
        <v>86</v>
      </c>
      <c r="F88" s="19" t="s">
        <v>90</v>
      </c>
      <c r="G88" s="19" t="s">
        <v>296</v>
      </c>
      <c r="H88" s="19" t="s">
        <v>38</v>
      </c>
      <c r="I88" s="19"/>
      <c r="J88" s="19"/>
      <c r="K88" s="19"/>
      <c r="L88" s="15">
        <f t="shared" si="0"/>
        <v>0</v>
      </c>
      <c r="M88" s="15" t="b">
        <f t="shared" si="1"/>
        <v>1</v>
      </c>
      <c r="N88" s="15" t="b">
        <f t="shared" si="2"/>
        <v>0</v>
      </c>
      <c r="O88" s="15" t="b">
        <f t="shared" si="3"/>
        <v>0</v>
      </c>
      <c r="P88" s="15" t="b">
        <f t="shared" si="4"/>
        <v>1</v>
      </c>
      <c r="Q88" s="15" t="b">
        <f t="shared" si="5"/>
        <v>0</v>
      </c>
      <c r="R88" s="15" t="b">
        <f t="shared" si="6"/>
        <v>0</v>
      </c>
      <c r="S88" s="15" t="b">
        <f t="shared" si="7"/>
        <v>0</v>
      </c>
      <c r="T88" s="15" t="b">
        <f t="shared" si="8"/>
        <v>0</v>
      </c>
      <c r="U88" s="15" t="b">
        <f t="shared" si="9"/>
        <v>0</v>
      </c>
      <c r="V88" s="15" t="b">
        <f t="shared" si="10"/>
        <v>0</v>
      </c>
    </row>
    <row r="89" spans="1:22" ht="15.75" customHeight="1" x14ac:dyDescent="0.2">
      <c r="A89" s="19">
        <f t="shared" si="11"/>
        <v>88</v>
      </c>
      <c r="B89" s="19" t="s">
        <v>262</v>
      </c>
      <c r="C89" s="19" t="s">
        <v>261</v>
      </c>
      <c r="D89" s="19"/>
      <c r="E89" s="19" t="s">
        <v>263</v>
      </c>
      <c r="F89" s="19" t="s">
        <v>90</v>
      </c>
      <c r="G89" s="19" t="s">
        <v>100</v>
      </c>
      <c r="H89" s="19"/>
      <c r="I89" s="19"/>
      <c r="J89" s="19"/>
      <c r="K89" s="19"/>
      <c r="L89" s="15">
        <f t="shared" si="0"/>
        <v>0</v>
      </c>
      <c r="M89" s="15" t="b">
        <f t="shared" si="1"/>
        <v>0</v>
      </c>
      <c r="N89" s="15" t="b">
        <f t="shared" si="2"/>
        <v>0</v>
      </c>
      <c r="O89" s="15" t="b">
        <f t="shared" si="3"/>
        <v>0</v>
      </c>
      <c r="P89" s="15" t="b">
        <f t="shared" si="4"/>
        <v>1</v>
      </c>
      <c r="Q89" s="15" t="b">
        <f t="shared" si="5"/>
        <v>0</v>
      </c>
      <c r="R89" s="15" t="b">
        <f t="shared" si="6"/>
        <v>0</v>
      </c>
      <c r="S89" s="15" t="b">
        <f t="shared" si="7"/>
        <v>0</v>
      </c>
      <c r="T89" s="15" t="b">
        <f t="shared" si="8"/>
        <v>0</v>
      </c>
      <c r="U89" s="15" t="b">
        <f t="shared" si="9"/>
        <v>0</v>
      </c>
      <c r="V89" s="15" t="b">
        <f t="shared" si="10"/>
        <v>1</v>
      </c>
    </row>
    <row r="90" spans="1:22" ht="15.75" customHeight="1" x14ac:dyDescent="0.2">
      <c r="A90" s="19">
        <f t="shared" si="11"/>
        <v>89</v>
      </c>
      <c r="B90" s="19" t="s">
        <v>344</v>
      </c>
      <c r="C90" s="19" t="s">
        <v>343</v>
      </c>
      <c r="D90" s="19"/>
      <c r="E90" s="19"/>
      <c r="F90" s="19" t="s">
        <v>126</v>
      </c>
      <c r="G90" s="19" t="s">
        <v>146</v>
      </c>
      <c r="H90" s="19"/>
      <c r="I90" s="19"/>
      <c r="J90" s="19"/>
      <c r="K90" s="19"/>
      <c r="L90" s="15">
        <f t="shared" si="0"/>
        <v>0</v>
      </c>
      <c r="M90" s="15" t="b">
        <f t="shared" si="1"/>
        <v>0</v>
      </c>
      <c r="N90" s="15" t="b">
        <f t="shared" si="2"/>
        <v>0</v>
      </c>
      <c r="O90" s="15" t="b">
        <f t="shared" si="3"/>
        <v>0</v>
      </c>
      <c r="P90" s="15" t="b">
        <f t="shared" si="4"/>
        <v>1</v>
      </c>
      <c r="Q90" s="15" t="b">
        <f t="shared" si="5"/>
        <v>0</v>
      </c>
      <c r="R90" s="15" t="b">
        <f t="shared" si="6"/>
        <v>0</v>
      </c>
      <c r="S90" s="15" t="b">
        <f t="shared" si="7"/>
        <v>0</v>
      </c>
      <c r="T90" s="15" t="b">
        <f t="shared" si="8"/>
        <v>0</v>
      </c>
      <c r="U90" s="15" t="b">
        <f t="shared" si="9"/>
        <v>0</v>
      </c>
      <c r="V90" s="15" t="b">
        <f t="shared" si="10"/>
        <v>0</v>
      </c>
    </row>
    <row r="91" spans="1:22" ht="15.75" customHeight="1" x14ac:dyDescent="0.2">
      <c r="A91" s="19">
        <f t="shared" si="11"/>
        <v>90</v>
      </c>
      <c r="B91" s="20" t="s">
        <v>194</v>
      </c>
      <c r="C91" s="18" t="s">
        <v>148</v>
      </c>
      <c r="D91" s="20"/>
      <c r="E91" s="20" t="s">
        <v>195</v>
      </c>
      <c r="F91" s="20" t="s">
        <v>38</v>
      </c>
      <c r="G91" s="20"/>
      <c r="H91" s="20"/>
      <c r="I91" s="19"/>
      <c r="J91" s="20"/>
      <c r="K91" s="20"/>
      <c r="L91" s="15">
        <f t="shared" si="0"/>
        <v>0</v>
      </c>
      <c r="M91" s="15" t="b">
        <f t="shared" si="1"/>
        <v>0</v>
      </c>
      <c r="N91" s="15" t="b">
        <f t="shared" si="2"/>
        <v>0</v>
      </c>
      <c r="O91" s="15" t="b">
        <f t="shared" si="3"/>
        <v>0</v>
      </c>
      <c r="P91" s="15" t="b">
        <f t="shared" si="4"/>
        <v>1</v>
      </c>
      <c r="Q91" s="15" t="b">
        <f t="shared" si="5"/>
        <v>0</v>
      </c>
      <c r="R91" s="15" t="b">
        <f t="shared" si="6"/>
        <v>0</v>
      </c>
      <c r="S91" s="15" t="b">
        <f t="shared" si="7"/>
        <v>0</v>
      </c>
      <c r="T91" s="15" t="b">
        <f t="shared" si="8"/>
        <v>0</v>
      </c>
      <c r="U91" s="15" t="b">
        <f t="shared" si="9"/>
        <v>0</v>
      </c>
      <c r="V91" s="15" t="b">
        <f t="shared" si="10"/>
        <v>0</v>
      </c>
    </row>
    <row r="92" spans="1:22" ht="15.75" customHeight="1" x14ac:dyDescent="0.2">
      <c r="A92" s="19">
        <f t="shared" si="11"/>
        <v>91</v>
      </c>
      <c r="B92" s="19" t="s">
        <v>138</v>
      </c>
      <c r="C92" s="19" t="s">
        <v>136</v>
      </c>
      <c r="D92" s="19"/>
      <c r="E92" s="19"/>
      <c r="F92" s="19"/>
      <c r="G92" s="19" t="s">
        <v>139</v>
      </c>
      <c r="H92" s="19"/>
      <c r="I92" s="19"/>
      <c r="J92" s="19"/>
      <c r="K92" s="19"/>
      <c r="L92" s="15">
        <f t="shared" si="0"/>
        <v>0</v>
      </c>
      <c r="M92" s="15" t="b">
        <f t="shared" si="1"/>
        <v>0</v>
      </c>
      <c r="N92" s="15" t="b">
        <f t="shared" si="2"/>
        <v>0</v>
      </c>
      <c r="O92" s="15" t="b">
        <f t="shared" si="3"/>
        <v>0</v>
      </c>
      <c r="P92" s="15" t="b">
        <f t="shared" si="4"/>
        <v>0</v>
      </c>
      <c r="Q92" s="15" t="b">
        <f t="shared" si="5"/>
        <v>0</v>
      </c>
      <c r="R92" s="15" t="b">
        <f t="shared" si="6"/>
        <v>0</v>
      </c>
      <c r="S92" s="15" t="b">
        <f t="shared" si="7"/>
        <v>0</v>
      </c>
      <c r="T92" s="15" t="b">
        <f t="shared" si="8"/>
        <v>0</v>
      </c>
      <c r="U92" s="15" t="b">
        <f t="shared" si="9"/>
        <v>0</v>
      </c>
      <c r="V92" s="15" t="b">
        <f t="shared" si="10"/>
        <v>0</v>
      </c>
    </row>
    <row r="93" spans="1:22" ht="15.75" customHeight="1" x14ac:dyDescent="0.2">
      <c r="A93" s="19">
        <f t="shared" si="11"/>
        <v>92</v>
      </c>
      <c r="B93" s="19" t="s">
        <v>123</v>
      </c>
      <c r="C93" s="19" t="s">
        <v>49</v>
      </c>
      <c r="D93" s="19"/>
      <c r="E93" s="19"/>
      <c r="F93" s="19" t="s">
        <v>38</v>
      </c>
      <c r="G93" s="19" t="s">
        <v>57</v>
      </c>
      <c r="H93" s="19"/>
      <c r="I93" s="19"/>
      <c r="J93" s="19"/>
      <c r="K93" s="19"/>
      <c r="L93" s="15">
        <f t="shared" si="0"/>
        <v>0</v>
      </c>
      <c r="M93" s="15" t="b">
        <f t="shared" si="1"/>
        <v>0</v>
      </c>
      <c r="N93" s="15" t="b">
        <f t="shared" si="2"/>
        <v>0</v>
      </c>
      <c r="O93" s="15" t="b">
        <f t="shared" si="3"/>
        <v>1</v>
      </c>
      <c r="P93" s="15" t="b">
        <f t="shared" si="4"/>
        <v>1</v>
      </c>
      <c r="Q93" s="15" t="b">
        <f t="shared" si="5"/>
        <v>0</v>
      </c>
      <c r="R93" s="15" t="b">
        <f t="shared" si="6"/>
        <v>0</v>
      </c>
      <c r="S93" s="15" t="b">
        <f t="shared" si="7"/>
        <v>0</v>
      </c>
      <c r="T93" s="15" t="b">
        <f t="shared" si="8"/>
        <v>0</v>
      </c>
      <c r="U93" s="15" t="b">
        <f t="shared" si="9"/>
        <v>0</v>
      </c>
      <c r="V93" s="15" t="b">
        <f t="shared" si="10"/>
        <v>0</v>
      </c>
    </row>
    <row r="94" spans="1:22" ht="15.75" customHeight="1" x14ac:dyDescent="0.2">
      <c r="A94" s="19">
        <f t="shared" si="11"/>
        <v>93</v>
      </c>
      <c r="B94" s="19" t="s">
        <v>367</v>
      </c>
      <c r="C94" s="19" t="s">
        <v>357</v>
      </c>
      <c r="D94" s="19"/>
      <c r="E94" s="19"/>
      <c r="F94" s="19" t="s">
        <v>126</v>
      </c>
      <c r="G94" s="19" t="s">
        <v>76</v>
      </c>
      <c r="H94" s="19"/>
      <c r="I94" s="19"/>
      <c r="J94" s="19"/>
      <c r="K94" s="19"/>
      <c r="L94" s="15">
        <f t="shared" si="0"/>
        <v>0</v>
      </c>
      <c r="M94" s="15" t="b">
        <f t="shared" si="1"/>
        <v>0</v>
      </c>
      <c r="N94" s="15" t="b">
        <f t="shared" si="2"/>
        <v>0</v>
      </c>
      <c r="O94" s="15" t="b">
        <f t="shared" si="3"/>
        <v>0</v>
      </c>
      <c r="P94" s="15" t="b">
        <f t="shared" si="4"/>
        <v>1</v>
      </c>
      <c r="Q94" s="15" t="b">
        <f t="shared" si="5"/>
        <v>0</v>
      </c>
      <c r="R94" s="15" t="b">
        <f t="shared" si="6"/>
        <v>0</v>
      </c>
      <c r="S94" s="15" t="b">
        <f t="shared" si="7"/>
        <v>0</v>
      </c>
      <c r="T94" s="15" t="b">
        <f t="shared" si="8"/>
        <v>0</v>
      </c>
      <c r="U94" s="15" t="b">
        <f t="shared" si="9"/>
        <v>0</v>
      </c>
      <c r="V94" s="15" t="b">
        <f t="shared" si="10"/>
        <v>0</v>
      </c>
    </row>
    <row r="95" spans="1:22" ht="15.75" customHeight="1" x14ac:dyDescent="0.2">
      <c r="A95" s="19">
        <f t="shared" si="11"/>
        <v>94</v>
      </c>
      <c r="B95" s="19" t="s">
        <v>223</v>
      </c>
      <c r="C95" s="19" t="s">
        <v>219</v>
      </c>
      <c r="D95" s="19"/>
      <c r="E95" s="19"/>
      <c r="F95" s="19"/>
      <c r="G95" s="19" t="s">
        <v>52</v>
      </c>
      <c r="H95" s="19"/>
      <c r="I95" s="19" t="s">
        <v>394</v>
      </c>
      <c r="J95" s="19"/>
      <c r="K95" s="19"/>
      <c r="L95" s="15">
        <f t="shared" si="0"/>
        <v>0</v>
      </c>
      <c r="M95" s="15" t="b">
        <f t="shared" si="1"/>
        <v>0</v>
      </c>
      <c r="N95" s="15" t="b">
        <f t="shared" si="2"/>
        <v>0</v>
      </c>
      <c r="O95" s="15" t="b">
        <f t="shared" si="3"/>
        <v>0</v>
      </c>
      <c r="P95" s="15" t="b">
        <f t="shared" si="4"/>
        <v>0</v>
      </c>
      <c r="Q95" s="15" t="b">
        <f t="shared" si="5"/>
        <v>0</v>
      </c>
      <c r="R95" s="15" t="b">
        <f t="shared" si="6"/>
        <v>0</v>
      </c>
      <c r="S95" s="15" t="b">
        <f t="shared" si="7"/>
        <v>1</v>
      </c>
      <c r="T95" s="15" t="b">
        <f t="shared" si="8"/>
        <v>0</v>
      </c>
      <c r="U95" s="15" t="b">
        <f t="shared" si="9"/>
        <v>0</v>
      </c>
      <c r="V95" s="15" t="b">
        <f t="shared" si="10"/>
        <v>0</v>
      </c>
    </row>
    <row r="96" spans="1:22" ht="15.75" customHeight="1" x14ac:dyDescent="0.2">
      <c r="A96" s="19">
        <f t="shared" si="11"/>
        <v>95</v>
      </c>
      <c r="B96" s="19" t="s">
        <v>157</v>
      </c>
      <c r="C96" s="18" t="s">
        <v>148</v>
      </c>
      <c r="D96" s="19"/>
      <c r="E96" s="19" t="s">
        <v>158</v>
      </c>
      <c r="F96" s="19"/>
      <c r="G96" s="19"/>
      <c r="H96" s="19"/>
      <c r="I96" s="19"/>
      <c r="J96" s="19"/>
      <c r="K96" s="19"/>
      <c r="L96" s="15">
        <f t="shared" si="0"/>
        <v>0</v>
      </c>
      <c r="M96" s="15" t="b">
        <f t="shared" si="1"/>
        <v>0</v>
      </c>
      <c r="N96" s="15" t="b">
        <f t="shared" si="2"/>
        <v>0</v>
      </c>
      <c r="O96" s="15" t="b">
        <f t="shared" si="3"/>
        <v>0</v>
      </c>
      <c r="P96" s="15" t="b">
        <f t="shared" si="4"/>
        <v>0</v>
      </c>
      <c r="Q96" s="15" t="b">
        <f t="shared" si="5"/>
        <v>0</v>
      </c>
      <c r="R96" s="15" t="b">
        <f t="shared" si="6"/>
        <v>1</v>
      </c>
      <c r="S96" s="15" t="b">
        <f t="shared" si="7"/>
        <v>0</v>
      </c>
      <c r="T96" s="15" t="b">
        <f t="shared" si="8"/>
        <v>0</v>
      </c>
      <c r="U96" s="15" t="b">
        <f t="shared" si="9"/>
        <v>1</v>
      </c>
      <c r="V96" s="15" t="b">
        <f t="shared" si="10"/>
        <v>0</v>
      </c>
    </row>
    <row r="97" spans="1:22" ht="15.75" customHeight="1" x14ac:dyDescent="0.2">
      <c r="A97" s="19">
        <f t="shared" si="11"/>
        <v>96</v>
      </c>
      <c r="B97" s="19" t="s">
        <v>155</v>
      </c>
      <c r="C97" s="18" t="s">
        <v>148</v>
      </c>
      <c r="D97" s="19"/>
      <c r="E97" s="19" t="s">
        <v>156</v>
      </c>
      <c r="F97" s="19"/>
      <c r="G97" s="19"/>
      <c r="H97" s="19"/>
      <c r="I97" s="19"/>
      <c r="J97" s="19"/>
      <c r="K97" s="19"/>
      <c r="L97" s="15">
        <f t="shared" si="0"/>
        <v>0</v>
      </c>
      <c r="M97" s="15" t="b">
        <f t="shared" si="1"/>
        <v>0</v>
      </c>
      <c r="N97" s="15" t="b">
        <f t="shared" si="2"/>
        <v>0</v>
      </c>
      <c r="O97" s="15" t="b">
        <f t="shared" si="3"/>
        <v>0</v>
      </c>
      <c r="P97" s="15" t="b">
        <f t="shared" si="4"/>
        <v>0</v>
      </c>
      <c r="Q97" s="15" t="b">
        <f t="shared" si="5"/>
        <v>0</v>
      </c>
      <c r="R97" s="15" t="b">
        <f t="shared" si="6"/>
        <v>0</v>
      </c>
      <c r="S97" s="15" t="b">
        <f t="shared" si="7"/>
        <v>0</v>
      </c>
      <c r="T97" s="15" t="b">
        <f t="shared" si="8"/>
        <v>0</v>
      </c>
      <c r="U97" s="15" t="b">
        <f t="shared" si="9"/>
        <v>0</v>
      </c>
      <c r="V97" s="15" t="b">
        <f t="shared" si="10"/>
        <v>0</v>
      </c>
    </row>
    <row r="98" spans="1:22" ht="15.75" customHeight="1" x14ac:dyDescent="0.2">
      <c r="A98" s="19">
        <f t="shared" si="11"/>
        <v>97</v>
      </c>
      <c r="B98" s="19" t="s">
        <v>154</v>
      </c>
      <c r="C98" s="18" t="s">
        <v>148</v>
      </c>
      <c r="D98" s="19"/>
      <c r="E98" s="19" t="s">
        <v>62</v>
      </c>
      <c r="F98" s="19" t="s">
        <v>90</v>
      </c>
      <c r="G98" s="19"/>
      <c r="H98" s="19"/>
      <c r="I98" s="19"/>
      <c r="J98" s="19"/>
      <c r="K98" s="19"/>
      <c r="L98" s="15">
        <f t="shared" si="0"/>
        <v>0</v>
      </c>
      <c r="M98" s="15" t="b">
        <f t="shared" si="1"/>
        <v>0</v>
      </c>
      <c r="N98" s="15" t="b">
        <f t="shared" si="2"/>
        <v>0</v>
      </c>
      <c r="O98" s="15" t="b">
        <f t="shared" si="3"/>
        <v>0</v>
      </c>
      <c r="P98" s="15" t="b">
        <f t="shared" si="4"/>
        <v>1</v>
      </c>
      <c r="Q98" s="15" t="b">
        <f t="shared" si="5"/>
        <v>1</v>
      </c>
      <c r="R98" s="15" t="b">
        <f t="shared" si="6"/>
        <v>0</v>
      </c>
      <c r="S98" s="15" t="b">
        <f t="shared" si="7"/>
        <v>0</v>
      </c>
      <c r="T98" s="15" t="b">
        <f t="shared" si="8"/>
        <v>0</v>
      </c>
      <c r="U98" s="15" t="b">
        <f t="shared" si="9"/>
        <v>0</v>
      </c>
      <c r="V98" s="15" t="b">
        <f t="shared" si="10"/>
        <v>0</v>
      </c>
    </row>
    <row r="99" spans="1:22" ht="15.75" customHeight="1" x14ac:dyDescent="0.2">
      <c r="A99" s="19">
        <f t="shared" si="11"/>
        <v>98</v>
      </c>
      <c r="B99" s="19" t="s">
        <v>358</v>
      </c>
      <c r="C99" s="19" t="s">
        <v>357</v>
      </c>
      <c r="D99" s="19"/>
      <c r="E99" s="19" t="s">
        <v>32</v>
      </c>
      <c r="F99" s="19"/>
      <c r="G99" s="19" t="s">
        <v>30</v>
      </c>
      <c r="H99" s="19"/>
      <c r="I99" s="19"/>
      <c r="J99" s="19"/>
      <c r="K99" s="19"/>
      <c r="L99" s="15">
        <f t="shared" si="0"/>
        <v>0</v>
      </c>
      <c r="M99" s="15" t="b">
        <f t="shared" si="1"/>
        <v>0</v>
      </c>
      <c r="N99" s="15" t="b">
        <f t="shared" si="2"/>
        <v>0</v>
      </c>
      <c r="O99" s="15" t="b">
        <f t="shared" si="3"/>
        <v>1</v>
      </c>
      <c r="P99" s="15" t="b">
        <f t="shared" si="4"/>
        <v>0</v>
      </c>
      <c r="Q99" s="15" t="b">
        <f t="shared" si="5"/>
        <v>0</v>
      </c>
      <c r="R99" s="15" t="b">
        <f t="shared" si="6"/>
        <v>0</v>
      </c>
      <c r="S99" s="15" t="b">
        <f t="shared" si="7"/>
        <v>0</v>
      </c>
      <c r="T99" s="15" t="b">
        <f t="shared" si="8"/>
        <v>0</v>
      </c>
      <c r="U99" s="15" t="b">
        <f t="shared" si="9"/>
        <v>0</v>
      </c>
      <c r="V99" s="15" t="b">
        <f t="shared" si="10"/>
        <v>0</v>
      </c>
    </row>
    <row r="100" spans="1:22" ht="15.75" customHeight="1" x14ac:dyDescent="0.2">
      <c r="A100" s="19">
        <f t="shared" si="11"/>
        <v>99</v>
      </c>
      <c r="B100" s="19" t="s">
        <v>316</v>
      </c>
      <c r="C100" s="19" t="s">
        <v>317</v>
      </c>
      <c r="D100" s="19"/>
      <c r="E100" s="19"/>
      <c r="F100" s="19"/>
      <c r="G100" s="19" t="s">
        <v>30</v>
      </c>
      <c r="H100" s="19"/>
      <c r="I100" s="19"/>
      <c r="J100" s="19"/>
      <c r="K100" s="19"/>
      <c r="L100" s="15">
        <f t="shared" si="0"/>
        <v>0</v>
      </c>
      <c r="M100" s="15" t="b">
        <f t="shared" si="1"/>
        <v>0</v>
      </c>
      <c r="N100" s="15" t="b">
        <f t="shared" si="2"/>
        <v>0</v>
      </c>
      <c r="O100" s="15" t="b">
        <f t="shared" si="3"/>
        <v>0</v>
      </c>
      <c r="P100" s="15" t="b">
        <f t="shared" si="4"/>
        <v>0</v>
      </c>
      <c r="Q100" s="15" t="b">
        <f t="shared" si="5"/>
        <v>0</v>
      </c>
      <c r="R100" s="15" t="b">
        <f t="shared" si="6"/>
        <v>0</v>
      </c>
      <c r="S100" s="15" t="b">
        <f t="shared" si="7"/>
        <v>0</v>
      </c>
      <c r="T100" s="15" t="b">
        <f t="shared" si="8"/>
        <v>0</v>
      </c>
      <c r="U100" s="15" t="b">
        <f t="shared" si="9"/>
        <v>0</v>
      </c>
      <c r="V100" s="15" t="b">
        <f t="shared" si="10"/>
        <v>0</v>
      </c>
    </row>
    <row r="101" spans="1:22" ht="15.75" customHeight="1" x14ac:dyDescent="0.2">
      <c r="A101" s="19">
        <f t="shared" si="11"/>
        <v>100</v>
      </c>
      <c r="B101" s="19" t="s">
        <v>356</v>
      </c>
      <c r="C101" s="19" t="s">
        <v>357</v>
      </c>
      <c r="D101" s="19"/>
      <c r="E101" s="19"/>
      <c r="F101" s="19"/>
      <c r="G101" s="19" t="s">
        <v>30</v>
      </c>
      <c r="H101" s="19"/>
      <c r="I101" s="19"/>
      <c r="J101" s="19"/>
      <c r="K101" s="19"/>
      <c r="L101" s="15">
        <f t="shared" si="0"/>
        <v>0</v>
      </c>
      <c r="M101" s="15" t="b">
        <f t="shared" si="1"/>
        <v>0</v>
      </c>
      <c r="N101" s="15" t="b">
        <f t="shared" si="2"/>
        <v>0</v>
      </c>
      <c r="O101" s="15" t="b">
        <f t="shared" si="3"/>
        <v>0</v>
      </c>
      <c r="P101" s="15" t="b">
        <f t="shared" si="4"/>
        <v>0</v>
      </c>
      <c r="Q101" s="15" t="b">
        <f t="shared" si="5"/>
        <v>0</v>
      </c>
      <c r="R101" s="15" t="b">
        <f t="shared" si="6"/>
        <v>0</v>
      </c>
      <c r="S101" s="15" t="b">
        <f t="shared" si="7"/>
        <v>0</v>
      </c>
      <c r="T101" s="15" t="b">
        <f t="shared" si="8"/>
        <v>0</v>
      </c>
      <c r="U101" s="15" t="b">
        <f t="shared" si="9"/>
        <v>0</v>
      </c>
      <c r="V101" s="15" t="b">
        <f t="shared" si="10"/>
        <v>0</v>
      </c>
    </row>
    <row r="102" spans="1:22" ht="15.75" customHeight="1" x14ac:dyDescent="0.2">
      <c r="A102" s="19">
        <f t="shared" si="11"/>
        <v>101</v>
      </c>
      <c r="B102" s="19" t="s">
        <v>318</v>
      </c>
      <c r="C102" s="19" t="s">
        <v>317</v>
      </c>
      <c r="D102" s="19"/>
      <c r="E102" s="19" t="s">
        <v>32</v>
      </c>
      <c r="F102" s="19"/>
      <c r="G102" s="19" t="s">
        <v>30</v>
      </c>
      <c r="H102" s="19"/>
      <c r="I102" s="19"/>
      <c r="J102" s="19"/>
      <c r="K102" s="19"/>
      <c r="L102" s="15">
        <f t="shared" si="0"/>
        <v>0</v>
      </c>
      <c r="M102" s="15" t="b">
        <f t="shared" si="1"/>
        <v>0</v>
      </c>
      <c r="N102" s="15" t="b">
        <f t="shared" si="2"/>
        <v>0</v>
      </c>
      <c r="O102" s="15" t="b">
        <f t="shared" si="3"/>
        <v>1</v>
      </c>
      <c r="P102" s="15" t="b">
        <f t="shared" si="4"/>
        <v>0</v>
      </c>
      <c r="Q102" s="15" t="b">
        <f t="shared" si="5"/>
        <v>0</v>
      </c>
      <c r="R102" s="15" t="b">
        <f t="shared" si="6"/>
        <v>0</v>
      </c>
      <c r="S102" s="15" t="b">
        <f t="shared" si="7"/>
        <v>0</v>
      </c>
      <c r="T102" s="15" t="b">
        <f t="shared" si="8"/>
        <v>0</v>
      </c>
      <c r="U102" s="15" t="b">
        <f t="shared" si="9"/>
        <v>0</v>
      </c>
      <c r="V102" s="15" t="b">
        <f t="shared" si="10"/>
        <v>0</v>
      </c>
    </row>
    <row r="103" spans="1:22" ht="15.75" customHeight="1" x14ac:dyDescent="0.2">
      <c r="A103" s="19">
        <f t="shared" si="11"/>
        <v>102</v>
      </c>
      <c r="B103" s="19" t="s">
        <v>145</v>
      </c>
      <c r="C103" s="19" t="s">
        <v>146</v>
      </c>
      <c r="D103" s="19"/>
      <c r="E103" s="19" t="s">
        <v>32</v>
      </c>
      <c r="F103" s="19"/>
      <c r="G103" s="19" t="s">
        <v>31</v>
      </c>
      <c r="H103" s="19"/>
      <c r="I103" s="19"/>
      <c r="J103" s="19"/>
      <c r="K103" s="19"/>
      <c r="L103" s="15">
        <f t="shared" si="0"/>
        <v>0</v>
      </c>
      <c r="M103" s="15" t="b">
        <f t="shared" si="1"/>
        <v>0</v>
      </c>
      <c r="N103" s="15" t="b">
        <f t="shared" si="2"/>
        <v>0</v>
      </c>
      <c r="O103" s="15" t="b">
        <f t="shared" si="3"/>
        <v>1</v>
      </c>
      <c r="P103" s="15" t="b">
        <f t="shared" si="4"/>
        <v>0</v>
      </c>
      <c r="Q103" s="15" t="b">
        <f t="shared" si="5"/>
        <v>0</v>
      </c>
      <c r="R103" s="15" t="b">
        <f t="shared" si="6"/>
        <v>0</v>
      </c>
      <c r="S103" s="15" t="b">
        <f t="shared" si="7"/>
        <v>0</v>
      </c>
      <c r="T103" s="15" t="b">
        <f t="shared" si="8"/>
        <v>0</v>
      </c>
      <c r="U103" s="15" t="b">
        <f t="shared" si="9"/>
        <v>0</v>
      </c>
      <c r="V103" s="15" t="b">
        <f t="shared" si="10"/>
        <v>0</v>
      </c>
    </row>
    <row r="104" spans="1:22" ht="15.75" customHeight="1" x14ac:dyDescent="0.2">
      <c r="A104" s="19">
        <f t="shared" si="11"/>
        <v>103</v>
      </c>
      <c r="B104" s="19" t="s">
        <v>212</v>
      </c>
      <c r="C104" s="18" t="s">
        <v>148</v>
      </c>
      <c r="D104" s="19"/>
      <c r="E104" s="19"/>
      <c r="F104" s="19"/>
      <c r="G104" s="19" t="s">
        <v>52</v>
      </c>
      <c r="H104" s="19"/>
      <c r="I104" s="19"/>
      <c r="J104" s="19"/>
      <c r="K104" s="19"/>
      <c r="L104" s="15">
        <f t="shared" si="0"/>
        <v>0</v>
      </c>
      <c r="M104" s="15" t="b">
        <f t="shared" si="1"/>
        <v>0</v>
      </c>
      <c r="N104" s="15" t="b">
        <f t="shared" si="2"/>
        <v>0</v>
      </c>
      <c r="O104" s="15" t="b">
        <f t="shared" si="3"/>
        <v>0</v>
      </c>
      <c r="P104" s="15" t="b">
        <f t="shared" si="4"/>
        <v>0</v>
      </c>
      <c r="Q104" s="15" t="b">
        <f t="shared" si="5"/>
        <v>0</v>
      </c>
      <c r="R104" s="15" t="b">
        <f t="shared" si="6"/>
        <v>0</v>
      </c>
      <c r="S104" s="15" t="b">
        <f t="shared" si="7"/>
        <v>1</v>
      </c>
      <c r="T104" s="15" t="b">
        <f t="shared" si="8"/>
        <v>0</v>
      </c>
      <c r="U104" s="15" t="b">
        <f t="shared" si="9"/>
        <v>0</v>
      </c>
      <c r="V104" s="15" t="b">
        <f t="shared" si="10"/>
        <v>0</v>
      </c>
    </row>
    <row r="105" spans="1:22" ht="15.75" customHeight="1" x14ac:dyDescent="0.2">
      <c r="A105" s="19">
        <f t="shared" si="11"/>
        <v>104</v>
      </c>
      <c r="B105" s="19" t="s">
        <v>110</v>
      </c>
      <c r="C105" s="19" t="s">
        <v>49</v>
      </c>
      <c r="D105" s="19"/>
      <c r="E105" s="19"/>
      <c r="F105" s="19" t="s">
        <v>38</v>
      </c>
      <c r="G105" s="19" t="s">
        <v>108</v>
      </c>
      <c r="H105" s="19"/>
      <c r="I105" s="19"/>
      <c r="J105" s="19"/>
      <c r="K105" s="19"/>
      <c r="L105" s="15">
        <f t="shared" si="0"/>
        <v>0</v>
      </c>
      <c r="M105" s="15" t="b">
        <f t="shared" si="1"/>
        <v>0</v>
      </c>
      <c r="N105" s="15" t="b">
        <f t="shared" si="2"/>
        <v>0</v>
      </c>
      <c r="O105" s="15" t="b">
        <f t="shared" si="3"/>
        <v>1</v>
      </c>
      <c r="P105" s="15" t="b">
        <f t="shared" si="4"/>
        <v>1</v>
      </c>
      <c r="Q105" s="15" t="b">
        <f t="shared" si="5"/>
        <v>0</v>
      </c>
      <c r="R105" s="15" t="b">
        <f t="shared" si="6"/>
        <v>0</v>
      </c>
      <c r="S105" s="15" t="b">
        <f t="shared" si="7"/>
        <v>0</v>
      </c>
      <c r="T105" s="15" t="b">
        <f t="shared" si="8"/>
        <v>0</v>
      </c>
      <c r="U105" s="15" t="b">
        <f t="shared" si="9"/>
        <v>0</v>
      </c>
      <c r="V105" s="15" t="b">
        <f t="shared" si="10"/>
        <v>0</v>
      </c>
    </row>
    <row r="106" spans="1:22" ht="15.75" customHeight="1" x14ac:dyDescent="0.2">
      <c r="A106" s="19">
        <f t="shared" si="11"/>
        <v>105</v>
      </c>
      <c r="B106" s="19" t="s">
        <v>387</v>
      </c>
      <c r="C106" s="19" t="s">
        <v>31</v>
      </c>
      <c r="D106" s="19"/>
      <c r="E106" s="19" t="s">
        <v>32</v>
      </c>
      <c r="F106" s="19"/>
      <c r="G106" s="19" t="s">
        <v>388</v>
      </c>
      <c r="H106" s="19"/>
      <c r="I106" s="19"/>
      <c r="J106" s="19"/>
      <c r="K106" s="19"/>
      <c r="L106" s="15">
        <f t="shared" si="0"/>
        <v>0</v>
      </c>
      <c r="M106" s="15" t="b">
        <f t="shared" si="1"/>
        <v>0</v>
      </c>
      <c r="N106" s="15" t="b">
        <f t="shared" si="2"/>
        <v>0</v>
      </c>
      <c r="O106" s="15" t="b">
        <f t="shared" si="3"/>
        <v>1</v>
      </c>
      <c r="P106" s="15" t="b">
        <f t="shared" si="4"/>
        <v>0</v>
      </c>
      <c r="Q106" s="15" t="b">
        <f t="shared" si="5"/>
        <v>0</v>
      </c>
      <c r="R106" s="15" t="b">
        <f t="shared" si="6"/>
        <v>0</v>
      </c>
      <c r="S106" s="15" t="b">
        <f t="shared" si="7"/>
        <v>0</v>
      </c>
      <c r="T106" s="15" t="b">
        <f t="shared" si="8"/>
        <v>0</v>
      </c>
      <c r="U106" s="15" t="b">
        <f t="shared" si="9"/>
        <v>0</v>
      </c>
      <c r="V106" s="15" t="b">
        <f t="shared" si="10"/>
        <v>0</v>
      </c>
    </row>
    <row r="107" spans="1:22" ht="15.75" customHeight="1" x14ac:dyDescent="0.2">
      <c r="A107" s="19">
        <f t="shared" si="11"/>
        <v>106</v>
      </c>
      <c r="B107" s="19" t="s">
        <v>371</v>
      </c>
      <c r="C107" s="19" t="s">
        <v>357</v>
      </c>
      <c r="D107" s="19"/>
      <c r="E107" s="19"/>
      <c r="F107" s="19" t="s">
        <v>134</v>
      </c>
      <c r="G107" s="19"/>
      <c r="H107" s="19"/>
      <c r="I107" s="19"/>
      <c r="J107" s="19"/>
      <c r="K107" s="19"/>
      <c r="L107" s="15">
        <f t="shared" si="0"/>
        <v>0</v>
      </c>
      <c r="M107" s="15" t="b">
        <f t="shared" si="1"/>
        <v>0</v>
      </c>
      <c r="N107" s="15" t="b">
        <f t="shared" si="2"/>
        <v>0</v>
      </c>
      <c r="O107" s="15" t="b">
        <f t="shared" si="3"/>
        <v>0</v>
      </c>
      <c r="P107" s="15" t="b">
        <f t="shared" si="4"/>
        <v>1</v>
      </c>
      <c r="Q107" s="15" t="b">
        <f t="shared" si="5"/>
        <v>0</v>
      </c>
      <c r="R107" s="15" t="b">
        <f t="shared" si="6"/>
        <v>0</v>
      </c>
      <c r="S107" s="15" t="b">
        <f t="shared" si="7"/>
        <v>0</v>
      </c>
      <c r="T107" s="15" t="b">
        <f t="shared" si="8"/>
        <v>0</v>
      </c>
      <c r="U107" s="15" t="b">
        <f t="shared" si="9"/>
        <v>0</v>
      </c>
      <c r="V107" s="15" t="b">
        <f t="shared" si="10"/>
        <v>0</v>
      </c>
    </row>
    <row r="108" spans="1:22" ht="15.75" customHeight="1" x14ac:dyDescent="0.2">
      <c r="A108" s="19">
        <f t="shared" si="11"/>
        <v>107</v>
      </c>
      <c r="B108" s="19" t="s">
        <v>368</v>
      </c>
      <c r="C108" s="19" t="s">
        <v>357</v>
      </c>
      <c r="D108" s="19"/>
      <c r="E108" s="19"/>
      <c r="F108" s="19" t="s">
        <v>126</v>
      </c>
      <c r="G108" s="19" t="s">
        <v>146</v>
      </c>
      <c r="H108" s="19"/>
      <c r="I108" s="19"/>
      <c r="J108" s="19"/>
      <c r="K108" s="19"/>
      <c r="L108" s="15">
        <f t="shared" si="0"/>
        <v>0</v>
      </c>
      <c r="M108" s="15" t="b">
        <f t="shared" si="1"/>
        <v>0</v>
      </c>
      <c r="N108" s="15" t="b">
        <f t="shared" si="2"/>
        <v>0</v>
      </c>
      <c r="O108" s="15" t="b">
        <f t="shared" si="3"/>
        <v>0</v>
      </c>
      <c r="P108" s="15" t="b">
        <f t="shared" si="4"/>
        <v>1</v>
      </c>
      <c r="Q108" s="15" t="b">
        <f t="shared" si="5"/>
        <v>0</v>
      </c>
      <c r="R108" s="15" t="b">
        <f t="shared" si="6"/>
        <v>0</v>
      </c>
      <c r="S108" s="15" t="b">
        <f t="shared" si="7"/>
        <v>0</v>
      </c>
      <c r="T108" s="15" t="b">
        <f t="shared" si="8"/>
        <v>0</v>
      </c>
      <c r="U108" s="15" t="b">
        <f t="shared" si="9"/>
        <v>0</v>
      </c>
      <c r="V108" s="15" t="b">
        <f t="shared" si="10"/>
        <v>0</v>
      </c>
    </row>
    <row r="109" spans="1:22" ht="15.75" customHeight="1" x14ac:dyDescent="0.2">
      <c r="A109" s="19">
        <f t="shared" si="11"/>
        <v>108</v>
      </c>
      <c r="B109" s="19" t="s">
        <v>283</v>
      </c>
      <c r="C109" s="19" t="s">
        <v>265</v>
      </c>
      <c r="D109" s="19"/>
      <c r="E109" s="19" t="s">
        <v>66</v>
      </c>
      <c r="F109" s="19" t="s">
        <v>90</v>
      </c>
      <c r="G109" s="19" t="s">
        <v>60</v>
      </c>
      <c r="H109" s="19"/>
      <c r="I109" s="19"/>
      <c r="J109" s="19"/>
      <c r="K109" s="19"/>
      <c r="L109" s="15">
        <f t="shared" si="0"/>
        <v>0</v>
      </c>
      <c r="M109" s="15" t="b">
        <f t="shared" si="1"/>
        <v>0</v>
      </c>
      <c r="N109" s="15" t="b">
        <f t="shared" si="2"/>
        <v>1</v>
      </c>
      <c r="O109" s="15" t="b">
        <f t="shared" si="3"/>
        <v>0</v>
      </c>
      <c r="P109" s="15" t="b">
        <f t="shared" si="4"/>
        <v>1</v>
      </c>
      <c r="Q109" s="15" t="b">
        <f t="shared" si="5"/>
        <v>0</v>
      </c>
      <c r="R109" s="15" t="b">
        <f t="shared" si="6"/>
        <v>0</v>
      </c>
      <c r="S109" s="15" t="b">
        <f t="shared" si="7"/>
        <v>0</v>
      </c>
      <c r="T109" s="15" t="b">
        <f t="shared" si="8"/>
        <v>0</v>
      </c>
      <c r="U109" s="15" t="b">
        <f t="shared" si="9"/>
        <v>0</v>
      </c>
      <c r="V109" s="15" t="b">
        <f t="shared" si="10"/>
        <v>0</v>
      </c>
    </row>
    <row r="110" spans="1:22" ht="15.75" customHeight="1" x14ac:dyDescent="0.2">
      <c r="A110" s="19">
        <f t="shared" si="11"/>
        <v>109</v>
      </c>
      <c r="B110" s="19" t="s">
        <v>205</v>
      </c>
      <c r="C110" s="18" t="s">
        <v>148</v>
      </c>
      <c r="D110" s="19"/>
      <c r="E110" s="19" t="s">
        <v>66</v>
      </c>
      <c r="F110" s="19" t="s">
        <v>126</v>
      </c>
      <c r="G110" s="19" t="s">
        <v>52</v>
      </c>
      <c r="H110" s="19"/>
      <c r="I110" s="19"/>
      <c r="J110" s="19" t="s">
        <v>48</v>
      </c>
      <c r="K110" s="19"/>
      <c r="L110" s="15">
        <f t="shared" si="0"/>
        <v>0</v>
      </c>
      <c r="M110" s="15" t="b">
        <f t="shared" si="1"/>
        <v>0</v>
      </c>
      <c r="N110" s="15" t="b">
        <f t="shared" si="2"/>
        <v>1</v>
      </c>
      <c r="O110" s="15" t="b">
        <f t="shared" si="3"/>
        <v>0</v>
      </c>
      <c r="P110" s="15" t="b">
        <f t="shared" si="4"/>
        <v>1</v>
      </c>
      <c r="Q110" s="15" t="b">
        <f t="shared" si="5"/>
        <v>0</v>
      </c>
      <c r="R110" s="15" t="b">
        <f t="shared" si="6"/>
        <v>0</v>
      </c>
      <c r="S110" s="15" t="b">
        <f t="shared" si="7"/>
        <v>1</v>
      </c>
      <c r="T110" s="15" t="b">
        <f t="shared" si="8"/>
        <v>1</v>
      </c>
      <c r="U110" s="15" t="b">
        <f t="shared" si="9"/>
        <v>0</v>
      </c>
      <c r="V110" s="15" t="b">
        <f t="shared" si="10"/>
        <v>0</v>
      </c>
    </row>
    <row r="111" spans="1:22" ht="15.75" customHeight="1" x14ac:dyDescent="0.2">
      <c r="A111" s="19">
        <f t="shared" si="11"/>
        <v>110</v>
      </c>
      <c r="B111" s="19" t="s">
        <v>251</v>
      </c>
      <c r="C111" s="19" t="s">
        <v>252</v>
      </c>
      <c r="D111" s="19"/>
      <c r="E111" s="19"/>
      <c r="F111" s="19"/>
      <c r="G111" s="19" t="s">
        <v>253</v>
      </c>
      <c r="H111" s="19"/>
      <c r="I111" s="19"/>
      <c r="J111" s="19"/>
      <c r="K111" s="19"/>
      <c r="L111" s="15">
        <f t="shared" si="0"/>
        <v>0</v>
      </c>
      <c r="M111" s="15" t="b">
        <f t="shared" si="1"/>
        <v>0</v>
      </c>
      <c r="N111" s="15" t="b">
        <f t="shared" si="2"/>
        <v>0</v>
      </c>
      <c r="O111" s="15" t="b">
        <f t="shared" si="3"/>
        <v>0</v>
      </c>
      <c r="P111" s="15" t="b">
        <f t="shared" si="4"/>
        <v>0</v>
      </c>
      <c r="Q111" s="15" t="b">
        <f t="shared" si="5"/>
        <v>0</v>
      </c>
      <c r="R111" s="15" t="b">
        <f t="shared" si="6"/>
        <v>0</v>
      </c>
      <c r="S111" s="15" t="b">
        <f t="shared" si="7"/>
        <v>0</v>
      </c>
      <c r="T111" s="15" t="b">
        <f t="shared" si="8"/>
        <v>0</v>
      </c>
      <c r="U111" s="15" t="b">
        <f t="shared" si="9"/>
        <v>0</v>
      </c>
      <c r="V111" s="15" t="b">
        <f t="shared" si="10"/>
        <v>0</v>
      </c>
    </row>
    <row r="112" spans="1:22" ht="15.75" customHeight="1" x14ac:dyDescent="0.2">
      <c r="A112" s="19">
        <f t="shared" si="11"/>
        <v>111</v>
      </c>
      <c r="B112" s="19" t="s">
        <v>234</v>
      </c>
      <c r="C112" s="19" t="s">
        <v>233</v>
      </c>
      <c r="D112" s="19"/>
      <c r="E112" s="19"/>
      <c r="F112" s="19" t="s">
        <v>38</v>
      </c>
      <c r="G112" s="19" t="s">
        <v>57</v>
      </c>
      <c r="H112" s="19"/>
      <c r="I112" s="19"/>
      <c r="J112" s="19"/>
      <c r="K112" s="19"/>
      <c r="L112" s="15">
        <f t="shared" si="0"/>
        <v>0</v>
      </c>
      <c r="M112" s="15" t="b">
        <f t="shared" si="1"/>
        <v>0</v>
      </c>
      <c r="N112" s="15" t="b">
        <f t="shared" si="2"/>
        <v>0</v>
      </c>
      <c r="O112" s="15" t="b">
        <f t="shared" si="3"/>
        <v>1</v>
      </c>
      <c r="P112" s="15" t="b">
        <f t="shared" si="4"/>
        <v>1</v>
      </c>
      <c r="Q112" s="15" t="b">
        <f t="shared" si="5"/>
        <v>0</v>
      </c>
      <c r="R112" s="15" t="b">
        <f t="shared" si="6"/>
        <v>0</v>
      </c>
      <c r="S112" s="15" t="b">
        <f t="shared" si="7"/>
        <v>0</v>
      </c>
      <c r="T112" s="15" t="b">
        <f t="shared" si="8"/>
        <v>0</v>
      </c>
      <c r="U112" s="15" t="b">
        <f t="shared" si="9"/>
        <v>0</v>
      </c>
      <c r="V112" s="15" t="b">
        <f t="shared" si="10"/>
        <v>0</v>
      </c>
    </row>
    <row r="113" spans="1:22" ht="15.75" customHeight="1" x14ac:dyDescent="0.2">
      <c r="A113" s="19">
        <f t="shared" si="11"/>
        <v>112</v>
      </c>
      <c r="B113" s="19" t="s">
        <v>235</v>
      </c>
      <c r="C113" s="19" t="s">
        <v>236</v>
      </c>
      <c r="D113" s="19"/>
      <c r="E113" s="19" t="s">
        <v>392</v>
      </c>
      <c r="F113" s="19"/>
      <c r="G113" s="19"/>
      <c r="H113" s="19"/>
      <c r="I113" s="19"/>
      <c r="J113" s="19"/>
      <c r="K113" s="19"/>
      <c r="L113" s="15">
        <f t="shared" si="0"/>
        <v>0</v>
      </c>
      <c r="M113" s="15" t="b">
        <f t="shared" si="1"/>
        <v>0</v>
      </c>
      <c r="N113" s="15" t="b">
        <f t="shared" si="2"/>
        <v>0</v>
      </c>
      <c r="O113" s="15" t="b">
        <f t="shared" si="3"/>
        <v>0</v>
      </c>
      <c r="P113" s="15" t="b">
        <f t="shared" si="4"/>
        <v>0</v>
      </c>
      <c r="Q113" s="15" t="b">
        <f t="shared" si="5"/>
        <v>0</v>
      </c>
      <c r="R113" s="15" t="b">
        <f t="shared" si="6"/>
        <v>0</v>
      </c>
      <c r="S113" s="15" t="b">
        <f t="shared" si="7"/>
        <v>0</v>
      </c>
      <c r="T113" s="15" t="b">
        <f t="shared" si="8"/>
        <v>0</v>
      </c>
      <c r="U113" s="15" t="b">
        <f t="shared" si="9"/>
        <v>0</v>
      </c>
      <c r="V113" s="15" t="b">
        <f t="shared" si="10"/>
        <v>0</v>
      </c>
    </row>
    <row r="114" spans="1:22" ht="15.75" customHeight="1" x14ac:dyDescent="0.2">
      <c r="A114" s="19">
        <f t="shared" si="11"/>
        <v>113</v>
      </c>
      <c r="B114" s="19" t="s">
        <v>54</v>
      </c>
      <c r="C114" s="19" t="s">
        <v>47</v>
      </c>
      <c r="D114" s="19"/>
      <c r="E114" s="19" t="s">
        <v>55</v>
      </c>
      <c r="F114" s="19" t="s">
        <v>38</v>
      </c>
      <c r="G114" s="19"/>
      <c r="H114" s="19"/>
      <c r="I114" s="19"/>
      <c r="J114" s="19"/>
      <c r="K114" s="19"/>
      <c r="L114" s="15">
        <f t="shared" si="0"/>
        <v>0</v>
      </c>
      <c r="M114" s="15" t="b">
        <f t="shared" si="1"/>
        <v>0</v>
      </c>
      <c r="N114" s="15" t="b">
        <f t="shared" si="2"/>
        <v>0</v>
      </c>
      <c r="O114" s="15" t="b">
        <f t="shared" si="3"/>
        <v>0</v>
      </c>
      <c r="P114" s="15" t="b">
        <f t="shared" si="4"/>
        <v>1</v>
      </c>
      <c r="Q114" s="15" t="b">
        <f t="shared" si="5"/>
        <v>0</v>
      </c>
      <c r="R114" s="15" t="b">
        <f t="shared" si="6"/>
        <v>0</v>
      </c>
      <c r="S114" s="15" t="b">
        <f t="shared" si="7"/>
        <v>0</v>
      </c>
      <c r="T114" s="15" t="b">
        <f t="shared" si="8"/>
        <v>0</v>
      </c>
      <c r="U114" s="15" t="b">
        <f t="shared" si="9"/>
        <v>0</v>
      </c>
      <c r="V114" s="15" t="b">
        <f t="shared" si="10"/>
        <v>0</v>
      </c>
    </row>
    <row r="115" spans="1:22" ht="15.75" customHeight="1" x14ac:dyDescent="0.2">
      <c r="A115" s="19">
        <f t="shared" si="11"/>
        <v>114</v>
      </c>
      <c r="B115" s="19" t="s">
        <v>232</v>
      </c>
      <c r="C115" s="19" t="s">
        <v>233</v>
      </c>
      <c r="D115" s="19"/>
      <c r="E115" s="19"/>
      <c r="F115" s="19" t="s">
        <v>90</v>
      </c>
      <c r="G115" s="19" t="s">
        <v>100</v>
      </c>
      <c r="H115" s="19"/>
      <c r="I115" s="19"/>
      <c r="J115" s="19"/>
      <c r="K115" s="19"/>
      <c r="L115" s="15">
        <f t="shared" si="0"/>
        <v>0</v>
      </c>
      <c r="M115" s="15" t="b">
        <f t="shared" si="1"/>
        <v>0</v>
      </c>
      <c r="N115" s="15" t="b">
        <f t="shared" si="2"/>
        <v>0</v>
      </c>
      <c r="O115" s="15" t="b">
        <f t="shared" si="3"/>
        <v>0</v>
      </c>
      <c r="P115" s="15" t="b">
        <f t="shared" si="4"/>
        <v>1</v>
      </c>
      <c r="Q115" s="15" t="b">
        <f t="shared" si="5"/>
        <v>0</v>
      </c>
      <c r="R115" s="15" t="b">
        <f t="shared" si="6"/>
        <v>0</v>
      </c>
      <c r="S115" s="15" t="b">
        <f t="shared" si="7"/>
        <v>0</v>
      </c>
      <c r="T115" s="15" t="b">
        <f t="shared" si="8"/>
        <v>0</v>
      </c>
      <c r="U115" s="15" t="b">
        <f t="shared" si="9"/>
        <v>0</v>
      </c>
      <c r="V115" s="15" t="b">
        <f t="shared" si="10"/>
        <v>1</v>
      </c>
    </row>
    <row r="116" spans="1:22" ht="15.75" customHeight="1" x14ac:dyDescent="0.2">
      <c r="A116" s="19">
        <f t="shared" si="11"/>
        <v>115</v>
      </c>
      <c r="B116" s="19" t="s">
        <v>164</v>
      </c>
      <c r="C116" s="18" t="s">
        <v>148</v>
      </c>
      <c r="D116" s="19"/>
      <c r="E116" s="19" t="s">
        <v>66</v>
      </c>
      <c r="F116" s="19" t="s">
        <v>38</v>
      </c>
      <c r="G116" s="19" t="s">
        <v>30</v>
      </c>
      <c r="H116" s="19"/>
      <c r="I116" s="19"/>
      <c r="J116" s="19"/>
      <c r="K116" s="19"/>
      <c r="L116" s="15">
        <f t="shared" si="0"/>
        <v>0</v>
      </c>
      <c r="M116" s="15" t="b">
        <f t="shared" si="1"/>
        <v>0</v>
      </c>
      <c r="N116" s="15" t="b">
        <f t="shared" si="2"/>
        <v>1</v>
      </c>
      <c r="O116" s="15" t="b">
        <f t="shared" si="3"/>
        <v>0</v>
      </c>
      <c r="P116" s="15" t="b">
        <f t="shared" si="4"/>
        <v>1</v>
      </c>
      <c r="Q116" s="15" t="b">
        <f t="shared" si="5"/>
        <v>0</v>
      </c>
      <c r="R116" s="15" t="b">
        <f t="shared" si="6"/>
        <v>0</v>
      </c>
      <c r="S116" s="15" t="b">
        <f t="shared" si="7"/>
        <v>0</v>
      </c>
      <c r="T116" s="15" t="b">
        <f t="shared" si="8"/>
        <v>0</v>
      </c>
      <c r="U116" s="15" t="b">
        <f t="shared" si="9"/>
        <v>0</v>
      </c>
      <c r="V116" s="15" t="b">
        <f t="shared" si="10"/>
        <v>0</v>
      </c>
    </row>
    <row r="117" spans="1:22" ht="15.75" customHeight="1" x14ac:dyDescent="0.2">
      <c r="A117" s="19">
        <f t="shared" si="11"/>
        <v>116</v>
      </c>
      <c r="B117" s="19" t="s">
        <v>93</v>
      </c>
      <c r="C117" s="19" t="s">
        <v>65</v>
      </c>
      <c r="D117" s="19"/>
      <c r="E117" s="19" t="s">
        <v>86</v>
      </c>
      <c r="F117" s="19" t="s">
        <v>38</v>
      </c>
      <c r="G117" s="19"/>
      <c r="H117" s="19"/>
      <c r="I117" s="19"/>
      <c r="J117" s="19"/>
      <c r="K117" s="19"/>
      <c r="L117" s="15">
        <f t="shared" si="0"/>
        <v>0</v>
      </c>
      <c r="M117" s="15" t="b">
        <f t="shared" si="1"/>
        <v>1</v>
      </c>
      <c r="N117" s="15" t="b">
        <f t="shared" si="2"/>
        <v>0</v>
      </c>
      <c r="O117" s="15" t="b">
        <f t="shared" si="3"/>
        <v>0</v>
      </c>
      <c r="P117" s="15" t="b">
        <f t="shared" si="4"/>
        <v>1</v>
      </c>
      <c r="Q117" s="15" t="b">
        <f t="shared" si="5"/>
        <v>0</v>
      </c>
      <c r="R117" s="15" t="b">
        <f t="shared" si="6"/>
        <v>0</v>
      </c>
      <c r="S117" s="15" t="b">
        <f t="shared" si="7"/>
        <v>0</v>
      </c>
      <c r="T117" s="15" t="b">
        <f t="shared" si="8"/>
        <v>0</v>
      </c>
      <c r="U117" s="15" t="b">
        <f t="shared" si="9"/>
        <v>0</v>
      </c>
      <c r="V117" s="15" t="b">
        <f t="shared" si="10"/>
        <v>0</v>
      </c>
    </row>
    <row r="118" spans="1:22" ht="15.75" customHeight="1" x14ac:dyDescent="0.2">
      <c r="A118" s="19">
        <f t="shared" si="11"/>
        <v>117</v>
      </c>
      <c r="B118" s="19" t="s">
        <v>381</v>
      </c>
      <c r="C118" s="19" t="s">
        <v>357</v>
      </c>
      <c r="D118" s="19"/>
      <c r="E118" s="19"/>
      <c r="F118" s="19" t="s">
        <v>90</v>
      </c>
      <c r="G118" s="19" t="s">
        <v>100</v>
      </c>
      <c r="H118" s="19"/>
      <c r="I118" s="19"/>
      <c r="J118" s="19"/>
      <c r="K118" s="19"/>
      <c r="L118" s="15">
        <f t="shared" si="0"/>
        <v>0</v>
      </c>
      <c r="M118" s="15" t="b">
        <f t="shared" si="1"/>
        <v>0</v>
      </c>
      <c r="N118" s="15" t="b">
        <f t="shared" si="2"/>
        <v>0</v>
      </c>
      <c r="O118" s="15" t="b">
        <f t="shared" si="3"/>
        <v>0</v>
      </c>
      <c r="P118" s="15" t="b">
        <f t="shared" si="4"/>
        <v>1</v>
      </c>
      <c r="Q118" s="15" t="b">
        <f t="shared" si="5"/>
        <v>0</v>
      </c>
      <c r="R118" s="15" t="b">
        <f t="shared" si="6"/>
        <v>0</v>
      </c>
      <c r="S118" s="15" t="b">
        <f t="shared" si="7"/>
        <v>0</v>
      </c>
      <c r="T118" s="15" t="b">
        <f t="shared" si="8"/>
        <v>0</v>
      </c>
      <c r="U118" s="15" t="b">
        <f t="shared" si="9"/>
        <v>0</v>
      </c>
      <c r="V118" s="15" t="b">
        <f t="shared" si="10"/>
        <v>1</v>
      </c>
    </row>
    <row r="119" spans="1:22" ht="15.75" customHeight="1" x14ac:dyDescent="0.2">
      <c r="A119" s="19">
        <f t="shared" si="11"/>
        <v>118</v>
      </c>
      <c r="B119" s="19" t="s">
        <v>94</v>
      </c>
      <c r="C119" s="19" t="s">
        <v>65</v>
      </c>
      <c r="D119" s="19"/>
      <c r="E119" s="19"/>
      <c r="F119" s="19" t="s">
        <v>38</v>
      </c>
      <c r="G119" s="19" t="s">
        <v>57</v>
      </c>
      <c r="H119" s="19"/>
      <c r="I119" s="19"/>
      <c r="J119" s="19"/>
      <c r="K119" s="19"/>
      <c r="L119" s="15">
        <f t="shared" si="0"/>
        <v>0</v>
      </c>
      <c r="M119" s="15" t="b">
        <f t="shared" si="1"/>
        <v>0</v>
      </c>
      <c r="N119" s="15" t="b">
        <f t="shared" si="2"/>
        <v>0</v>
      </c>
      <c r="O119" s="15" t="b">
        <f t="shared" si="3"/>
        <v>1</v>
      </c>
      <c r="P119" s="15" t="b">
        <f t="shared" si="4"/>
        <v>1</v>
      </c>
      <c r="Q119" s="15" t="b">
        <f t="shared" si="5"/>
        <v>0</v>
      </c>
      <c r="R119" s="15" t="b">
        <f t="shared" si="6"/>
        <v>0</v>
      </c>
      <c r="S119" s="15" t="b">
        <f t="shared" si="7"/>
        <v>0</v>
      </c>
      <c r="T119" s="15" t="b">
        <f t="shared" si="8"/>
        <v>0</v>
      </c>
      <c r="U119" s="15" t="b">
        <f t="shared" si="9"/>
        <v>0</v>
      </c>
      <c r="V119" s="15" t="b">
        <f t="shared" si="10"/>
        <v>0</v>
      </c>
    </row>
    <row r="120" spans="1:22" ht="15.75" customHeight="1" x14ac:dyDescent="0.2">
      <c r="A120" s="19">
        <f t="shared" si="11"/>
        <v>119</v>
      </c>
      <c r="B120" s="19" t="s">
        <v>380</v>
      </c>
      <c r="C120" s="19" t="s">
        <v>357</v>
      </c>
      <c r="D120" s="19"/>
      <c r="E120" s="19" t="s">
        <v>55</v>
      </c>
      <c r="F120" s="19" t="s">
        <v>38</v>
      </c>
      <c r="G120" s="19" t="s">
        <v>31</v>
      </c>
      <c r="H120" s="19"/>
      <c r="I120" s="19"/>
      <c r="J120" s="19"/>
      <c r="K120" s="19"/>
      <c r="L120" s="15">
        <f t="shared" si="0"/>
        <v>0</v>
      </c>
      <c r="M120" s="15" t="b">
        <f t="shared" si="1"/>
        <v>0</v>
      </c>
      <c r="N120" s="15" t="b">
        <f t="shared" si="2"/>
        <v>0</v>
      </c>
      <c r="O120" s="15" t="b">
        <f t="shared" si="3"/>
        <v>1</v>
      </c>
      <c r="P120" s="15" t="b">
        <f t="shared" si="4"/>
        <v>1</v>
      </c>
      <c r="Q120" s="15" t="b">
        <f t="shared" si="5"/>
        <v>0</v>
      </c>
      <c r="R120" s="15" t="b">
        <f t="shared" si="6"/>
        <v>0</v>
      </c>
      <c r="S120" s="15" t="b">
        <f t="shared" si="7"/>
        <v>0</v>
      </c>
      <c r="T120" s="15" t="b">
        <f t="shared" si="8"/>
        <v>0</v>
      </c>
      <c r="U120" s="15" t="b">
        <f t="shared" si="9"/>
        <v>0</v>
      </c>
      <c r="V120" s="15" t="b">
        <f t="shared" si="10"/>
        <v>0</v>
      </c>
    </row>
    <row r="121" spans="1:22" ht="15.75" customHeight="1" x14ac:dyDescent="0.2">
      <c r="A121" s="19">
        <f t="shared" si="11"/>
        <v>120</v>
      </c>
      <c r="B121" s="19" t="s">
        <v>171</v>
      </c>
      <c r="C121" s="18" t="s">
        <v>148</v>
      </c>
      <c r="D121" s="19"/>
      <c r="E121" s="19"/>
      <c r="F121" s="19" t="s">
        <v>38</v>
      </c>
      <c r="G121" s="19" t="s">
        <v>139</v>
      </c>
      <c r="H121" s="19"/>
      <c r="I121" s="19"/>
      <c r="J121" s="19"/>
      <c r="K121" s="19"/>
      <c r="L121" s="15">
        <f t="shared" si="0"/>
        <v>0</v>
      </c>
      <c r="M121" s="15" t="b">
        <f t="shared" si="1"/>
        <v>0</v>
      </c>
      <c r="N121" s="15" t="b">
        <f t="shared" si="2"/>
        <v>0</v>
      </c>
      <c r="O121" s="15" t="b">
        <f t="shared" si="3"/>
        <v>0</v>
      </c>
      <c r="P121" s="15" t="b">
        <f t="shared" si="4"/>
        <v>1</v>
      </c>
      <c r="Q121" s="15" t="b">
        <f t="shared" si="5"/>
        <v>0</v>
      </c>
      <c r="R121" s="15" t="b">
        <f t="shared" si="6"/>
        <v>0</v>
      </c>
      <c r="S121" s="15" t="b">
        <f t="shared" si="7"/>
        <v>0</v>
      </c>
      <c r="T121" s="15" t="b">
        <f t="shared" si="8"/>
        <v>0</v>
      </c>
      <c r="U121" s="15" t="b">
        <f t="shared" si="9"/>
        <v>0</v>
      </c>
      <c r="V121" s="15" t="b">
        <f t="shared" si="10"/>
        <v>0</v>
      </c>
    </row>
    <row r="122" spans="1:22" ht="15.75" customHeight="1" x14ac:dyDescent="0.2">
      <c r="A122" s="19">
        <f t="shared" si="11"/>
        <v>121</v>
      </c>
      <c r="B122" s="19" t="s">
        <v>130</v>
      </c>
      <c r="C122" s="19" t="s">
        <v>131</v>
      </c>
      <c r="D122" s="19"/>
      <c r="E122" s="19" t="s">
        <v>86</v>
      </c>
      <c r="F122" s="19" t="s">
        <v>38</v>
      </c>
      <c r="G122" s="19"/>
      <c r="H122" s="19"/>
      <c r="I122" s="19"/>
      <c r="J122" s="19"/>
      <c r="K122" s="19"/>
      <c r="L122" s="15">
        <f t="shared" si="0"/>
        <v>0</v>
      </c>
      <c r="M122" s="15" t="b">
        <f t="shared" si="1"/>
        <v>1</v>
      </c>
      <c r="N122" s="15" t="b">
        <f t="shared" si="2"/>
        <v>0</v>
      </c>
      <c r="O122" s="15" t="b">
        <f t="shared" si="3"/>
        <v>0</v>
      </c>
      <c r="P122" s="15" t="b">
        <f t="shared" si="4"/>
        <v>1</v>
      </c>
      <c r="Q122" s="15" t="b">
        <f t="shared" si="5"/>
        <v>0</v>
      </c>
      <c r="R122" s="15" t="b">
        <f t="shared" si="6"/>
        <v>0</v>
      </c>
      <c r="S122" s="15" t="b">
        <f t="shared" si="7"/>
        <v>0</v>
      </c>
      <c r="T122" s="15" t="b">
        <f t="shared" si="8"/>
        <v>0</v>
      </c>
      <c r="U122" s="15" t="b">
        <f t="shared" si="9"/>
        <v>0</v>
      </c>
      <c r="V122" s="15" t="b">
        <f t="shared" si="10"/>
        <v>0</v>
      </c>
    </row>
    <row r="123" spans="1:22" ht="15.75" customHeight="1" x14ac:dyDescent="0.2">
      <c r="A123" s="19">
        <f t="shared" si="11"/>
        <v>122</v>
      </c>
      <c r="B123" s="19" t="s">
        <v>246</v>
      </c>
      <c r="C123" s="19" t="s">
        <v>244</v>
      </c>
      <c r="D123" s="19"/>
      <c r="E123" s="19"/>
      <c r="F123" s="19" t="s">
        <v>90</v>
      </c>
      <c r="G123" s="19" t="s">
        <v>100</v>
      </c>
      <c r="H123" s="24" t="s">
        <v>247</v>
      </c>
      <c r="I123" s="19"/>
      <c r="J123" s="24" t="s">
        <v>45</v>
      </c>
      <c r="K123" s="19"/>
      <c r="L123" s="15">
        <f t="shared" si="0"/>
        <v>0</v>
      </c>
      <c r="M123" s="15" t="b">
        <f t="shared" si="1"/>
        <v>1</v>
      </c>
      <c r="N123" s="15" t="b">
        <f t="shared" si="2"/>
        <v>0</v>
      </c>
      <c r="O123" s="15" t="b">
        <f t="shared" si="3"/>
        <v>0</v>
      </c>
      <c r="P123" s="15" t="b">
        <f t="shared" si="4"/>
        <v>1</v>
      </c>
      <c r="Q123" s="15" t="b">
        <f t="shared" si="5"/>
        <v>0</v>
      </c>
      <c r="R123" s="15" t="b">
        <f t="shared" si="6"/>
        <v>0</v>
      </c>
      <c r="S123" s="15" t="b">
        <f t="shared" si="7"/>
        <v>0</v>
      </c>
      <c r="T123" s="15" t="b">
        <f t="shared" si="8"/>
        <v>0</v>
      </c>
      <c r="U123" s="15" t="b">
        <f t="shared" si="9"/>
        <v>0</v>
      </c>
      <c r="V123" s="15" t="b">
        <f t="shared" si="10"/>
        <v>1</v>
      </c>
    </row>
    <row r="124" spans="1:22" ht="15.75" customHeight="1" x14ac:dyDescent="0.2">
      <c r="A124" s="19">
        <f t="shared" si="11"/>
        <v>123</v>
      </c>
      <c r="B124" s="19" t="s">
        <v>385</v>
      </c>
      <c r="C124" s="19" t="s">
        <v>386</v>
      </c>
      <c r="D124" s="19"/>
      <c r="E124" s="19" t="s">
        <v>268</v>
      </c>
      <c r="F124" s="19" t="s">
        <v>38</v>
      </c>
      <c r="G124" s="19" t="s">
        <v>100</v>
      </c>
      <c r="H124" s="19"/>
      <c r="I124" s="19"/>
      <c r="J124" s="19"/>
      <c r="K124" s="19"/>
      <c r="L124" s="15">
        <f t="shared" si="0"/>
        <v>0</v>
      </c>
      <c r="M124" s="15" t="b">
        <f t="shared" si="1"/>
        <v>0</v>
      </c>
      <c r="N124" s="15" t="b">
        <f t="shared" si="2"/>
        <v>0</v>
      </c>
      <c r="O124" s="15" t="b">
        <f t="shared" si="3"/>
        <v>0</v>
      </c>
      <c r="P124" s="15" t="b">
        <f t="shared" si="4"/>
        <v>1</v>
      </c>
      <c r="Q124" s="15" t="b">
        <f t="shared" si="5"/>
        <v>0</v>
      </c>
      <c r="R124" s="15" t="b">
        <f t="shared" si="6"/>
        <v>0</v>
      </c>
      <c r="S124" s="15" t="b">
        <f t="shared" si="7"/>
        <v>0</v>
      </c>
      <c r="T124" s="15" t="b">
        <f t="shared" si="8"/>
        <v>0</v>
      </c>
      <c r="U124" s="15" t="b">
        <f t="shared" si="9"/>
        <v>0</v>
      </c>
      <c r="V124" s="15" t="b">
        <f t="shared" si="10"/>
        <v>1</v>
      </c>
    </row>
    <row r="125" spans="1:22" ht="15.75" customHeight="1" x14ac:dyDescent="0.2">
      <c r="A125" s="19">
        <f t="shared" si="11"/>
        <v>124</v>
      </c>
      <c r="B125" s="19" t="s">
        <v>375</v>
      </c>
      <c r="C125" s="19" t="s">
        <v>357</v>
      </c>
      <c r="D125" s="19"/>
      <c r="E125" s="19"/>
      <c r="F125" s="19" t="s">
        <v>45</v>
      </c>
      <c r="G125" s="19"/>
      <c r="H125" s="19"/>
      <c r="I125" s="19"/>
      <c r="J125" s="19"/>
      <c r="K125" s="19"/>
      <c r="L125" s="15">
        <f t="shared" si="0"/>
        <v>0</v>
      </c>
      <c r="M125" s="15" t="b">
        <f t="shared" si="1"/>
        <v>0</v>
      </c>
      <c r="N125" s="15" t="b">
        <f t="shared" si="2"/>
        <v>0</v>
      </c>
      <c r="O125" s="15" t="b">
        <f t="shared" si="3"/>
        <v>0</v>
      </c>
      <c r="P125" s="15" t="b">
        <f t="shared" si="4"/>
        <v>1</v>
      </c>
      <c r="Q125" s="15" t="b">
        <f t="shared" si="5"/>
        <v>0</v>
      </c>
      <c r="R125" s="15" t="b">
        <f t="shared" si="6"/>
        <v>0</v>
      </c>
      <c r="S125" s="15" t="b">
        <f t="shared" si="7"/>
        <v>0</v>
      </c>
      <c r="T125" s="15" t="b">
        <f t="shared" si="8"/>
        <v>0</v>
      </c>
      <c r="U125" s="15" t="b">
        <f t="shared" si="9"/>
        <v>0</v>
      </c>
      <c r="V125" s="15" t="b">
        <f t="shared" si="10"/>
        <v>0</v>
      </c>
    </row>
    <row r="126" spans="1:22" ht="15.75" customHeight="1" x14ac:dyDescent="0.2">
      <c r="A126" s="19">
        <f t="shared" si="11"/>
        <v>125</v>
      </c>
      <c r="B126" s="19" t="s">
        <v>176</v>
      </c>
      <c r="C126" s="18" t="s">
        <v>148</v>
      </c>
      <c r="D126" s="19"/>
      <c r="E126" s="19" t="s">
        <v>55</v>
      </c>
      <c r="F126" s="19" t="s">
        <v>38</v>
      </c>
      <c r="G126" s="19" t="s">
        <v>100</v>
      </c>
      <c r="H126" s="19"/>
      <c r="I126" s="19"/>
      <c r="J126" s="19"/>
      <c r="K126" s="19"/>
      <c r="L126" s="15">
        <f t="shared" si="0"/>
        <v>0</v>
      </c>
      <c r="M126" s="15" t="b">
        <f t="shared" si="1"/>
        <v>0</v>
      </c>
      <c r="N126" s="15" t="b">
        <f t="shared" si="2"/>
        <v>0</v>
      </c>
      <c r="O126" s="15" t="b">
        <f t="shared" si="3"/>
        <v>0</v>
      </c>
      <c r="P126" s="15" t="b">
        <f t="shared" si="4"/>
        <v>1</v>
      </c>
      <c r="Q126" s="15" t="b">
        <f t="shared" si="5"/>
        <v>0</v>
      </c>
      <c r="R126" s="15" t="b">
        <f t="shared" si="6"/>
        <v>0</v>
      </c>
      <c r="S126" s="15" t="b">
        <f t="shared" si="7"/>
        <v>0</v>
      </c>
      <c r="T126" s="15" t="b">
        <f t="shared" si="8"/>
        <v>0</v>
      </c>
      <c r="U126" s="15" t="b">
        <f t="shared" si="9"/>
        <v>0</v>
      </c>
      <c r="V126" s="15" t="b">
        <f t="shared" si="10"/>
        <v>1</v>
      </c>
    </row>
    <row r="127" spans="1:22" ht="15.75" customHeight="1" x14ac:dyDescent="0.2">
      <c r="A127" s="19">
        <f t="shared" si="11"/>
        <v>126</v>
      </c>
      <c r="B127" s="19" t="s">
        <v>179</v>
      </c>
      <c r="C127" s="18" t="s">
        <v>148</v>
      </c>
      <c r="D127" s="19"/>
      <c r="E127" s="19" t="s">
        <v>66</v>
      </c>
      <c r="F127" s="19" t="s">
        <v>38</v>
      </c>
      <c r="G127" s="19" t="s">
        <v>100</v>
      </c>
      <c r="H127" s="19"/>
      <c r="I127" s="19"/>
      <c r="J127" s="19"/>
      <c r="K127" s="19"/>
      <c r="L127" s="15">
        <f t="shared" si="0"/>
        <v>0</v>
      </c>
      <c r="M127" s="15" t="b">
        <f t="shared" si="1"/>
        <v>0</v>
      </c>
      <c r="N127" s="15" t="b">
        <f t="shared" si="2"/>
        <v>1</v>
      </c>
      <c r="O127" s="15" t="b">
        <f t="shared" si="3"/>
        <v>0</v>
      </c>
      <c r="P127" s="15" t="b">
        <f t="shared" si="4"/>
        <v>1</v>
      </c>
      <c r="Q127" s="15" t="b">
        <f t="shared" si="5"/>
        <v>0</v>
      </c>
      <c r="R127" s="15" t="b">
        <f t="shared" si="6"/>
        <v>0</v>
      </c>
      <c r="S127" s="15" t="b">
        <f t="shared" si="7"/>
        <v>0</v>
      </c>
      <c r="T127" s="15" t="b">
        <f t="shared" si="8"/>
        <v>0</v>
      </c>
      <c r="U127" s="15" t="b">
        <f t="shared" si="9"/>
        <v>0</v>
      </c>
      <c r="V127" s="15" t="b">
        <f t="shared" si="10"/>
        <v>1</v>
      </c>
    </row>
    <row r="128" spans="1:22" ht="15.75" customHeight="1" x14ac:dyDescent="0.2">
      <c r="A128" s="19">
        <f t="shared" si="11"/>
        <v>127</v>
      </c>
      <c r="B128" s="19" t="s">
        <v>329</v>
      </c>
      <c r="C128" s="19" t="s">
        <v>317</v>
      </c>
      <c r="D128" s="19"/>
      <c r="E128" s="19" t="s">
        <v>156</v>
      </c>
      <c r="F128" s="19"/>
      <c r="G128" s="19"/>
      <c r="H128" s="19"/>
      <c r="I128" s="19"/>
      <c r="J128" s="19"/>
      <c r="K128" s="19"/>
      <c r="L128" s="15">
        <f t="shared" si="0"/>
        <v>0</v>
      </c>
      <c r="M128" s="15" t="b">
        <f t="shared" si="1"/>
        <v>0</v>
      </c>
      <c r="N128" s="15" t="b">
        <f t="shared" si="2"/>
        <v>0</v>
      </c>
      <c r="O128" s="15" t="b">
        <f t="shared" si="3"/>
        <v>0</v>
      </c>
      <c r="P128" s="15" t="b">
        <f t="shared" si="4"/>
        <v>0</v>
      </c>
      <c r="Q128" s="15" t="b">
        <f t="shared" si="5"/>
        <v>0</v>
      </c>
      <c r="R128" s="15" t="b">
        <f t="shared" si="6"/>
        <v>0</v>
      </c>
      <c r="S128" s="15" t="b">
        <f t="shared" si="7"/>
        <v>0</v>
      </c>
      <c r="T128" s="15" t="b">
        <f t="shared" si="8"/>
        <v>0</v>
      </c>
      <c r="U128" s="15" t="b">
        <f t="shared" si="9"/>
        <v>0</v>
      </c>
      <c r="V128" s="15" t="b">
        <f t="shared" si="10"/>
        <v>0</v>
      </c>
    </row>
    <row r="129" spans="1:22" ht="15.75" customHeight="1" x14ac:dyDescent="0.2">
      <c r="A129" s="19">
        <f t="shared" si="11"/>
        <v>128</v>
      </c>
      <c r="B129" s="20" t="s">
        <v>64</v>
      </c>
      <c r="C129" s="20" t="s">
        <v>65</v>
      </c>
      <c r="D129" s="20"/>
      <c r="E129" s="20" t="s">
        <v>66</v>
      </c>
      <c r="F129" s="20"/>
      <c r="G129" s="20" t="s">
        <v>48</v>
      </c>
      <c r="H129" s="20"/>
      <c r="I129" s="19"/>
      <c r="J129" s="20"/>
      <c r="K129" s="20"/>
      <c r="L129" s="15">
        <f t="shared" si="0"/>
        <v>0</v>
      </c>
      <c r="M129" s="15" t="b">
        <f t="shared" si="1"/>
        <v>0</v>
      </c>
      <c r="N129" s="15" t="b">
        <f t="shared" si="2"/>
        <v>1</v>
      </c>
      <c r="O129" s="15" t="b">
        <f t="shared" si="3"/>
        <v>0</v>
      </c>
      <c r="P129" s="15" t="b">
        <f t="shared" si="4"/>
        <v>0</v>
      </c>
      <c r="Q129" s="15" t="b">
        <f t="shared" si="5"/>
        <v>0</v>
      </c>
      <c r="R129" s="15" t="b">
        <f t="shared" si="6"/>
        <v>0</v>
      </c>
      <c r="S129" s="15" t="b">
        <f t="shared" si="7"/>
        <v>0</v>
      </c>
      <c r="T129" s="15" t="b">
        <f t="shared" si="8"/>
        <v>1</v>
      </c>
      <c r="U129" s="15" t="b">
        <f t="shared" si="9"/>
        <v>0</v>
      </c>
      <c r="V129" s="15" t="b">
        <f t="shared" si="10"/>
        <v>0</v>
      </c>
    </row>
    <row r="130" spans="1:22" ht="15.75" customHeight="1" x14ac:dyDescent="0.2">
      <c r="A130" s="19">
        <f t="shared" si="11"/>
        <v>129</v>
      </c>
      <c r="B130" s="19" t="s">
        <v>190</v>
      </c>
      <c r="C130" s="18" t="s">
        <v>148</v>
      </c>
      <c r="D130" s="19"/>
      <c r="E130" s="23" t="s">
        <v>62</v>
      </c>
      <c r="F130" s="19" t="s">
        <v>38</v>
      </c>
      <c r="G130" s="19" t="s">
        <v>68</v>
      </c>
      <c r="H130" s="18" t="s">
        <v>79</v>
      </c>
      <c r="I130" s="19"/>
      <c r="J130" s="24" t="s">
        <v>66</v>
      </c>
      <c r="K130" s="24" t="s">
        <v>192</v>
      </c>
      <c r="L130" s="15">
        <f t="shared" si="0"/>
        <v>0</v>
      </c>
      <c r="M130" s="15" t="b">
        <f t="shared" si="1"/>
        <v>0</v>
      </c>
      <c r="N130" s="15" t="b">
        <f t="shared" si="2"/>
        <v>1</v>
      </c>
      <c r="O130" s="15" t="b">
        <f t="shared" si="3"/>
        <v>0</v>
      </c>
      <c r="P130" s="15" t="b">
        <f t="shared" si="4"/>
        <v>1</v>
      </c>
      <c r="Q130" s="15" t="b">
        <f t="shared" si="5"/>
        <v>1</v>
      </c>
      <c r="R130" s="15" t="b">
        <f t="shared" si="6"/>
        <v>0</v>
      </c>
      <c r="S130" s="15" t="b">
        <f t="shared" si="7"/>
        <v>0</v>
      </c>
      <c r="T130" s="15" t="b">
        <f t="shared" si="8"/>
        <v>0</v>
      </c>
      <c r="U130" s="15" t="b">
        <f t="shared" si="9"/>
        <v>0</v>
      </c>
      <c r="V130" s="15" t="b">
        <f t="shared" si="10"/>
        <v>0</v>
      </c>
    </row>
    <row r="131" spans="1:22" ht="15.75" customHeight="1" x14ac:dyDescent="0.2">
      <c r="A131" s="19">
        <f t="shared" si="11"/>
        <v>130</v>
      </c>
      <c r="B131" s="19" t="s">
        <v>351</v>
      </c>
      <c r="C131" s="19" t="s">
        <v>343</v>
      </c>
      <c r="D131" s="19"/>
      <c r="E131" s="19"/>
      <c r="F131" s="19" t="s">
        <v>90</v>
      </c>
      <c r="G131" s="19" t="s">
        <v>100</v>
      </c>
      <c r="H131" s="19"/>
      <c r="I131" s="19"/>
      <c r="J131" s="19"/>
      <c r="K131" s="19"/>
      <c r="L131" s="15">
        <f t="shared" si="0"/>
        <v>0</v>
      </c>
      <c r="M131" s="15" t="b">
        <f t="shared" si="1"/>
        <v>0</v>
      </c>
      <c r="N131" s="15" t="b">
        <f t="shared" si="2"/>
        <v>0</v>
      </c>
      <c r="O131" s="15" t="b">
        <f t="shared" si="3"/>
        <v>0</v>
      </c>
      <c r="P131" s="15" t="b">
        <f t="shared" si="4"/>
        <v>1</v>
      </c>
      <c r="Q131" s="15" t="b">
        <f t="shared" si="5"/>
        <v>0</v>
      </c>
      <c r="R131" s="15" t="b">
        <f t="shared" si="6"/>
        <v>0</v>
      </c>
      <c r="S131" s="15" t="b">
        <f t="shared" si="7"/>
        <v>0</v>
      </c>
      <c r="T131" s="15" t="b">
        <f t="shared" si="8"/>
        <v>0</v>
      </c>
      <c r="U131" s="15" t="b">
        <f t="shared" si="9"/>
        <v>0</v>
      </c>
      <c r="V131" s="15" t="b">
        <f t="shared" si="10"/>
        <v>1</v>
      </c>
    </row>
    <row r="132" spans="1:22" ht="15.75" customHeight="1" x14ac:dyDescent="0.2">
      <c r="A132" s="19">
        <f t="shared" si="11"/>
        <v>131</v>
      </c>
      <c r="B132" s="19" t="s">
        <v>382</v>
      </c>
      <c r="C132" s="19" t="s">
        <v>357</v>
      </c>
      <c r="D132" s="19"/>
      <c r="E132" s="19"/>
      <c r="F132" s="19" t="s">
        <v>90</v>
      </c>
      <c r="G132" s="19" t="s">
        <v>100</v>
      </c>
      <c r="H132" s="19"/>
      <c r="I132" s="19"/>
      <c r="J132" s="24" t="s">
        <v>383</v>
      </c>
      <c r="K132" s="24" t="s">
        <v>76</v>
      </c>
      <c r="L132" s="15">
        <f t="shared" si="0"/>
        <v>0</v>
      </c>
      <c r="M132" s="15" t="b">
        <f t="shared" si="1"/>
        <v>0</v>
      </c>
      <c r="N132" s="15" t="b">
        <f t="shared" si="2"/>
        <v>0</v>
      </c>
      <c r="O132" s="15" t="b">
        <f t="shared" si="3"/>
        <v>0</v>
      </c>
      <c r="P132" s="15" t="b">
        <f t="shared" si="4"/>
        <v>1</v>
      </c>
      <c r="Q132" s="15" t="b">
        <f t="shared" si="5"/>
        <v>0</v>
      </c>
      <c r="R132" s="15" t="b">
        <f t="shared" si="6"/>
        <v>0</v>
      </c>
      <c r="S132" s="15" t="b">
        <f t="shared" si="7"/>
        <v>0</v>
      </c>
      <c r="T132" s="15" t="b">
        <f t="shared" si="8"/>
        <v>0</v>
      </c>
      <c r="U132" s="15" t="b">
        <f t="shared" si="9"/>
        <v>0</v>
      </c>
      <c r="V132" s="15" t="b">
        <f t="shared" si="10"/>
        <v>1</v>
      </c>
    </row>
    <row r="133" spans="1:22" ht="15.75" customHeight="1" x14ac:dyDescent="0.2">
      <c r="A133" s="19">
        <f t="shared" si="11"/>
        <v>132</v>
      </c>
      <c r="B133" s="19" t="s">
        <v>216</v>
      </c>
      <c r="C133" s="18" t="s">
        <v>148</v>
      </c>
      <c r="D133" s="19"/>
      <c r="E133" s="19" t="s">
        <v>73</v>
      </c>
      <c r="F133" s="19"/>
      <c r="G133" s="19" t="s">
        <v>48</v>
      </c>
      <c r="H133" s="19"/>
      <c r="I133" s="19"/>
      <c r="J133" s="19"/>
      <c r="K133" s="19"/>
      <c r="L133" s="15">
        <f t="shared" si="0"/>
        <v>0</v>
      </c>
      <c r="M133" s="15" t="b">
        <f t="shared" si="1"/>
        <v>0</v>
      </c>
      <c r="N133" s="15" t="b">
        <f t="shared" si="2"/>
        <v>0</v>
      </c>
      <c r="O133" s="15" t="b">
        <f t="shared" si="3"/>
        <v>0</v>
      </c>
      <c r="P133" s="15" t="b">
        <f t="shared" si="4"/>
        <v>0</v>
      </c>
      <c r="Q133" s="15" t="b">
        <f t="shared" si="5"/>
        <v>0</v>
      </c>
      <c r="R133" s="15" t="b">
        <f t="shared" si="6"/>
        <v>0</v>
      </c>
      <c r="S133" s="15" t="b">
        <f t="shared" si="7"/>
        <v>0</v>
      </c>
      <c r="T133" s="15" t="b">
        <f t="shared" si="8"/>
        <v>1</v>
      </c>
      <c r="U133" s="15" t="b">
        <f t="shared" si="9"/>
        <v>0</v>
      </c>
      <c r="V133" s="15" t="b">
        <f t="shared" si="10"/>
        <v>0</v>
      </c>
    </row>
    <row r="134" spans="1:22" ht="15.75" customHeight="1" x14ac:dyDescent="0.2">
      <c r="A134" s="19">
        <f t="shared" si="11"/>
        <v>133</v>
      </c>
      <c r="B134" s="19" t="s">
        <v>311</v>
      </c>
      <c r="C134" s="19" t="s">
        <v>300</v>
      </c>
      <c r="D134" s="19"/>
      <c r="E134" s="19"/>
      <c r="F134" s="19" t="s">
        <v>38</v>
      </c>
      <c r="G134" s="19" t="s">
        <v>57</v>
      </c>
      <c r="H134" s="19"/>
      <c r="I134" s="19"/>
      <c r="J134" s="19"/>
      <c r="K134" s="19"/>
      <c r="L134" s="15">
        <f t="shared" si="0"/>
        <v>0</v>
      </c>
      <c r="M134" s="15" t="b">
        <f t="shared" si="1"/>
        <v>0</v>
      </c>
      <c r="N134" s="15" t="b">
        <f t="shared" si="2"/>
        <v>0</v>
      </c>
      <c r="O134" s="15" t="b">
        <f t="shared" si="3"/>
        <v>1</v>
      </c>
      <c r="P134" s="15" t="b">
        <f t="shared" si="4"/>
        <v>1</v>
      </c>
      <c r="Q134" s="15" t="b">
        <f t="shared" si="5"/>
        <v>0</v>
      </c>
      <c r="R134" s="15" t="b">
        <f t="shared" si="6"/>
        <v>0</v>
      </c>
      <c r="S134" s="15" t="b">
        <f t="shared" si="7"/>
        <v>0</v>
      </c>
      <c r="T134" s="15" t="b">
        <f t="shared" si="8"/>
        <v>0</v>
      </c>
      <c r="U134" s="15" t="b">
        <f t="shared" si="9"/>
        <v>0</v>
      </c>
      <c r="V134" s="15" t="b">
        <f t="shared" si="10"/>
        <v>0</v>
      </c>
    </row>
    <row r="135" spans="1:22" ht="15.75" customHeight="1" x14ac:dyDescent="0.2">
      <c r="A135" s="19">
        <f t="shared" si="11"/>
        <v>134</v>
      </c>
      <c r="B135" s="19" t="s">
        <v>206</v>
      </c>
      <c r="C135" s="18" t="s">
        <v>148</v>
      </c>
      <c r="D135" s="19"/>
      <c r="E135" s="19"/>
      <c r="F135" s="19" t="s">
        <v>126</v>
      </c>
      <c r="G135" s="19" t="s">
        <v>52</v>
      </c>
      <c r="H135" s="19"/>
      <c r="I135" s="19"/>
      <c r="J135" s="19" t="s">
        <v>48</v>
      </c>
      <c r="K135" s="24" t="s">
        <v>104</v>
      </c>
      <c r="L135" s="15">
        <f t="shared" si="0"/>
        <v>0</v>
      </c>
      <c r="M135" s="15" t="b">
        <f t="shared" si="1"/>
        <v>0</v>
      </c>
      <c r="N135" s="15" t="b">
        <f t="shared" si="2"/>
        <v>0</v>
      </c>
      <c r="O135" s="15" t="b">
        <f t="shared" si="3"/>
        <v>0</v>
      </c>
      <c r="P135" s="15" t="b">
        <f t="shared" si="4"/>
        <v>1</v>
      </c>
      <c r="Q135" s="15" t="b">
        <f t="shared" si="5"/>
        <v>0</v>
      </c>
      <c r="R135" s="15" t="b">
        <f t="shared" si="6"/>
        <v>0</v>
      </c>
      <c r="S135" s="15" t="b">
        <f t="shared" si="7"/>
        <v>1</v>
      </c>
      <c r="T135" s="15" t="b">
        <f t="shared" si="8"/>
        <v>1</v>
      </c>
      <c r="U135" s="15" t="b">
        <f t="shared" si="9"/>
        <v>0</v>
      </c>
      <c r="V135" s="15" t="b">
        <f t="shared" si="10"/>
        <v>0</v>
      </c>
    </row>
    <row r="136" spans="1:22" ht="15.75" customHeight="1" x14ac:dyDescent="0.2">
      <c r="A136" s="19">
        <f t="shared" si="11"/>
        <v>135</v>
      </c>
      <c r="B136" s="19" t="s">
        <v>143</v>
      </c>
      <c r="C136" s="19" t="s">
        <v>144</v>
      </c>
      <c r="D136" s="19"/>
      <c r="E136" s="19"/>
      <c r="F136" s="19" t="s">
        <v>90</v>
      </c>
      <c r="G136" s="19" t="s">
        <v>100</v>
      </c>
      <c r="H136" s="24" t="s">
        <v>45</v>
      </c>
      <c r="I136" s="19"/>
      <c r="J136" s="19"/>
      <c r="K136" s="19"/>
      <c r="L136" s="15">
        <f t="shared" si="0"/>
        <v>0</v>
      </c>
      <c r="M136" s="15" t="b">
        <f t="shared" si="1"/>
        <v>0</v>
      </c>
      <c r="N136" s="15" t="b">
        <f t="shared" si="2"/>
        <v>0</v>
      </c>
      <c r="O136" s="15" t="b">
        <f t="shared" si="3"/>
        <v>0</v>
      </c>
      <c r="P136" s="15" t="b">
        <f t="shared" si="4"/>
        <v>1</v>
      </c>
      <c r="Q136" s="15" t="b">
        <f t="shared" si="5"/>
        <v>0</v>
      </c>
      <c r="R136" s="15" t="b">
        <f t="shared" si="6"/>
        <v>0</v>
      </c>
      <c r="S136" s="15" t="b">
        <f t="shared" si="7"/>
        <v>0</v>
      </c>
      <c r="T136" s="15" t="b">
        <f t="shared" si="8"/>
        <v>0</v>
      </c>
      <c r="U136" s="15" t="b">
        <f t="shared" si="9"/>
        <v>0</v>
      </c>
      <c r="V136" s="15" t="b">
        <f t="shared" si="10"/>
        <v>1</v>
      </c>
    </row>
    <row r="137" spans="1:22" ht="15.75" customHeight="1" x14ac:dyDescent="0.2">
      <c r="A137" s="19">
        <f t="shared" si="11"/>
        <v>136</v>
      </c>
      <c r="B137" s="19" t="s">
        <v>352</v>
      </c>
      <c r="C137" s="19" t="s">
        <v>343</v>
      </c>
      <c r="D137" s="19"/>
      <c r="E137" s="19"/>
      <c r="F137" s="19" t="s">
        <v>90</v>
      </c>
      <c r="G137" s="19" t="s">
        <v>57</v>
      </c>
      <c r="H137" s="19"/>
      <c r="I137" s="19"/>
      <c r="J137" s="19"/>
      <c r="K137" s="19"/>
      <c r="L137" s="15">
        <f t="shared" si="0"/>
        <v>0</v>
      </c>
      <c r="M137" s="15" t="b">
        <f t="shared" si="1"/>
        <v>0</v>
      </c>
      <c r="N137" s="15" t="b">
        <f t="shared" si="2"/>
        <v>0</v>
      </c>
      <c r="O137" s="15" t="b">
        <f t="shared" si="3"/>
        <v>1</v>
      </c>
      <c r="P137" s="15" t="b">
        <f t="shared" si="4"/>
        <v>1</v>
      </c>
      <c r="Q137" s="15" t="b">
        <f t="shared" si="5"/>
        <v>0</v>
      </c>
      <c r="R137" s="15" t="b">
        <f t="shared" si="6"/>
        <v>0</v>
      </c>
      <c r="S137" s="15" t="b">
        <f t="shared" si="7"/>
        <v>0</v>
      </c>
      <c r="T137" s="15" t="b">
        <f t="shared" si="8"/>
        <v>0</v>
      </c>
      <c r="U137" s="15" t="b">
        <f t="shared" si="9"/>
        <v>0</v>
      </c>
      <c r="V137" s="15" t="b">
        <f t="shared" si="10"/>
        <v>0</v>
      </c>
    </row>
    <row r="138" spans="1:22" ht="15.75" customHeight="1" x14ac:dyDescent="0.2">
      <c r="A138" s="19">
        <f t="shared" si="11"/>
        <v>137</v>
      </c>
      <c r="B138" s="19" t="s">
        <v>75</v>
      </c>
      <c r="C138" s="19" t="s">
        <v>65</v>
      </c>
      <c r="D138" s="19"/>
      <c r="E138" s="19" t="s">
        <v>66</v>
      </c>
      <c r="F138" s="19"/>
      <c r="G138" s="19" t="s">
        <v>48</v>
      </c>
      <c r="H138" s="19"/>
      <c r="I138" s="19"/>
      <c r="J138" s="19"/>
      <c r="K138" s="19"/>
      <c r="L138" s="15">
        <f t="shared" si="0"/>
        <v>0</v>
      </c>
      <c r="M138" s="15" t="b">
        <f t="shared" si="1"/>
        <v>0</v>
      </c>
      <c r="N138" s="15" t="b">
        <f t="shared" si="2"/>
        <v>1</v>
      </c>
      <c r="O138" s="15" t="b">
        <f t="shared" si="3"/>
        <v>0</v>
      </c>
      <c r="P138" s="15" t="b">
        <f t="shared" si="4"/>
        <v>0</v>
      </c>
      <c r="Q138" s="15" t="b">
        <f t="shared" si="5"/>
        <v>0</v>
      </c>
      <c r="R138" s="15" t="b">
        <f t="shared" si="6"/>
        <v>0</v>
      </c>
      <c r="S138" s="15" t="b">
        <f t="shared" si="7"/>
        <v>0</v>
      </c>
      <c r="T138" s="15" t="b">
        <f t="shared" si="8"/>
        <v>1</v>
      </c>
      <c r="U138" s="15" t="b">
        <f t="shared" si="9"/>
        <v>0</v>
      </c>
      <c r="V138" s="15" t="b">
        <f t="shared" si="10"/>
        <v>0</v>
      </c>
    </row>
    <row r="139" spans="1:22" ht="15.75" customHeight="1" x14ac:dyDescent="0.2">
      <c r="A139" s="19">
        <f t="shared" si="11"/>
        <v>138</v>
      </c>
      <c r="B139" s="19" t="s">
        <v>281</v>
      </c>
      <c r="C139" s="19" t="s">
        <v>265</v>
      </c>
      <c r="D139" s="19" t="s">
        <v>282</v>
      </c>
      <c r="E139" s="19"/>
      <c r="F139" s="19" t="s">
        <v>90</v>
      </c>
      <c r="G139" s="19" t="s">
        <v>60</v>
      </c>
      <c r="H139" s="19"/>
      <c r="I139" s="19"/>
      <c r="J139" s="19"/>
      <c r="K139" s="19"/>
      <c r="L139" s="15">
        <f t="shared" si="0"/>
        <v>0</v>
      </c>
      <c r="M139" s="15" t="b">
        <f t="shared" si="1"/>
        <v>0</v>
      </c>
      <c r="N139" s="15" t="b">
        <f t="shared" si="2"/>
        <v>0</v>
      </c>
      <c r="O139" s="15" t="b">
        <f t="shared" si="3"/>
        <v>0</v>
      </c>
      <c r="P139" s="15" t="b">
        <f t="shared" si="4"/>
        <v>1</v>
      </c>
      <c r="Q139" s="15" t="b">
        <f t="shared" si="5"/>
        <v>0</v>
      </c>
      <c r="R139" s="15" t="b">
        <f t="shared" si="6"/>
        <v>0</v>
      </c>
      <c r="S139" s="15" t="b">
        <f t="shared" si="7"/>
        <v>0</v>
      </c>
      <c r="T139" s="15" t="b">
        <f t="shared" si="8"/>
        <v>0</v>
      </c>
      <c r="U139" s="15" t="b">
        <f t="shared" si="9"/>
        <v>0</v>
      </c>
      <c r="V139" s="15" t="b">
        <f t="shared" si="10"/>
        <v>0</v>
      </c>
    </row>
    <row r="140" spans="1:22" ht="15.75" customHeight="1" x14ac:dyDescent="0.2">
      <c r="A140" s="19">
        <f t="shared" si="11"/>
        <v>139</v>
      </c>
      <c r="B140" s="19" t="s">
        <v>350</v>
      </c>
      <c r="C140" s="19" t="s">
        <v>343</v>
      </c>
      <c r="D140" s="19"/>
      <c r="E140" s="19"/>
      <c r="F140" s="19" t="s">
        <v>90</v>
      </c>
      <c r="G140" s="19" t="s">
        <v>139</v>
      </c>
      <c r="H140" s="19"/>
      <c r="I140" s="19"/>
      <c r="J140" s="19"/>
      <c r="K140" s="19"/>
      <c r="L140" s="15">
        <f t="shared" si="0"/>
        <v>0</v>
      </c>
      <c r="M140" s="15" t="b">
        <f t="shared" si="1"/>
        <v>0</v>
      </c>
      <c r="N140" s="15" t="b">
        <f t="shared" si="2"/>
        <v>0</v>
      </c>
      <c r="O140" s="15" t="b">
        <f t="shared" si="3"/>
        <v>0</v>
      </c>
      <c r="P140" s="15" t="b">
        <f t="shared" si="4"/>
        <v>1</v>
      </c>
      <c r="Q140" s="15" t="b">
        <f t="shared" si="5"/>
        <v>0</v>
      </c>
      <c r="R140" s="15" t="b">
        <f t="shared" si="6"/>
        <v>0</v>
      </c>
      <c r="S140" s="15" t="b">
        <f t="shared" si="7"/>
        <v>0</v>
      </c>
      <c r="T140" s="15" t="b">
        <f t="shared" si="8"/>
        <v>0</v>
      </c>
      <c r="U140" s="15" t="b">
        <f t="shared" si="9"/>
        <v>0</v>
      </c>
      <c r="V140" s="15" t="b">
        <f t="shared" si="10"/>
        <v>0</v>
      </c>
    </row>
    <row r="141" spans="1:22" ht="15.75" customHeight="1" x14ac:dyDescent="0.2">
      <c r="A141" s="19">
        <f t="shared" si="11"/>
        <v>140</v>
      </c>
      <c r="B141" s="20" t="s">
        <v>95</v>
      </c>
      <c r="C141" s="20" t="s">
        <v>65</v>
      </c>
      <c r="D141" s="20"/>
      <c r="E141" s="20" t="s">
        <v>86</v>
      </c>
      <c r="F141" s="20"/>
      <c r="G141" s="20"/>
      <c r="H141" s="20"/>
      <c r="I141" s="19" t="s">
        <v>96</v>
      </c>
      <c r="J141" s="20"/>
      <c r="K141" s="20"/>
      <c r="L141" s="15">
        <f t="shared" si="0"/>
        <v>0</v>
      </c>
      <c r="M141" s="15" t="b">
        <f t="shared" si="1"/>
        <v>1</v>
      </c>
      <c r="N141" s="15" t="b">
        <f t="shared" si="2"/>
        <v>0</v>
      </c>
      <c r="O141" s="15" t="b">
        <f t="shared" si="3"/>
        <v>0</v>
      </c>
      <c r="P141" s="15" t="b">
        <f t="shared" si="4"/>
        <v>0</v>
      </c>
      <c r="Q141" s="15" t="b">
        <f t="shared" si="5"/>
        <v>0</v>
      </c>
      <c r="R141" s="15" t="b">
        <f t="shared" si="6"/>
        <v>0</v>
      </c>
      <c r="S141" s="15" t="b">
        <f t="shared" si="7"/>
        <v>0</v>
      </c>
      <c r="T141" s="15" t="b">
        <f t="shared" si="8"/>
        <v>0</v>
      </c>
      <c r="U141" s="15" t="b">
        <f t="shared" si="9"/>
        <v>0</v>
      </c>
      <c r="V141" s="15" t="b">
        <f t="shared" si="10"/>
        <v>0</v>
      </c>
    </row>
    <row r="142" spans="1:22" ht="15.75" customHeight="1" x14ac:dyDescent="0.2">
      <c r="A142" s="19">
        <f t="shared" si="11"/>
        <v>141</v>
      </c>
      <c r="B142" s="19" t="s">
        <v>287</v>
      </c>
      <c r="C142" s="19" t="s">
        <v>265</v>
      </c>
      <c r="D142" s="19"/>
      <c r="E142" s="19"/>
      <c r="F142" s="19" t="s">
        <v>38</v>
      </c>
      <c r="G142" s="19" t="s">
        <v>100</v>
      </c>
      <c r="H142" s="19"/>
      <c r="I142" s="19"/>
      <c r="J142" s="19"/>
      <c r="K142" s="19"/>
      <c r="L142" s="15">
        <f t="shared" si="0"/>
        <v>0</v>
      </c>
      <c r="M142" s="15" t="b">
        <f t="shared" si="1"/>
        <v>0</v>
      </c>
      <c r="N142" s="15" t="b">
        <f t="shared" si="2"/>
        <v>0</v>
      </c>
      <c r="O142" s="15" t="b">
        <f t="shared" si="3"/>
        <v>0</v>
      </c>
      <c r="P142" s="15" t="b">
        <f t="shared" si="4"/>
        <v>1</v>
      </c>
      <c r="Q142" s="15" t="b">
        <f t="shared" si="5"/>
        <v>0</v>
      </c>
      <c r="R142" s="15" t="b">
        <f t="shared" si="6"/>
        <v>0</v>
      </c>
      <c r="S142" s="15" t="b">
        <f t="shared" si="7"/>
        <v>0</v>
      </c>
      <c r="T142" s="15" t="b">
        <f t="shared" si="8"/>
        <v>0</v>
      </c>
      <c r="U142" s="15" t="b">
        <f t="shared" si="9"/>
        <v>0</v>
      </c>
      <c r="V142" s="15" t="b">
        <f t="shared" si="10"/>
        <v>1</v>
      </c>
    </row>
    <row r="143" spans="1:22" ht="15.75" customHeight="1" x14ac:dyDescent="0.2">
      <c r="A143" s="19">
        <f t="shared" si="11"/>
        <v>142</v>
      </c>
      <c r="B143" s="19" t="s">
        <v>331</v>
      </c>
      <c r="C143" s="19" t="s">
        <v>332</v>
      </c>
      <c r="D143" s="19"/>
      <c r="E143" s="19" t="s">
        <v>74</v>
      </c>
      <c r="F143" s="19" t="s">
        <v>38</v>
      </c>
      <c r="G143" s="19" t="s">
        <v>104</v>
      </c>
      <c r="H143" s="19"/>
      <c r="I143" s="19"/>
      <c r="J143" s="19"/>
      <c r="K143" s="19"/>
      <c r="L143" s="15">
        <f t="shared" si="0"/>
        <v>0</v>
      </c>
      <c r="M143" s="15" t="b">
        <f t="shared" si="1"/>
        <v>0</v>
      </c>
      <c r="N143" s="15" t="b">
        <f t="shared" si="2"/>
        <v>0</v>
      </c>
      <c r="O143" s="15" t="b">
        <f t="shared" si="3"/>
        <v>0</v>
      </c>
      <c r="P143" s="15" t="b">
        <f t="shared" si="4"/>
        <v>1</v>
      </c>
      <c r="Q143" s="15" t="b">
        <f t="shared" si="5"/>
        <v>0</v>
      </c>
      <c r="R143" s="15" t="b">
        <f t="shared" si="6"/>
        <v>0</v>
      </c>
      <c r="S143" s="15" t="b">
        <f t="shared" si="7"/>
        <v>0</v>
      </c>
      <c r="T143" s="15" t="b">
        <f t="shared" si="8"/>
        <v>0</v>
      </c>
      <c r="U143" s="15" t="b">
        <f t="shared" si="9"/>
        <v>0</v>
      </c>
      <c r="V143" s="15" t="b">
        <f t="shared" si="10"/>
        <v>0</v>
      </c>
    </row>
    <row r="144" spans="1:22" ht="15.75" customHeight="1" x14ac:dyDescent="0.2">
      <c r="A144" s="19">
        <f t="shared" si="11"/>
        <v>143</v>
      </c>
      <c r="B144" s="20" t="s">
        <v>237</v>
      </c>
      <c r="C144" s="20" t="s">
        <v>238</v>
      </c>
      <c r="D144" s="20"/>
      <c r="E144" s="20" t="s">
        <v>62</v>
      </c>
      <c r="F144" s="20"/>
      <c r="G144" s="20"/>
      <c r="H144" s="20"/>
      <c r="I144" s="19" t="s">
        <v>239</v>
      </c>
      <c r="J144" s="26" t="s">
        <v>240</v>
      </c>
      <c r="K144" s="26" t="s">
        <v>241</v>
      </c>
      <c r="L144" s="15">
        <f t="shared" si="0"/>
        <v>0</v>
      </c>
      <c r="M144" s="15" t="b">
        <f t="shared" si="1"/>
        <v>0</v>
      </c>
      <c r="N144" s="15" t="b">
        <f t="shared" si="2"/>
        <v>0</v>
      </c>
      <c r="O144" s="15" t="b">
        <f t="shared" si="3"/>
        <v>0</v>
      </c>
      <c r="P144" s="15" t="b">
        <f t="shared" si="4"/>
        <v>0</v>
      </c>
      <c r="Q144" s="15" t="b">
        <f t="shared" si="5"/>
        <v>1</v>
      </c>
      <c r="R144" s="15" t="b">
        <f t="shared" si="6"/>
        <v>0</v>
      </c>
      <c r="S144" s="15" t="b">
        <f t="shared" si="7"/>
        <v>0</v>
      </c>
      <c r="T144" s="15" t="b">
        <f t="shared" si="8"/>
        <v>0</v>
      </c>
      <c r="U144" s="15" t="b">
        <f t="shared" si="9"/>
        <v>0</v>
      </c>
      <c r="V144" s="15" t="b">
        <f t="shared" si="10"/>
        <v>0</v>
      </c>
    </row>
    <row r="145" spans="1:22" ht="15.75" customHeight="1" x14ac:dyDescent="0.2">
      <c r="A145" s="19">
        <f t="shared" si="11"/>
        <v>144</v>
      </c>
      <c r="B145" s="20" t="s">
        <v>364</v>
      </c>
      <c r="C145" s="20" t="s">
        <v>357</v>
      </c>
      <c r="D145" s="20"/>
      <c r="E145" s="20" t="s">
        <v>270</v>
      </c>
      <c r="F145" s="20"/>
      <c r="G145" s="20"/>
      <c r="H145" s="20"/>
      <c r="I145" s="19"/>
      <c r="J145" s="20"/>
      <c r="K145" s="20"/>
      <c r="L145" s="15">
        <f t="shared" si="0"/>
        <v>0</v>
      </c>
      <c r="M145" s="15" t="b">
        <f t="shared" si="1"/>
        <v>0</v>
      </c>
      <c r="N145" s="15" t="b">
        <f t="shared" si="2"/>
        <v>0</v>
      </c>
      <c r="O145" s="15" t="b">
        <f t="shared" si="3"/>
        <v>0</v>
      </c>
      <c r="P145" s="15" t="b">
        <f t="shared" si="4"/>
        <v>0</v>
      </c>
      <c r="Q145" s="15" t="b">
        <f t="shared" si="5"/>
        <v>0</v>
      </c>
      <c r="R145" s="15" t="b">
        <f t="shared" si="6"/>
        <v>0</v>
      </c>
      <c r="S145" s="15" t="b">
        <f t="shared" si="7"/>
        <v>0</v>
      </c>
      <c r="T145" s="15" t="b">
        <f t="shared" si="8"/>
        <v>0</v>
      </c>
      <c r="U145" s="15" t="b">
        <f t="shared" si="9"/>
        <v>0</v>
      </c>
      <c r="V145" s="15" t="b">
        <f t="shared" si="10"/>
        <v>0</v>
      </c>
    </row>
    <row r="146" spans="1:22" ht="15.75" customHeight="1" x14ac:dyDescent="0.2">
      <c r="A146" s="19">
        <f t="shared" si="11"/>
        <v>145</v>
      </c>
      <c r="B146" s="19" t="s">
        <v>286</v>
      </c>
      <c r="C146" s="19" t="s">
        <v>265</v>
      </c>
      <c r="D146" s="19"/>
      <c r="E146" s="19"/>
      <c r="F146" s="19" t="s">
        <v>90</v>
      </c>
      <c r="G146" s="19" t="s">
        <v>100</v>
      </c>
      <c r="H146" s="19"/>
      <c r="I146" s="19"/>
      <c r="J146" s="19"/>
      <c r="K146" s="19"/>
      <c r="L146" s="15">
        <f t="shared" si="0"/>
        <v>0</v>
      </c>
      <c r="M146" s="15" t="b">
        <f t="shared" si="1"/>
        <v>0</v>
      </c>
      <c r="N146" s="15" t="b">
        <f t="shared" si="2"/>
        <v>0</v>
      </c>
      <c r="O146" s="15" t="b">
        <f t="shared" si="3"/>
        <v>0</v>
      </c>
      <c r="P146" s="15" t="b">
        <f t="shared" si="4"/>
        <v>1</v>
      </c>
      <c r="Q146" s="15" t="b">
        <f t="shared" si="5"/>
        <v>0</v>
      </c>
      <c r="R146" s="15" t="b">
        <f t="shared" si="6"/>
        <v>0</v>
      </c>
      <c r="S146" s="15" t="b">
        <f t="shared" si="7"/>
        <v>0</v>
      </c>
      <c r="T146" s="15" t="b">
        <f t="shared" si="8"/>
        <v>0</v>
      </c>
      <c r="U146" s="15" t="b">
        <f t="shared" si="9"/>
        <v>0</v>
      </c>
      <c r="V146" s="15" t="b">
        <f t="shared" si="10"/>
        <v>1</v>
      </c>
    </row>
    <row r="147" spans="1:22" ht="15.75" customHeight="1" x14ac:dyDescent="0.2">
      <c r="A147" s="19">
        <f t="shared" si="11"/>
        <v>146</v>
      </c>
      <c r="B147" s="19" t="s">
        <v>271</v>
      </c>
      <c r="C147" s="19" t="s">
        <v>265</v>
      </c>
      <c r="D147" s="19"/>
      <c r="E147" s="19"/>
      <c r="F147" s="19" t="s">
        <v>134</v>
      </c>
      <c r="G147" s="19"/>
      <c r="H147" s="19"/>
      <c r="I147" s="19" t="s">
        <v>239</v>
      </c>
      <c r="J147" s="19"/>
      <c r="K147" s="19"/>
      <c r="L147" s="15">
        <f t="shared" si="0"/>
        <v>0</v>
      </c>
      <c r="M147" s="15" t="b">
        <f t="shared" si="1"/>
        <v>0</v>
      </c>
      <c r="N147" s="15" t="b">
        <f t="shared" si="2"/>
        <v>0</v>
      </c>
      <c r="O147" s="15" t="b">
        <f t="shared" si="3"/>
        <v>0</v>
      </c>
      <c r="P147" s="15" t="b">
        <f t="shared" si="4"/>
        <v>1</v>
      </c>
      <c r="Q147" s="15" t="b">
        <f t="shared" si="5"/>
        <v>0</v>
      </c>
      <c r="R147" s="15" t="b">
        <f t="shared" si="6"/>
        <v>0</v>
      </c>
      <c r="S147" s="15" t="b">
        <f t="shared" si="7"/>
        <v>0</v>
      </c>
      <c r="T147" s="15" t="b">
        <f t="shared" si="8"/>
        <v>0</v>
      </c>
      <c r="U147" s="15" t="b">
        <f t="shared" si="9"/>
        <v>0</v>
      </c>
      <c r="V147" s="15" t="b">
        <f t="shared" si="10"/>
        <v>0</v>
      </c>
    </row>
    <row r="148" spans="1:22" ht="15.75" customHeight="1" x14ac:dyDescent="0.2">
      <c r="A148" s="19">
        <f t="shared" si="11"/>
        <v>147</v>
      </c>
      <c r="B148" s="19" t="s">
        <v>362</v>
      </c>
      <c r="C148" s="19" t="s">
        <v>357</v>
      </c>
      <c r="D148" s="19"/>
      <c r="E148" s="19"/>
      <c r="F148" s="19"/>
      <c r="G148" s="19" t="s">
        <v>36</v>
      </c>
      <c r="H148" s="19"/>
      <c r="I148" s="19"/>
      <c r="J148" s="19"/>
      <c r="K148" s="19"/>
      <c r="L148" s="15">
        <f t="shared" si="0"/>
        <v>0</v>
      </c>
      <c r="M148" s="15" t="b">
        <f t="shared" si="1"/>
        <v>0</v>
      </c>
      <c r="N148" s="15" t="b">
        <f t="shared" si="2"/>
        <v>0</v>
      </c>
      <c r="O148" s="15" t="b">
        <f t="shared" si="3"/>
        <v>0</v>
      </c>
      <c r="P148" s="15" t="b">
        <f t="shared" si="4"/>
        <v>0</v>
      </c>
      <c r="Q148" s="15" t="b">
        <f t="shared" si="5"/>
        <v>0</v>
      </c>
      <c r="R148" s="15" t="b">
        <f t="shared" si="6"/>
        <v>0</v>
      </c>
      <c r="S148" s="15" t="b">
        <f t="shared" si="7"/>
        <v>0</v>
      </c>
      <c r="T148" s="15" t="b">
        <f t="shared" si="8"/>
        <v>0</v>
      </c>
      <c r="U148" s="15" t="b">
        <f t="shared" si="9"/>
        <v>0</v>
      </c>
      <c r="V148" s="15" t="b">
        <f t="shared" si="10"/>
        <v>0</v>
      </c>
    </row>
    <row r="149" spans="1:22" ht="15.75" customHeight="1" x14ac:dyDescent="0.2">
      <c r="A149" s="19">
        <f t="shared" si="11"/>
        <v>148</v>
      </c>
      <c r="B149" s="19" t="s">
        <v>56</v>
      </c>
      <c r="C149" s="19" t="s">
        <v>47</v>
      </c>
      <c r="D149" s="19"/>
      <c r="E149" s="19"/>
      <c r="F149" s="19" t="s">
        <v>38</v>
      </c>
      <c r="G149" s="19" t="s">
        <v>57</v>
      </c>
      <c r="H149" s="19"/>
      <c r="I149" s="19"/>
      <c r="J149" s="19"/>
      <c r="K149" s="19"/>
      <c r="L149" s="15">
        <f t="shared" si="0"/>
        <v>0</v>
      </c>
      <c r="M149" s="15" t="b">
        <f t="shared" si="1"/>
        <v>0</v>
      </c>
      <c r="N149" s="15" t="b">
        <f t="shared" si="2"/>
        <v>0</v>
      </c>
      <c r="O149" s="15" t="b">
        <f t="shared" si="3"/>
        <v>1</v>
      </c>
      <c r="P149" s="15" t="b">
        <f t="shared" si="4"/>
        <v>1</v>
      </c>
      <c r="Q149" s="15" t="b">
        <f t="shared" si="5"/>
        <v>0</v>
      </c>
      <c r="R149" s="15" t="b">
        <f t="shared" si="6"/>
        <v>0</v>
      </c>
      <c r="S149" s="15" t="b">
        <f t="shared" si="7"/>
        <v>0</v>
      </c>
      <c r="T149" s="15" t="b">
        <f t="shared" si="8"/>
        <v>0</v>
      </c>
      <c r="U149" s="15" t="b">
        <f t="shared" si="9"/>
        <v>0</v>
      </c>
      <c r="V149" s="15" t="b">
        <f t="shared" si="10"/>
        <v>0</v>
      </c>
    </row>
    <row r="150" spans="1:22" ht="15.75" customHeight="1" x14ac:dyDescent="0.2">
      <c r="A150" s="19">
        <f t="shared" si="11"/>
        <v>149</v>
      </c>
      <c r="B150" s="19" t="s">
        <v>278</v>
      </c>
      <c r="C150" s="19" t="s">
        <v>265</v>
      </c>
      <c r="D150" s="19"/>
      <c r="E150" s="19" t="s">
        <v>86</v>
      </c>
      <c r="F150" s="19" t="s">
        <v>90</v>
      </c>
      <c r="G150" s="19"/>
      <c r="H150" s="19"/>
      <c r="I150" s="19"/>
      <c r="J150" s="19"/>
      <c r="K150" s="19"/>
      <c r="L150" s="15">
        <f t="shared" si="0"/>
        <v>0</v>
      </c>
      <c r="M150" s="15" t="b">
        <f t="shared" si="1"/>
        <v>1</v>
      </c>
      <c r="N150" s="15" t="b">
        <f t="shared" si="2"/>
        <v>0</v>
      </c>
      <c r="O150" s="15" t="b">
        <f t="shared" si="3"/>
        <v>0</v>
      </c>
      <c r="P150" s="15" t="b">
        <f t="shared" si="4"/>
        <v>1</v>
      </c>
      <c r="Q150" s="15" t="b">
        <f t="shared" si="5"/>
        <v>0</v>
      </c>
      <c r="R150" s="15" t="b">
        <f t="shared" si="6"/>
        <v>0</v>
      </c>
      <c r="S150" s="15" t="b">
        <f t="shared" si="7"/>
        <v>0</v>
      </c>
      <c r="T150" s="15" t="b">
        <f t="shared" si="8"/>
        <v>0</v>
      </c>
      <c r="U150" s="15" t="b">
        <f t="shared" si="9"/>
        <v>0</v>
      </c>
      <c r="V150" s="15" t="b">
        <f t="shared" si="10"/>
        <v>0</v>
      </c>
    </row>
    <row r="151" spans="1:22" ht="15.75" customHeight="1" x14ac:dyDescent="0.2">
      <c r="A151" s="19">
        <f t="shared" si="11"/>
        <v>150</v>
      </c>
      <c r="B151" s="19" t="s">
        <v>243</v>
      </c>
      <c r="C151" s="19" t="s">
        <v>244</v>
      </c>
      <c r="D151" s="19"/>
      <c r="E151" s="19" t="s">
        <v>86</v>
      </c>
      <c r="F151" s="19" t="s">
        <v>38</v>
      </c>
      <c r="G151" s="19"/>
      <c r="H151" s="19"/>
      <c r="I151" s="19"/>
      <c r="J151" s="19"/>
      <c r="K151" s="19"/>
      <c r="L151" s="15">
        <f t="shared" si="0"/>
        <v>0</v>
      </c>
      <c r="M151" s="15" t="b">
        <f t="shared" si="1"/>
        <v>1</v>
      </c>
      <c r="N151" s="15" t="b">
        <f t="shared" si="2"/>
        <v>0</v>
      </c>
      <c r="O151" s="15" t="b">
        <f t="shared" si="3"/>
        <v>0</v>
      </c>
      <c r="P151" s="15" t="b">
        <f t="shared" si="4"/>
        <v>1</v>
      </c>
      <c r="Q151" s="15" t="b">
        <f t="shared" si="5"/>
        <v>0</v>
      </c>
      <c r="R151" s="15" t="b">
        <f t="shared" si="6"/>
        <v>0</v>
      </c>
      <c r="S151" s="15" t="b">
        <f t="shared" si="7"/>
        <v>0</v>
      </c>
      <c r="T151" s="15" t="b">
        <f t="shared" si="8"/>
        <v>0</v>
      </c>
      <c r="U151" s="15" t="b">
        <f t="shared" si="9"/>
        <v>0</v>
      </c>
      <c r="V151" s="15" t="b">
        <f t="shared" si="10"/>
        <v>0</v>
      </c>
    </row>
    <row r="152" spans="1:22" ht="15.75" customHeight="1" x14ac:dyDescent="0.2">
      <c r="A152" s="19">
        <f t="shared" si="11"/>
        <v>151</v>
      </c>
      <c r="B152" s="19" t="s">
        <v>310</v>
      </c>
      <c r="C152" s="19" t="s">
        <v>300</v>
      </c>
      <c r="D152" s="19"/>
      <c r="E152" s="19"/>
      <c r="F152" s="19" t="s">
        <v>38</v>
      </c>
      <c r="G152" s="19" t="s">
        <v>100</v>
      </c>
      <c r="H152" s="19"/>
      <c r="I152" s="19"/>
      <c r="J152" s="19"/>
      <c r="K152" s="19"/>
      <c r="L152" s="15">
        <f t="shared" si="0"/>
        <v>0</v>
      </c>
      <c r="M152" s="15" t="b">
        <f t="shared" si="1"/>
        <v>0</v>
      </c>
      <c r="N152" s="15" t="b">
        <f t="shared" si="2"/>
        <v>0</v>
      </c>
      <c r="O152" s="15" t="b">
        <f t="shared" si="3"/>
        <v>0</v>
      </c>
      <c r="P152" s="15" t="b">
        <f t="shared" si="4"/>
        <v>1</v>
      </c>
      <c r="Q152" s="15" t="b">
        <f t="shared" si="5"/>
        <v>0</v>
      </c>
      <c r="R152" s="15" t="b">
        <f t="shared" si="6"/>
        <v>0</v>
      </c>
      <c r="S152" s="15" t="b">
        <f t="shared" si="7"/>
        <v>0</v>
      </c>
      <c r="T152" s="15" t="b">
        <f t="shared" si="8"/>
        <v>0</v>
      </c>
      <c r="U152" s="15" t="b">
        <f t="shared" si="9"/>
        <v>0</v>
      </c>
      <c r="V152" s="15" t="b">
        <f t="shared" si="10"/>
        <v>1</v>
      </c>
    </row>
    <row r="153" spans="1:22" ht="15.75" customHeight="1" x14ac:dyDescent="0.2">
      <c r="A153" s="19">
        <f t="shared" si="11"/>
        <v>152</v>
      </c>
      <c r="B153" s="19" t="s">
        <v>218</v>
      </c>
      <c r="C153" s="19" t="s">
        <v>219</v>
      </c>
      <c r="D153" s="19"/>
      <c r="E153" s="19"/>
      <c r="F153" s="19"/>
      <c r="G153" s="19" t="s">
        <v>173</v>
      </c>
      <c r="H153" s="19"/>
      <c r="I153" s="19"/>
      <c r="J153" s="19"/>
      <c r="K153" s="19"/>
      <c r="L153" s="15">
        <f t="shared" si="0"/>
        <v>0</v>
      </c>
      <c r="M153" s="15" t="b">
        <f t="shared" si="1"/>
        <v>0</v>
      </c>
      <c r="N153" s="15" t="b">
        <f t="shared" si="2"/>
        <v>0</v>
      </c>
      <c r="O153" s="15" t="b">
        <f t="shared" si="3"/>
        <v>0</v>
      </c>
      <c r="P153" s="15" t="b">
        <f t="shared" si="4"/>
        <v>0</v>
      </c>
      <c r="Q153" s="15" t="b">
        <f t="shared" si="5"/>
        <v>0</v>
      </c>
      <c r="R153" s="15" t="b">
        <f t="shared" si="6"/>
        <v>0</v>
      </c>
      <c r="S153" s="15" t="b">
        <f t="shared" si="7"/>
        <v>0</v>
      </c>
      <c r="T153" s="15" t="b">
        <f t="shared" si="8"/>
        <v>0</v>
      </c>
      <c r="U153" s="15" t="b">
        <f t="shared" si="9"/>
        <v>0</v>
      </c>
      <c r="V153" s="15" t="b">
        <f t="shared" si="10"/>
        <v>0</v>
      </c>
    </row>
    <row r="154" spans="1:22" ht="15.75" customHeight="1" x14ac:dyDescent="0.2">
      <c r="A154" s="19">
        <f t="shared" si="11"/>
        <v>153</v>
      </c>
      <c r="B154" s="19" t="s">
        <v>228</v>
      </c>
      <c r="C154" s="19" t="s">
        <v>229</v>
      </c>
      <c r="D154" s="19"/>
      <c r="E154" s="19" t="s">
        <v>66</v>
      </c>
      <c r="F154" s="19"/>
      <c r="G154" s="19" t="s">
        <v>48</v>
      </c>
      <c r="H154" s="19"/>
      <c r="I154" s="19"/>
      <c r="J154" s="19"/>
      <c r="K154" s="19"/>
      <c r="L154" s="15">
        <f t="shared" si="0"/>
        <v>0</v>
      </c>
      <c r="M154" s="15" t="b">
        <f t="shared" si="1"/>
        <v>0</v>
      </c>
      <c r="N154" s="15" t="b">
        <f t="shared" si="2"/>
        <v>1</v>
      </c>
      <c r="O154" s="15" t="b">
        <f t="shared" si="3"/>
        <v>0</v>
      </c>
      <c r="P154" s="15" t="b">
        <f t="shared" si="4"/>
        <v>0</v>
      </c>
      <c r="Q154" s="15" t="b">
        <f t="shared" si="5"/>
        <v>0</v>
      </c>
      <c r="R154" s="15" t="b">
        <f t="shared" si="6"/>
        <v>0</v>
      </c>
      <c r="S154" s="15" t="b">
        <f t="shared" si="7"/>
        <v>0</v>
      </c>
      <c r="T154" s="15" t="b">
        <f t="shared" si="8"/>
        <v>1</v>
      </c>
      <c r="U154" s="15" t="b">
        <f t="shared" si="9"/>
        <v>0</v>
      </c>
      <c r="V154" s="15" t="b">
        <f t="shared" si="10"/>
        <v>0</v>
      </c>
    </row>
    <row r="155" spans="1:22" ht="15.75" customHeight="1" x14ac:dyDescent="0.2">
      <c r="A155" s="19">
        <f t="shared" si="11"/>
        <v>154</v>
      </c>
      <c r="B155" s="19" t="s">
        <v>166</v>
      </c>
      <c r="C155" s="18" t="s">
        <v>148</v>
      </c>
      <c r="D155" s="19"/>
      <c r="E155" s="19"/>
      <c r="F155" s="19" t="s">
        <v>38</v>
      </c>
      <c r="G155" s="19" t="s">
        <v>60</v>
      </c>
      <c r="H155" s="24" t="s">
        <v>126</v>
      </c>
      <c r="I155" s="19"/>
      <c r="J155" s="19"/>
      <c r="K155" s="19"/>
      <c r="L155" s="15">
        <f t="shared" si="0"/>
        <v>0</v>
      </c>
      <c r="M155" s="15" t="b">
        <f t="shared" si="1"/>
        <v>0</v>
      </c>
      <c r="N155" s="15" t="b">
        <f t="shared" si="2"/>
        <v>0</v>
      </c>
      <c r="O155" s="15" t="b">
        <f t="shared" si="3"/>
        <v>0</v>
      </c>
      <c r="P155" s="15" t="b">
        <f t="shared" si="4"/>
        <v>1</v>
      </c>
      <c r="Q155" s="15" t="b">
        <f t="shared" si="5"/>
        <v>0</v>
      </c>
      <c r="R155" s="15" t="b">
        <f t="shared" si="6"/>
        <v>0</v>
      </c>
      <c r="S155" s="15" t="b">
        <f t="shared" si="7"/>
        <v>0</v>
      </c>
      <c r="T155" s="15" t="b">
        <f t="shared" si="8"/>
        <v>0</v>
      </c>
      <c r="U155" s="15" t="b">
        <f t="shared" si="9"/>
        <v>0</v>
      </c>
      <c r="V155" s="15" t="b">
        <f t="shared" si="10"/>
        <v>0</v>
      </c>
    </row>
    <row r="156" spans="1:22" ht="15.75" customHeight="1" x14ac:dyDescent="0.2">
      <c r="A156" s="19">
        <f t="shared" si="11"/>
        <v>155</v>
      </c>
      <c r="B156" s="19" t="s">
        <v>175</v>
      </c>
      <c r="C156" s="18" t="s">
        <v>148</v>
      </c>
      <c r="D156" s="19"/>
      <c r="E156" s="19" t="s">
        <v>66</v>
      </c>
      <c r="F156" s="23" t="s">
        <v>90</v>
      </c>
      <c r="G156" s="23" t="s">
        <v>100</v>
      </c>
      <c r="H156" s="19"/>
      <c r="I156" s="19"/>
      <c r="J156" s="24" t="s">
        <v>74</v>
      </c>
      <c r="K156" s="19"/>
      <c r="L156" s="15">
        <f t="shared" si="0"/>
        <v>0</v>
      </c>
      <c r="M156" s="15" t="b">
        <f t="shared" si="1"/>
        <v>0</v>
      </c>
      <c r="N156" s="15" t="b">
        <f t="shared" si="2"/>
        <v>1</v>
      </c>
      <c r="O156" s="15" t="b">
        <f t="shared" si="3"/>
        <v>0</v>
      </c>
      <c r="P156" s="15" t="b">
        <f t="shared" si="4"/>
        <v>1</v>
      </c>
      <c r="Q156" s="15" t="b">
        <f t="shared" si="5"/>
        <v>0</v>
      </c>
      <c r="R156" s="15" t="b">
        <f t="shared" si="6"/>
        <v>0</v>
      </c>
      <c r="S156" s="15" t="b">
        <f t="shared" si="7"/>
        <v>0</v>
      </c>
      <c r="T156" s="15" t="b">
        <f t="shared" si="8"/>
        <v>0</v>
      </c>
      <c r="U156" s="15" t="b">
        <f t="shared" si="9"/>
        <v>0</v>
      </c>
      <c r="V156" s="15" t="b">
        <f t="shared" si="10"/>
        <v>1</v>
      </c>
    </row>
    <row r="157" spans="1:22" ht="15.75" customHeight="1" x14ac:dyDescent="0.2">
      <c r="A157" s="19">
        <f t="shared" si="11"/>
        <v>156</v>
      </c>
      <c r="B157" s="19" t="s">
        <v>103</v>
      </c>
      <c r="C157" s="19" t="s">
        <v>49</v>
      </c>
      <c r="D157" s="19"/>
      <c r="E157" s="19"/>
      <c r="F157" s="19"/>
      <c r="G157" s="19" t="s">
        <v>53</v>
      </c>
      <c r="H157" s="19"/>
      <c r="I157" s="19"/>
      <c r="J157" s="19"/>
      <c r="K157" s="19"/>
      <c r="L157" s="15">
        <f t="shared" si="0"/>
        <v>0</v>
      </c>
      <c r="M157" s="15" t="b">
        <f t="shared" si="1"/>
        <v>0</v>
      </c>
      <c r="N157" s="15" t="b">
        <f t="shared" si="2"/>
        <v>0</v>
      </c>
      <c r="O157" s="15" t="b">
        <f t="shared" si="3"/>
        <v>0</v>
      </c>
      <c r="P157" s="15" t="b">
        <f t="shared" si="4"/>
        <v>0</v>
      </c>
      <c r="Q157" s="15" t="b">
        <f t="shared" si="5"/>
        <v>0</v>
      </c>
      <c r="R157" s="15" t="b">
        <f t="shared" si="6"/>
        <v>0</v>
      </c>
      <c r="S157" s="15" t="b">
        <f t="shared" si="7"/>
        <v>0</v>
      </c>
      <c r="T157" s="15" t="b">
        <f t="shared" si="8"/>
        <v>0</v>
      </c>
      <c r="U157" s="15" t="b">
        <f t="shared" si="9"/>
        <v>0</v>
      </c>
      <c r="V157" s="15" t="b">
        <f t="shared" si="10"/>
        <v>0</v>
      </c>
    </row>
    <row r="158" spans="1:22" ht="15.75" customHeight="1" x14ac:dyDescent="0.2">
      <c r="A158" s="19">
        <f t="shared" si="11"/>
        <v>157</v>
      </c>
      <c r="B158" s="19" t="s">
        <v>254</v>
      </c>
      <c r="C158" s="19" t="s">
        <v>255</v>
      </c>
      <c r="D158" s="19"/>
      <c r="E158" s="19" t="s">
        <v>256</v>
      </c>
      <c r="F158" s="19"/>
      <c r="G158" s="19"/>
      <c r="H158" s="19"/>
      <c r="I158" s="19"/>
      <c r="J158" s="19"/>
      <c r="K158" s="19"/>
      <c r="L158" s="15">
        <f t="shared" si="0"/>
        <v>0</v>
      </c>
      <c r="M158" s="15" t="b">
        <f t="shared" si="1"/>
        <v>0</v>
      </c>
      <c r="N158" s="15" t="b">
        <f t="shared" si="2"/>
        <v>0</v>
      </c>
      <c r="O158" s="15" t="b">
        <f t="shared" si="3"/>
        <v>0</v>
      </c>
      <c r="P158" s="15" t="b">
        <f t="shared" si="4"/>
        <v>0</v>
      </c>
      <c r="Q158" s="15" t="b">
        <f t="shared" si="5"/>
        <v>1</v>
      </c>
      <c r="R158" s="15" t="b">
        <f t="shared" si="6"/>
        <v>0</v>
      </c>
      <c r="S158" s="15" t="b">
        <f t="shared" si="7"/>
        <v>0</v>
      </c>
      <c r="T158" s="15" t="b">
        <f t="shared" si="8"/>
        <v>0</v>
      </c>
      <c r="U158" s="15" t="b">
        <f t="shared" si="9"/>
        <v>0</v>
      </c>
      <c r="V158" s="15" t="b">
        <f t="shared" si="10"/>
        <v>0</v>
      </c>
    </row>
    <row r="159" spans="1:22" ht="15.75" customHeight="1" x14ac:dyDescent="0.2">
      <c r="A159" s="19">
        <f t="shared" si="11"/>
        <v>158</v>
      </c>
      <c r="B159" s="19" t="s">
        <v>142</v>
      </c>
      <c r="C159" s="19" t="s">
        <v>57</v>
      </c>
      <c r="D159" s="19"/>
      <c r="E159" s="19" t="s">
        <v>32</v>
      </c>
      <c r="F159" s="19"/>
      <c r="G159" s="19" t="s">
        <v>31</v>
      </c>
      <c r="H159" s="19"/>
      <c r="I159" s="19"/>
      <c r="J159" s="19"/>
      <c r="K159" s="19"/>
      <c r="L159" s="15">
        <f t="shared" si="0"/>
        <v>0</v>
      </c>
      <c r="M159" s="15" t="b">
        <f t="shared" si="1"/>
        <v>0</v>
      </c>
      <c r="N159" s="15" t="b">
        <f t="shared" si="2"/>
        <v>0</v>
      </c>
      <c r="O159" s="15" t="b">
        <f t="shared" si="3"/>
        <v>1</v>
      </c>
      <c r="P159" s="15" t="b">
        <f t="shared" si="4"/>
        <v>0</v>
      </c>
      <c r="Q159" s="15" t="b">
        <f t="shared" si="5"/>
        <v>0</v>
      </c>
      <c r="R159" s="15" t="b">
        <f t="shared" si="6"/>
        <v>0</v>
      </c>
      <c r="S159" s="15" t="b">
        <f t="shared" si="7"/>
        <v>0</v>
      </c>
      <c r="T159" s="15" t="b">
        <f t="shared" si="8"/>
        <v>0</v>
      </c>
      <c r="U159" s="15" t="b">
        <f t="shared" si="9"/>
        <v>0</v>
      </c>
      <c r="V159" s="15" t="b">
        <f t="shared" si="10"/>
        <v>0</v>
      </c>
    </row>
    <row r="160" spans="1:22" ht="15.75" customHeight="1" x14ac:dyDescent="0.2">
      <c r="A160" s="19">
        <f t="shared" si="11"/>
        <v>159</v>
      </c>
      <c r="B160" s="19" t="s">
        <v>257</v>
      </c>
      <c r="C160" s="19" t="s">
        <v>258</v>
      </c>
      <c r="D160" s="19"/>
      <c r="E160" s="19" t="s">
        <v>86</v>
      </c>
      <c r="F160" s="19" t="s">
        <v>38</v>
      </c>
      <c r="G160" s="19"/>
      <c r="H160" s="23"/>
      <c r="I160" s="19"/>
      <c r="J160" s="24" t="s">
        <v>163</v>
      </c>
      <c r="K160" s="24" t="s">
        <v>66</v>
      </c>
      <c r="L160" s="15">
        <f t="shared" si="0"/>
        <v>0</v>
      </c>
      <c r="M160" s="15" t="b">
        <f t="shared" si="1"/>
        <v>1</v>
      </c>
      <c r="N160" s="15" t="b">
        <f t="shared" si="2"/>
        <v>1</v>
      </c>
      <c r="O160" s="15" t="b">
        <f t="shared" si="3"/>
        <v>0</v>
      </c>
      <c r="P160" s="15" t="b">
        <f t="shared" si="4"/>
        <v>1</v>
      </c>
      <c r="Q160" s="15" t="b">
        <f t="shared" si="5"/>
        <v>0</v>
      </c>
      <c r="R160" s="15" t="b">
        <f t="shared" si="6"/>
        <v>0</v>
      </c>
      <c r="S160" s="15" t="b">
        <f t="shared" si="7"/>
        <v>0</v>
      </c>
      <c r="T160" s="15" t="b">
        <f t="shared" si="8"/>
        <v>0</v>
      </c>
      <c r="U160" s="15" t="b">
        <f t="shared" si="9"/>
        <v>0</v>
      </c>
      <c r="V160" s="15" t="b">
        <f t="shared" si="10"/>
        <v>0</v>
      </c>
    </row>
    <row r="161" spans="1:22" ht="15.75" customHeight="1" x14ac:dyDescent="0.2">
      <c r="A161" s="19">
        <f t="shared" si="11"/>
        <v>160</v>
      </c>
      <c r="B161" s="19" t="s">
        <v>264</v>
      </c>
      <c r="C161" s="19" t="s">
        <v>265</v>
      </c>
      <c r="D161" s="19"/>
      <c r="E161" s="19"/>
      <c r="F161" s="19"/>
      <c r="G161" s="19" t="s">
        <v>266</v>
      </c>
      <c r="H161" s="19"/>
      <c r="I161" s="19"/>
      <c r="J161" s="19"/>
      <c r="K161" s="19"/>
      <c r="L161" s="15">
        <f t="shared" si="0"/>
        <v>0</v>
      </c>
      <c r="M161" s="15" t="b">
        <f t="shared" si="1"/>
        <v>0</v>
      </c>
      <c r="N161" s="15" t="b">
        <f t="shared" si="2"/>
        <v>0</v>
      </c>
      <c r="O161" s="15" t="b">
        <f t="shared" si="3"/>
        <v>0</v>
      </c>
      <c r="P161" s="15" t="b">
        <f t="shared" si="4"/>
        <v>0</v>
      </c>
      <c r="Q161" s="15" t="b">
        <f t="shared" si="5"/>
        <v>0</v>
      </c>
      <c r="R161" s="15" t="b">
        <f t="shared" si="6"/>
        <v>0</v>
      </c>
      <c r="S161" s="15" t="b">
        <f t="shared" si="7"/>
        <v>0</v>
      </c>
      <c r="T161" s="15" t="b">
        <f t="shared" si="8"/>
        <v>0</v>
      </c>
      <c r="U161" s="15" t="b">
        <f t="shared" si="9"/>
        <v>0</v>
      </c>
      <c r="V161" s="15" t="b">
        <f t="shared" si="10"/>
        <v>0</v>
      </c>
    </row>
    <row r="162" spans="1:22" ht="15.75" customHeight="1" x14ac:dyDescent="0.2">
      <c r="A162" s="19">
        <f t="shared" si="11"/>
        <v>161</v>
      </c>
      <c r="B162" s="19" t="s">
        <v>211</v>
      </c>
      <c r="C162" s="18" t="s">
        <v>148</v>
      </c>
      <c r="D162" s="19"/>
      <c r="E162" s="19"/>
      <c r="F162" s="19"/>
      <c r="G162" s="19" t="s">
        <v>52</v>
      </c>
      <c r="H162" s="19"/>
      <c r="I162" s="19"/>
      <c r="J162" s="19"/>
      <c r="K162" s="19"/>
      <c r="L162" s="15">
        <f t="shared" si="0"/>
        <v>0</v>
      </c>
      <c r="M162" s="15" t="b">
        <f t="shared" si="1"/>
        <v>0</v>
      </c>
      <c r="N162" s="15" t="b">
        <f t="shared" si="2"/>
        <v>0</v>
      </c>
      <c r="O162" s="15" t="b">
        <f t="shared" si="3"/>
        <v>0</v>
      </c>
      <c r="P162" s="15" t="b">
        <f t="shared" si="4"/>
        <v>0</v>
      </c>
      <c r="Q162" s="15" t="b">
        <f t="shared" si="5"/>
        <v>0</v>
      </c>
      <c r="R162" s="15" t="b">
        <f t="shared" si="6"/>
        <v>0</v>
      </c>
      <c r="S162" s="15" t="b">
        <f t="shared" si="7"/>
        <v>1</v>
      </c>
      <c r="T162" s="15" t="b">
        <f t="shared" si="8"/>
        <v>0</v>
      </c>
      <c r="U162" s="15" t="b">
        <f t="shared" si="9"/>
        <v>0</v>
      </c>
      <c r="V162" s="15" t="b">
        <f t="shared" si="10"/>
        <v>0</v>
      </c>
    </row>
    <row r="163" spans="1:22" ht="15.75" customHeight="1" x14ac:dyDescent="0.2">
      <c r="A163" s="19">
        <f t="shared" si="11"/>
        <v>162</v>
      </c>
      <c r="B163" s="19" t="s">
        <v>67</v>
      </c>
      <c r="C163" s="19" t="s">
        <v>65</v>
      </c>
      <c r="D163" s="19"/>
      <c r="E163" s="19" t="s">
        <v>66</v>
      </c>
      <c r="F163" s="19"/>
      <c r="G163" s="19" t="s">
        <v>48</v>
      </c>
      <c r="H163" s="19"/>
      <c r="I163" s="19"/>
      <c r="J163" s="19"/>
      <c r="K163" s="19"/>
      <c r="L163" s="15">
        <f t="shared" si="0"/>
        <v>0</v>
      </c>
      <c r="M163" s="15" t="b">
        <f t="shared" si="1"/>
        <v>0</v>
      </c>
      <c r="N163" s="15" t="b">
        <f t="shared" si="2"/>
        <v>1</v>
      </c>
      <c r="O163" s="15" t="b">
        <f t="shared" si="3"/>
        <v>0</v>
      </c>
      <c r="P163" s="15" t="b">
        <f t="shared" si="4"/>
        <v>0</v>
      </c>
      <c r="Q163" s="15" t="b">
        <f t="shared" si="5"/>
        <v>0</v>
      </c>
      <c r="R163" s="15" t="b">
        <f t="shared" si="6"/>
        <v>0</v>
      </c>
      <c r="S163" s="15" t="b">
        <f t="shared" si="7"/>
        <v>0</v>
      </c>
      <c r="T163" s="15" t="b">
        <f t="shared" si="8"/>
        <v>1</v>
      </c>
      <c r="U163" s="15" t="b">
        <f t="shared" si="9"/>
        <v>0</v>
      </c>
      <c r="V163" s="15" t="b">
        <f t="shared" si="10"/>
        <v>0</v>
      </c>
    </row>
    <row r="164" spans="1:22" ht="15.75" customHeight="1" x14ac:dyDescent="0.2">
      <c r="A164" s="19">
        <f t="shared" si="11"/>
        <v>163</v>
      </c>
      <c r="B164" s="19" t="s">
        <v>301</v>
      </c>
      <c r="C164" s="19" t="s">
        <v>300</v>
      </c>
      <c r="D164" s="19"/>
      <c r="E164" s="19" t="s">
        <v>156</v>
      </c>
      <c r="F164" s="19"/>
      <c r="G164" s="19"/>
      <c r="H164" s="19"/>
      <c r="I164" s="19"/>
      <c r="J164" s="19" t="s">
        <v>62</v>
      </c>
      <c r="K164" s="19"/>
      <c r="L164" s="15">
        <f t="shared" si="0"/>
        <v>0</v>
      </c>
      <c r="M164" s="15" t="b">
        <f t="shared" si="1"/>
        <v>0</v>
      </c>
      <c r="N164" s="15" t="b">
        <f t="shared" si="2"/>
        <v>0</v>
      </c>
      <c r="O164" s="15" t="b">
        <f t="shared" si="3"/>
        <v>0</v>
      </c>
      <c r="P164" s="15" t="b">
        <f t="shared" si="4"/>
        <v>0</v>
      </c>
      <c r="Q164" s="15" t="b">
        <f t="shared" si="5"/>
        <v>1</v>
      </c>
      <c r="R164" s="15" t="b">
        <f t="shared" si="6"/>
        <v>0</v>
      </c>
      <c r="S164" s="15" t="b">
        <f t="shared" si="7"/>
        <v>0</v>
      </c>
      <c r="T164" s="15" t="b">
        <f t="shared" si="8"/>
        <v>0</v>
      </c>
      <c r="U164" s="15" t="b">
        <f t="shared" si="9"/>
        <v>0</v>
      </c>
      <c r="V164" s="15" t="b">
        <f t="shared" si="10"/>
        <v>0</v>
      </c>
    </row>
    <row r="165" spans="1:22" ht="15.75" customHeight="1" x14ac:dyDescent="0.2">
      <c r="A165" s="19">
        <f t="shared" si="11"/>
        <v>164</v>
      </c>
      <c r="B165" s="19" t="s">
        <v>353</v>
      </c>
      <c r="C165" s="19" t="s">
        <v>354</v>
      </c>
      <c r="D165" s="19"/>
      <c r="E165" s="19" t="s">
        <v>62</v>
      </c>
      <c r="F165" s="19" t="s">
        <v>38</v>
      </c>
      <c r="G165" s="19" t="s">
        <v>57</v>
      </c>
      <c r="H165" s="19"/>
      <c r="I165" s="19"/>
      <c r="J165" s="19"/>
      <c r="K165" s="19"/>
      <c r="L165" s="15">
        <f t="shared" si="0"/>
        <v>0</v>
      </c>
      <c r="M165" s="15" t="b">
        <f t="shared" si="1"/>
        <v>0</v>
      </c>
      <c r="N165" s="15" t="b">
        <f t="shared" si="2"/>
        <v>0</v>
      </c>
      <c r="O165" s="15" t="b">
        <f t="shared" si="3"/>
        <v>1</v>
      </c>
      <c r="P165" s="15" t="b">
        <f t="shared" si="4"/>
        <v>1</v>
      </c>
      <c r="Q165" s="15" t="b">
        <f t="shared" si="5"/>
        <v>1</v>
      </c>
      <c r="R165" s="15" t="b">
        <f t="shared" si="6"/>
        <v>0</v>
      </c>
      <c r="S165" s="15" t="b">
        <f t="shared" si="7"/>
        <v>0</v>
      </c>
      <c r="T165" s="15" t="b">
        <f t="shared" si="8"/>
        <v>0</v>
      </c>
      <c r="U165" s="15" t="b">
        <f t="shared" si="9"/>
        <v>0</v>
      </c>
      <c r="V165" s="15" t="b">
        <f t="shared" si="10"/>
        <v>0</v>
      </c>
    </row>
    <row r="166" spans="1:22" ht="15.75" customHeight="1" x14ac:dyDescent="0.2">
      <c r="A166" s="19">
        <f t="shared" si="11"/>
        <v>165</v>
      </c>
      <c r="B166" s="19" t="s">
        <v>51</v>
      </c>
      <c r="C166" s="19" t="s">
        <v>47</v>
      </c>
      <c r="D166" s="19"/>
      <c r="E166" s="19"/>
      <c r="F166" s="19"/>
      <c r="G166" s="19" t="s">
        <v>52</v>
      </c>
      <c r="H166" s="19"/>
      <c r="I166" s="19"/>
      <c r="J166" s="19"/>
      <c r="K166" s="19"/>
      <c r="L166" s="15">
        <f t="shared" si="0"/>
        <v>0</v>
      </c>
      <c r="M166" s="15" t="b">
        <f t="shared" si="1"/>
        <v>0</v>
      </c>
      <c r="N166" s="15" t="b">
        <f t="shared" si="2"/>
        <v>0</v>
      </c>
      <c r="O166" s="15" t="b">
        <f t="shared" si="3"/>
        <v>0</v>
      </c>
      <c r="P166" s="15" t="b">
        <f t="shared" si="4"/>
        <v>0</v>
      </c>
      <c r="Q166" s="15" t="b">
        <f t="shared" si="5"/>
        <v>0</v>
      </c>
      <c r="R166" s="15" t="b">
        <f t="shared" si="6"/>
        <v>0</v>
      </c>
      <c r="S166" s="15" t="b">
        <f t="shared" si="7"/>
        <v>1</v>
      </c>
      <c r="T166" s="15" t="b">
        <f t="shared" si="8"/>
        <v>0</v>
      </c>
      <c r="U166" s="15" t="b">
        <f t="shared" si="9"/>
        <v>0</v>
      </c>
      <c r="V166" s="15" t="b">
        <f t="shared" si="10"/>
        <v>0</v>
      </c>
    </row>
    <row r="167" spans="1:22" ht="15.75" customHeight="1" x14ac:dyDescent="0.2">
      <c r="A167" s="19">
        <f t="shared" si="11"/>
        <v>166</v>
      </c>
      <c r="B167" s="19" t="s">
        <v>188</v>
      </c>
      <c r="C167" s="18" t="s">
        <v>148</v>
      </c>
      <c r="D167" s="19"/>
      <c r="E167" s="23" t="s">
        <v>86</v>
      </c>
      <c r="F167" s="19" t="s">
        <v>90</v>
      </c>
      <c r="G167" s="19"/>
      <c r="H167" s="18" t="s">
        <v>38</v>
      </c>
      <c r="I167" s="19"/>
      <c r="J167" s="24" t="s">
        <v>62</v>
      </c>
      <c r="K167" s="19" t="s">
        <v>189</v>
      </c>
      <c r="L167" s="15">
        <f t="shared" si="0"/>
        <v>0</v>
      </c>
      <c r="M167" s="15" t="b">
        <f t="shared" si="1"/>
        <v>1</v>
      </c>
      <c r="N167" s="15" t="b">
        <f t="shared" si="2"/>
        <v>0</v>
      </c>
      <c r="O167" s="15" t="b">
        <f t="shared" si="3"/>
        <v>1</v>
      </c>
      <c r="P167" s="15" t="b">
        <f t="shared" si="4"/>
        <v>1</v>
      </c>
      <c r="Q167" s="15" t="b">
        <f t="shared" si="5"/>
        <v>1</v>
      </c>
      <c r="R167" s="15" t="b">
        <f t="shared" si="6"/>
        <v>0</v>
      </c>
      <c r="S167" s="15" t="b">
        <f t="shared" si="7"/>
        <v>0</v>
      </c>
      <c r="T167" s="15" t="b">
        <f t="shared" si="8"/>
        <v>0</v>
      </c>
      <c r="U167" s="15" t="b">
        <f t="shared" si="9"/>
        <v>1</v>
      </c>
      <c r="V167" s="15" t="b">
        <f t="shared" si="10"/>
        <v>0</v>
      </c>
    </row>
    <row r="168" spans="1:22" ht="15.75" customHeight="1" x14ac:dyDescent="0.2">
      <c r="A168" s="19">
        <f t="shared" si="11"/>
        <v>167</v>
      </c>
      <c r="B168" s="19" t="s">
        <v>260</v>
      </c>
      <c r="C168" s="19" t="s">
        <v>261</v>
      </c>
      <c r="D168" s="19"/>
      <c r="E168" s="19"/>
      <c r="F168" s="19"/>
      <c r="G168" s="19" t="s">
        <v>139</v>
      </c>
      <c r="H168" s="19"/>
      <c r="I168" s="19"/>
      <c r="J168" s="19"/>
      <c r="K168" s="19"/>
      <c r="L168" s="15">
        <f t="shared" si="0"/>
        <v>0</v>
      </c>
      <c r="M168" s="15" t="b">
        <f t="shared" si="1"/>
        <v>0</v>
      </c>
      <c r="N168" s="15" t="b">
        <f t="shared" si="2"/>
        <v>0</v>
      </c>
      <c r="O168" s="15" t="b">
        <f t="shared" si="3"/>
        <v>0</v>
      </c>
      <c r="P168" s="15" t="b">
        <f t="shared" si="4"/>
        <v>0</v>
      </c>
      <c r="Q168" s="15" t="b">
        <f t="shared" si="5"/>
        <v>0</v>
      </c>
      <c r="R168" s="15" t="b">
        <f t="shared" si="6"/>
        <v>0</v>
      </c>
      <c r="S168" s="15" t="b">
        <f t="shared" si="7"/>
        <v>0</v>
      </c>
      <c r="T168" s="15" t="b">
        <f t="shared" si="8"/>
        <v>0</v>
      </c>
      <c r="U168" s="15" t="b">
        <f t="shared" si="9"/>
        <v>0</v>
      </c>
      <c r="V168" s="15" t="b">
        <f t="shared" si="10"/>
        <v>0</v>
      </c>
    </row>
    <row r="169" spans="1:22" ht="15.75" customHeight="1" x14ac:dyDescent="0.2">
      <c r="A169" s="19">
        <f t="shared" si="11"/>
        <v>168</v>
      </c>
      <c r="B169" s="19" t="s">
        <v>309</v>
      </c>
      <c r="C169" s="19" t="s">
        <v>300</v>
      </c>
      <c r="D169" s="19"/>
      <c r="E169" s="19" t="s">
        <v>55</v>
      </c>
      <c r="F169" s="19" t="s">
        <v>38</v>
      </c>
      <c r="G169" s="19" t="s">
        <v>215</v>
      </c>
      <c r="H169" s="19"/>
      <c r="I169" s="19"/>
      <c r="J169" s="19"/>
      <c r="K169" s="19"/>
      <c r="L169" s="15">
        <f t="shared" si="0"/>
        <v>0</v>
      </c>
      <c r="M169" s="15" t="b">
        <f t="shared" si="1"/>
        <v>0</v>
      </c>
      <c r="N169" s="15" t="b">
        <f t="shared" si="2"/>
        <v>0</v>
      </c>
      <c r="O169" s="15" t="b">
        <f t="shared" si="3"/>
        <v>0</v>
      </c>
      <c r="P169" s="15" t="b">
        <f t="shared" si="4"/>
        <v>1</v>
      </c>
      <c r="Q169" s="15" t="b">
        <f t="shared" si="5"/>
        <v>0</v>
      </c>
      <c r="R169" s="15" t="b">
        <f t="shared" si="6"/>
        <v>0</v>
      </c>
      <c r="S169" s="15" t="b">
        <f t="shared" si="7"/>
        <v>0</v>
      </c>
      <c r="T169" s="15" t="b">
        <f t="shared" si="8"/>
        <v>0</v>
      </c>
      <c r="U169" s="15" t="b">
        <f t="shared" si="9"/>
        <v>0</v>
      </c>
      <c r="V169" s="15" t="b">
        <f t="shared" si="10"/>
        <v>0</v>
      </c>
    </row>
    <row r="170" spans="1:22" ht="15.75" customHeight="1" x14ac:dyDescent="0.2">
      <c r="A170" s="19">
        <f t="shared" si="11"/>
        <v>169</v>
      </c>
      <c r="B170" s="19" t="s">
        <v>69</v>
      </c>
      <c r="C170" s="19" t="s">
        <v>65</v>
      </c>
      <c r="D170" s="19"/>
      <c r="E170" s="19" t="s">
        <v>66</v>
      </c>
      <c r="F170" s="19"/>
      <c r="G170" s="19" t="s">
        <v>48</v>
      </c>
      <c r="H170" s="19"/>
      <c r="I170" s="19"/>
      <c r="J170" s="19"/>
      <c r="K170" s="19"/>
      <c r="L170" s="15">
        <f t="shared" si="0"/>
        <v>0</v>
      </c>
      <c r="M170" s="15" t="b">
        <f t="shared" si="1"/>
        <v>0</v>
      </c>
      <c r="N170" s="15" t="b">
        <f t="shared" si="2"/>
        <v>1</v>
      </c>
      <c r="O170" s="15" t="b">
        <f t="shared" si="3"/>
        <v>0</v>
      </c>
      <c r="P170" s="15" t="b">
        <f t="shared" si="4"/>
        <v>0</v>
      </c>
      <c r="Q170" s="15" t="b">
        <f t="shared" si="5"/>
        <v>0</v>
      </c>
      <c r="R170" s="15" t="b">
        <f t="shared" si="6"/>
        <v>0</v>
      </c>
      <c r="S170" s="15" t="b">
        <f t="shared" si="7"/>
        <v>0</v>
      </c>
      <c r="T170" s="15" t="b">
        <f t="shared" si="8"/>
        <v>1</v>
      </c>
      <c r="U170" s="15" t="b">
        <f t="shared" si="9"/>
        <v>0</v>
      </c>
      <c r="V170" s="15" t="b">
        <f t="shared" si="10"/>
        <v>0</v>
      </c>
    </row>
    <row r="171" spans="1:22" ht="15.75" customHeight="1" x14ac:dyDescent="0.2">
      <c r="A171" s="19">
        <f t="shared" si="11"/>
        <v>170</v>
      </c>
      <c r="B171" s="19" t="s">
        <v>200</v>
      </c>
      <c r="C171" s="18" t="s">
        <v>148</v>
      </c>
      <c r="D171" s="19"/>
      <c r="E171" s="19" t="s">
        <v>74</v>
      </c>
      <c r="F171" s="23" t="s">
        <v>126</v>
      </c>
      <c r="G171" s="23" t="s">
        <v>52</v>
      </c>
      <c r="H171" s="19"/>
      <c r="I171" s="19" t="s">
        <v>201</v>
      </c>
      <c r="J171" s="19"/>
      <c r="K171" s="19"/>
      <c r="L171" s="15">
        <f t="shared" si="0"/>
        <v>0</v>
      </c>
      <c r="M171" s="15" t="b">
        <f t="shared" si="1"/>
        <v>0</v>
      </c>
      <c r="N171" s="15" t="b">
        <f t="shared" si="2"/>
        <v>0</v>
      </c>
      <c r="O171" s="15" t="b">
        <f t="shared" si="3"/>
        <v>0</v>
      </c>
      <c r="P171" s="15" t="b">
        <f t="shared" si="4"/>
        <v>1</v>
      </c>
      <c r="Q171" s="15" t="b">
        <f t="shared" si="5"/>
        <v>0</v>
      </c>
      <c r="R171" s="15" t="b">
        <f t="shared" si="6"/>
        <v>0</v>
      </c>
      <c r="S171" s="15" t="b">
        <f t="shared" si="7"/>
        <v>1</v>
      </c>
      <c r="T171" s="15" t="b">
        <f t="shared" si="8"/>
        <v>0</v>
      </c>
      <c r="U171" s="15" t="b">
        <f t="shared" si="9"/>
        <v>0</v>
      </c>
      <c r="V171" s="15" t="b">
        <f t="shared" si="10"/>
        <v>0</v>
      </c>
    </row>
    <row r="172" spans="1:22" ht="15.75" customHeight="1" x14ac:dyDescent="0.2">
      <c r="A172" s="19">
        <f t="shared" si="11"/>
        <v>171</v>
      </c>
      <c r="B172" s="19" t="s">
        <v>324</v>
      </c>
      <c r="C172" s="19" t="s">
        <v>317</v>
      </c>
      <c r="D172" s="19"/>
      <c r="E172" s="19" t="s">
        <v>263</v>
      </c>
      <c r="F172" s="19"/>
      <c r="G172" s="19" t="s">
        <v>48</v>
      </c>
      <c r="H172" s="19"/>
      <c r="I172" s="19"/>
      <c r="J172" s="19"/>
      <c r="K172" s="19"/>
      <c r="L172" s="15">
        <f t="shared" si="0"/>
        <v>0</v>
      </c>
      <c r="M172" s="15" t="b">
        <f t="shared" si="1"/>
        <v>0</v>
      </c>
      <c r="N172" s="15" t="b">
        <f t="shared" si="2"/>
        <v>0</v>
      </c>
      <c r="O172" s="15" t="b">
        <f t="shared" si="3"/>
        <v>0</v>
      </c>
      <c r="P172" s="15" t="b">
        <f t="shared" si="4"/>
        <v>0</v>
      </c>
      <c r="Q172" s="15" t="b">
        <f t="shared" si="5"/>
        <v>0</v>
      </c>
      <c r="R172" s="15" t="b">
        <f t="shared" si="6"/>
        <v>0</v>
      </c>
      <c r="S172" s="15" t="b">
        <f t="shared" si="7"/>
        <v>0</v>
      </c>
      <c r="T172" s="15" t="b">
        <f t="shared" si="8"/>
        <v>1</v>
      </c>
      <c r="U172" s="15" t="b">
        <f t="shared" si="9"/>
        <v>0</v>
      </c>
      <c r="V172" s="15" t="b">
        <f t="shared" si="10"/>
        <v>0</v>
      </c>
    </row>
    <row r="173" spans="1:22" ht="15.75" customHeight="1" x14ac:dyDescent="0.2">
      <c r="A173" s="19">
        <f t="shared" si="11"/>
        <v>172</v>
      </c>
      <c r="B173" s="19" t="s">
        <v>133</v>
      </c>
      <c r="C173" s="19" t="s">
        <v>131</v>
      </c>
      <c r="D173" s="19"/>
      <c r="E173" s="19"/>
      <c r="F173" s="19" t="s">
        <v>90</v>
      </c>
      <c r="G173" s="19" t="s">
        <v>100</v>
      </c>
      <c r="H173" s="24" t="s">
        <v>134</v>
      </c>
      <c r="I173" s="19"/>
      <c r="J173" s="19"/>
      <c r="K173" s="19"/>
      <c r="L173" s="15">
        <f t="shared" si="0"/>
        <v>0</v>
      </c>
      <c r="M173" s="15" t="b">
        <f t="shared" si="1"/>
        <v>0</v>
      </c>
      <c r="N173" s="15" t="b">
        <f t="shared" si="2"/>
        <v>0</v>
      </c>
      <c r="O173" s="15" t="b">
        <f t="shared" si="3"/>
        <v>0</v>
      </c>
      <c r="P173" s="15" t="b">
        <f t="shared" si="4"/>
        <v>1</v>
      </c>
      <c r="Q173" s="15" t="b">
        <f t="shared" si="5"/>
        <v>0</v>
      </c>
      <c r="R173" s="15" t="b">
        <f t="shared" si="6"/>
        <v>0</v>
      </c>
      <c r="S173" s="15" t="b">
        <f t="shared" si="7"/>
        <v>0</v>
      </c>
      <c r="T173" s="15" t="b">
        <f t="shared" si="8"/>
        <v>0</v>
      </c>
      <c r="U173" s="15" t="b">
        <f t="shared" si="9"/>
        <v>0</v>
      </c>
      <c r="V173" s="15" t="b">
        <f t="shared" si="10"/>
        <v>1</v>
      </c>
    </row>
    <row r="174" spans="1:22" ht="15.75" customHeight="1" x14ac:dyDescent="0.2">
      <c r="A174" s="19">
        <f t="shared" si="11"/>
        <v>173</v>
      </c>
      <c r="B174" s="19" t="s">
        <v>384</v>
      </c>
      <c r="C174" s="19" t="s">
        <v>357</v>
      </c>
      <c r="D174" s="19"/>
      <c r="E174" s="19"/>
      <c r="F174" s="19" t="s">
        <v>90</v>
      </c>
      <c r="G174" s="19" t="s">
        <v>57</v>
      </c>
      <c r="H174" s="19"/>
      <c r="I174" s="19"/>
      <c r="J174" s="19"/>
      <c r="K174" s="19"/>
      <c r="L174" s="15">
        <f t="shared" si="0"/>
        <v>0</v>
      </c>
      <c r="M174" s="15" t="b">
        <f t="shared" si="1"/>
        <v>0</v>
      </c>
      <c r="N174" s="15" t="b">
        <f t="shared" si="2"/>
        <v>0</v>
      </c>
      <c r="O174" s="15" t="b">
        <f t="shared" si="3"/>
        <v>1</v>
      </c>
      <c r="P174" s="15" t="b">
        <f t="shared" si="4"/>
        <v>1</v>
      </c>
      <c r="Q174" s="15" t="b">
        <f t="shared" si="5"/>
        <v>0</v>
      </c>
      <c r="R174" s="15" t="b">
        <f t="shared" si="6"/>
        <v>0</v>
      </c>
      <c r="S174" s="15" t="b">
        <f t="shared" si="7"/>
        <v>0</v>
      </c>
      <c r="T174" s="15" t="b">
        <f t="shared" si="8"/>
        <v>0</v>
      </c>
      <c r="U174" s="15" t="b">
        <f t="shared" si="9"/>
        <v>0</v>
      </c>
      <c r="V174" s="15" t="b">
        <f t="shared" si="10"/>
        <v>0</v>
      </c>
    </row>
    <row r="175" spans="1:22" ht="15.75" customHeight="1" x14ac:dyDescent="0.2">
      <c r="A175" s="19">
        <f t="shared" si="11"/>
        <v>174</v>
      </c>
      <c r="B175" s="19" t="s">
        <v>322</v>
      </c>
      <c r="C175" s="19" t="s">
        <v>317</v>
      </c>
      <c r="D175" s="19"/>
      <c r="E175" s="19"/>
      <c r="F175" s="19"/>
      <c r="G175" s="19" t="s">
        <v>323</v>
      </c>
      <c r="H175" s="19"/>
      <c r="I175" s="19"/>
      <c r="J175" s="19"/>
      <c r="K175" s="19"/>
      <c r="L175" s="15">
        <f t="shared" si="0"/>
        <v>0</v>
      </c>
      <c r="M175" s="15" t="b">
        <f t="shared" si="1"/>
        <v>0</v>
      </c>
      <c r="N175" s="15" t="b">
        <f t="shared" si="2"/>
        <v>0</v>
      </c>
      <c r="O175" s="15" t="b">
        <f t="shared" si="3"/>
        <v>0</v>
      </c>
      <c r="P175" s="15" t="b">
        <f t="shared" si="4"/>
        <v>0</v>
      </c>
      <c r="Q175" s="15" t="b">
        <f t="shared" si="5"/>
        <v>0</v>
      </c>
      <c r="R175" s="15" t="b">
        <f t="shared" si="6"/>
        <v>0</v>
      </c>
      <c r="S175" s="15" t="b">
        <f t="shared" si="7"/>
        <v>0</v>
      </c>
      <c r="T175" s="15" t="b">
        <f t="shared" si="8"/>
        <v>0</v>
      </c>
      <c r="U175" s="15" t="b">
        <f t="shared" si="9"/>
        <v>0</v>
      </c>
      <c r="V175" s="15" t="b">
        <f t="shared" si="10"/>
        <v>0</v>
      </c>
    </row>
    <row r="176" spans="1:22" ht="15.75" customHeight="1" x14ac:dyDescent="0.2">
      <c r="A176" s="19">
        <f t="shared" si="11"/>
        <v>175</v>
      </c>
      <c r="B176" s="19" t="s">
        <v>303</v>
      </c>
      <c r="C176" s="19" t="s">
        <v>300</v>
      </c>
      <c r="D176" s="19"/>
      <c r="E176" s="19" t="s">
        <v>156</v>
      </c>
      <c r="F176" s="19"/>
      <c r="G176" s="19"/>
      <c r="H176" s="19"/>
      <c r="I176" s="19"/>
      <c r="J176" s="19"/>
      <c r="K176" s="19"/>
      <c r="L176" s="15">
        <f t="shared" si="0"/>
        <v>0</v>
      </c>
      <c r="M176" s="15" t="b">
        <f t="shared" si="1"/>
        <v>0</v>
      </c>
      <c r="N176" s="15" t="b">
        <f t="shared" si="2"/>
        <v>0</v>
      </c>
      <c r="O176" s="15" t="b">
        <f t="shared" si="3"/>
        <v>0</v>
      </c>
      <c r="P176" s="15" t="b">
        <f t="shared" si="4"/>
        <v>0</v>
      </c>
      <c r="Q176" s="15" t="b">
        <f t="shared" si="5"/>
        <v>0</v>
      </c>
      <c r="R176" s="15" t="b">
        <f t="shared" si="6"/>
        <v>0</v>
      </c>
      <c r="S176" s="15" t="b">
        <f t="shared" si="7"/>
        <v>0</v>
      </c>
      <c r="T176" s="15" t="b">
        <f t="shared" si="8"/>
        <v>0</v>
      </c>
      <c r="U176" s="15" t="b">
        <f t="shared" si="9"/>
        <v>0</v>
      </c>
      <c r="V176" s="15" t="b">
        <f t="shared" si="10"/>
        <v>0</v>
      </c>
    </row>
    <row r="177" spans="1:22" ht="15.75" customHeight="1" x14ac:dyDescent="0.2">
      <c r="A177" s="19">
        <f t="shared" si="11"/>
        <v>176</v>
      </c>
      <c r="B177" s="19" t="s">
        <v>347</v>
      </c>
      <c r="C177" s="19" t="s">
        <v>343</v>
      </c>
      <c r="D177" s="19"/>
      <c r="E177" s="19"/>
      <c r="F177" s="19" t="s">
        <v>134</v>
      </c>
      <c r="G177" s="19"/>
      <c r="H177" s="19"/>
      <c r="I177" s="19" t="s">
        <v>348</v>
      </c>
      <c r="J177" s="19"/>
      <c r="K177" s="19"/>
      <c r="L177" s="15">
        <f t="shared" si="0"/>
        <v>0</v>
      </c>
      <c r="M177" s="15" t="b">
        <f t="shared" si="1"/>
        <v>0</v>
      </c>
      <c r="N177" s="15" t="b">
        <f t="shared" si="2"/>
        <v>0</v>
      </c>
      <c r="O177" s="15" t="b">
        <f t="shared" si="3"/>
        <v>0</v>
      </c>
      <c r="P177" s="15" t="b">
        <f t="shared" si="4"/>
        <v>1</v>
      </c>
      <c r="Q177" s="15" t="b">
        <f t="shared" si="5"/>
        <v>0</v>
      </c>
      <c r="R177" s="15" t="b">
        <f t="shared" si="6"/>
        <v>0</v>
      </c>
      <c r="S177" s="15" t="b">
        <f t="shared" si="7"/>
        <v>0</v>
      </c>
      <c r="T177" s="15" t="b">
        <f t="shared" si="8"/>
        <v>0</v>
      </c>
      <c r="U177" s="15" t="b">
        <f t="shared" si="9"/>
        <v>0</v>
      </c>
      <c r="V177" s="15" t="b">
        <f t="shared" si="10"/>
        <v>0</v>
      </c>
    </row>
    <row r="178" spans="1:22" ht="15.75" customHeight="1" x14ac:dyDescent="0.2">
      <c r="A178" s="19">
        <f t="shared" si="11"/>
        <v>177</v>
      </c>
      <c r="B178" s="19" t="s">
        <v>372</v>
      </c>
      <c r="C178" s="19" t="s">
        <v>357</v>
      </c>
      <c r="D178" s="19"/>
      <c r="E178" s="19"/>
      <c r="F178" s="19" t="s">
        <v>134</v>
      </c>
      <c r="G178" s="19"/>
      <c r="H178" s="19"/>
      <c r="I178" s="19" t="s">
        <v>348</v>
      </c>
      <c r="J178" s="19"/>
      <c r="K178" s="19"/>
      <c r="L178" s="15">
        <f t="shared" si="0"/>
        <v>0</v>
      </c>
      <c r="M178" s="15" t="b">
        <f t="shared" si="1"/>
        <v>0</v>
      </c>
      <c r="N178" s="15" t="b">
        <f t="shared" si="2"/>
        <v>0</v>
      </c>
      <c r="O178" s="15" t="b">
        <f t="shared" si="3"/>
        <v>0</v>
      </c>
      <c r="P178" s="15" t="b">
        <f t="shared" si="4"/>
        <v>1</v>
      </c>
      <c r="Q178" s="15" t="b">
        <f t="shared" si="5"/>
        <v>0</v>
      </c>
      <c r="R178" s="15" t="b">
        <f t="shared" si="6"/>
        <v>0</v>
      </c>
      <c r="S178" s="15" t="b">
        <f t="shared" si="7"/>
        <v>0</v>
      </c>
      <c r="T178" s="15" t="b">
        <f t="shared" si="8"/>
        <v>0</v>
      </c>
      <c r="U178" s="15" t="b">
        <f t="shared" si="9"/>
        <v>0</v>
      </c>
      <c r="V178" s="15" t="b">
        <f t="shared" si="10"/>
        <v>0</v>
      </c>
    </row>
    <row r="179" spans="1:22" ht="15.75" customHeight="1" x14ac:dyDescent="0.2">
      <c r="A179" s="19">
        <f t="shared" si="11"/>
        <v>178</v>
      </c>
      <c r="B179" s="19" t="s">
        <v>87</v>
      </c>
      <c r="C179" s="19" t="s">
        <v>65</v>
      </c>
      <c r="D179" s="19"/>
      <c r="E179" s="19" t="s">
        <v>74</v>
      </c>
      <c r="F179" s="19" t="s">
        <v>38</v>
      </c>
      <c r="G179" s="19" t="s">
        <v>52</v>
      </c>
      <c r="H179" s="19"/>
      <c r="I179" s="19"/>
      <c r="J179" s="24" t="s">
        <v>55</v>
      </c>
      <c r="K179" s="19"/>
      <c r="L179" s="15">
        <f t="shared" si="0"/>
        <v>0</v>
      </c>
      <c r="M179" s="15" t="b">
        <f t="shared" si="1"/>
        <v>0</v>
      </c>
      <c r="N179" s="15" t="b">
        <f t="shared" si="2"/>
        <v>0</v>
      </c>
      <c r="O179" s="15" t="b">
        <f t="shared" si="3"/>
        <v>0</v>
      </c>
      <c r="P179" s="15" t="b">
        <f t="shared" si="4"/>
        <v>1</v>
      </c>
      <c r="Q179" s="15" t="b">
        <f t="shared" si="5"/>
        <v>0</v>
      </c>
      <c r="R179" s="15" t="b">
        <f t="shared" si="6"/>
        <v>0</v>
      </c>
      <c r="S179" s="15" t="b">
        <f t="shared" si="7"/>
        <v>1</v>
      </c>
      <c r="T179" s="15" t="b">
        <f t="shared" si="8"/>
        <v>0</v>
      </c>
      <c r="U179" s="15" t="b">
        <f t="shared" si="9"/>
        <v>0</v>
      </c>
      <c r="V179" s="15" t="b">
        <f t="shared" si="10"/>
        <v>0</v>
      </c>
    </row>
    <row r="180" spans="1:22" ht="15.75" customHeight="1" x14ac:dyDescent="0.2">
      <c r="A180" s="19">
        <f t="shared" si="11"/>
        <v>179</v>
      </c>
      <c r="B180" s="19" t="s">
        <v>328</v>
      </c>
      <c r="C180" s="19" t="s">
        <v>317</v>
      </c>
      <c r="D180" s="19"/>
      <c r="E180" s="19" t="s">
        <v>62</v>
      </c>
      <c r="F180" s="19"/>
      <c r="G180" s="19"/>
      <c r="H180" s="19"/>
      <c r="I180" s="19"/>
      <c r="J180" s="19"/>
      <c r="K180" s="19"/>
      <c r="L180" s="15">
        <f t="shared" si="0"/>
        <v>0</v>
      </c>
      <c r="M180" s="15" t="b">
        <f t="shared" si="1"/>
        <v>0</v>
      </c>
      <c r="N180" s="15" t="b">
        <f t="shared" si="2"/>
        <v>0</v>
      </c>
      <c r="O180" s="15" t="b">
        <f t="shared" si="3"/>
        <v>0</v>
      </c>
      <c r="P180" s="15" t="b">
        <f t="shared" si="4"/>
        <v>0</v>
      </c>
      <c r="Q180" s="15" t="b">
        <f t="shared" si="5"/>
        <v>1</v>
      </c>
      <c r="R180" s="15" t="b">
        <f t="shared" si="6"/>
        <v>0</v>
      </c>
      <c r="S180" s="15" t="b">
        <f t="shared" si="7"/>
        <v>0</v>
      </c>
      <c r="T180" s="15" t="b">
        <f t="shared" si="8"/>
        <v>0</v>
      </c>
      <c r="U180" s="15" t="b">
        <f t="shared" si="9"/>
        <v>0</v>
      </c>
      <c r="V180" s="15" t="b">
        <f t="shared" si="10"/>
        <v>0</v>
      </c>
    </row>
    <row r="181" spans="1:22" ht="15.75" customHeight="1" x14ac:dyDescent="0.2">
      <c r="A181" s="19">
        <f t="shared" si="11"/>
        <v>180</v>
      </c>
      <c r="B181" s="19" t="s">
        <v>327</v>
      </c>
      <c r="C181" s="19" t="s">
        <v>317</v>
      </c>
      <c r="D181" s="19"/>
      <c r="E181" s="19" t="s">
        <v>81</v>
      </c>
      <c r="F181" s="19"/>
      <c r="G181" s="19"/>
      <c r="H181" s="19"/>
      <c r="I181" s="19"/>
      <c r="J181" s="19"/>
      <c r="K181" s="19"/>
      <c r="L181" s="15">
        <f t="shared" si="0"/>
        <v>0</v>
      </c>
      <c r="M181" s="15" t="b">
        <f t="shared" si="1"/>
        <v>0</v>
      </c>
      <c r="N181" s="15" t="b">
        <f t="shared" si="2"/>
        <v>0</v>
      </c>
      <c r="O181" s="15" t="b">
        <f t="shared" si="3"/>
        <v>0</v>
      </c>
      <c r="P181" s="15" t="b">
        <f t="shared" si="4"/>
        <v>0</v>
      </c>
      <c r="Q181" s="15" t="b">
        <f t="shared" si="5"/>
        <v>0</v>
      </c>
      <c r="R181" s="15" t="b">
        <f t="shared" si="6"/>
        <v>0</v>
      </c>
      <c r="S181" s="15" t="b">
        <f t="shared" si="7"/>
        <v>0</v>
      </c>
      <c r="T181" s="15" t="b">
        <f t="shared" si="8"/>
        <v>0</v>
      </c>
      <c r="U181" s="15" t="b">
        <f t="shared" si="9"/>
        <v>1</v>
      </c>
      <c r="V181" s="15" t="b">
        <f t="shared" si="10"/>
        <v>0</v>
      </c>
    </row>
    <row r="182" spans="1:22" ht="15.75" customHeight="1" x14ac:dyDescent="0.2">
      <c r="A182" s="19">
        <f t="shared" si="11"/>
        <v>181</v>
      </c>
      <c r="B182" s="19" t="s">
        <v>330</v>
      </c>
      <c r="C182" s="19" t="s">
        <v>317</v>
      </c>
      <c r="D182" s="19"/>
      <c r="E182" s="19"/>
      <c r="F182" s="19" t="s">
        <v>38</v>
      </c>
      <c r="G182" s="19" t="s">
        <v>57</v>
      </c>
      <c r="H182" s="19"/>
      <c r="I182" s="19"/>
      <c r="J182" s="19"/>
      <c r="K182" s="19"/>
      <c r="L182" s="15">
        <f t="shared" si="0"/>
        <v>0</v>
      </c>
      <c r="M182" s="15" t="b">
        <f t="shared" si="1"/>
        <v>0</v>
      </c>
      <c r="N182" s="15" t="b">
        <f t="shared" si="2"/>
        <v>0</v>
      </c>
      <c r="O182" s="15" t="b">
        <f t="shared" si="3"/>
        <v>1</v>
      </c>
      <c r="P182" s="15" t="b">
        <f t="shared" si="4"/>
        <v>1</v>
      </c>
      <c r="Q182" s="15" t="b">
        <f t="shared" si="5"/>
        <v>0</v>
      </c>
      <c r="R182" s="15" t="b">
        <f t="shared" si="6"/>
        <v>0</v>
      </c>
      <c r="S182" s="15" t="b">
        <f t="shared" si="7"/>
        <v>0</v>
      </c>
      <c r="T182" s="15" t="b">
        <f t="shared" si="8"/>
        <v>0</v>
      </c>
      <c r="U182" s="15" t="b">
        <f t="shared" si="9"/>
        <v>0</v>
      </c>
      <c r="V182" s="15" t="b">
        <f t="shared" si="10"/>
        <v>0</v>
      </c>
    </row>
    <row r="183" spans="1:22" ht="15.75" customHeight="1" x14ac:dyDescent="0.2">
      <c r="A183" s="19">
        <f t="shared" si="11"/>
        <v>182</v>
      </c>
      <c r="B183" s="19" t="s">
        <v>366</v>
      </c>
      <c r="C183" s="19" t="s">
        <v>357</v>
      </c>
      <c r="D183" s="19"/>
      <c r="E183" s="19"/>
      <c r="F183" s="19" t="s">
        <v>126</v>
      </c>
      <c r="G183" s="19"/>
      <c r="H183" s="19"/>
      <c r="I183" s="19"/>
      <c r="J183" s="19"/>
      <c r="K183" s="19"/>
      <c r="L183" s="15">
        <f t="shared" si="0"/>
        <v>0</v>
      </c>
      <c r="M183" s="15" t="b">
        <f t="shared" si="1"/>
        <v>0</v>
      </c>
      <c r="N183" s="15" t="b">
        <f t="shared" si="2"/>
        <v>0</v>
      </c>
      <c r="O183" s="15" t="b">
        <f t="shared" si="3"/>
        <v>0</v>
      </c>
      <c r="P183" s="15" t="b">
        <f t="shared" si="4"/>
        <v>1</v>
      </c>
      <c r="Q183" s="15" t="b">
        <f t="shared" si="5"/>
        <v>0</v>
      </c>
      <c r="R183" s="15" t="b">
        <f t="shared" si="6"/>
        <v>0</v>
      </c>
      <c r="S183" s="15" t="b">
        <f t="shared" si="7"/>
        <v>0</v>
      </c>
      <c r="T183" s="15" t="b">
        <f t="shared" si="8"/>
        <v>0</v>
      </c>
      <c r="U183" s="15" t="b">
        <f t="shared" si="9"/>
        <v>0</v>
      </c>
      <c r="V183" s="15" t="b">
        <f t="shared" si="10"/>
        <v>0</v>
      </c>
    </row>
    <row r="184" spans="1:22" ht="15.75" customHeight="1" x14ac:dyDescent="0.2">
      <c r="A184" s="19">
        <f t="shared" si="11"/>
        <v>183</v>
      </c>
      <c r="B184" s="19" t="s">
        <v>374</v>
      </c>
      <c r="C184" s="19" t="s">
        <v>357</v>
      </c>
      <c r="D184" s="19"/>
      <c r="E184" s="19"/>
      <c r="F184" s="19" t="s">
        <v>45</v>
      </c>
      <c r="G184" s="19"/>
      <c r="H184" s="19"/>
      <c r="I184" s="19"/>
      <c r="J184" s="19"/>
      <c r="K184" s="19"/>
      <c r="L184" s="15">
        <f t="shared" si="0"/>
        <v>0</v>
      </c>
      <c r="M184" s="15" t="b">
        <f t="shared" si="1"/>
        <v>0</v>
      </c>
      <c r="N184" s="15" t="b">
        <f t="shared" si="2"/>
        <v>0</v>
      </c>
      <c r="O184" s="15" t="b">
        <f t="shared" si="3"/>
        <v>0</v>
      </c>
      <c r="P184" s="15" t="b">
        <f t="shared" si="4"/>
        <v>1</v>
      </c>
      <c r="Q184" s="15" t="b">
        <f t="shared" si="5"/>
        <v>0</v>
      </c>
      <c r="R184" s="15" t="b">
        <f t="shared" si="6"/>
        <v>0</v>
      </c>
      <c r="S184" s="15" t="b">
        <f t="shared" si="7"/>
        <v>0</v>
      </c>
      <c r="T184" s="15" t="b">
        <f t="shared" si="8"/>
        <v>0</v>
      </c>
      <c r="U184" s="15" t="b">
        <f t="shared" si="9"/>
        <v>0</v>
      </c>
      <c r="V184" s="15" t="b">
        <f t="shared" si="10"/>
        <v>0</v>
      </c>
    </row>
    <row r="185" spans="1:22" ht="15.75" customHeight="1" x14ac:dyDescent="0.2">
      <c r="A185" s="19">
        <f t="shared" si="11"/>
        <v>184</v>
      </c>
      <c r="B185" s="19" t="s">
        <v>333</v>
      </c>
      <c r="C185" s="19" t="s">
        <v>334</v>
      </c>
      <c r="D185" s="19"/>
      <c r="E185" s="19" t="s">
        <v>335</v>
      </c>
      <c r="F185" s="19"/>
      <c r="G185" s="19"/>
      <c r="H185" s="19"/>
      <c r="I185" s="19"/>
      <c r="J185" s="19"/>
      <c r="K185" s="19"/>
      <c r="L185" s="15">
        <f t="shared" si="0"/>
        <v>0</v>
      </c>
      <c r="M185" s="15" t="b">
        <f t="shared" si="1"/>
        <v>0</v>
      </c>
      <c r="N185" s="15" t="b">
        <f t="shared" si="2"/>
        <v>0</v>
      </c>
      <c r="O185" s="15" t="b">
        <f t="shared" si="3"/>
        <v>0</v>
      </c>
      <c r="P185" s="15" t="b">
        <f t="shared" si="4"/>
        <v>0</v>
      </c>
      <c r="Q185" s="15" t="b">
        <f t="shared" si="5"/>
        <v>0</v>
      </c>
      <c r="R185" s="15" t="b">
        <f t="shared" si="6"/>
        <v>0</v>
      </c>
      <c r="S185" s="15" t="b">
        <f t="shared" si="7"/>
        <v>0</v>
      </c>
      <c r="T185" s="15" t="b">
        <f t="shared" si="8"/>
        <v>0</v>
      </c>
      <c r="U185" s="15" t="b">
        <f t="shared" si="9"/>
        <v>0</v>
      </c>
      <c r="V185" s="15" t="b">
        <f t="shared" si="10"/>
        <v>0</v>
      </c>
    </row>
    <row r="186" spans="1:22" ht="15.75" customHeight="1" x14ac:dyDescent="0.2">
      <c r="A186" s="19">
        <f t="shared" si="11"/>
        <v>185</v>
      </c>
      <c r="B186" s="19" t="s">
        <v>376</v>
      </c>
      <c r="C186" s="19" t="s">
        <v>357</v>
      </c>
      <c r="D186" s="19"/>
      <c r="E186" s="19"/>
      <c r="F186" s="19" t="s">
        <v>45</v>
      </c>
      <c r="G186" s="19" t="s">
        <v>76</v>
      </c>
      <c r="H186" s="24" t="s">
        <v>126</v>
      </c>
      <c r="I186" s="19"/>
      <c r="J186" s="19"/>
      <c r="K186" s="19"/>
      <c r="L186" s="15">
        <f t="shared" si="0"/>
        <v>0</v>
      </c>
      <c r="M186" s="15" t="b">
        <f t="shared" si="1"/>
        <v>0</v>
      </c>
      <c r="N186" s="15" t="b">
        <f t="shared" si="2"/>
        <v>0</v>
      </c>
      <c r="O186" s="15" t="b">
        <f t="shared" si="3"/>
        <v>0</v>
      </c>
      <c r="P186" s="15" t="b">
        <f t="shared" si="4"/>
        <v>1</v>
      </c>
      <c r="Q186" s="15" t="b">
        <f t="shared" si="5"/>
        <v>0</v>
      </c>
      <c r="R186" s="15" t="b">
        <f t="shared" si="6"/>
        <v>0</v>
      </c>
      <c r="S186" s="15" t="b">
        <f t="shared" si="7"/>
        <v>0</v>
      </c>
      <c r="T186" s="15" t="b">
        <f t="shared" si="8"/>
        <v>0</v>
      </c>
      <c r="U186" s="15" t="b">
        <f t="shared" si="9"/>
        <v>0</v>
      </c>
      <c r="V186" s="15" t="b">
        <f t="shared" si="10"/>
        <v>0</v>
      </c>
    </row>
    <row r="187" spans="1:22" ht="15.75" customHeight="1" x14ac:dyDescent="0.2">
      <c r="A187" s="19">
        <f t="shared" si="11"/>
        <v>186</v>
      </c>
      <c r="B187" s="20" t="s">
        <v>116</v>
      </c>
      <c r="C187" s="20" t="s">
        <v>49</v>
      </c>
      <c r="D187" s="20"/>
      <c r="E187" s="20"/>
      <c r="F187" s="20" t="s">
        <v>38</v>
      </c>
      <c r="G187" s="20" t="s">
        <v>100</v>
      </c>
      <c r="H187" s="20"/>
      <c r="I187" s="19"/>
      <c r="J187" s="20"/>
      <c r="K187" s="20"/>
      <c r="L187" s="15">
        <f t="shared" si="0"/>
        <v>0</v>
      </c>
      <c r="M187" s="15" t="b">
        <f t="shared" si="1"/>
        <v>0</v>
      </c>
      <c r="N187" s="15" t="b">
        <f t="shared" si="2"/>
        <v>0</v>
      </c>
      <c r="O187" s="15" t="b">
        <f t="shared" si="3"/>
        <v>0</v>
      </c>
      <c r="P187" s="15" t="b">
        <f t="shared" si="4"/>
        <v>1</v>
      </c>
      <c r="Q187" s="15" t="b">
        <f t="shared" si="5"/>
        <v>0</v>
      </c>
      <c r="R187" s="15" t="b">
        <f t="shared" si="6"/>
        <v>0</v>
      </c>
      <c r="S187" s="15" t="b">
        <f t="shared" si="7"/>
        <v>0</v>
      </c>
      <c r="T187" s="15" t="b">
        <f t="shared" si="8"/>
        <v>0</v>
      </c>
      <c r="U187" s="15" t="b">
        <f t="shared" si="9"/>
        <v>0</v>
      </c>
      <c r="V187" s="15" t="b">
        <f t="shared" si="10"/>
        <v>1</v>
      </c>
    </row>
    <row r="188" spans="1:22" ht="15.75" customHeight="1" x14ac:dyDescent="0.2">
      <c r="A188" s="19">
        <f t="shared" si="11"/>
        <v>187</v>
      </c>
      <c r="B188" s="19" t="s">
        <v>181</v>
      </c>
      <c r="C188" s="18" t="s">
        <v>148</v>
      </c>
      <c r="D188" s="19"/>
      <c r="E188" s="19" t="s">
        <v>62</v>
      </c>
      <c r="F188" s="19" t="s">
        <v>38</v>
      </c>
      <c r="G188" s="19" t="s">
        <v>68</v>
      </c>
      <c r="H188" s="19"/>
      <c r="I188" s="19"/>
      <c r="J188" s="19" t="s">
        <v>74</v>
      </c>
      <c r="K188" s="19"/>
      <c r="L188" s="15">
        <f t="shared" si="0"/>
        <v>0</v>
      </c>
      <c r="M188" s="15" t="b">
        <f t="shared" si="1"/>
        <v>0</v>
      </c>
      <c r="N188" s="15" t="b">
        <f t="shared" si="2"/>
        <v>0</v>
      </c>
      <c r="O188" s="15" t="b">
        <f t="shared" si="3"/>
        <v>0</v>
      </c>
      <c r="P188" s="15" t="b">
        <f t="shared" si="4"/>
        <v>1</v>
      </c>
      <c r="Q188" s="15" t="b">
        <f t="shared" si="5"/>
        <v>1</v>
      </c>
      <c r="R188" s="15" t="b">
        <f t="shared" si="6"/>
        <v>0</v>
      </c>
      <c r="S188" s="15" t="b">
        <f t="shared" si="7"/>
        <v>0</v>
      </c>
      <c r="T188" s="15" t="b">
        <f t="shared" si="8"/>
        <v>0</v>
      </c>
      <c r="U188" s="15" t="b">
        <f t="shared" si="9"/>
        <v>0</v>
      </c>
      <c r="V188" s="15" t="b">
        <f t="shared" si="10"/>
        <v>0</v>
      </c>
    </row>
    <row r="189" spans="1:22" ht="15.75" customHeight="1" x14ac:dyDescent="0.2">
      <c r="A189" s="19">
        <f t="shared" si="11"/>
        <v>188</v>
      </c>
      <c r="B189" s="19" t="s">
        <v>184</v>
      </c>
      <c r="C189" s="18" t="s">
        <v>148</v>
      </c>
      <c r="D189" s="19"/>
      <c r="E189" s="19" t="s">
        <v>62</v>
      </c>
      <c r="F189" s="19" t="s">
        <v>90</v>
      </c>
      <c r="G189" s="19" t="s">
        <v>68</v>
      </c>
      <c r="H189" s="19" t="s">
        <v>78</v>
      </c>
      <c r="I189" s="19"/>
      <c r="J189" s="19" t="s">
        <v>100</v>
      </c>
      <c r="K189" s="24" t="s">
        <v>395</v>
      </c>
      <c r="L189" s="15">
        <f t="shared" si="0"/>
        <v>0</v>
      </c>
      <c r="M189" s="15" t="b">
        <f t="shared" si="1"/>
        <v>0</v>
      </c>
      <c r="N189" s="15" t="b">
        <f t="shared" si="2"/>
        <v>1</v>
      </c>
      <c r="O189" s="15" t="b">
        <f t="shared" si="3"/>
        <v>0</v>
      </c>
      <c r="P189" s="15" t="b">
        <f t="shared" si="4"/>
        <v>1</v>
      </c>
      <c r="Q189" s="15" t="b">
        <f t="shared" si="5"/>
        <v>1</v>
      </c>
      <c r="R189" s="15" t="b">
        <f t="shared" si="6"/>
        <v>0</v>
      </c>
      <c r="S189" s="15" t="b">
        <f t="shared" si="7"/>
        <v>0</v>
      </c>
      <c r="T189" s="15" t="b">
        <f t="shared" si="8"/>
        <v>0</v>
      </c>
      <c r="U189" s="15" t="b">
        <f t="shared" si="9"/>
        <v>0</v>
      </c>
      <c r="V189" s="15" t="b">
        <f t="shared" si="10"/>
        <v>1</v>
      </c>
    </row>
    <row r="190" spans="1:22" ht="15.75" customHeight="1" x14ac:dyDescent="0.2">
      <c r="A190" s="19">
        <f t="shared" si="11"/>
        <v>189</v>
      </c>
      <c r="B190" s="19" t="s">
        <v>369</v>
      </c>
      <c r="C190" s="19" t="s">
        <v>357</v>
      </c>
      <c r="D190" s="19" t="s">
        <v>282</v>
      </c>
      <c r="E190" s="19"/>
      <c r="F190" s="19" t="s">
        <v>126</v>
      </c>
      <c r="G190" s="19" t="s">
        <v>30</v>
      </c>
      <c r="H190" s="19"/>
      <c r="I190" s="19"/>
      <c r="J190" s="19"/>
      <c r="K190" s="19"/>
      <c r="L190" s="15">
        <f t="shared" si="0"/>
        <v>0</v>
      </c>
      <c r="M190" s="15" t="b">
        <f t="shared" si="1"/>
        <v>0</v>
      </c>
      <c r="N190" s="15" t="b">
        <f t="shared" si="2"/>
        <v>0</v>
      </c>
      <c r="O190" s="15" t="b">
        <f t="shared" si="3"/>
        <v>0</v>
      </c>
      <c r="P190" s="15" t="b">
        <f t="shared" si="4"/>
        <v>1</v>
      </c>
      <c r="Q190" s="15" t="b">
        <f t="shared" si="5"/>
        <v>0</v>
      </c>
      <c r="R190" s="15" t="b">
        <f t="shared" si="6"/>
        <v>0</v>
      </c>
      <c r="S190" s="15" t="b">
        <f t="shared" si="7"/>
        <v>0</v>
      </c>
      <c r="T190" s="15" t="b">
        <f t="shared" si="8"/>
        <v>0</v>
      </c>
      <c r="U190" s="15" t="b">
        <f t="shared" si="9"/>
        <v>0</v>
      </c>
      <c r="V190" s="15" t="b">
        <f t="shared" si="10"/>
        <v>0</v>
      </c>
    </row>
    <row r="191" spans="1:22" ht="15.75" customHeight="1" x14ac:dyDescent="0.2">
      <c r="A191" s="19">
        <f t="shared" si="11"/>
        <v>190</v>
      </c>
      <c r="B191" s="19" t="s">
        <v>336</v>
      </c>
      <c r="C191" s="19" t="s">
        <v>282</v>
      </c>
      <c r="D191" s="19"/>
      <c r="E191" s="19" t="s">
        <v>86</v>
      </c>
      <c r="F191" s="19" t="s">
        <v>38</v>
      </c>
      <c r="G191" s="19"/>
      <c r="H191" s="19"/>
      <c r="I191" s="19"/>
      <c r="J191" s="19"/>
      <c r="K191" s="19"/>
      <c r="L191" s="15">
        <f t="shared" si="0"/>
        <v>0</v>
      </c>
      <c r="M191" s="15" t="b">
        <f t="shared" si="1"/>
        <v>1</v>
      </c>
      <c r="N191" s="15" t="b">
        <f t="shared" si="2"/>
        <v>0</v>
      </c>
      <c r="O191" s="15" t="b">
        <f t="shared" si="3"/>
        <v>0</v>
      </c>
      <c r="P191" s="15" t="b">
        <f t="shared" si="4"/>
        <v>1</v>
      </c>
      <c r="Q191" s="15" t="b">
        <f t="shared" si="5"/>
        <v>0</v>
      </c>
      <c r="R191" s="15" t="b">
        <f t="shared" si="6"/>
        <v>0</v>
      </c>
      <c r="S191" s="15" t="b">
        <f t="shared" si="7"/>
        <v>0</v>
      </c>
      <c r="T191" s="15" t="b">
        <f t="shared" si="8"/>
        <v>0</v>
      </c>
      <c r="U191" s="15" t="b">
        <f t="shared" si="9"/>
        <v>0</v>
      </c>
      <c r="V191" s="15" t="b">
        <f t="shared" si="10"/>
        <v>0</v>
      </c>
    </row>
    <row r="192" spans="1:22" ht="15.75" customHeight="1" x14ac:dyDescent="0.2">
      <c r="A192" s="19">
        <f t="shared" si="11"/>
        <v>191</v>
      </c>
      <c r="B192" s="19" t="s">
        <v>150</v>
      </c>
      <c r="C192" s="18" t="s">
        <v>148</v>
      </c>
      <c r="D192" s="19"/>
      <c r="E192" s="19"/>
      <c r="F192" s="19"/>
      <c r="G192" s="19" t="s">
        <v>396</v>
      </c>
      <c r="H192" s="19"/>
      <c r="I192" s="19"/>
      <c r="J192" s="19"/>
      <c r="K192" s="19"/>
      <c r="L192" s="15">
        <f t="shared" si="0"/>
        <v>0</v>
      </c>
      <c r="M192" s="15" t="b">
        <f t="shared" si="1"/>
        <v>0</v>
      </c>
      <c r="N192" s="15" t="b">
        <f t="shared" si="2"/>
        <v>0</v>
      </c>
      <c r="O192" s="15" t="b">
        <f t="shared" si="3"/>
        <v>0</v>
      </c>
      <c r="P192" s="15" t="b">
        <f t="shared" si="4"/>
        <v>0</v>
      </c>
      <c r="Q192" s="15" t="b">
        <f t="shared" si="5"/>
        <v>0</v>
      </c>
      <c r="R192" s="15" t="b">
        <f t="shared" si="6"/>
        <v>0</v>
      </c>
      <c r="S192" s="15" t="b">
        <f t="shared" si="7"/>
        <v>0</v>
      </c>
      <c r="T192" s="15" t="b">
        <f t="shared" si="8"/>
        <v>0</v>
      </c>
      <c r="U192" s="15" t="b">
        <f t="shared" si="9"/>
        <v>0</v>
      </c>
      <c r="V192" s="15" t="b">
        <f t="shared" si="10"/>
        <v>0</v>
      </c>
    </row>
    <row r="193" spans="1:22" ht="15.75" customHeight="1" x14ac:dyDescent="0.2">
      <c r="A193" s="19">
        <f t="shared" si="11"/>
        <v>192</v>
      </c>
      <c r="B193" s="19" t="s">
        <v>89</v>
      </c>
      <c r="C193" s="19" t="s">
        <v>65</v>
      </c>
      <c r="D193" s="19"/>
      <c r="E193" s="19"/>
      <c r="F193" s="19" t="s">
        <v>90</v>
      </c>
      <c r="G193" s="19" t="s">
        <v>30</v>
      </c>
      <c r="H193" s="19"/>
      <c r="I193" s="19"/>
      <c r="J193" s="19"/>
      <c r="K193" s="19"/>
      <c r="L193" s="15">
        <f t="shared" si="0"/>
        <v>0</v>
      </c>
      <c r="M193" s="15" t="b">
        <f t="shared" si="1"/>
        <v>0</v>
      </c>
      <c r="N193" s="15" t="b">
        <f t="shared" si="2"/>
        <v>0</v>
      </c>
      <c r="O193" s="15" t="b">
        <f t="shared" si="3"/>
        <v>0</v>
      </c>
      <c r="P193" s="15" t="b">
        <f t="shared" si="4"/>
        <v>1</v>
      </c>
      <c r="Q193" s="15" t="b">
        <f t="shared" si="5"/>
        <v>0</v>
      </c>
      <c r="R193" s="15" t="b">
        <f t="shared" si="6"/>
        <v>0</v>
      </c>
      <c r="S193" s="15" t="b">
        <f t="shared" si="7"/>
        <v>0</v>
      </c>
      <c r="T193" s="15" t="b">
        <f t="shared" si="8"/>
        <v>0</v>
      </c>
      <c r="U193" s="15" t="b">
        <f t="shared" si="9"/>
        <v>0</v>
      </c>
      <c r="V193" s="15" t="b">
        <f t="shared" si="10"/>
        <v>0</v>
      </c>
    </row>
    <row r="194" spans="1:22" ht="15.75" customHeight="1" x14ac:dyDescent="0.2">
      <c r="A194" s="19">
        <f t="shared" si="11"/>
        <v>193</v>
      </c>
      <c r="B194" s="19" t="s">
        <v>102</v>
      </c>
      <c r="C194" s="19" t="s">
        <v>49</v>
      </c>
      <c r="D194" s="19"/>
      <c r="E194" s="19"/>
      <c r="F194" s="19"/>
      <c r="G194" s="27" t="s">
        <v>31</v>
      </c>
      <c r="H194" s="19"/>
      <c r="I194" s="19"/>
      <c r="J194" s="19"/>
      <c r="K194" s="19"/>
      <c r="L194" s="15">
        <f t="shared" si="0"/>
        <v>0</v>
      </c>
      <c r="M194" s="15" t="b">
        <f t="shared" si="1"/>
        <v>0</v>
      </c>
      <c r="N194" s="15" t="b">
        <f t="shared" si="2"/>
        <v>0</v>
      </c>
      <c r="O194" s="15" t="b">
        <f t="shared" si="3"/>
        <v>1</v>
      </c>
      <c r="P194" s="15" t="b">
        <f t="shared" si="4"/>
        <v>0</v>
      </c>
      <c r="Q194" s="15" t="b">
        <f t="shared" si="5"/>
        <v>0</v>
      </c>
      <c r="R194" s="15" t="b">
        <f t="shared" si="6"/>
        <v>0</v>
      </c>
      <c r="S194" s="15" t="b">
        <f t="shared" si="7"/>
        <v>0</v>
      </c>
      <c r="T194" s="15" t="b">
        <f t="shared" si="8"/>
        <v>0</v>
      </c>
      <c r="U194" s="15" t="b">
        <f t="shared" si="9"/>
        <v>0</v>
      </c>
      <c r="V194" s="15" t="b">
        <f t="shared" si="10"/>
        <v>0</v>
      </c>
    </row>
    <row r="195" spans="1:22" ht="15.75" customHeight="1" x14ac:dyDescent="0.2">
      <c r="A195" s="19">
        <f t="shared" si="11"/>
        <v>194</v>
      </c>
      <c r="B195" s="19" t="s">
        <v>248</v>
      </c>
      <c r="C195" s="19" t="s">
        <v>249</v>
      </c>
      <c r="D195" s="19"/>
      <c r="E195" s="19" t="s">
        <v>250</v>
      </c>
      <c r="F195" s="19" t="s">
        <v>38</v>
      </c>
      <c r="G195" s="19"/>
      <c r="H195" s="19"/>
      <c r="I195" s="19"/>
      <c r="J195" s="19"/>
      <c r="K195" s="19"/>
      <c r="L195" s="15">
        <f t="shared" si="0"/>
        <v>0</v>
      </c>
      <c r="M195" s="15" t="b">
        <f t="shared" si="1"/>
        <v>0</v>
      </c>
      <c r="N195" s="15" t="b">
        <f t="shared" si="2"/>
        <v>0</v>
      </c>
      <c r="O195" s="15" t="b">
        <f t="shared" si="3"/>
        <v>0</v>
      </c>
      <c r="P195" s="15" t="b">
        <f t="shared" si="4"/>
        <v>1</v>
      </c>
      <c r="Q195" s="15" t="b">
        <f t="shared" si="5"/>
        <v>0</v>
      </c>
      <c r="R195" s="15" t="b">
        <f t="shared" si="6"/>
        <v>0</v>
      </c>
      <c r="S195" s="15" t="b">
        <f t="shared" si="7"/>
        <v>0</v>
      </c>
      <c r="T195" s="15" t="b">
        <f t="shared" si="8"/>
        <v>0</v>
      </c>
      <c r="U195" s="15" t="b">
        <f t="shared" si="9"/>
        <v>0</v>
      </c>
      <c r="V195" s="15" t="b">
        <f t="shared" si="10"/>
        <v>0</v>
      </c>
    </row>
    <row r="196" spans="1:22" ht="15.75" customHeight="1" x14ac:dyDescent="0.2">
      <c r="A196" s="19">
        <f t="shared" si="11"/>
        <v>195</v>
      </c>
      <c r="B196" s="19" t="s">
        <v>346</v>
      </c>
      <c r="C196" s="19" t="s">
        <v>343</v>
      </c>
      <c r="D196" s="19"/>
      <c r="E196" s="19" t="s">
        <v>55</v>
      </c>
      <c r="F196" s="19" t="s">
        <v>126</v>
      </c>
      <c r="G196" s="19"/>
      <c r="H196" s="19"/>
      <c r="I196" s="19"/>
      <c r="J196" s="19"/>
      <c r="K196" s="19"/>
      <c r="L196" s="15">
        <f t="shared" si="0"/>
        <v>0</v>
      </c>
      <c r="M196" s="15" t="b">
        <f t="shared" si="1"/>
        <v>0</v>
      </c>
      <c r="N196" s="15" t="b">
        <f t="shared" si="2"/>
        <v>0</v>
      </c>
      <c r="O196" s="15" t="b">
        <f t="shared" si="3"/>
        <v>0</v>
      </c>
      <c r="P196" s="15" t="b">
        <f t="shared" si="4"/>
        <v>1</v>
      </c>
      <c r="Q196" s="15" t="b">
        <f t="shared" si="5"/>
        <v>0</v>
      </c>
      <c r="R196" s="15" t="b">
        <f t="shared" si="6"/>
        <v>0</v>
      </c>
      <c r="S196" s="15" t="b">
        <f t="shared" si="7"/>
        <v>0</v>
      </c>
      <c r="T196" s="15" t="b">
        <f t="shared" si="8"/>
        <v>0</v>
      </c>
      <c r="U196" s="15" t="b">
        <f t="shared" si="9"/>
        <v>0</v>
      </c>
      <c r="V196" s="15" t="b">
        <f t="shared" si="10"/>
        <v>0</v>
      </c>
    </row>
    <row r="197" spans="1:22" ht="15.75" customHeight="1" x14ac:dyDescent="0.2">
      <c r="A197" s="19">
        <f t="shared" si="11"/>
        <v>196</v>
      </c>
      <c r="B197" s="19" t="s">
        <v>197</v>
      </c>
      <c r="C197" s="18" t="s">
        <v>148</v>
      </c>
      <c r="D197" s="19"/>
      <c r="E197" s="19"/>
      <c r="F197" s="19"/>
      <c r="G197" s="19" t="s">
        <v>52</v>
      </c>
      <c r="H197" s="19"/>
      <c r="I197" s="19"/>
      <c r="J197" s="19"/>
      <c r="K197" s="19"/>
      <c r="L197" s="15">
        <f t="shared" si="0"/>
        <v>0</v>
      </c>
      <c r="M197" s="15" t="b">
        <f t="shared" si="1"/>
        <v>0</v>
      </c>
      <c r="N197" s="15" t="b">
        <f t="shared" si="2"/>
        <v>0</v>
      </c>
      <c r="O197" s="15" t="b">
        <f t="shared" si="3"/>
        <v>0</v>
      </c>
      <c r="P197" s="15" t="b">
        <f t="shared" si="4"/>
        <v>0</v>
      </c>
      <c r="Q197" s="15" t="b">
        <f t="shared" si="5"/>
        <v>0</v>
      </c>
      <c r="R197" s="15" t="b">
        <f t="shared" si="6"/>
        <v>0</v>
      </c>
      <c r="S197" s="15" t="b">
        <f t="shared" si="7"/>
        <v>1</v>
      </c>
      <c r="T197" s="15" t="b">
        <f t="shared" si="8"/>
        <v>0</v>
      </c>
      <c r="U197" s="15" t="b">
        <f t="shared" si="9"/>
        <v>0</v>
      </c>
      <c r="V197" s="15" t="b">
        <f t="shared" si="10"/>
        <v>0</v>
      </c>
    </row>
    <row r="198" spans="1:22" ht="15.75" customHeight="1" x14ac:dyDescent="0.2">
      <c r="A198" s="19">
        <f t="shared" si="11"/>
        <v>197</v>
      </c>
      <c r="B198" s="19" t="s">
        <v>35</v>
      </c>
      <c r="C198" s="19" t="s">
        <v>30</v>
      </c>
      <c r="D198" s="19"/>
      <c r="E198" s="19" t="s">
        <v>32</v>
      </c>
      <c r="F198" s="19"/>
      <c r="G198" s="19" t="s">
        <v>36</v>
      </c>
      <c r="H198" s="19"/>
      <c r="I198" s="19"/>
      <c r="J198" s="19"/>
      <c r="K198" s="19"/>
      <c r="L198" s="15">
        <f t="shared" si="0"/>
        <v>0</v>
      </c>
      <c r="M198" s="15" t="b">
        <f t="shared" si="1"/>
        <v>0</v>
      </c>
      <c r="N198" s="15" t="b">
        <f t="shared" si="2"/>
        <v>0</v>
      </c>
      <c r="O198" s="15" t="b">
        <f t="shared" si="3"/>
        <v>1</v>
      </c>
      <c r="P198" s="15" t="b">
        <f t="shared" si="4"/>
        <v>0</v>
      </c>
      <c r="Q198" s="15" t="b">
        <f t="shared" si="5"/>
        <v>0</v>
      </c>
      <c r="R198" s="15" t="b">
        <f t="shared" si="6"/>
        <v>0</v>
      </c>
      <c r="S198" s="15" t="b">
        <f t="shared" si="7"/>
        <v>0</v>
      </c>
      <c r="T198" s="15" t="b">
        <f t="shared" si="8"/>
        <v>0</v>
      </c>
      <c r="U198" s="15" t="b">
        <f t="shared" si="9"/>
        <v>0</v>
      </c>
      <c r="V198" s="15" t="b">
        <f t="shared" si="10"/>
        <v>0</v>
      </c>
    </row>
    <row r="199" spans="1:22" ht="15.75" customHeight="1" x14ac:dyDescent="0.2">
      <c r="A199" s="19">
        <f t="shared" si="11"/>
        <v>198</v>
      </c>
      <c r="B199" s="19" t="s">
        <v>180</v>
      </c>
      <c r="C199" s="18" t="s">
        <v>148</v>
      </c>
      <c r="D199" s="19"/>
      <c r="E199" s="19" t="s">
        <v>86</v>
      </c>
      <c r="F199" s="19" t="s">
        <v>38</v>
      </c>
      <c r="G199" s="19"/>
      <c r="H199" s="19"/>
      <c r="I199" s="19"/>
      <c r="J199" s="19"/>
      <c r="K199" s="19"/>
      <c r="L199" s="15">
        <f t="shared" si="0"/>
        <v>0</v>
      </c>
      <c r="M199" s="15" t="b">
        <f t="shared" si="1"/>
        <v>1</v>
      </c>
      <c r="N199" s="15" t="b">
        <f t="shared" si="2"/>
        <v>0</v>
      </c>
      <c r="O199" s="15" t="b">
        <f t="shared" si="3"/>
        <v>0</v>
      </c>
      <c r="P199" s="15" t="b">
        <f t="shared" si="4"/>
        <v>1</v>
      </c>
      <c r="Q199" s="15" t="b">
        <f t="shared" si="5"/>
        <v>0</v>
      </c>
      <c r="R199" s="15" t="b">
        <f t="shared" si="6"/>
        <v>0</v>
      </c>
      <c r="S199" s="15" t="b">
        <f t="shared" si="7"/>
        <v>0</v>
      </c>
      <c r="T199" s="15" t="b">
        <f t="shared" si="8"/>
        <v>0</v>
      </c>
      <c r="U199" s="15" t="b">
        <f t="shared" si="9"/>
        <v>0</v>
      </c>
      <c r="V199" s="15" t="b">
        <f t="shared" si="10"/>
        <v>0</v>
      </c>
    </row>
    <row r="200" spans="1:22" ht="15.75" customHeight="1" x14ac:dyDescent="0.2">
      <c r="A200" s="19">
        <f t="shared" si="11"/>
        <v>199</v>
      </c>
      <c r="B200" s="19" t="s">
        <v>140</v>
      </c>
      <c r="C200" s="19" t="s">
        <v>136</v>
      </c>
      <c r="D200" s="19"/>
      <c r="E200" s="19"/>
      <c r="F200" s="19"/>
      <c r="G200" s="19" t="s">
        <v>104</v>
      </c>
      <c r="H200" s="19"/>
      <c r="I200" s="19"/>
      <c r="J200" s="19"/>
      <c r="K200" s="19"/>
      <c r="L200" s="15">
        <f t="shared" si="0"/>
        <v>0</v>
      </c>
      <c r="M200" s="15" t="b">
        <f t="shared" si="1"/>
        <v>0</v>
      </c>
      <c r="N200" s="15" t="b">
        <f t="shared" si="2"/>
        <v>0</v>
      </c>
      <c r="O200" s="15" t="b">
        <f t="shared" si="3"/>
        <v>0</v>
      </c>
      <c r="P200" s="15" t="b">
        <f t="shared" si="4"/>
        <v>0</v>
      </c>
      <c r="Q200" s="15" t="b">
        <f t="shared" si="5"/>
        <v>0</v>
      </c>
      <c r="R200" s="15" t="b">
        <f t="shared" si="6"/>
        <v>0</v>
      </c>
      <c r="S200" s="15" t="b">
        <f t="shared" si="7"/>
        <v>0</v>
      </c>
      <c r="T200" s="15" t="b">
        <f t="shared" si="8"/>
        <v>0</v>
      </c>
      <c r="U200" s="15" t="b">
        <f t="shared" si="9"/>
        <v>0</v>
      </c>
      <c r="V200" s="15" t="b">
        <f t="shared" si="10"/>
        <v>0</v>
      </c>
    </row>
    <row r="201" spans="1:22" ht="15.75" customHeight="1" x14ac:dyDescent="0.2">
      <c r="A201" s="19">
        <f t="shared" si="11"/>
        <v>200</v>
      </c>
      <c r="B201" s="19" t="s">
        <v>277</v>
      </c>
      <c r="C201" s="19" t="s">
        <v>265</v>
      </c>
      <c r="D201" s="19"/>
      <c r="E201" s="23" t="s">
        <v>55</v>
      </c>
      <c r="F201" s="19" t="s">
        <v>90</v>
      </c>
      <c r="G201" s="23"/>
      <c r="H201" s="23"/>
      <c r="I201" s="19"/>
      <c r="J201" s="19"/>
      <c r="K201" s="19"/>
      <c r="L201" s="15">
        <f t="shared" si="0"/>
        <v>0</v>
      </c>
      <c r="M201" s="15" t="b">
        <f t="shared" si="1"/>
        <v>0</v>
      </c>
      <c r="N201" s="15" t="b">
        <f t="shared" si="2"/>
        <v>0</v>
      </c>
      <c r="O201" s="15" t="b">
        <f t="shared" si="3"/>
        <v>0</v>
      </c>
      <c r="P201" s="15" t="b">
        <f t="shared" si="4"/>
        <v>1</v>
      </c>
      <c r="Q201" s="15" t="b">
        <f t="shared" si="5"/>
        <v>0</v>
      </c>
      <c r="R201" s="15" t="b">
        <f t="shared" si="6"/>
        <v>0</v>
      </c>
      <c r="S201" s="15" t="b">
        <f t="shared" si="7"/>
        <v>0</v>
      </c>
      <c r="T201" s="15" t="b">
        <f t="shared" si="8"/>
        <v>0</v>
      </c>
      <c r="U201" s="15" t="b">
        <f t="shared" si="9"/>
        <v>0</v>
      </c>
      <c r="V201" s="15" t="b">
        <f t="shared" si="10"/>
        <v>0</v>
      </c>
    </row>
    <row r="202" spans="1:22" ht="15.75" customHeight="1" x14ac:dyDescent="0.2">
      <c r="A202" s="19">
        <f t="shared" si="11"/>
        <v>201</v>
      </c>
      <c r="B202" s="19" t="s">
        <v>167</v>
      </c>
      <c r="C202" s="18" t="s">
        <v>148</v>
      </c>
      <c r="D202" s="19"/>
      <c r="E202" s="19"/>
      <c r="F202" s="19" t="s">
        <v>38</v>
      </c>
      <c r="G202" s="19" t="s">
        <v>31</v>
      </c>
      <c r="H202" s="19"/>
      <c r="I202" s="19"/>
      <c r="J202" s="19"/>
      <c r="K202" s="19"/>
      <c r="L202" s="15">
        <f t="shared" si="0"/>
        <v>0</v>
      </c>
      <c r="M202" s="15" t="b">
        <f t="shared" si="1"/>
        <v>0</v>
      </c>
      <c r="N202" s="15" t="b">
        <f t="shared" si="2"/>
        <v>0</v>
      </c>
      <c r="O202" s="15" t="b">
        <f t="shared" si="3"/>
        <v>1</v>
      </c>
      <c r="P202" s="15" t="b">
        <f t="shared" si="4"/>
        <v>1</v>
      </c>
      <c r="Q202" s="15" t="b">
        <f t="shared" si="5"/>
        <v>0</v>
      </c>
      <c r="R202" s="15" t="b">
        <f t="shared" si="6"/>
        <v>0</v>
      </c>
      <c r="S202" s="15" t="b">
        <f t="shared" si="7"/>
        <v>0</v>
      </c>
      <c r="T202" s="15" t="b">
        <f t="shared" si="8"/>
        <v>0</v>
      </c>
      <c r="U202" s="15" t="b">
        <f t="shared" si="9"/>
        <v>0</v>
      </c>
      <c r="V202" s="15" t="b">
        <f t="shared" si="10"/>
        <v>0</v>
      </c>
    </row>
    <row r="203" spans="1:22" ht="15.75" customHeight="1" x14ac:dyDescent="0.2">
      <c r="A203" s="19">
        <f t="shared" si="11"/>
        <v>202</v>
      </c>
      <c r="B203" s="19" t="s">
        <v>227</v>
      </c>
      <c r="C203" s="19" t="s">
        <v>219</v>
      </c>
      <c r="D203" s="19"/>
      <c r="E203" s="19"/>
      <c r="F203" s="19"/>
      <c r="G203" s="19" t="s">
        <v>178</v>
      </c>
      <c r="H203" s="19"/>
      <c r="I203" s="19"/>
      <c r="J203" s="19"/>
      <c r="K203" s="19"/>
      <c r="L203" s="15">
        <f t="shared" si="0"/>
        <v>0</v>
      </c>
      <c r="M203" s="15" t="b">
        <f t="shared" si="1"/>
        <v>0</v>
      </c>
      <c r="N203" s="15" t="b">
        <f t="shared" si="2"/>
        <v>0</v>
      </c>
      <c r="O203" s="15" t="b">
        <f t="shared" si="3"/>
        <v>0</v>
      </c>
      <c r="P203" s="15" t="b">
        <f t="shared" si="4"/>
        <v>0</v>
      </c>
      <c r="Q203" s="15" t="b">
        <f t="shared" si="5"/>
        <v>0</v>
      </c>
      <c r="R203" s="15" t="b">
        <f t="shared" si="6"/>
        <v>0</v>
      </c>
      <c r="S203" s="15" t="b">
        <f t="shared" si="7"/>
        <v>0</v>
      </c>
      <c r="T203" s="15" t="b">
        <f t="shared" si="8"/>
        <v>0</v>
      </c>
      <c r="U203" s="15" t="b">
        <f t="shared" si="9"/>
        <v>0</v>
      </c>
      <c r="V203" s="15" t="b">
        <f t="shared" si="10"/>
        <v>0</v>
      </c>
    </row>
    <row r="204" spans="1:22" ht="15.75" customHeight="1" x14ac:dyDescent="0.2">
      <c r="A204" s="19">
        <f t="shared" si="11"/>
        <v>203</v>
      </c>
      <c r="B204" s="19" t="s">
        <v>365</v>
      </c>
      <c r="C204" s="19" t="s">
        <v>357</v>
      </c>
      <c r="D204" s="19"/>
      <c r="E204" s="19" t="s">
        <v>158</v>
      </c>
      <c r="F204" s="19"/>
      <c r="G204" s="19"/>
      <c r="H204" s="19"/>
      <c r="I204" s="19"/>
      <c r="J204" s="19"/>
      <c r="K204" s="19"/>
      <c r="L204" s="15">
        <f t="shared" si="0"/>
        <v>0</v>
      </c>
      <c r="M204" s="15" t="b">
        <f t="shared" si="1"/>
        <v>0</v>
      </c>
      <c r="N204" s="15" t="b">
        <f t="shared" si="2"/>
        <v>0</v>
      </c>
      <c r="O204" s="15" t="b">
        <f t="shared" si="3"/>
        <v>0</v>
      </c>
      <c r="P204" s="15" t="b">
        <f t="shared" si="4"/>
        <v>0</v>
      </c>
      <c r="Q204" s="15" t="b">
        <f t="shared" si="5"/>
        <v>0</v>
      </c>
      <c r="R204" s="15" t="b">
        <f t="shared" si="6"/>
        <v>1</v>
      </c>
      <c r="S204" s="15" t="b">
        <f t="shared" si="7"/>
        <v>0</v>
      </c>
      <c r="T204" s="15" t="b">
        <f t="shared" si="8"/>
        <v>0</v>
      </c>
      <c r="U204" s="15" t="b">
        <f t="shared" si="9"/>
        <v>1</v>
      </c>
      <c r="V204" s="15" t="b">
        <f t="shared" si="10"/>
        <v>0</v>
      </c>
    </row>
    <row r="205" spans="1:22" ht="15.75" customHeight="1" x14ac:dyDescent="0.2">
      <c r="A205" s="19">
        <f t="shared" si="11"/>
        <v>204</v>
      </c>
      <c r="B205" s="19" t="s">
        <v>304</v>
      </c>
      <c r="C205" s="19" t="s">
        <v>300</v>
      </c>
      <c r="D205" s="19"/>
      <c r="E205" s="19" t="s">
        <v>55</v>
      </c>
      <c r="F205" s="19" t="s">
        <v>38</v>
      </c>
      <c r="G205" s="19"/>
      <c r="H205" s="19"/>
      <c r="I205" s="19"/>
      <c r="J205" s="19"/>
      <c r="K205" s="19"/>
      <c r="L205" s="15">
        <f t="shared" si="0"/>
        <v>0</v>
      </c>
      <c r="M205" s="15" t="b">
        <f t="shared" si="1"/>
        <v>0</v>
      </c>
      <c r="N205" s="15" t="b">
        <f t="shared" si="2"/>
        <v>0</v>
      </c>
      <c r="O205" s="15" t="b">
        <f t="shared" si="3"/>
        <v>0</v>
      </c>
      <c r="P205" s="15" t="b">
        <f t="shared" si="4"/>
        <v>1</v>
      </c>
      <c r="Q205" s="15" t="b">
        <f t="shared" si="5"/>
        <v>0</v>
      </c>
      <c r="R205" s="15" t="b">
        <f t="shared" si="6"/>
        <v>0</v>
      </c>
      <c r="S205" s="15" t="b">
        <f t="shared" si="7"/>
        <v>0</v>
      </c>
      <c r="T205" s="15" t="b">
        <f t="shared" si="8"/>
        <v>0</v>
      </c>
      <c r="U205" s="15" t="b">
        <f t="shared" si="9"/>
        <v>0</v>
      </c>
      <c r="V205" s="15" t="b">
        <f t="shared" si="10"/>
        <v>0</v>
      </c>
    </row>
    <row r="206" spans="1:22" ht="15.75" customHeight="1" x14ac:dyDescent="0.2">
      <c r="A206" s="19">
        <f t="shared" si="11"/>
        <v>205</v>
      </c>
      <c r="B206" s="20" t="s">
        <v>312</v>
      </c>
      <c r="C206" s="20" t="s">
        <v>313</v>
      </c>
      <c r="D206" s="20"/>
      <c r="E206" s="20" t="s">
        <v>66</v>
      </c>
      <c r="F206" s="20"/>
      <c r="G206" s="20"/>
      <c r="H206" s="20"/>
      <c r="I206" s="19" t="s">
        <v>240</v>
      </c>
      <c r="J206" s="20"/>
      <c r="K206" s="20"/>
      <c r="L206" s="15">
        <f t="shared" si="0"/>
        <v>0</v>
      </c>
      <c r="M206" s="15" t="b">
        <f t="shared" si="1"/>
        <v>0</v>
      </c>
      <c r="N206" s="15" t="b">
        <f t="shared" si="2"/>
        <v>1</v>
      </c>
      <c r="O206" s="15" t="b">
        <f t="shared" si="3"/>
        <v>0</v>
      </c>
      <c r="P206" s="15" t="b">
        <f t="shared" si="4"/>
        <v>0</v>
      </c>
      <c r="Q206" s="15" t="b">
        <f t="shared" si="5"/>
        <v>0</v>
      </c>
      <c r="R206" s="15" t="b">
        <f t="shared" si="6"/>
        <v>0</v>
      </c>
      <c r="S206" s="15" t="b">
        <f t="shared" si="7"/>
        <v>0</v>
      </c>
      <c r="T206" s="15" t="b">
        <f t="shared" si="8"/>
        <v>0</v>
      </c>
      <c r="U206" s="15" t="b">
        <f t="shared" si="9"/>
        <v>0</v>
      </c>
      <c r="V206" s="15" t="b">
        <f t="shared" si="10"/>
        <v>0</v>
      </c>
    </row>
    <row r="207" spans="1:22" ht="15.75" customHeight="1" x14ac:dyDescent="0.2">
      <c r="A207" s="19">
        <f t="shared" si="11"/>
        <v>206</v>
      </c>
      <c r="B207" s="19" t="s">
        <v>85</v>
      </c>
      <c r="C207" s="19" t="s">
        <v>65</v>
      </c>
      <c r="D207" s="19"/>
      <c r="E207" s="19" t="s">
        <v>86</v>
      </c>
      <c r="F207" s="19" t="s">
        <v>38</v>
      </c>
      <c r="G207" s="19"/>
      <c r="H207" s="19"/>
      <c r="I207" s="19"/>
      <c r="J207" s="19"/>
      <c r="K207" s="19"/>
      <c r="L207" s="15">
        <f t="shared" si="0"/>
        <v>0</v>
      </c>
      <c r="M207" s="15" t="b">
        <f t="shared" si="1"/>
        <v>1</v>
      </c>
      <c r="N207" s="15" t="b">
        <f t="shared" si="2"/>
        <v>0</v>
      </c>
      <c r="O207" s="15" t="b">
        <f t="shared" si="3"/>
        <v>0</v>
      </c>
      <c r="P207" s="15" t="b">
        <f t="shared" si="4"/>
        <v>1</v>
      </c>
      <c r="Q207" s="15" t="b">
        <f t="shared" si="5"/>
        <v>0</v>
      </c>
      <c r="R207" s="15" t="b">
        <f t="shared" si="6"/>
        <v>0</v>
      </c>
      <c r="S207" s="15" t="b">
        <f t="shared" si="7"/>
        <v>0</v>
      </c>
      <c r="T207" s="15" t="b">
        <f t="shared" si="8"/>
        <v>0</v>
      </c>
      <c r="U207" s="15" t="b">
        <f t="shared" si="9"/>
        <v>0</v>
      </c>
      <c r="V207" s="15" t="b">
        <f t="shared" si="10"/>
        <v>0</v>
      </c>
    </row>
    <row r="208" spans="1:22" ht="15.75" customHeight="1" x14ac:dyDescent="0.2">
      <c r="A208" s="19">
        <f t="shared" si="11"/>
        <v>207</v>
      </c>
      <c r="B208" s="19" t="s">
        <v>361</v>
      </c>
      <c r="C208" s="19" t="s">
        <v>357</v>
      </c>
      <c r="D208" s="19"/>
      <c r="E208" s="19" t="s">
        <v>32</v>
      </c>
      <c r="F208" s="19"/>
      <c r="G208" s="19" t="s">
        <v>36</v>
      </c>
      <c r="H208" s="19"/>
      <c r="I208" s="19"/>
      <c r="J208" s="19"/>
      <c r="K208" s="19"/>
      <c r="L208" s="15">
        <f t="shared" si="0"/>
        <v>0</v>
      </c>
      <c r="M208" s="15" t="b">
        <f t="shared" si="1"/>
        <v>0</v>
      </c>
      <c r="N208" s="15" t="b">
        <f t="shared" si="2"/>
        <v>0</v>
      </c>
      <c r="O208" s="15" t="b">
        <f t="shared" si="3"/>
        <v>1</v>
      </c>
      <c r="P208" s="15" t="b">
        <f t="shared" si="4"/>
        <v>0</v>
      </c>
      <c r="Q208" s="15" t="b">
        <f t="shared" si="5"/>
        <v>0</v>
      </c>
      <c r="R208" s="15" t="b">
        <f t="shared" si="6"/>
        <v>0</v>
      </c>
      <c r="S208" s="15" t="b">
        <f t="shared" si="7"/>
        <v>0</v>
      </c>
      <c r="T208" s="15" t="b">
        <f t="shared" si="8"/>
        <v>0</v>
      </c>
      <c r="U208" s="15" t="b">
        <f t="shared" si="9"/>
        <v>0</v>
      </c>
      <c r="V208" s="15" t="b">
        <f t="shared" si="10"/>
        <v>0</v>
      </c>
    </row>
    <row r="209" spans="1:22" ht="15.75" customHeight="1" x14ac:dyDescent="0.2">
      <c r="A209" s="19">
        <f t="shared" si="11"/>
        <v>208</v>
      </c>
      <c r="B209" s="19" t="s">
        <v>363</v>
      </c>
      <c r="C209" s="19" t="s">
        <v>357</v>
      </c>
      <c r="D209" s="19"/>
      <c r="E209" s="19"/>
      <c r="F209" s="19"/>
      <c r="G209" s="19" t="s">
        <v>31</v>
      </c>
      <c r="H209" s="19"/>
      <c r="I209" s="19"/>
      <c r="J209" s="19"/>
      <c r="K209" s="19"/>
      <c r="L209" s="15">
        <f t="shared" si="0"/>
        <v>0</v>
      </c>
      <c r="M209" s="15" t="b">
        <f t="shared" si="1"/>
        <v>0</v>
      </c>
      <c r="N209" s="15" t="b">
        <f t="shared" si="2"/>
        <v>0</v>
      </c>
      <c r="O209" s="15" t="b">
        <f t="shared" si="3"/>
        <v>1</v>
      </c>
      <c r="P209" s="15" t="b">
        <f t="shared" si="4"/>
        <v>0</v>
      </c>
      <c r="Q209" s="15" t="b">
        <f t="shared" si="5"/>
        <v>0</v>
      </c>
      <c r="R209" s="15" t="b">
        <f t="shared" si="6"/>
        <v>0</v>
      </c>
      <c r="S209" s="15" t="b">
        <f t="shared" si="7"/>
        <v>0</v>
      </c>
      <c r="T209" s="15" t="b">
        <f t="shared" si="8"/>
        <v>0</v>
      </c>
      <c r="U209" s="15" t="b">
        <f t="shared" si="9"/>
        <v>0</v>
      </c>
      <c r="V209" s="15" t="b">
        <f t="shared" si="10"/>
        <v>0</v>
      </c>
    </row>
    <row r="210" spans="1:22" ht="15.75" customHeight="1" x14ac:dyDescent="0.2">
      <c r="A210" s="19">
        <f t="shared" si="11"/>
        <v>209</v>
      </c>
      <c r="B210" s="19" t="s">
        <v>377</v>
      </c>
      <c r="C210" s="19" t="s">
        <v>357</v>
      </c>
      <c r="D210" s="19"/>
      <c r="E210" s="19"/>
      <c r="F210" s="19" t="s">
        <v>45</v>
      </c>
      <c r="G210" s="19" t="s">
        <v>76</v>
      </c>
      <c r="H210" s="19"/>
      <c r="I210" s="19"/>
      <c r="J210" s="19"/>
      <c r="K210" s="19"/>
      <c r="L210" s="15">
        <f t="shared" si="0"/>
        <v>0</v>
      </c>
      <c r="M210" s="15" t="b">
        <f t="shared" si="1"/>
        <v>0</v>
      </c>
      <c r="N210" s="15" t="b">
        <f t="shared" si="2"/>
        <v>0</v>
      </c>
      <c r="O210" s="15" t="b">
        <f t="shared" si="3"/>
        <v>0</v>
      </c>
      <c r="P210" s="15" t="b">
        <f t="shared" si="4"/>
        <v>1</v>
      </c>
      <c r="Q210" s="15" t="b">
        <f t="shared" si="5"/>
        <v>0</v>
      </c>
      <c r="R210" s="15" t="b">
        <f t="shared" si="6"/>
        <v>0</v>
      </c>
      <c r="S210" s="15" t="b">
        <f t="shared" si="7"/>
        <v>0</v>
      </c>
      <c r="T210" s="15" t="b">
        <f t="shared" si="8"/>
        <v>0</v>
      </c>
      <c r="U210" s="15" t="b">
        <f t="shared" si="9"/>
        <v>0</v>
      </c>
      <c r="V210" s="15" t="b">
        <f t="shared" si="10"/>
        <v>0</v>
      </c>
    </row>
    <row r="211" spans="1:22" ht="15.75" customHeight="1" x14ac:dyDescent="0.2"/>
    <row r="212" spans="1:22" ht="15.75" customHeight="1" x14ac:dyDescent="0.2"/>
    <row r="213" spans="1:22" ht="15.75" customHeight="1" x14ac:dyDescent="0.2"/>
    <row r="214" spans="1:22" ht="15.75" customHeight="1" x14ac:dyDescent="0.2"/>
    <row r="215" spans="1:22" ht="15.75" customHeight="1" x14ac:dyDescent="0.2"/>
    <row r="216" spans="1:22" ht="15.75" customHeight="1" x14ac:dyDescent="0.2"/>
    <row r="217" spans="1:22" ht="15.75" customHeight="1" x14ac:dyDescent="0.2"/>
    <row r="218" spans="1:22" ht="15.75" customHeight="1" x14ac:dyDescent="0.2"/>
    <row r="219" spans="1:22" ht="15.75" customHeight="1" x14ac:dyDescent="0.2"/>
    <row r="220" spans="1:22" ht="15.75" customHeight="1" x14ac:dyDescent="0.2"/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S1000" xr:uid="{00000000-0009-0000-0000-000003000000}"/>
  <pageMargins left="0.25" right="0.25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1:I219"/>
  <sheetViews>
    <sheetView workbookViewId="0"/>
  </sheetViews>
  <sheetFormatPr baseColWidth="10" defaultColWidth="14.5" defaultRowHeight="15" customHeight="1" x14ac:dyDescent="0.2"/>
  <sheetData>
    <row r="11" spans="1:9" x14ac:dyDescent="0.2">
      <c r="A11" s="15" t="str">
        <f ca="1">IFERROR(__xludf.DUMMYFUNCTION("if(isblank('Cocktail Finder'!B2),importrange(""https://docs.google.com/spreadsheets/d/1DWucmr6cqwcbD5xtrs62wcKTiKJnkPKVPuGvyMF17C4/"", ""Data New!C2:K210""),filter('Data NEW'!$C$2:$K$210,'Data NEW'!$C$2:$C$210 = 'Cocktail Finder'!B2))"),"bourbon")</f>
        <v>bourbon</v>
      </c>
      <c r="B11" s="15"/>
      <c r="C11" s="15" t="str">
        <f ca="1">IFERROR(__xludf.DUMMYFUNCTION("""COMPUTED_VALUE"""),"simple syrup")</f>
        <v>simple syrup</v>
      </c>
      <c r="D11" s="15" t="str">
        <f ca="1">IFERROR(__xludf.DUMMYFUNCTION("""COMPUTED_VALUE"""),"lemon juice")</f>
        <v>lemon juice</v>
      </c>
      <c r="E11" s="15" t="str">
        <f ca="1">IFERROR(__xludf.DUMMYFUNCTION("""COMPUTED_VALUE"""),"Branca Menta")</f>
        <v>Branca Menta</v>
      </c>
      <c r="F11" s="15"/>
      <c r="G11" s="15"/>
      <c r="H11" s="15"/>
      <c r="I11" s="15"/>
    </row>
    <row r="12" spans="1:9" x14ac:dyDescent="0.2">
      <c r="A12" s="15" t="str">
        <f ca="1">IFERROR(__xludf.DUMMYFUNCTION("""COMPUTED_VALUE"""),"gin")</f>
        <v>gin</v>
      </c>
      <c r="B12" s="15"/>
      <c r="C12" s="15" t="str">
        <f ca="1">IFERROR(__xludf.DUMMYFUNCTION("""COMPUTED_VALUE"""),"Angostura")</f>
        <v>Angostura</v>
      </c>
      <c r="D12" s="15" t="str">
        <f ca="1">IFERROR(__xludf.DUMMYFUNCTION("""COMPUTED_VALUE"""),"orange juice")</f>
        <v>orange juice</v>
      </c>
      <c r="E12" s="15" t="str">
        <f ca="1">IFERROR(__xludf.DUMMYFUNCTION("""COMPUTED_VALUE"""),"Lillet")</f>
        <v>Lillet</v>
      </c>
      <c r="F12" s="15"/>
      <c r="G12" s="15"/>
      <c r="H12" s="15"/>
      <c r="I12" s="15"/>
    </row>
    <row r="13" spans="1:9" x14ac:dyDescent="0.2">
      <c r="A13" s="15" t="str">
        <f ca="1">IFERROR(__xludf.DUMMYFUNCTION("""COMPUTED_VALUE"""),"Southern Comfort")</f>
        <v>Southern Comfort</v>
      </c>
      <c r="B13" s="15" t="str">
        <f ca="1">IFERROR(__xludf.DUMMYFUNCTION("""COMPUTED_VALUE"""),"sloe gin")</f>
        <v>sloe gin</v>
      </c>
      <c r="C13" s="15"/>
      <c r="D13" s="15" t="str">
        <f ca="1">IFERROR(__xludf.DUMMYFUNCTION("""COMPUTED_VALUE"""),"orange juice")</f>
        <v>orange juice</v>
      </c>
      <c r="E13" s="15" t="str">
        <f ca="1">IFERROR(__xludf.DUMMYFUNCTION("""COMPUTED_VALUE"""),"amaretto")</f>
        <v>amaretto</v>
      </c>
      <c r="F13" s="15"/>
      <c r="G13" s="15"/>
      <c r="H13" s="15"/>
      <c r="I13" s="15"/>
    </row>
    <row r="14" spans="1:9" x14ac:dyDescent="0.2">
      <c r="A14" s="15" t="str">
        <f ca="1">IFERROR(__xludf.DUMMYFUNCTION("""COMPUTED_VALUE"""),"gin")</f>
        <v>gin</v>
      </c>
      <c r="B14" s="15"/>
      <c r="C14" s="15"/>
      <c r="D14" s="15"/>
      <c r="E14" s="15" t="str">
        <f ca="1">IFERROR(__xludf.DUMMYFUNCTION("""COMPUTED_VALUE"""),"yellow Chartreuse")</f>
        <v>yellow Chartreuse</v>
      </c>
      <c r="F14" s="15"/>
      <c r="G14" s="15"/>
      <c r="H14" s="15"/>
      <c r="I14" s="15"/>
    </row>
    <row r="15" spans="1:9" x14ac:dyDescent="0.2">
      <c r="A15" s="15" t="str">
        <f ca="1">IFERROR(__xludf.DUMMYFUNCTION("""COMPUTED_VALUE"""),"gin")</f>
        <v>gin</v>
      </c>
      <c r="B15" s="15"/>
      <c r="C15" s="15" t="str">
        <f ca="1">IFERROR(__xludf.DUMMYFUNCTION("""COMPUTED_VALUE"""),"cream")</f>
        <v>cream</v>
      </c>
      <c r="D15" s="15"/>
      <c r="E15" s="15" t="str">
        <f ca="1">IFERROR(__xludf.DUMMYFUNCTION("""COMPUTED_VALUE"""),"white crème de cacao")</f>
        <v>white crème de cacao</v>
      </c>
      <c r="F15" s="15"/>
      <c r="G15" s="15"/>
      <c r="H15" s="15"/>
      <c r="I15" s="15"/>
    </row>
    <row r="16" spans="1:9" x14ac:dyDescent="0.2">
      <c r="A16" s="15" t="str">
        <f ca="1">IFERROR(__xludf.DUMMYFUNCTION("""COMPUTED_VALUE"""),"rye whiskey")</f>
        <v>rye whiskey</v>
      </c>
      <c r="B16" s="15"/>
      <c r="C16" s="15"/>
      <c r="D16" s="15" t="str">
        <f ca="1">IFERROR(__xludf.DUMMYFUNCTION("""COMPUTED_VALUE"""),"pineapple juice")</f>
        <v>pineapple juice</v>
      </c>
      <c r="E16" s="15" t="str">
        <f ca="1">IFERROR(__xludf.DUMMYFUNCTION("""COMPUTED_VALUE"""),"dry vermouth")</f>
        <v>dry vermouth</v>
      </c>
      <c r="F16" s="15"/>
      <c r="G16" s="15"/>
      <c r="H16" s="15"/>
      <c r="I16" s="15"/>
    </row>
    <row r="17" spans="1:9" x14ac:dyDescent="0.2">
      <c r="A17" s="15" t="str">
        <f ca="1">IFERROR(__xludf.DUMMYFUNCTION("""COMPUTED_VALUE"""),"gin")</f>
        <v>gin</v>
      </c>
      <c r="B17" s="15"/>
      <c r="C17" s="15"/>
      <c r="D17" s="15"/>
      <c r="E17" s="15" t="str">
        <f ca="1">IFERROR(__xludf.DUMMYFUNCTION("""COMPUTED_VALUE"""),"dry vermouth")</f>
        <v>dry vermouth</v>
      </c>
      <c r="F17" s="15"/>
      <c r="G17" s="15"/>
      <c r="H17" s="15"/>
      <c r="I17" s="15"/>
    </row>
    <row r="18" spans="1:9" x14ac:dyDescent="0.2">
      <c r="A18" s="15" t="str">
        <f ca="1">IFERROR(__xludf.DUMMYFUNCTION("""COMPUTED_VALUE"""),"amaretto")</f>
        <v>amaretto</v>
      </c>
      <c r="B18" s="15"/>
      <c r="C18" s="15" t="str">
        <f ca="1">IFERROR(__xludf.DUMMYFUNCTION("""COMPUTED_VALUE"""),"cream")</f>
        <v>cream</v>
      </c>
      <c r="D18" s="15"/>
      <c r="E18" s="15" t="str">
        <f ca="1">IFERROR(__xludf.DUMMYFUNCTION("""COMPUTED_VALUE"""),"white crème de cacao")</f>
        <v>white crème de cacao</v>
      </c>
      <c r="F18" s="15"/>
      <c r="G18" s="15"/>
      <c r="H18" s="15"/>
      <c r="I18" s="15"/>
    </row>
    <row r="19" spans="1:9" x14ac:dyDescent="0.2">
      <c r="A19" s="15" t="str">
        <f ca="1">IFERROR(__xludf.DUMMYFUNCTION("""COMPUTED_VALUE"""),"amaretto")</f>
        <v>amaretto</v>
      </c>
      <c r="B19" s="15"/>
      <c r="C19" s="15"/>
      <c r="D19" s="15" t="str">
        <f ca="1">IFERROR(__xludf.DUMMYFUNCTION("""COMPUTED_VALUE"""),"lemon juice")</f>
        <v>lemon juice</v>
      </c>
      <c r="E19" s="15"/>
      <c r="F19" s="15"/>
      <c r="G19" s="15"/>
      <c r="H19" s="15"/>
      <c r="I19" s="15"/>
    </row>
    <row r="20" spans="1:9" x14ac:dyDescent="0.2">
      <c r="A20" s="15" t="str">
        <f ca="1">IFERROR(__xludf.DUMMYFUNCTION("""COMPUTED_VALUE"""),"gin")</f>
        <v>gin</v>
      </c>
      <c r="B20" s="15"/>
      <c r="C20" s="15" t="str">
        <f ca="1">IFERROR(__xludf.DUMMYFUNCTION("""COMPUTED_VALUE"""),"simple syrup")</f>
        <v>simple syrup</v>
      </c>
      <c r="D20" s="15" t="str">
        <f ca="1">IFERROR(__xludf.DUMMYFUNCTION("""COMPUTED_VALUE"""),"lime juice")</f>
        <v>lime juice</v>
      </c>
      <c r="E20" s="15" t="str">
        <f ca="1">IFERROR(__xludf.DUMMYFUNCTION("""COMPUTED_VALUE"""),"maraschino liqueur")</f>
        <v>maraschino liqueur</v>
      </c>
      <c r="F20" s="15"/>
      <c r="G20" s="15"/>
      <c r="H20" s="15"/>
      <c r="I20" s="15"/>
    </row>
    <row r="21" spans="1:9" x14ac:dyDescent="0.2">
      <c r="A21" s="15" t="str">
        <f ca="1">IFERROR(__xludf.DUMMYFUNCTION("""COMPUTED_VALUE"""),"gin or vodka")</f>
        <v>gin or vodka</v>
      </c>
      <c r="B21" s="15"/>
      <c r="C21" s="15"/>
      <c r="D21" s="15"/>
      <c r="E21" s="15" t="str">
        <f ca="1">IFERROR(__xludf.DUMMYFUNCTION("""COMPUTED_VALUE"""),"green-apple schnapps")</f>
        <v>green-apple schnapps</v>
      </c>
      <c r="F21" s="15"/>
      <c r="G21" s="15"/>
      <c r="H21" s="15"/>
      <c r="I21" s="15"/>
    </row>
    <row r="22" spans="1:9" x14ac:dyDescent="0.2">
      <c r="A22" s="15" t="str">
        <f ca="1">IFERROR(__xludf.DUMMYFUNCTION("""COMPUTED_VALUE"""),"vodka")</f>
        <v>vodka</v>
      </c>
      <c r="B22" s="15"/>
      <c r="C22" s="15"/>
      <c r="D22" s="15" t="str">
        <f ca="1">IFERROR(__xludf.DUMMYFUNCTION("""COMPUTED_VALUE"""),"lemon juice")</f>
        <v>lemon juice</v>
      </c>
      <c r="E22" s="15" t="str">
        <f ca="1">IFERROR(__xludf.DUMMYFUNCTION("""COMPUTED_VALUE"""),"apple brandy")</f>
        <v>apple brandy</v>
      </c>
      <c r="F22" s="15"/>
      <c r="G22" s="15"/>
      <c r="H22" s="15"/>
      <c r="I22" s="15"/>
    </row>
    <row r="23" spans="1:9" x14ac:dyDescent="0.2">
      <c r="A23" s="15" t="str">
        <f ca="1">IFERROR(__xludf.DUMMYFUNCTION("""COMPUTED_VALUE"""),"apricot brandy")</f>
        <v>apricot brandy</v>
      </c>
      <c r="B23" s="15"/>
      <c r="C23" s="15" t="str">
        <f ca="1">IFERROR(__xludf.DUMMYFUNCTION("""COMPUTED_VALUE"""),"club soda")</f>
        <v>club soda</v>
      </c>
      <c r="D23" s="15" t="str">
        <f ca="1">IFERROR(__xludf.DUMMYFUNCTION("""COMPUTED_VALUE"""),"lemon juice")</f>
        <v>lemon juice</v>
      </c>
      <c r="E23" s="15"/>
      <c r="F23" s="15"/>
      <c r="G23" s="15"/>
      <c r="H23" s="15"/>
      <c r="I23" s="15"/>
    </row>
    <row r="24" spans="1:9" x14ac:dyDescent="0.2">
      <c r="A24" s="15" t="str">
        <f ca="1">IFERROR(__xludf.DUMMYFUNCTION("""COMPUTED_VALUE"""),"apricot brandy")</f>
        <v>apricot brandy</v>
      </c>
      <c r="B24" s="15"/>
      <c r="C24" s="15"/>
      <c r="D24" s="15" t="str">
        <f ca="1">IFERROR(__xludf.DUMMYFUNCTION("""COMPUTED_VALUE"""),"lemon juice")</f>
        <v>lemon juice</v>
      </c>
      <c r="E24" s="15"/>
      <c r="F24" s="15"/>
      <c r="G24" s="15"/>
      <c r="H24" s="15"/>
      <c r="I24" s="15"/>
    </row>
    <row r="25" spans="1:9" x14ac:dyDescent="0.2">
      <c r="A25" s="15" t="str">
        <f ca="1">IFERROR(__xludf.DUMMYFUNCTION("""COMPUTED_VALUE"""),"bourbon")</f>
        <v>bourbon</v>
      </c>
      <c r="B25" s="15"/>
      <c r="C25" s="15" t="str">
        <f ca="1">IFERROR(__xludf.DUMMYFUNCTION("""COMPUTED_VALUE"""),"Angostura")</f>
        <v>Angostura</v>
      </c>
      <c r="D25" s="15" t="str">
        <f ca="1">IFERROR(__xludf.DUMMYFUNCTION("""COMPUTED_VALUE"""),"pineapple juice")</f>
        <v>pineapple juice</v>
      </c>
      <c r="E25" s="15" t="str">
        <f ca="1">IFERROR(__xludf.DUMMYFUNCTION("""COMPUTED_VALUE"""),"dry vermouth")</f>
        <v>dry vermouth</v>
      </c>
      <c r="F25" s="15" t="str">
        <f ca="1">IFERROR(__xludf.DUMMYFUNCTION("""COMPUTED_VALUE"""),"tamarind juice")</f>
        <v>tamarind juice</v>
      </c>
      <c r="G25" s="15"/>
      <c r="H25" s="15"/>
      <c r="I25" s="15"/>
    </row>
    <row r="26" spans="1:9" x14ac:dyDescent="0.2">
      <c r="A26" s="15" t="str">
        <f ca="1">IFERROR(__xludf.DUMMYFUNCTION("""COMPUTED_VALUE"""),"gin")</f>
        <v>gin</v>
      </c>
      <c r="B26" s="15"/>
      <c r="C26" s="15"/>
      <c r="D26" s="15" t="str">
        <f ca="1">IFERROR(__xludf.DUMMYFUNCTION("""COMPUTED_VALUE"""),"lemon juice")</f>
        <v>lemon juice</v>
      </c>
      <c r="E26" s="15" t="str">
        <f ca="1">IFERROR(__xludf.DUMMYFUNCTION("""COMPUTED_VALUE"""),"maraschino liqueur")</f>
        <v>maraschino liqueur</v>
      </c>
      <c r="F26" s="15"/>
      <c r="G26" s="15"/>
      <c r="H26" s="15"/>
      <c r="I26" s="15"/>
    </row>
    <row r="27" spans="1:9" x14ac:dyDescent="0.2">
      <c r="A27" s="15" t="str">
        <f ca="1">IFERROR(__xludf.DUMMYFUNCTION("""COMPUTED_VALUE"""),"rum")</f>
        <v>rum</v>
      </c>
      <c r="B27" s="15"/>
      <c r="C27" s="15" t="str">
        <f ca="1">IFERROR(__xludf.DUMMYFUNCTION("""COMPUTED_VALUE"""),"grenadine")</f>
        <v>grenadine</v>
      </c>
      <c r="D27" s="15" t="str">
        <f ca="1">IFERROR(__xludf.DUMMYFUNCTION("""COMPUTED_VALUE"""),"lime juice")</f>
        <v>lime juice</v>
      </c>
      <c r="E27" s="15"/>
      <c r="F27" s="15"/>
      <c r="G27" s="15"/>
      <c r="H27" s="15"/>
      <c r="I27" s="15"/>
    </row>
    <row r="28" spans="1:9" x14ac:dyDescent="0.2">
      <c r="A28" s="15" t="str">
        <f ca="1">IFERROR(__xludf.DUMMYFUNCTION("""COMPUTED_VALUE"""),"rum")</f>
        <v>rum</v>
      </c>
      <c r="B28" s="15"/>
      <c r="C28" s="15"/>
      <c r="D28" s="15" t="str">
        <f ca="1">IFERROR(__xludf.DUMMYFUNCTION("""COMPUTED_VALUE"""),"cranberry juice")</f>
        <v>cranberry juice</v>
      </c>
      <c r="E28" s="15"/>
      <c r="F28" s="15"/>
      <c r="G28" s="15"/>
      <c r="H28" s="15"/>
      <c r="I28" s="15"/>
    </row>
    <row r="29" spans="1:9" x14ac:dyDescent="0.2">
      <c r="A29" s="15" t="str">
        <f ca="1">IFERROR(__xludf.DUMMYFUNCTION("""COMPUTED_VALUE"""),"rum")</f>
        <v>rum</v>
      </c>
      <c r="B29" s="15"/>
      <c r="C29" s="15"/>
      <c r="D29" s="15" t="str">
        <f ca="1">IFERROR(__xludf.DUMMYFUNCTION("""COMPUTED_VALUE"""),"lime juice")</f>
        <v>lime juice</v>
      </c>
      <c r="E29" s="15" t="str">
        <f ca="1">IFERROR(__xludf.DUMMYFUNCTION("""COMPUTED_VALUE"""),"triple sec")</f>
        <v>triple sec</v>
      </c>
      <c r="F29" s="15"/>
      <c r="G29" s="15"/>
      <c r="H29" s="15"/>
      <c r="I29" s="15"/>
    </row>
    <row r="30" spans="1:9" x14ac:dyDescent="0.2">
      <c r="A30" s="15" t="str">
        <f ca="1">IFERROR(__xludf.DUMMYFUNCTION("""COMPUTED_VALUE"""),"gin")</f>
        <v>gin</v>
      </c>
      <c r="B30" s="15"/>
      <c r="C30" s="15" t="str">
        <f ca="1">IFERROR(__xludf.DUMMYFUNCTION("""COMPUTED_VALUE"""),"simple syrup")</f>
        <v>simple syrup</v>
      </c>
      <c r="D30" s="15" t="str">
        <f ca="1">IFERROR(__xludf.DUMMYFUNCTION("""COMPUTED_VALUE"""),"lime juice")</f>
        <v>lime juice</v>
      </c>
      <c r="E30" s="15"/>
      <c r="F30" s="15"/>
      <c r="G30" s="15"/>
      <c r="H30" s="15" t="str">
        <f ca="1">IFERROR(__xludf.DUMMYFUNCTION("""COMPUTED_VALUE"""),"Angostura")</f>
        <v>Angostura</v>
      </c>
      <c r="I30" s="15"/>
    </row>
    <row r="31" spans="1:9" x14ac:dyDescent="0.2">
      <c r="A31" s="15" t="str">
        <f ca="1">IFERROR(__xludf.DUMMYFUNCTION("""COMPUTED_VALUE"""),"gin")</f>
        <v>gin</v>
      </c>
      <c r="B31" s="15"/>
      <c r="C31" s="15" t="str">
        <f ca="1">IFERROR(__xludf.DUMMYFUNCTION("""COMPUTED_VALUE"""),"grenadine")</f>
        <v>grenadine</v>
      </c>
      <c r="D31" s="15"/>
      <c r="E31" s="15" t="str">
        <f ca="1">IFERROR(__xludf.DUMMYFUNCTION("""COMPUTED_VALUE"""),"sweet vermouth")</f>
        <v>sweet vermouth</v>
      </c>
      <c r="F31" s="15"/>
      <c r="G31" s="15"/>
      <c r="H31" s="15"/>
      <c r="I31" s="15"/>
    </row>
    <row r="32" spans="1:9" x14ac:dyDescent="0.2">
      <c r="A32" s="15" t="str">
        <f ca="1">IFERROR(__xludf.DUMMYFUNCTION("""COMPUTED_VALUE"""),"rum and brandy")</f>
        <v>rum and brandy</v>
      </c>
      <c r="B32" s="15"/>
      <c r="C32" s="15"/>
      <c r="D32" s="15" t="str">
        <f ca="1">IFERROR(__xludf.DUMMYFUNCTION("""COMPUTED_VALUE"""),"lemon juice")</f>
        <v>lemon juice</v>
      </c>
      <c r="E32" s="15" t="str">
        <f ca="1">IFERROR(__xludf.DUMMYFUNCTION("""COMPUTED_VALUE"""),"triple sec")</f>
        <v>triple sec</v>
      </c>
      <c r="F32" s="15"/>
      <c r="G32" s="15"/>
      <c r="H32" s="15"/>
      <c r="I32" s="15"/>
    </row>
    <row r="33" spans="1:9" x14ac:dyDescent="0.2">
      <c r="A33" s="15" t="str">
        <f ca="1">IFERROR(__xludf.DUMMYFUNCTION("""COMPUTED_VALUE"""),"gin")</f>
        <v>gin</v>
      </c>
      <c r="B33" s="15"/>
      <c r="C33" s="15"/>
      <c r="D33" s="15" t="str">
        <f ca="1">IFERROR(__xludf.DUMMYFUNCTION("""COMPUTED_VALUE"""),"lime juice")</f>
        <v>lime juice</v>
      </c>
      <c r="E33" s="15" t="str">
        <f ca="1">IFERROR(__xludf.DUMMYFUNCTION("""COMPUTED_VALUE"""),"triple sec")</f>
        <v>triple sec</v>
      </c>
      <c r="F33" s="15"/>
      <c r="G33" s="15"/>
      <c r="H33" s="15"/>
      <c r="I33" s="15"/>
    </row>
    <row r="34" spans="1:9" x14ac:dyDescent="0.2">
      <c r="A34" s="15" t="str">
        <f ca="1">IFERROR(__xludf.DUMMYFUNCTION("""COMPUTED_VALUE"""),"brandy")</f>
        <v>brandy</v>
      </c>
      <c r="B34" s="15"/>
      <c r="C34" s="15"/>
      <c r="D34" s="15" t="str">
        <f ca="1">IFERROR(__xludf.DUMMYFUNCTION("""COMPUTED_VALUE"""),"lemon juice")</f>
        <v>lemon juice</v>
      </c>
      <c r="E34" s="15" t="str">
        <f ca="1">IFERROR(__xludf.DUMMYFUNCTION("""COMPUTED_VALUE"""),"Tuaca")</f>
        <v>Tuaca</v>
      </c>
      <c r="F34" s="15" t="str">
        <f ca="1">IFERROR(__xludf.DUMMYFUNCTION("""COMPUTED_VALUE"""),"tangerine juice")</f>
        <v>tangerine juice</v>
      </c>
      <c r="G34" s="15"/>
      <c r="H34" s="15" t="str">
        <f ca="1">IFERROR(__xludf.DUMMYFUNCTION("""COMPUTED_VALUE"""),"Frangelico")</f>
        <v>Frangelico</v>
      </c>
      <c r="I34" s="15"/>
    </row>
    <row r="35" spans="1:9" x14ac:dyDescent="0.2">
      <c r="A35" s="15" t="str">
        <f ca="1">IFERROR(__xludf.DUMMYFUNCTION("""COMPUTED_VALUE"""),"vodka")</f>
        <v>vodka</v>
      </c>
      <c r="B35" s="15"/>
      <c r="C35" s="15"/>
      <c r="D35" s="15"/>
      <c r="E35" s="15" t="str">
        <f ca="1">IFERROR(__xludf.DUMMYFUNCTION("""COMPUTED_VALUE"""),"Kahlua")</f>
        <v>Kahlua</v>
      </c>
      <c r="F35" s="15"/>
      <c r="G35" s="15"/>
      <c r="H35" s="15"/>
      <c r="I35" s="15"/>
    </row>
    <row r="36" spans="1:9" x14ac:dyDescent="0.2">
      <c r="A36" s="15" t="str">
        <f ca="1">IFERROR(__xludf.DUMMYFUNCTION("""COMPUTED_VALUE"""),"vodka")</f>
        <v>vodka</v>
      </c>
      <c r="B36" s="15" t="str">
        <f ca="1">IFERROR(__xludf.DUMMYFUNCTION("""COMPUTED_VALUE"""),"rum")</f>
        <v>rum</v>
      </c>
      <c r="C36" s="15"/>
      <c r="D36" s="15" t="str">
        <f ca="1">IFERROR(__xludf.DUMMYFUNCTION("""COMPUTED_VALUE"""),"orange juice")</f>
        <v>orange juice</v>
      </c>
      <c r="E36" s="15" t="str">
        <f ca="1">IFERROR(__xludf.DUMMYFUNCTION("""COMPUTED_VALUE"""),"triple sec")</f>
        <v>triple sec</v>
      </c>
      <c r="F36" s="15"/>
      <c r="G36" s="15"/>
      <c r="H36" s="15"/>
      <c r="I36" s="15"/>
    </row>
    <row r="37" spans="1:9" x14ac:dyDescent="0.2">
      <c r="A37" s="15" t="str">
        <f ca="1">IFERROR(__xludf.DUMMYFUNCTION("""COMPUTED_VALUE"""),"Irish Whiskey")</f>
        <v>Irish Whiskey</v>
      </c>
      <c r="B37" s="15"/>
      <c r="C37" s="15" t="str">
        <f ca="1">IFERROR(__xludf.DUMMYFUNCTION("""COMPUTED_VALUE"""),"Angostura")</f>
        <v>Angostura</v>
      </c>
      <c r="D37" s="15"/>
      <c r="E37" s="15" t="str">
        <f ca="1">IFERROR(__xludf.DUMMYFUNCTION("""COMPUTED_VALUE"""),"sweet vermouth")</f>
        <v>sweet vermouth</v>
      </c>
      <c r="F37" s="15"/>
      <c r="G37" s="15"/>
      <c r="H37" s="15"/>
      <c r="I37" s="15"/>
    </row>
    <row r="38" spans="1:9" x14ac:dyDescent="0.2">
      <c r="A38" s="15" t="str">
        <f ca="1">IFERROR(__xludf.DUMMYFUNCTION("""COMPUTED_VALUE"""),"brandy")</f>
        <v>brandy</v>
      </c>
      <c r="B38" s="15"/>
      <c r="C38" s="15" t="str">
        <f ca="1">IFERROR(__xludf.DUMMYFUNCTION("""COMPUTED_VALUE"""),"Angostura")</f>
        <v>Angostura</v>
      </c>
      <c r="D38" s="15" t="str">
        <f ca="1">IFERROR(__xludf.DUMMYFUNCTION("""COMPUTED_VALUE"""),"Juice")</f>
        <v>Juice</v>
      </c>
      <c r="E38" s="15" t="str">
        <f ca="1">IFERROR(__xludf.DUMMYFUNCTION("""COMPUTED_VALUE"""),"dry vermouth")</f>
        <v>dry vermouth</v>
      </c>
      <c r="F38" s="15"/>
      <c r="G38" s="15"/>
      <c r="H38" s="15" t="str">
        <f ca="1">IFERROR(__xludf.DUMMYFUNCTION("""COMPUTED_VALUE"""),"triple sec")</f>
        <v>triple sec</v>
      </c>
      <c r="I38" s="15"/>
    </row>
    <row r="39" spans="1:9" x14ac:dyDescent="0.2">
      <c r="A39" s="15" t="str">
        <f ca="1">IFERROR(__xludf.DUMMYFUNCTION("""COMPUTED_VALUE"""),"scotch")</f>
        <v>scotch</v>
      </c>
      <c r="B39" s="15"/>
      <c r="C39" s="15"/>
      <c r="D39" s="15" t="str">
        <f ca="1">IFERROR(__xludf.DUMMYFUNCTION("""COMPUTED_VALUE"""),"orange juice")</f>
        <v>orange juice</v>
      </c>
      <c r="E39" s="15" t="str">
        <f ca="1">IFERROR(__xludf.DUMMYFUNCTION("""COMPUTED_VALUE"""),"sweet vermouth")</f>
        <v>sweet vermouth</v>
      </c>
      <c r="F39" s="15"/>
      <c r="G39" s="15"/>
      <c r="H39" s="15"/>
      <c r="I39" s="15"/>
    </row>
    <row r="40" spans="1:9" x14ac:dyDescent="0.2">
      <c r="A40" s="15" t="str">
        <f ca="1">IFERROR(__xludf.DUMMYFUNCTION("""COMPUTED_VALUE"""),"scotch")</f>
        <v>scotch</v>
      </c>
      <c r="B40" s="15"/>
      <c r="C40" s="15"/>
      <c r="D40" s="15"/>
      <c r="E40" s="15" t="str">
        <f ca="1">IFERROR(__xludf.DUMMYFUNCTION("""COMPUTED_VALUE"""),"sweet vermouth")</f>
        <v>sweet vermouth</v>
      </c>
      <c r="F40" s="15"/>
      <c r="G40" s="15"/>
      <c r="H40" s="15"/>
      <c r="I40" s="15"/>
    </row>
    <row r="41" spans="1:9" x14ac:dyDescent="0.2">
      <c r="A41" s="15"/>
      <c r="B41" s="15"/>
      <c r="C41" s="15"/>
      <c r="D41" s="15" t="str">
        <f ca="1">IFERROR(__xludf.DUMMYFUNCTION("""COMPUTED_VALUE"""),"orange juice")</f>
        <v>orange juice</v>
      </c>
      <c r="E41" s="15" t="str">
        <f ca="1">IFERROR(__xludf.DUMMYFUNCTION("""COMPUTED_VALUE"""),"amaretto")</f>
        <v>amaretto</v>
      </c>
      <c r="F41" s="15"/>
      <c r="G41" s="15"/>
      <c r="H41" s="15"/>
      <c r="I41" s="15"/>
    </row>
    <row r="42" spans="1:9" x14ac:dyDescent="0.2">
      <c r="A42" s="15" t="str">
        <f ca="1">IFERROR(__xludf.DUMMYFUNCTION("""COMPUTED_VALUE"""),"rum and brandy")</f>
        <v>rum and brandy</v>
      </c>
      <c r="B42" s="15"/>
      <c r="C42" s="15" t="str">
        <f ca="1">IFERROR(__xludf.DUMMYFUNCTION("""COMPUTED_VALUE"""),"simple syrup")</f>
        <v>simple syrup</v>
      </c>
      <c r="D42" s="15" t="str">
        <f ca="1">IFERROR(__xludf.DUMMYFUNCTION("""COMPUTED_VALUE"""),"lime juice")</f>
        <v>lime juice</v>
      </c>
      <c r="E42" s="15"/>
      <c r="F42" s="15"/>
      <c r="G42" s="15"/>
      <c r="H42" s="15"/>
      <c r="I42" s="15"/>
    </row>
    <row r="43" spans="1:9" x14ac:dyDescent="0.2">
      <c r="A43" s="15" t="str">
        <f ca="1">IFERROR(__xludf.DUMMYFUNCTION("""COMPUTED_VALUE"""),"bourbon")</f>
        <v>bourbon</v>
      </c>
      <c r="B43" s="15"/>
      <c r="C43" s="15" t="str">
        <f ca="1">IFERROR(__xludf.DUMMYFUNCTION("""COMPUTED_VALUE"""),"bottled water")</f>
        <v>bottled water</v>
      </c>
      <c r="D43" s="15"/>
      <c r="E43" s="15"/>
      <c r="F43" s="15"/>
      <c r="G43" s="15"/>
      <c r="H43" s="15"/>
      <c r="I43" s="15"/>
    </row>
    <row r="44" spans="1:9" x14ac:dyDescent="0.2">
      <c r="A44" s="15" t="str">
        <f ca="1">IFERROR(__xludf.DUMMYFUNCTION("""COMPUTED_VALUE"""),"bourbon")</f>
        <v>bourbon</v>
      </c>
      <c r="B44" s="15"/>
      <c r="C44" s="15" t="str">
        <f ca="1">IFERROR(__xludf.DUMMYFUNCTION("""COMPUTED_VALUE"""),"Coca-cola")</f>
        <v>Coca-cola</v>
      </c>
      <c r="D44" s="15"/>
      <c r="E44" s="15"/>
      <c r="F44" s="15"/>
      <c r="G44" s="15"/>
      <c r="H44" s="15"/>
      <c r="I44" s="15"/>
    </row>
    <row r="45" spans="1:9" x14ac:dyDescent="0.2">
      <c r="A45" s="15" t="str">
        <f ca="1">IFERROR(__xludf.DUMMYFUNCTION("""COMPUTED_VALUE"""),"cognac")</f>
        <v>cognac</v>
      </c>
      <c r="B45" s="15"/>
      <c r="C45" s="15" t="str">
        <f ca="1">IFERROR(__xludf.DUMMYFUNCTION("""COMPUTED_VALUE"""),"cream")</f>
        <v>cream</v>
      </c>
      <c r="D45" s="15"/>
      <c r="E45" s="15" t="str">
        <f ca="1">IFERROR(__xludf.DUMMYFUNCTION("""COMPUTED_VALUE"""),"dark crème de cacao")</f>
        <v>dark crème de cacao</v>
      </c>
      <c r="F45" s="15"/>
      <c r="G45" s="15"/>
      <c r="H45" s="15"/>
      <c r="I45" s="15"/>
    </row>
    <row r="46" spans="1:9" x14ac:dyDescent="0.2">
      <c r="A46" s="15" t="str">
        <f ca="1">IFERROR(__xludf.DUMMYFUNCTION("""COMPUTED_VALUE"""),"brandy")</f>
        <v>brandy</v>
      </c>
      <c r="B46" s="15"/>
      <c r="C46" s="15" t="str">
        <f ca="1">IFERROR(__xludf.DUMMYFUNCTION("""COMPUTED_VALUE"""),"club soda")</f>
        <v>club soda</v>
      </c>
      <c r="D46" s="15"/>
      <c r="E46" s="15"/>
      <c r="F46" s="15"/>
      <c r="G46" s="15"/>
      <c r="H46" s="15"/>
      <c r="I46" s="15"/>
    </row>
    <row r="47" spans="1:9" x14ac:dyDescent="0.2">
      <c r="A47" s="15" t="str">
        <f ca="1">IFERROR(__xludf.DUMMYFUNCTION("""COMPUTED_VALUE"""),"tequila")</f>
        <v>tequila</v>
      </c>
      <c r="B47" s="15"/>
      <c r="C47" s="15"/>
      <c r="D47" s="15"/>
      <c r="E47" s="15" t="str">
        <f ca="1">IFERROR(__xludf.DUMMYFUNCTION("""COMPUTED_VALUE"""),"Kahlua")</f>
        <v>Kahlua</v>
      </c>
      <c r="F47" s="15"/>
      <c r="G47" s="15"/>
      <c r="H47" s="15"/>
      <c r="I47" s="15"/>
    </row>
    <row r="48" spans="1:9" x14ac:dyDescent="0.2">
      <c r="A48" s="15" t="str">
        <f ca="1">IFERROR(__xludf.DUMMYFUNCTION("""COMPUTED_VALUE"""),"gin")</f>
        <v>gin</v>
      </c>
      <c r="B48" s="15"/>
      <c r="C48" s="15"/>
      <c r="D48" s="15" t="str">
        <f ca="1">IFERROR(__xludf.DUMMYFUNCTION("""COMPUTED_VALUE"""),"lime juice")</f>
        <v>lime juice</v>
      </c>
      <c r="E48" s="15" t="str">
        <f ca="1">IFERROR(__xludf.DUMMYFUNCTION("""COMPUTED_VALUE"""),"crème de noyau")</f>
        <v>crème de noyau</v>
      </c>
      <c r="F48" s="15"/>
      <c r="G48" s="15"/>
      <c r="H48" s="15"/>
      <c r="I48" s="15"/>
    </row>
    <row r="49" spans="1:9" x14ac:dyDescent="0.2">
      <c r="A49" s="15" t="str">
        <f ca="1">IFERROR(__xludf.DUMMYFUNCTION("""COMPUTED_VALUE"""),"gin")</f>
        <v>gin</v>
      </c>
      <c r="B49" s="15"/>
      <c r="C49" s="15" t="str">
        <f ca="1">IFERROR(__xludf.DUMMYFUNCTION("""COMPUTED_VALUE"""),"orange bitters")</f>
        <v>orange bitters</v>
      </c>
      <c r="D49" s="15" t="str">
        <f ca="1">IFERROR(__xludf.DUMMYFUNCTION("""COMPUTED_VALUE"""),"orange juice")</f>
        <v>orange juice</v>
      </c>
      <c r="E49" s="15" t="str">
        <f ca="1">IFERROR(__xludf.DUMMYFUNCTION("""COMPUTED_VALUE"""),"dry vermouth")</f>
        <v>dry vermouth</v>
      </c>
      <c r="F49" s="15"/>
      <c r="G49" s="15"/>
      <c r="H49" s="15" t="str">
        <f ca="1">IFERROR(__xludf.DUMMYFUNCTION("""COMPUTED_VALUE"""),"sweet vermouth")</f>
        <v>sweet vermouth</v>
      </c>
      <c r="I49" s="15"/>
    </row>
    <row r="50" spans="1:9" x14ac:dyDescent="0.2">
      <c r="A50" s="15" t="str">
        <f ca="1">IFERROR(__xludf.DUMMYFUNCTION("""COMPUTED_VALUE"""),"scotch")</f>
        <v>scotch</v>
      </c>
      <c r="B50" s="15"/>
      <c r="C50" s="15"/>
      <c r="D50" s="15"/>
      <c r="E50" s="15" t="str">
        <f ca="1">IFERROR(__xludf.DUMMYFUNCTION("""COMPUTED_VALUE"""),"cherry brandy")</f>
        <v>cherry brandy</v>
      </c>
      <c r="F50" s="15"/>
      <c r="G50" s="15"/>
      <c r="H50" s="15"/>
      <c r="I50" s="15"/>
    </row>
    <row r="51" spans="1:9" x14ac:dyDescent="0.2">
      <c r="A51" s="15" t="str">
        <f ca="1">IFERROR(__xludf.DUMMYFUNCTION("""COMPUTED_VALUE"""),"cognac")</f>
        <v>cognac</v>
      </c>
      <c r="B51" s="15"/>
      <c r="C51" s="15"/>
      <c r="D51" s="15"/>
      <c r="E51" s="15" t="str">
        <f ca="1">IFERROR(__xludf.DUMMYFUNCTION("""COMPUTED_VALUE"""),"Frangelico")</f>
        <v>Frangelico</v>
      </c>
      <c r="F51" s="15"/>
      <c r="G51" s="15"/>
      <c r="H51" s="15"/>
      <c r="I51" s="15"/>
    </row>
    <row r="52" spans="1:9" x14ac:dyDescent="0.2">
      <c r="A52" s="15" t="str">
        <f ca="1">IFERROR(__xludf.DUMMYFUNCTION("""COMPUTED_VALUE"""),"pisco brandy")</f>
        <v>pisco brandy</v>
      </c>
      <c r="B52" s="15"/>
      <c r="C52" s="15"/>
      <c r="D52" s="15" t="str">
        <f ca="1">IFERROR(__xludf.DUMMYFUNCTION("""COMPUTED_VALUE"""),"lime juice")</f>
        <v>lime juice</v>
      </c>
      <c r="E52" s="15" t="str">
        <f ca="1">IFERROR(__xludf.DUMMYFUNCTION("""COMPUTED_VALUE"""),"triple sec")</f>
        <v>triple sec</v>
      </c>
      <c r="F52" s="15"/>
      <c r="G52" s="15"/>
      <c r="H52" s="15"/>
      <c r="I52" s="15"/>
    </row>
    <row r="53" spans="1:9" x14ac:dyDescent="0.2">
      <c r="A53" s="15" t="str">
        <f ca="1">IFERROR(__xludf.DUMMYFUNCTION("""COMPUTED_VALUE"""),"calvados")</f>
        <v>calvados</v>
      </c>
      <c r="B53" s="15"/>
      <c r="C53" s="15" t="str">
        <f ca="1">IFERROR(__xludf.DUMMYFUNCTION("""COMPUTED_VALUE"""),"orange bitters")</f>
        <v>orange bitters</v>
      </c>
      <c r="D53" s="15" t="str">
        <f ca="1">IFERROR(__xludf.DUMMYFUNCTION("""COMPUTED_VALUE"""),"lemon juice")</f>
        <v>lemon juice</v>
      </c>
      <c r="E53" s="15" t="str">
        <f ca="1">IFERROR(__xludf.DUMMYFUNCTION("""COMPUTED_VALUE"""),"triple sec")</f>
        <v>triple sec</v>
      </c>
      <c r="F53" s="15"/>
      <c r="G53" s="15"/>
      <c r="H53" s="15"/>
      <c r="I53" s="15"/>
    </row>
    <row r="54" spans="1:9" x14ac:dyDescent="0.2">
      <c r="A54" s="15" t="str">
        <f ca="1">IFERROR(__xludf.DUMMYFUNCTION("""COMPUTED_VALUE"""),"rum")</f>
        <v>rum</v>
      </c>
      <c r="B54" s="15" t="str">
        <f ca="1">IFERROR(__xludf.DUMMYFUNCTION("""COMPUTED_VALUE"""),"Southern Comfort")</f>
        <v>Southern Comfort</v>
      </c>
      <c r="C54" s="15"/>
      <c r="D54" s="15" t="str">
        <f ca="1">IFERROR(__xludf.DUMMYFUNCTION("""COMPUTED_VALUE"""),"lime juice")</f>
        <v>lime juice</v>
      </c>
      <c r="E54" s="15" t="str">
        <f ca="1">IFERROR(__xludf.DUMMYFUNCTION("""COMPUTED_VALUE"""),"amaretto")</f>
        <v>amaretto</v>
      </c>
      <c r="F54" s="15"/>
      <c r="G54" s="15"/>
      <c r="H54" s="15"/>
      <c r="I54" s="15"/>
    </row>
    <row r="55" spans="1:9" x14ac:dyDescent="0.2">
      <c r="A55" s="15" t="str">
        <f ca="1">IFERROR(__xludf.DUMMYFUNCTION("""COMPUTED_VALUE"""),"vodka")</f>
        <v>vodka</v>
      </c>
      <c r="B55" s="15"/>
      <c r="C55" s="15"/>
      <c r="D55" s="15" t="str">
        <f ca="1">IFERROR(__xludf.DUMMYFUNCTION("""COMPUTED_VALUE"""),"cranberry juice")</f>
        <v>cranberry juice</v>
      </c>
      <c r="E55" s="15"/>
      <c r="F55" s="15"/>
      <c r="G55" s="15"/>
      <c r="H55" s="15"/>
      <c r="I55" s="15"/>
    </row>
    <row r="56" spans="1:9" x14ac:dyDescent="0.2">
      <c r="A56" s="15" t="str">
        <f ca="1">IFERROR(__xludf.DUMMYFUNCTION("""COMPUTED_VALUE"""),"rum")</f>
        <v>rum</v>
      </c>
      <c r="B56" s="15" t="str">
        <f ca="1">IFERROR(__xludf.DUMMYFUNCTION("""COMPUTED_VALUE"""),"sloe gin")</f>
        <v>sloe gin</v>
      </c>
      <c r="C56" s="15" t="str">
        <f ca="1">IFERROR(__xludf.DUMMYFUNCTION("""COMPUTED_VALUE"""),"club soda")</f>
        <v>club soda</v>
      </c>
      <c r="D56" s="15" t="str">
        <f ca="1">IFERROR(__xludf.DUMMYFUNCTION("""COMPUTED_VALUE"""),"lime juice")</f>
        <v>lime juice</v>
      </c>
      <c r="E56" s="15"/>
      <c r="F56" s="15"/>
      <c r="G56" s="15"/>
      <c r="H56" s="15"/>
      <c r="I56" s="15"/>
    </row>
    <row r="57" spans="1:9" x14ac:dyDescent="0.2">
      <c r="A57" s="15" t="str">
        <f ca="1">IFERROR(__xludf.DUMMYFUNCTION("""COMPUTED_VALUE"""),"citrus rum")</f>
        <v>citrus rum</v>
      </c>
      <c r="B57" s="15"/>
      <c r="C57" s="15" t="str">
        <f ca="1">IFERROR(__xludf.DUMMYFUNCTION("""COMPUTED_VALUE"""),"Angostura")</f>
        <v>Angostura</v>
      </c>
      <c r="D57" s="15" t="str">
        <f ca="1">IFERROR(__xludf.DUMMYFUNCTION("""COMPUTED_VALUE"""),"lime juice")</f>
        <v>lime juice</v>
      </c>
      <c r="E57" s="15" t="str">
        <f ca="1">IFERROR(__xludf.DUMMYFUNCTION("""COMPUTED_VALUE"""),"triple sec")</f>
        <v>triple sec</v>
      </c>
      <c r="F57" s="15" t="str">
        <f ca="1">IFERROR(__xludf.DUMMYFUNCTION("""COMPUTED_VALUE"""),"pineapple juice")</f>
        <v>pineapple juice</v>
      </c>
      <c r="G57" s="15"/>
      <c r="H57" s="15" t="str">
        <f ca="1">IFERROR(__xludf.DUMMYFUNCTION("""COMPUTED_VALUE"""),"cranberry juice")</f>
        <v>cranberry juice</v>
      </c>
      <c r="I57" s="15"/>
    </row>
    <row r="58" spans="1:9" x14ac:dyDescent="0.2">
      <c r="A58" s="15" t="str">
        <f ca="1">IFERROR(__xludf.DUMMYFUNCTION("""COMPUTED_VALUE"""),"gin")</f>
        <v>gin</v>
      </c>
      <c r="B58" s="15" t="str">
        <f ca="1">IFERROR(__xludf.DUMMYFUNCTION("""COMPUTED_VALUE"""),"Campari")</f>
        <v>Campari</v>
      </c>
      <c r="C58" s="15"/>
      <c r="D58" s="15" t="str">
        <f ca="1">IFERROR(__xludf.DUMMYFUNCTION("""COMPUTED_VALUE"""),"grapefruit juice")</f>
        <v>grapefruit juice</v>
      </c>
      <c r="E58" s="15" t="str">
        <f ca="1">IFERROR(__xludf.DUMMYFUNCTION("""COMPUTED_VALUE"""),"sweet vermouth")</f>
        <v>sweet vermouth</v>
      </c>
      <c r="F58" s="15"/>
      <c r="G58" s="15"/>
      <c r="H58" s="15"/>
      <c r="I58" s="15"/>
    </row>
    <row r="59" spans="1:9" x14ac:dyDescent="0.2">
      <c r="A59" s="15" t="str">
        <f ca="1">IFERROR(__xludf.DUMMYFUNCTION("""COMPUTED_VALUE"""),"rum")</f>
        <v>rum</v>
      </c>
      <c r="B59" s="15"/>
      <c r="C59" s="15"/>
      <c r="D59" s="15" t="str">
        <f ca="1">IFERROR(__xludf.DUMMYFUNCTION("""COMPUTED_VALUE"""),"lemon juice")</f>
        <v>lemon juice</v>
      </c>
      <c r="E59" s="15" t="str">
        <f ca="1">IFERROR(__xludf.DUMMYFUNCTION("""COMPUTED_VALUE"""),"crème de noyau")</f>
        <v>crème de noyau</v>
      </c>
      <c r="F59" s="15"/>
      <c r="G59" s="15"/>
      <c r="H59" s="15"/>
      <c r="I59" s="15"/>
    </row>
    <row r="60" spans="1:9" x14ac:dyDescent="0.2">
      <c r="A60" s="15" t="str">
        <f ca="1">IFERROR(__xludf.DUMMYFUNCTION("""COMPUTED_VALUE"""),"brandy")</f>
        <v>brandy</v>
      </c>
      <c r="B60" s="15"/>
      <c r="C60" s="15" t="str">
        <f ca="1">IFERROR(__xludf.DUMMYFUNCTION("""COMPUTED_VALUE"""),"orange bitters")</f>
        <v>orange bitters</v>
      </c>
      <c r="D60" s="15" t="str">
        <f ca="1">IFERROR(__xludf.DUMMYFUNCTION("""COMPUTED_VALUE"""),"Juice")</f>
        <v>Juice</v>
      </c>
      <c r="E60" s="15" t="str">
        <f ca="1">IFERROR(__xludf.DUMMYFUNCTION("""COMPUTED_VALUE"""),"Lillet Blonde")</f>
        <v>Lillet Blonde</v>
      </c>
      <c r="F60" s="15"/>
      <c r="G60" s="15"/>
      <c r="H60" s="15" t="str">
        <f ca="1">IFERROR(__xludf.DUMMYFUNCTION("""COMPUTED_VALUE"""),"crème de cassis")</f>
        <v>crème de cassis</v>
      </c>
      <c r="I60" s="15"/>
    </row>
    <row r="61" spans="1:9" x14ac:dyDescent="0.2">
      <c r="A61" s="15" t="str">
        <f ca="1">IFERROR(__xludf.DUMMYFUNCTION("""COMPUTED_VALUE"""),"gin")</f>
        <v>gin</v>
      </c>
      <c r="B61" s="15"/>
      <c r="C61" s="15"/>
      <c r="D61" s="15"/>
      <c r="E61" s="15" t="str">
        <f ca="1">IFERROR(__xludf.DUMMYFUNCTION("""COMPUTED_VALUE"""),"dry vermouth")</f>
        <v>dry vermouth</v>
      </c>
      <c r="F61" s="15"/>
      <c r="G61" s="15"/>
      <c r="H61" s="15"/>
      <c r="I61" s="15"/>
    </row>
    <row r="62" spans="1:9" x14ac:dyDescent="0.2">
      <c r="A62" s="15"/>
      <c r="B62" s="15" t="str">
        <f ca="1">IFERROR(__xludf.DUMMYFUNCTION("""COMPUTED_VALUE"""),"sloe gin")</f>
        <v>sloe gin</v>
      </c>
      <c r="C62" s="15"/>
      <c r="D62" s="15" t="str">
        <f ca="1">IFERROR(__xludf.DUMMYFUNCTION("""COMPUTED_VALUE"""),"lime juice")</f>
        <v>lime juice</v>
      </c>
      <c r="E62" s="15" t="str">
        <f ca="1">IFERROR(__xludf.DUMMYFUNCTION("""COMPUTED_VALUE"""),"apricot brandy")</f>
        <v>apricot brandy</v>
      </c>
      <c r="F62" s="15"/>
      <c r="G62" s="15"/>
      <c r="H62" s="15"/>
      <c r="I62" s="15"/>
    </row>
    <row r="63" spans="1:9" x14ac:dyDescent="0.2">
      <c r="A63" s="15" t="str">
        <f ca="1">IFERROR(__xludf.DUMMYFUNCTION("""COMPUTED_VALUE"""),"gin")</f>
        <v>gin</v>
      </c>
      <c r="B63" s="15"/>
      <c r="C63" s="15"/>
      <c r="D63" s="15" t="str">
        <f ca="1">IFERROR(__xludf.DUMMYFUNCTION("""COMPUTED_VALUE"""),"lemon juice")</f>
        <v>lemon juice</v>
      </c>
      <c r="E63" s="15" t="str">
        <f ca="1">IFERROR(__xludf.DUMMYFUNCTION("""COMPUTED_VALUE"""),"ginger liqueur")</f>
        <v>ginger liqueur</v>
      </c>
      <c r="F63" s="15"/>
      <c r="G63" s="15"/>
      <c r="H63" s="15"/>
      <c r="I63" s="15"/>
    </row>
    <row r="64" spans="1:9" x14ac:dyDescent="0.2">
      <c r="A64" s="15" t="str">
        <f ca="1">IFERROR(__xludf.DUMMYFUNCTION("""COMPUTED_VALUE"""),"apple vodka")</f>
        <v>apple vodka</v>
      </c>
      <c r="B64" s="15"/>
      <c r="C64" s="15"/>
      <c r="D64" s="15" t="str">
        <f ca="1">IFERROR(__xludf.DUMMYFUNCTION("""COMPUTED_VALUE"""),"lime juice")</f>
        <v>lime juice</v>
      </c>
      <c r="E64" s="15"/>
      <c r="F64" s="15" t="str">
        <f ca="1">IFERROR(__xludf.DUMMYFUNCTION("""COMPUTED_VALUE"""),"cranberry juice")</f>
        <v>cranberry juice</v>
      </c>
      <c r="G64" s="15"/>
      <c r="H64" s="15"/>
      <c r="I64" s="15"/>
    </row>
    <row r="65" spans="1:9" x14ac:dyDescent="0.2">
      <c r="A65" s="15" t="str">
        <f ca="1">IFERROR(__xludf.DUMMYFUNCTION("""COMPUTED_VALUE"""),"brandy")</f>
        <v>brandy</v>
      </c>
      <c r="B65" s="15"/>
      <c r="C65" s="15"/>
      <c r="D65" s="15" t="str">
        <f ca="1">IFERROR(__xludf.DUMMYFUNCTION("""COMPUTED_VALUE"""),"lemon juice")</f>
        <v>lemon juice</v>
      </c>
      <c r="E65" s="15" t="str">
        <f ca="1">IFERROR(__xludf.DUMMYFUNCTION("""COMPUTED_VALUE"""),"triple sec")</f>
        <v>triple sec</v>
      </c>
      <c r="F65" s="15"/>
      <c r="G65" s="15"/>
      <c r="H65" s="15"/>
      <c r="I65" s="15"/>
    </row>
    <row r="66" spans="1:9" x14ac:dyDescent="0.2">
      <c r="A66" s="15" t="str">
        <f ca="1">IFERROR(__xludf.DUMMYFUNCTION("""COMPUTED_VALUE"""),"vodka")</f>
        <v>vodka</v>
      </c>
      <c r="B66" s="15"/>
      <c r="C66" s="15"/>
      <c r="D66" s="15"/>
      <c r="E66" s="15" t="str">
        <f ca="1">IFERROR(__xludf.DUMMYFUNCTION("""COMPUTED_VALUE"""),"white crème de cacao")</f>
        <v>white crème de cacao</v>
      </c>
      <c r="F66" s="15"/>
      <c r="G66" s="15"/>
      <c r="H66" s="15"/>
      <c r="I66" s="15"/>
    </row>
    <row r="67" spans="1:9" x14ac:dyDescent="0.2">
      <c r="A67" s="15" t="str">
        <f ca="1">IFERROR(__xludf.DUMMYFUNCTION("""COMPUTED_VALUE"""),"gin")</f>
        <v>gin</v>
      </c>
      <c r="B67" s="15"/>
      <c r="C67" s="15"/>
      <c r="D67" s="15"/>
      <c r="E67" s="15" t="str">
        <f ca="1">IFERROR(__xludf.DUMMYFUNCTION("""COMPUTED_VALUE"""),"dry vermouth")</f>
        <v>dry vermouth</v>
      </c>
      <c r="F67" s="15"/>
      <c r="G67" s="15"/>
      <c r="H67" s="15" t="str">
        <f ca="1">IFERROR(__xludf.DUMMYFUNCTION("""COMPUTED_VALUE"""),"triple sec")</f>
        <v>triple sec</v>
      </c>
      <c r="I67" s="15" t="str">
        <f ca="1">IFERROR(__xludf.DUMMYFUNCTION("""COMPUTED_VALUE"""),"apricot brandy")</f>
        <v>apricot brandy</v>
      </c>
    </row>
    <row r="68" spans="1:9" x14ac:dyDescent="0.2">
      <c r="A68" s="15" t="str">
        <f ca="1">IFERROR(__xludf.DUMMYFUNCTION("""COMPUTED_VALUE"""),"brandy")</f>
        <v>brandy</v>
      </c>
      <c r="B68" s="15"/>
      <c r="C68" s="15"/>
      <c r="D68" s="15" t="str">
        <f ca="1">IFERROR(__xludf.DUMMYFUNCTION("""COMPUTED_VALUE"""),"lemon juice")</f>
        <v>lemon juice</v>
      </c>
      <c r="E68" s="15" t="str">
        <f ca="1">IFERROR(__xludf.DUMMYFUNCTION("""COMPUTED_VALUE"""),"triple sec")</f>
        <v>triple sec</v>
      </c>
      <c r="F68" s="15"/>
      <c r="G68" s="15"/>
      <c r="H68" s="15"/>
      <c r="I68" s="15"/>
    </row>
    <row r="69" spans="1:9" x14ac:dyDescent="0.2">
      <c r="A69" s="15" t="str">
        <f ca="1">IFERROR(__xludf.DUMMYFUNCTION("""COMPUTED_VALUE"""),"gin")</f>
        <v>gin</v>
      </c>
      <c r="B69" s="15"/>
      <c r="C69" s="15" t="str">
        <f ca="1">IFERROR(__xludf.DUMMYFUNCTION("""COMPUTED_VALUE"""),"egg white")</f>
        <v>egg white</v>
      </c>
      <c r="D69" s="15" t="str">
        <f ca="1">IFERROR(__xludf.DUMMYFUNCTION("""COMPUTED_VALUE"""),"lemon juice")</f>
        <v>lemon juice</v>
      </c>
      <c r="E69" s="15"/>
      <c r="F69" s="15"/>
      <c r="G69" s="15"/>
      <c r="H69" s="15"/>
      <c r="I69" s="15"/>
    </row>
    <row r="70" spans="1:9" x14ac:dyDescent="0.2">
      <c r="A70" s="15" t="str">
        <f ca="1">IFERROR(__xludf.DUMMYFUNCTION("""COMPUTED_VALUE"""),"scotch")</f>
        <v>scotch</v>
      </c>
      <c r="B70" s="15"/>
      <c r="C70" s="15"/>
      <c r="D70" s="15"/>
      <c r="E70" s="15" t="str">
        <f ca="1">IFERROR(__xludf.DUMMYFUNCTION("""COMPUTED_VALUE"""),"apricot brandy")</f>
        <v>apricot brandy</v>
      </c>
      <c r="F70" s="15"/>
      <c r="G70" s="15"/>
      <c r="H70" s="15"/>
      <c r="I70" s="15"/>
    </row>
    <row r="71" spans="1:9" x14ac:dyDescent="0.2">
      <c r="A71" s="15" t="str">
        <f ca="1">IFERROR(__xludf.DUMMYFUNCTION("""COMPUTED_VALUE"""),"applejack")</f>
        <v>applejack</v>
      </c>
      <c r="B71" s="15"/>
      <c r="C71" s="15"/>
      <c r="D71" s="15"/>
      <c r="E71" s="15" t="str">
        <f ca="1">IFERROR(__xludf.DUMMYFUNCTION("""COMPUTED_VALUE"""),"sweet vermouth")</f>
        <v>sweet vermouth</v>
      </c>
      <c r="F71" s="15"/>
      <c r="G71" s="15"/>
      <c r="H71" s="15"/>
      <c r="I71" s="15"/>
    </row>
    <row r="72" spans="1:9" x14ac:dyDescent="0.2">
      <c r="A72" s="15" t="str">
        <f ca="1">IFERROR(__xludf.DUMMYFUNCTION("""COMPUTED_VALUE"""),"gin")</f>
        <v>gin</v>
      </c>
      <c r="B72" s="15"/>
      <c r="C72" s="15"/>
      <c r="D72" s="15" t="str">
        <f ca="1">IFERROR(__xludf.DUMMYFUNCTION("""COMPUTED_VALUE"""),"lemon juice")</f>
        <v>lemon juice</v>
      </c>
      <c r="E72" s="15" t="str">
        <f ca="1">IFERROR(__xludf.DUMMYFUNCTION("""COMPUTED_VALUE"""),"triple sec")</f>
        <v>triple sec</v>
      </c>
      <c r="F72" s="15"/>
      <c r="G72" s="15"/>
      <c r="H72" s="15" t="str">
        <f ca="1">IFERROR(__xludf.DUMMYFUNCTION("""COMPUTED_VALUE"""),"Absinthe")</f>
        <v>Absinthe</v>
      </c>
      <c r="I72" s="15" t="str">
        <f ca="1">IFERROR(__xludf.DUMMYFUNCTION("""COMPUTED_VALUE"""),"Lillet")</f>
        <v>Lillet</v>
      </c>
    </row>
    <row r="73" spans="1:9" x14ac:dyDescent="0.2">
      <c r="A73" s="15" t="str">
        <f ca="1">IFERROR(__xludf.DUMMYFUNCTION("""COMPUTED_VALUE"""),"citrus vodka")</f>
        <v>citrus vodka</v>
      </c>
      <c r="B73" s="15"/>
      <c r="C73" s="15"/>
      <c r="D73" s="15" t="str">
        <f ca="1">IFERROR(__xludf.DUMMYFUNCTION("""COMPUTED_VALUE"""),"lime juice")</f>
        <v>lime juice</v>
      </c>
      <c r="E73" s="15" t="str">
        <f ca="1">IFERROR(__xludf.DUMMYFUNCTION("""COMPUTED_VALUE"""),"triple sec")</f>
        <v>triple sec</v>
      </c>
      <c r="F73" s="15" t="str">
        <f ca="1">IFERROR(__xludf.DUMMYFUNCTION("""COMPUTED_VALUE"""),"cranberry juice")</f>
        <v>cranberry juice</v>
      </c>
      <c r="G73" s="15"/>
      <c r="H73" s="15"/>
      <c r="I73" s="15"/>
    </row>
    <row r="74" spans="1:9" x14ac:dyDescent="0.2">
      <c r="A74" s="15" t="str">
        <f ca="1">IFERROR(__xludf.DUMMYFUNCTION("""COMPUTED_VALUE"""),"brandy")</f>
        <v>brandy</v>
      </c>
      <c r="B74" s="15"/>
      <c r="C74" s="15"/>
      <c r="D74" s="15" t="str">
        <f ca="1">IFERROR(__xludf.DUMMYFUNCTION("""COMPUTED_VALUE"""),"lemon juice")</f>
        <v>lemon juice</v>
      </c>
      <c r="E74" s="15" t="str">
        <f ca="1">IFERROR(__xludf.DUMMYFUNCTION("""COMPUTED_VALUE"""),"triple sec")</f>
        <v>triple sec</v>
      </c>
      <c r="F74" s="15"/>
      <c r="G74" s="15"/>
      <c r="H74" s="15"/>
      <c r="I74" s="15"/>
    </row>
    <row r="75" spans="1:9" x14ac:dyDescent="0.2">
      <c r="A75" s="15" t="str">
        <f ca="1">IFERROR(__xludf.DUMMYFUNCTION("""COMPUTED_VALUE"""),"rum")</f>
        <v>rum</v>
      </c>
      <c r="B75" s="15"/>
      <c r="C75" s="15" t="str">
        <f ca="1">IFERROR(__xludf.DUMMYFUNCTION("""COMPUTED_VALUE"""),"cola")</f>
        <v>cola</v>
      </c>
      <c r="D75" s="15" t="str">
        <f ca="1">IFERROR(__xludf.DUMMYFUNCTION("""COMPUTED_VALUE"""),"lime juice")</f>
        <v>lime juice</v>
      </c>
      <c r="E75" s="15"/>
      <c r="F75" s="15"/>
      <c r="G75" s="15"/>
      <c r="H75" s="15"/>
      <c r="I75" s="15"/>
    </row>
    <row r="76" spans="1:9" x14ac:dyDescent="0.2">
      <c r="A76" s="15" t="str">
        <f ca="1">IFERROR(__xludf.DUMMYFUNCTION("""COMPUTED_VALUE"""),"rum")</f>
        <v>rum</v>
      </c>
      <c r="B76" s="15"/>
      <c r="C76" s="15" t="str">
        <f ca="1">IFERROR(__xludf.DUMMYFUNCTION("""COMPUTED_VALUE"""),"simple syrup")</f>
        <v>simple syrup</v>
      </c>
      <c r="D76" s="15" t="str">
        <f ca="1">IFERROR(__xludf.DUMMYFUNCTION("""COMPUTED_VALUE"""),"lime juice")</f>
        <v>lime juice</v>
      </c>
      <c r="E76" s="15"/>
      <c r="F76" s="15"/>
      <c r="G76" s="15"/>
      <c r="H76" s="15"/>
      <c r="I76" s="15"/>
    </row>
    <row r="77" spans="1:9" x14ac:dyDescent="0.2">
      <c r="A77" s="15" t="str">
        <f ca="1">IFERROR(__xludf.DUMMYFUNCTION("""COMPUTED_VALUE"""),"rum")</f>
        <v>rum</v>
      </c>
      <c r="B77" s="15"/>
      <c r="C77" s="15" t="str">
        <f ca="1">IFERROR(__xludf.DUMMYFUNCTION("""COMPUTED_VALUE"""),"ginger beer")</f>
        <v>ginger beer</v>
      </c>
      <c r="D77" s="15"/>
      <c r="E77" s="15"/>
      <c r="F77" s="15"/>
      <c r="G77" s="15"/>
      <c r="H77" s="15"/>
      <c r="I77" s="15"/>
    </row>
    <row r="78" spans="1:9" x14ac:dyDescent="0.2">
      <c r="A78" s="15" t="str">
        <f ca="1">IFERROR(__xludf.DUMMYFUNCTION("""COMPUTED_VALUE"""),"bourbon")</f>
        <v>bourbon</v>
      </c>
      <c r="B78" s="15"/>
      <c r="C78" s="15" t="str">
        <f ca="1">IFERROR(__xludf.DUMMYFUNCTION("""COMPUTED_VALUE"""),"maraschino")</f>
        <v>maraschino</v>
      </c>
      <c r="D78" s="15"/>
      <c r="E78" s="15" t="str">
        <f ca="1">IFERROR(__xludf.DUMMYFUNCTION("""COMPUTED_VALUE"""),"sweet vermouth")</f>
        <v>sweet vermouth</v>
      </c>
      <c r="F78" s="15"/>
      <c r="G78" s="15"/>
      <c r="H78" s="15"/>
      <c r="I78" s="15"/>
    </row>
    <row r="79" spans="1:9" x14ac:dyDescent="0.2">
      <c r="A79" s="15" t="str">
        <f ca="1">IFERROR(__xludf.DUMMYFUNCTION("""COMPUTED_VALUE"""),"brand and applejack")</f>
        <v>brand and applejack</v>
      </c>
      <c r="B79" s="15"/>
      <c r="C79" s="15"/>
      <c r="D79" s="15" t="str">
        <f ca="1">IFERROR(__xludf.DUMMYFUNCTION("""COMPUTED_VALUE"""),"lemon juice")</f>
        <v>lemon juice</v>
      </c>
      <c r="E79" s="15" t="str">
        <f ca="1">IFERROR(__xludf.DUMMYFUNCTION("""COMPUTED_VALUE"""),"triple sec")</f>
        <v>triple sec</v>
      </c>
      <c r="F79" s="15"/>
      <c r="G79" s="15"/>
      <c r="H79" s="15"/>
      <c r="I79" s="15"/>
    </row>
    <row r="80" spans="1:9" x14ac:dyDescent="0.2">
      <c r="A80" s="15" t="str">
        <f ca="1">IFERROR(__xludf.DUMMYFUNCTION("""COMPUTED_VALUE"""),"scotch")</f>
        <v>scotch</v>
      </c>
      <c r="B80" s="15"/>
      <c r="C80" s="15"/>
      <c r="D80" s="15"/>
      <c r="E80" s="15" t="str">
        <f ca="1">IFERROR(__xludf.DUMMYFUNCTION("""COMPUTED_VALUE"""),"ginger liqueur")</f>
        <v>ginger liqueur</v>
      </c>
      <c r="F80" s="15"/>
      <c r="G80" s="15"/>
      <c r="H80" s="15"/>
      <c r="I80" s="15"/>
    </row>
    <row r="81" spans="1:9" x14ac:dyDescent="0.2">
      <c r="A81" s="15" t="str">
        <f ca="1">IFERROR(__xludf.DUMMYFUNCTION("""COMPUTED_VALUE"""),"gin")</f>
        <v>gin</v>
      </c>
      <c r="B81" s="15"/>
      <c r="C81" s="15" t="str">
        <f ca="1">IFERROR(__xludf.DUMMYFUNCTION("""COMPUTED_VALUE"""),"simple syrup")</f>
        <v>simple syrup</v>
      </c>
      <c r="D81" s="15" t="str">
        <f ca="1">IFERROR(__xludf.DUMMYFUNCTION("""COMPUTED_VALUE"""),"lime juice")</f>
        <v>lime juice</v>
      </c>
      <c r="E81" s="15"/>
      <c r="F81" s="15"/>
      <c r="G81" s="15"/>
      <c r="H81" s="15"/>
      <c r="I81" s="15"/>
    </row>
    <row r="82" spans="1:9" x14ac:dyDescent="0.2">
      <c r="A82" s="15" t="str">
        <f ca="1">IFERROR(__xludf.DUMMYFUNCTION("""COMPUTED_VALUE"""),"rye whiskey")</f>
        <v>rye whiskey</v>
      </c>
      <c r="B82" s="15"/>
      <c r="C82" s="15"/>
      <c r="D82" s="15" t="str">
        <f ca="1">IFERROR(__xludf.DUMMYFUNCTION("""COMPUTED_VALUE"""),"lemon juice")</f>
        <v>lemon juice</v>
      </c>
      <c r="E82" s="15" t="str">
        <f ca="1">IFERROR(__xludf.DUMMYFUNCTION("""COMPUTED_VALUE"""),"white crème de menthe")</f>
        <v>white crème de menthe</v>
      </c>
      <c r="F82" s="15"/>
      <c r="G82" s="15"/>
      <c r="H82" s="15"/>
      <c r="I82" s="15"/>
    </row>
    <row r="83" spans="1:9" x14ac:dyDescent="0.2">
      <c r="A83" s="15" t="str">
        <f ca="1">IFERROR(__xludf.DUMMYFUNCTION("""COMPUTED_VALUE"""),"rye whiskey")</f>
        <v>rye whiskey</v>
      </c>
      <c r="B83" s="15"/>
      <c r="C83" s="15"/>
      <c r="D83" s="15" t="str">
        <f ca="1">IFERROR(__xludf.DUMMYFUNCTION("""COMPUTED_VALUE"""),"lemon juice")</f>
        <v>lemon juice</v>
      </c>
      <c r="E83" s="15" t="str">
        <f ca="1">IFERROR(__xludf.DUMMYFUNCTION("""COMPUTED_VALUE"""),"white crème de cacao")</f>
        <v>white crème de cacao</v>
      </c>
      <c r="F83" s="15"/>
      <c r="G83" s="15"/>
      <c r="H83" s="15"/>
      <c r="I83" s="15"/>
    </row>
    <row r="84" spans="1:9" x14ac:dyDescent="0.2">
      <c r="A84" s="15" t="str">
        <f ca="1">IFERROR(__xludf.DUMMYFUNCTION("""COMPUTED_VALUE"""),"rye whiskey")</f>
        <v>rye whiskey</v>
      </c>
      <c r="B84" s="15"/>
      <c r="C84" s="15"/>
      <c r="D84" s="15" t="str">
        <f ca="1">IFERROR(__xludf.DUMMYFUNCTION("""COMPUTED_VALUE"""),"lemon juice")</f>
        <v>lemon juice</v>
      </c>
      <c r="E84" s="15" t="str">
        <f ca="1">IFERROR(__xludf.DUMMYFUNCTION("""COMPUTED_VALUE"""),"amaretto")</f>
        <v>amaretto</v>
      </c>
      <c r="F84" s="15"/>
      <c r="G84" s="15"/>
      <c r="H84" s="15"/>
      <c r="I84" s="15"/>
    </row>
    <row r="85" spans="1:9" x14ac:dyDescent="0.2">
      <c r="A85" s="15" t="str">
        <f ca="1">IFERROR(__xludf.DUMMYFUNCTION("""COMPUTED_VALUE"""),"gin or vodka")</f>
        <v>gin or vodka</v>
      </c>
      <c r="B85" s="15"/>
      <c r="C85" s="15" t="str">
        <f ca="1">IFERROR(__xludf.DUMMYFUNCTION("""COMPUTED_VALUE"""),"olive brine")</f>
        <v>olive brine</v>
      </c>
      <c r="D85" s="15"/>
      <c r="E85" s="15" t="str">
        <f ca="1">IFERROR(__xludf.DUMMYFUNCTION("""COMPUTED_VALUE"""),"dry vermouth")</f>
        <v>dry vermouth</v>
      </c>
      <c r="F85" s="15"/>
      <c r="G85" s="15"/>
      <c r="H85" s="15"/>
      <c r="I85" s="15"/>
    </row>
    <row r="86" spans="1:9" x14ac:dyDescent="0.2">
      <c r="A86" s="15" t="str">
        <f ca="1">IFERROR(__xludf.DUMMYFUNCTION("""COMPUTED_VALUE"""),"tequila")</f>
        <v>tequila</v>
      </c>
      <c r="B86" s="15"/>
      <c r="C86" s="15"/>
      <c r="D86" s="15" t="str">
        <f ca="1">IFERROR(__xludf.DUMMYFUNCTION("""COMPUTED_VALUE"""),"lime juice")</f>
        <v>lime juice</v>
      </c>
      <c r="E86" s="15" t="str">
        <f ca="1">IFERROR(__xludf.DUMMYFUNCTION("""COMPUTED_VALUE"""),"amaretto")</f>
        <v>amaretto</v>
      </c>
      <c r="F86" s="15"/>
      <c r="G86" s="15"/>
      <c r="H86" s="15"/>
      <c r="I86" s="15"/>
    </row>
    <row r="87" spans="1:9" x14ac:dyDescent="0.2">
      <c r="A87" s="15" t="str">
        <f ca="1">IFERROR(__xludf.DUMMYFUNCTION("""COMPUTED_VALUE"""),"gin or vodka")</f>
        <v>gin or vodka</v>
      </c>
      <c r="B87" s="15"/>
      <c r="C87" s="15"/>
      <c r="D87" s="15"/>
      <c r="E87" s="15" t="str">
        <f ca="1">IFERROR(__xludf.DUMMYFUNCTION("""COMPUTED_VALUE"""),"dry vermouth")</f>
        <v>dry vermouth</v>
      </c>
      <c r="F87" s="15"/>
      <c r="G87" s="15"/>
      <c r="H87" s="15"/>
      <c r="I87" s="15"/>
    </row>
    <row r="88" spans="1:9" x14ac:dyDescent="0.2">
      <c r="A88" s="15" t="str">
        <f ca="1">IFERROR(__xludf.DUMMYFUNCTION("""COMPUTED_VALUE"""),"Irish Whiskey")</f>
        <v>Irish Whiskey</v>
      </c>
      <c r="B88" s="15"/>
      <c r="C88" s="15" t="str">
        <f ca="1">IFERROR(__xludf.DUMMYFUNCTION("""COMPUTED_VALUE"""),"orange bitters")</f>
        <v>orange bitters</v>
      </c>
      <c r="D88" s="15"/>
      <c r="E88" s="15" t="str">
        <f ca="1">IFERROR(__xludf.DUMMYFUNCTION("""COMPUTED_VALUE"""),"sweet vermouth")</f>
        <v>sweet vermouth</v>
      </c>
      <c r="F88" s="15"/>
      <c r="G88" s="15"/>
      <c r="H88" s="15"/>
      <c r="I88" s="15"/>
    </row>
    <row r="89" spans="1:9" x14ac:dyDescent="0.2">
      <c r="A89" s="15" t="str">
        <f ca="1">IFERROR(__xludf.DUMMYFUNCTION("""COMPUTED_VALUE"""),"gin")</f>
        <v>gin</v>
      </c>
      <c r="B89" s="15"/>
      <c r="C89" s="15"/>
      <c r="D89" s="15"/>
      <c r="E89" s="15" t="str">
        <f ca="1">IFERROR(__xludf.DUMMYFUNCTION("""COMPUTED_VALUE"""),"Dubonnet")</f>
        <v>Dubonnet</v>
      </c>
      <c r="F89" s="15"/>
      <c r="G89" s="15"/>
      <c r="H89" s="15"/>
      <c r="I89" s="15"/>
    </row>
    <row r="90" spans="1:9" x14ac:dyDescent="0.2">
      <c r="A90" s="15" t="str">
        <f ca="1">IFERROR(__xludf.DUMMYFUNCTION("""COMPUTED_VALUE"""),"Van Gogh Wild Appel Vodka")</f>
        <v>Van Gogh Wild Appel Vodka</v>
      </c>
      <c r="B90" s="15"/>
      <c r="C90" s="15"/>
      <c r="D90" s="15" t="str">
        <f ca="1">IFERROR(__xludf.DUMMYFUNCTION("""COMPUTED_VALUE"""),"lemon juice")</f>
        <v>lemon juice</v>
      </c>
      <c r="E90" s="15" t="str">
        <f ca="1">IFERROR(__xludf.DUMMYFUNCTION("""COMPUTED_VALUE"""),"crème de noyau")</f>
        <v>crème de noyau</v>
      </c>
      <c r="F90" s="15"/>
      <c r="G90" s="15"/>
      <c r="H90" s="15"/>
      <c r="I90" s="15"/>
    </row>
    <row r="91" spans="1:9" x14ac:dyDescent="0.2">
      <c r="A91" s="15" t="str">
        <f ca="1">IFERROR(__xludf.DUMMYFUNCTION("""COMPUTED_VALUE"""),"brandy")</f>
        <v>brandy</v>
      </c>
      <c r="B91" s="15"/>
      <c r="C91" s="15" t="str">
        <f ca="1">IFERROR(__xludf.DUMMYFUNCTION("""COMPUTED_VALUE"""),"Angostura")</f>
        <v>Angostura</v>
      </c>
      <c r="D91" s="15" t="str">
        <f ca="1">IFERROR(__xludf.DUMMYFUNCTION("""COMPUTED_VALUE"""),"lemon juice")</f>
        <v>lemon juice</v>
      </c>
      <c r="E91" s="15" t="str">
        <f ca="1">IFERROR(__xludf.DUMMYFUNCTION("""COMPUTED_VALUE"""),"triple sec")</f>
        <v>triple sec</v>
      </c>
      <c r="F91" s="15"/>
      <c r="G91" s="15"/>
      <c r="H91" s="15"/>
      <c r="I91" s="15"/>
    </row>
    <row r="92" spans="1:9" x14ac:dyDescent="0.2">
      <c r="A92" s="15" t="str">
        <f ca="1">IFERROR(__xludf.DUMMYFUNCTION("""COMPUTED_VALUE"""),"rum")</f>
        <v>rum</v>
      </c>
      <c r="B92" s="15"/>
      <c r="C92" s="15" t="str">
        <f ca="1">IFERROR(__xludf.DUMMYFUNCTION("""COMPUTED_VALUE"""),"simple syrup")</f>
        <v>simple syrup</v>
      </c>
      <c r="D92" s="15" t="str">
        <f ca="1">IFERROR(__xludf.DUMMYFUNCTION("""COMPUTED_VALUE"""),"lime juice")</f>
        <v>lime juice</v>
      </c>
      <c r="E92" s="15" t="str">
        <f ca="1">IFERROR(__xludf.DUMMYFUNCTION("""COMPUTED_VALUE"""),"maraschino liqueur")</f>
        <v>maraschino liqueur</v>
      </c>
      <c r="F92" s="15"/>
      <c r="G92" s="15"/>
      <c r="H92" s="15"/>
      <c r="I92" s="15"/>
    </row>
    <row r="93" spans="1:9" x14ac:dyDescent="0.2">
      <c r="A93" s="15" t="str">
        <f ca="1">IFERROR(__xludf.DUMMYFUNCTION("""COMPUTED_VALUE"""),"rum")</f>
        <v>rum</v>
      </c>
      <c r="B93" s="15"/>
      <c r="C93" s="15" t="str">
        <f ca="1">IFERROR(__xludf.DUMMYFUNCTION("""COMPUTED_VALUE"""),"grenadine")</f>
        <v>grenadine</v>
      </c>
      <c r="D93" s="15" t="str">
        <f ca="1">IFERROR(__xludf.DUMMYFUNCTION("""COMPUTED_VALUE"""),"lime juice")</f>
        <v>lime juice</v>
      </c>
      <c r="E93" s="15" t="str">
        <f ca="1">IFERROR(__xludf.DUMMYFUNCTION("""COMPUTED_VALUE"""),"white crème de cacao")</f>
        <v>white crème de cacao</v>
      </c>
      <c r="F93" s="15"/>
      <c r="G93" s="15"/>
      <c r="H93" s="15"/>
      <c r="I93" s="15"/>
    </row>
    <row r="94" spans="1:9" x14ac:dyDescent="0.2">
      <c r="A94" s="15" t="str">
        <f ca="1">IFERROR(__xludf.DUMMYFUNCTION("""COMPUTED_VALUE"""),"rum")</f>
        <v>rum</v>
      </c>
      <c r="B94" s="15"/>
      <c r="C94" s="15" t="str">
        <f ca="1">IFERROR(__xludf.DUMMYFUNCTION("""COMPUTED_VALUE"""),"grenadine")</f>
        <v>grenadine</v>
      </c>
      <c r="D94" s="15" t="str">
        <f ca="1">IFERROR(__xludf.DUMMYFUNCTION("""COMPUTED_VALUE"""),"lime juice")</f>
        <v>lime juice</v>
      </c>
      <c r="E94" s="15"/>
      <c r="F94" s="15"/>
      <c r="G94" s="15"/>
      <c r="H94" s="15"/>
      <c r="I94" s="15"/>
    </row>
    <row r="95" spans="1:9" x14ac:dyDescent="0.2">
      <c r="A95" s="15" t="str">
        <f ca="1">IFERROR(__xludf.DUMMYFUNCTION("""COMPUTED_VALUE"""),"gin")</f>
        <v>gin</v>
      </c>
      <c r="B95" s="15"/>
      <c r="C95" s="15" t="str">
        <f ca="1">IFERROR(__xludf.DUMMYFUNCTION("""COMPUTED_VALUE"""),"grenadine")</f>
        <v>grenadine</v>
      </c>
      <c r="D95" s="15" t="str">
        <f ca="1">IFERROR(__xludf.DUMMYFUNCTION("""COMPUTED_VALUE"""),"lemon juice")</f>
        <v>lemon juice</v>
      </c>
      <c r="E95" s="15" t="str">
        <f ca="1">IFERROR(__xludf.DUMMYFUNCTION("""COMPUTED_VALUE"""),"apricot brandy")</f>
        <v>apricot brandy</v>
      </c>
      <c r="F95" s="15"/>
      <c r="G95" s="15"/>
      <c r="H95" s="15"/>
      <c r="I95" s="15"/>
    </row>
    <row r="96" spans="1:9" x14ac:dyDescent="0.2">
      <c r="A96" s="15" t="str">
        <f ca="1">IFERROR(__xludf.DUMMYFUNCTION("""COMPUTED_VALUE"""),"spiced rum")</f>
        <v>spiced rum</v>
      </c>
      <c r="B96" s="15"/>
      <c r="C96" s="15"/>
      <c r="D96" s="15" t="str">
        <f ca="1">IFERROR(__xludf.DUMMYFUNCTION("""COMPUTED_VALUE"""),"lime juice")</f>
        <v>lime juice</v>
      </c>
      <c r="E96" s="15" t="str">
        <f ca="1">IFERROR(__xludf.DUMMYFUNCTION("""COMPUTED_VALUE"""),"Chambord")</f>
        <v>Chambord</v>
      </c>
      <c r="F96" s="15" t="str">
        <f ca="1">IFERROR(__xludf.DUMMYFUNCTION("""COMPUTED_VALUE"""),"orange juice")</f>
        <v>orange juice</v>
      </c>
      <c r="G96" s="15"/>
      <c r="H96" s="15"/>
      <c r="I96" s="15"/>
    </row>
    <row r="97" spans="1:9" x14ac:dyDescent="0.2">
      <c r="A97" s="15" t="str">
        <f ca="1">IFERROR(__xludf.DUMMYFUNCTION("""COMPUTED_VALUE"""),"rum and brandy")</f>
        <v>rum and brandy</v>
      </c>
      <c r="B97" s="15"/>
      <c r="C97" s="15" t="str">
        <f ca="1">IFERROR(__xludf.DUMMYFUNCTION("""COMPUTED_VALUE"""),"simple syrup")</f>
        <v>simple syrup</v>
      </c>
      <c r="D97" s="15" t="str">
        <f ca="1">IFERROR(__xludf.DUMMYFUNCTION("""COMPUTED_VALUE"""),"lime juice")</f>
        <v>lime juice</v>
      </c>
      <c r="E97" s="15" t="str">
        <f ca="1">IFERROR(__xludf.DUMMYFUNCTION("""COMPUTED_VALUE"""),"peach brandy")</f>
        <v>peach brandy</v>
      </c>
      <c r="F97" s="15" t="str">
        <f ca="1">IFERROR(__xludf.DUMMYFUNCTION("""COMPUTED_VALUE"""),"lemon juice")</f>
        <v>lemon juice</v>
      </c>
      <c r="G97" s="15"/>
      <c r="H97" s="15"/>
      <c r="I97" s="15"/>
    </row>
    <row r="98" spans="1:9" x14ac:dyDescent="0.2">
      <c r="A98" s="15" t="str">
        <f ca="1">IFERROR(__xludf.DUMMYFUNCTION("""COMPUTED_VALUE"""),"raspberry vodka")</f>
        <v>raspberry vodka</v>
      </c>
      <c r="B98" s="15"/>
      <c r="C98" s="15" t="str">
        <f ca="1">IFERROR(__xludf.DUMMYFUNCTION("""COMPUTED_VALUE"""),"Peychaud's")</f>
        <v>Peychaud's</v>
      </c>
      <c r="D98" s="15" t="str">
        <f ca="1">IFERROR(__xludf.DUMMYFUNCTION("""COMPUTED_VALUE"""),"lime juice")</f>
        <v>lime juice</v>
      </c>
      <c r="E98" s="15" t="str">
        <f ca="1">IFERROR(__xludf.DUMMYFUNCTION("""COMPUTED_VALUE"""),"triple sec")</f>
        <v>triple sec</v>
      </c>
      <c r="F98" s="15"/>
      <c r="G98" s="15"/>
      <c r="H98" s="15"/>
      <c r="I98" s="15"/>
    </row>
    <row r="99" spans="1:9" x14ac:dyDescent="0.2">
      <c r="A99" s="15" t="str">
        <f ca="1">IFERROR(__xludf.DUMMYFUNCTION("""COMPUTED_VALUE"""),"tequila")</f>
        <v>tequila</v>
      </c>
      <c r="B99" s="15"/>
      <c r="C99" s="15"/>
      <c r="D99" s="15" t="str">
        <f ca="1">IFERROR(__xludf.DUMMYFUNCTION("""COMPUTED_VALUE"""),"orange juice")</f>
        <v>orange juice</v>
      </c>
      <c r="E99" s="15" t="str">
        <f ca="1">IFERROR(__xludf.DUMMYFUNCTION("""COMPUTED_VALUE"""),"galliano")</f>
        <v>galliano</v>
      </c>
      <c r="F99" s="15"/>
      <c r="G99" s="15"/>
      <c r="H99" s="15"/>
      <c r="I99" s="15"/>
    </row>
    <row r="100" spans="1:9" x14ac:dyDescent="0.2">
      <c r="A100" s="15" t="str">
        <f ca="1">IFERROR(__xludf.DUMMYFUNCTION("""COMPUTED_VALUE"""),"gin")</f>
        <v>gin</v>
      </c>
      <c r="B100" s="15"/>
      <c r="C100" s="15" t="str">
        <f ca="1">IFERROR(__xludf.DUMMYFUNCTION("""COMPUTED_VALUE"""),"champagne")</f>
        <v>champagne</v>
      </c>
      <c r="D100" s="15" t="str">
        <f ca="1">IFERROR(__xludf.DUMMYFUNCTION("""COMPUTED_VALUE"""),"lemon juice")</f>
        <v>lemon juice</v>
      </c>
      <c r="E100" s="15"/>
      <c r="F100" s="15"/>
      <c r="G100" s="15"/>
      <c r="H100" s="15"/>
      <c r="I100" s="15"/>
    </row>
    <row r="101" spans="1:9" x14ac:dyDescent="0.2">
      <c r="A101" s="15" t="str">
        <f ca="1">IFERROR(__xludf.DUMMYFUNCTION("""COMPUTED_VALUE"""),"cognac")</f>
        <v>cognac</v>
      </c>
      <c r="B101" s="15"/>
      <c r="C101" s="15"/>
      <c r="D101" s="15"/>
      <c r="E101" s="15" t="str">
        <f ca="1">IFERROR(__xludf.DUMMYFUNCTION("""COMPUTED_VALUE"""),"Grand Marnier")</f>
        <v>Grand Marnier</v>
      </c>
      <c r="F101" s="15"/>
      <c r="G101" s="15"/>
      <c r="H101" s="15"/>
      <c r="I101" s="15"/>
    </row>
    <row r="102" spans="1:9" x14ac:dyDescent="0.2">
      <c r="A102" s="15" t="str">
        <f ca="1">IFERROR(__xludf.DUMMYFUNCTION("""COMPUTED_VALUE"""),"brandy")</f>
        <v>brandy</v>
      </c>
      <c r="B102" s="15"/>
      <c r="C102" s="15"/>
      <c r="D102" s="15" t="str">
        <f ca="1">IFERROR(__xludf.DUMMYFUNCTION("""COMPUTED_VALUE"""),"lemon juice")</f>
        <v>lemon juice</v>
      </c>
      <c r="E102" s="15" t="str">
        <f ca="1">IFERROR(__xludf.DUMMYFUNCTION("""COMPUTED_VALUE"""),"crème de noyau")</f>
        <v>crème de noyau</v>
      </c>
      <c r="F102" s="15"/>
      <c r="G102" s="15"/>
      <c r="H102" s="15"/>
      <c r="I102" s="15"/>
    </row>
    <row r="103" spans="1:9" x14ac:dyDescent="0.2">
      <c r="A103" s="15" t="str">
        <f ca="1">IFERROR(__xludf.DUMMYFUNCTION("""COMPUTED_VALUE"""),"vodka")</f>
        <v>vodka</v>
      </c>
      <c r="B103" s="15"/>
      <c r="C103" s="15"/>
      <c r="D103" s="15" t="str">
        <f ca="1">IFERROR(__xludf.DUMMYFUNCTION("""COMPUTED_VALUE"""),"orange juice")</f>
        <v>orange juice</v>
      </c>
      <c r="E103" s="15" t="str">
        <f ca="1">IFERROR(__xludf.DUMMYFUNCTION("""COMPUTED_VALUE"""),"peach schnapps")</f>
        <v>peach schnapps</v>
      </c>
      <c r="F103" s="15"/>
      <c r="G103" s="15"/>
      <c r="H103" s="15"/>
      <c r="I103" s="15"/>
    </row>
    <row r="104" spans="1:9" x14ac:dyDescent="0.2">
      <c r="A104" s="15" t="str">
        <f ca="1">IFERROR(__xludf.DUMMYFUNCTION("""COMPUTED_VALUE"""),"gin or vodka")</f>
        <v>gin or vodka</v>
      </c>
      <c r="B104" s="15"/>
      <c r="C104" s="15"/>
      <c r="D104" s="15"/>
      <c r="E104" s="15" t="str">
        <f ca="1">IFERROR(__xludf.DUMMYFUNCTION("""COMPUTED_VALUE"""),"dry vermouth")</f>
        <v>dry vermouth</v>
      </c>
      <c r="F104" s="15"/>
      <c r="G104" s="15" t="str">
        <f ca="1">IFERROR(__xludf.DUMMYFUNCTION("""COMPUTED_VALUE"""),"Onion garnish")</f>
        <v>Onion garnish</v>
      </c>
      <c r="H104" s="15"/>
      <c r="I104" s="15"/>
    </row>
    <row r="105" spans="1:9" x14ac:dyDescent="0.2">
      <c r="A105" s="15" t="str">
        <f ca="1">IFERROR(__xludf.DUMMYFUNCTION("""COMPUTED_VALUE"""),"gin")</f>
        <v>gin</v>
      </c>
      <c r="B105" s="15"/>
      <c r="C105" s="15" t="str">
        <f ca="1">IFERROR(__xludf.DUMMYFUNCTION("""COMPUTED_VALUE"""),"tonic water")</f>
        <v>tonic water</v>
      </c>
      <c r="D105" s="15"/>
      <c r="E105" s="15"/>
      <c r="F105" s="15"/>
      <c r="G105" s="15"/>
      <c r="H105" s="15"/>
      <c r="I105" s="15"/>
    </row>
    <row r="106" spans="1:9" x14ac:dyDescent="0.2">
      <c r="A106" s="15" t="str">
        <f ca="1">IFERROR(__xludf.DUMMYFUNCTION("""COMPUTED_VALUE"""),"gin")</f>
        <v>gin</v>
      </c>
      <c r="B106" s="15"/>
      <c r="C106" s="15" t="str">
        <f ca="1">IFERROR(__xludf.DUMMYFUNCTION("""COMPUTED_VALUE"""),"ginger ale")</f>
        <v>ginger ale</v>
      </c>
      <c r="D106" s="15"/>
      <c r="E106" s="15"/>
      <c r="F106" s="15"/>
      <c r="G106" s="15"/>
      <c r="H106" s="15"/>
      <c r="I106" s="15"/>
    </row>
    <row r="107" spans="1:9" x14ac:dyDescent="0.2">
      <c r="A107" s="15" t="str">
        <f ca="1">IFERROR(__xludf.DUMMYFUNCTION("""COMPUTED_VALUE"""),"gin")</f>
        <v>gin</v>
      </c>
      <c r="B107" s="15"/>
      <c r="C107" s="15" t="str">
        <f ca="1">IFERROR(__xludf.DUMMYFUNCTION("""COMPUTED_VALUE"""),"club soda")</f>
        <v>club soda</v>
      </c>
      <c r="D107" s="15" t="str">
        <f ca="1">IFERROR(__xludf.DUMMYFUNCTION("""COMPUTED_VALUE"""),"lime juice")</f>
        <v>lime juice</v>
      </c>
      <c r="E107" s="15"/>
      <c r="F107" s="15"/>
      <c r="G107" s="15"/>
      <c r="H107" s="15"/>
      <c r="I107" s="15"/>
    </row>
    <row r="108" spans="1:9" x14ac:dyDescent="0.2">
      <c r="A108" s="15" t="str">
        <f ca="1">IFERROR(__xludf.DUMMYFUNCTION("""COMPUTED_VALUE"""),"vodka")</f>
        <v>vodka</v>
      </c>
      <c r="B108" s="15"/>
      <c r="C108" s="15" t="str">
        <f ca="1">IFERROR(__xludf.DUMMYFUNCTION("""COMPUTED_VALUE"""),"cream")</f>
        <v>cream</v>
      </c>
      <c r="D108" s="15"/>
      <c r="E108" s="15" t="str">
        <f ca="1">IFERROR(__xludf.DUMMYFUNCTION("""COMPUTED_VALUE"""),"amaretto")</f>
        <v>amaretto</v>
      </c>
      <c r="F108" s="15"/>
      <c r="G108" s="15"/>
      <c r="H108" s="15"/>
      <c r="I108" s="15"/>
    </row>
    <row r="109" spans="1:9" x14ac:dyDescent="0.2">
      <c r="A109" s="15" t="str">
        <f ca="1">IFERROR(__xludf.DUMMYFUNCTION("""COMPUTED_VALUE"""),"scotch")</f>
        <v>scotch</v>
      </c>
      <c r="B109" s="15"/>
      <c r="C109" s="15"/>
      <c r="D109" s="15"/>
      <c r="E109" s="15" t="str">
        <f ca="1">IFERROR(__xludf.DUMMYFUNCTION("""COMPUTED_VALUE"""),"amaretto")</f>
        <v>amaretto</v>
      </c>
      <c r="F109" s="15"/>
      <c r="G109" s="15"/>
      <c r="H109" s="15"/>
      <c r="I109" s="15"/>
    </row>
    <row r="110" spans="1:9" x14ac:dyDescent="0.2">
      <c r="A110" s="15" t="str">
        <f ca="1">IFERROR(__xludf.DUMMYFUNCTION("""COMPUTED_VALUE"""),"vodka")</f>
        <v>vodka</v>
      </c>
      <c r="B110" s="15"/>
      <c r="C110" s="15"/>
      <c r="D110" s="15"/>
      <c r="E110" s="15" t="str">
        <f ca="1">IFERROR(__xludf.DUMMYFUNCTION("""COMPUTED_VALUE"""),"amaretto")</f>
        <v>amaretto</v>
      </c>
      <c r="F110" s="15"/>
      <c r="G110" s="15"/>
      <c r="H110" s="15"/>
      <c r="I110" s="15"/>
    </row>
    <row r="111" spans="1:9" x14ac:dyDescent="0.2">
      <c r="A111" s="15" t="str">
        <f ca="1">IFERROR(__xludf.DUMMYFUNCTION("""COMPUTED_VALUE"""),"scotch")</f>
        <v>scotch</v>
      </c>
      <c r="B111" s="15"/>
      <c r="C111" s="15" t="str">
        <f ca="1">IFERROR(__xludf.DUMMYFUNCTION("""COMPUTED_VALUE"""),"cream")</f>
        <v>cream</v>
      </c>
      <c r="D111" s="15"/>
      <c r="E111" s="15" t="str">
        <f ca="1">IFERROR(__xludf.DUMMYFUNCTION("""COMPUTED_VALUE"""),"amaretto")</f>
        <v>amaretto</v>
      </c>
      <c r="F111" s="15"/>
      <c r="G111" s="15"/>
      <c r="H111" s="15"/>
      <c r="I111" s="15"/>
    </row>
    <row r="112" spans="1:9" x14ac:dyDescent="0.2">
      <c r="A112" s="15" t="str">
        <f ca="1">IFERROR(__xludf.DUMMYFUNCTION("""COMPUTED_VALUE"""),"galliano")</f>
        <v>galliano</v>
      </c>
      <c r="B112" s="15"/>
      <c r="C112" s="15" t="str">
        <f ca="1">IFERROR(__xludf.DUMMYFUNCTION("""COMPUTED_VALUE"""),"cream")</f>
        <v>cream</v>
      </c>
      <c r="D112" s="15"/>
      <c r="E112" s="15" t="str">
        <f ca="1">IFERROR(__xludf.DUMMYFUNCTION("""COMPUTED_VALUE"""),"white crème de cacao")</f>
        <v>white crème de cacao</v>
      </c>
      <c r="F112" s="15"/>
      <c r="G112" s="15"/>
      <c r="H112" s="15"/>
      <c r="I112" s="15"/>
    </row>
    <row r="113" spans="1:9" x14ac:dyDescent="0.2">
      <c r="A113" s="15" t="str">
        <f ca="1">IFERROR(__xludf.DUMMYFUNCTION("""COMPUTED_VALUE"""),"gin")</f>
        <v>gin</v>
      </c>
      <c r="B113" s="15"/>
      <c r="C113" s="15"/>
      <c r="D113" s="15"/>
      <c r="E113" s="15" t="str">
        <f ca="1">IFERROR(__xludf.DUMMYFUNCTION("""COMPUTED_VALUE"""),"dry vermouth")</f>
        <v>dry vermouth</v>
      </c>
      <c r="F113" s="15"/>
      <c r="G113" s="15"/>
      <c r="H113" s="15"/>
      <c r="I113" s="15"/>
    </row>
    <row r="114" spans="1:9" x14ac:dyDescent="0.2">
      <c r="A114" s="15" t="str">
        <f ca="1">IFERROR(__xludf.DUMMYFUNCTION("""COMPUTED_VALUE"""),"brandy")</f>
        <v>brandy</v>
      </c>
      <c r="B114" s="15"/>
      <c r="C114" s="15"/>
      <c r="D114" s="15" t="str">
        <f ca="1">IFERROR(__xludf.DUMMYFUNCTION("""COMPUTED_VALUE"""),"lemon juice")</f>
        <v>lemon juice</v>
      </c>
      <c r="E114" s="15" t="str">
        <f ca="1">IFERROR(__xludf.DUMMYFUNCTION("""COMPUTED_VALUE"""),"crème de cassis")</f>
        <v>crème de cassis</v>
      </c>
      <c r="F114" s="15"/>
      <c r="G114" s="15"/>
      <c r="H114" s="15"/>
      <c r="I114" s="15"/>
    </row>
    <row r="115" spans="1:9" x14ac:dyDescent="0.2">
      <c r="A115" s="15" t="str">
        <f ca="1">IFERROR(__xludf.DUMMYFUNCTION("""COMPUTED_VALUE"""),"white crème de cacao")</f>
        <v>white crème de cacao</v>
      </c>
      <c r="B115" s="15"/>
      <c r="C115" s="15" t="str">
        <f ca="1">IFERROR(__xludf.DUMMYFUNCTION("""COMPUTED_VALUE"""),"cream")</f>
        <v>cream</v>
      </c>
      <c r="D115" s="15"/>
      <c r="E115" s="15" t="str">
        <f ca="1">IFERROR(__xludf.DUMMYFUNCTION("""COMPUTED_VALUE"""),"green crème de cacao")</f>
        <v>green crème de cacao</v>
      </c>
      <c r="F115" s="15"/>
      <c r="G115" s="15"/>
      <c r="H115" s="15"/>
      <c r="I115" s="15"/>
    </row>
    <row r="116" spans="1:9" x14ac:dyDescent="0.2">
      <c r="A116" s="15" t="str">
        <f ca="1">IFERROR(__xludf.DUMMYFUNCTION("""COMPUTED_VALUE"""),"vodka")</f>
        <v>vodka</v>
      </c>
      <c r="B116" s="15"/>
      <c r="C116" s="15"/>
      <c r="D116" s="15" t="str">
        <f ca="1">IFERROR(__xludf.DUMMYFUNCTION("""COMPUTED_VALUE"""),"grapefruit juice")</f>
        <v>grapefruit juice</v>
      </c>
      <c r="E116" s="15"/>
      <c r="F116" s="15"/>
      <c r="G116" s="15"/>
      <c r="H116" s="15"/>
      <c r="I116" s="15"/>
    </row>
    <row r="117" spans="1:9" x14ac:dyDescent="0.2">
      <c r="A117" s="15" t="str">
        <f ca="1">IFERROR(__xludf.DUMMYFUNCTION("""COMPUTED_VALUE"""),"vodka")</f>
        <v>vodka</v>
      </c>
      <c r="B117" s="15"/>
      <c r="C117" s="15"/>
      <c r="D117" s="15" t="str">
        <f ca="1">IFERROR(__xludf.DUMMYFUNCTION("""COMPUTED_VALUE"""),"orange juice")</f>
        <v>orange juice</v>
      </c>
      <c r="E117" s="15" t="str">
        <f ca="1">IFERROR(__xludf.DUMMYFUNCTION("""COMPUTED_VALUE"""),"galliano")</f>
        <v>galliano</v>
      </c>
      <c r="F117" s="15"/>
      <c r="G117" s="15"/>
      <c r="H117" s="15"/>
      <c r="I117" s="15"/>
    </row>
    <row r="118" spans="1:9" x14ac:dyDescent="0.2">
      <c r="A118" s="15" t="str">
        <f ca="1">IFERROR(__xludf.DUMMYFUNCTION("""COMPUTED_VALUE"""),"rum")</f>
        <v>rum</v>
      </c>
      <c r="B118" s="15"/>
      <c r="C118" s="15" t="str">
        <f ca="1">IFERROR(__xludf.DUMMYFUNCTION("""COMPUTED_VALUE"""),"Angostura")</f>
        <v>Angostura</v>
      </c>
      <c r="D118" s="15" t="str">
        <f ca="1">IFERROR(__xludf.DUMMYFUNCTION("""COMPUTED_VALUE"""),"lime juice")</f>
        <v>lime juice</v>
      </c>
      <c r="E118" s="15" t="str">
        <f ca="1">IFERROR(__xludf.DUMMYFUNCTION("""COMPUTED_VALUE"""),"apricot brandy")</f>
        <v>apricot brandy</v>
      </c>
      <c r="F118" s="15"/>
      <c r="G118" s="15"/>
      <c r="H118" s="15"/>
      <c r="I118" s="15"/>
    </row>
    <row r="119" spans="1:9" x14ac:dyDescent="0.2">
      <c r="A119" s="15" t="str">
        <f ca="1">IFERROR(__xludf.DUMMYFUNCTION("""COMPUTED_VALUE"""),"gin")</f>
        <v>gin</v>
      </c>
      <c r="B119" s="15"/>
      <c r="C119" s="15" t="str">
        <f ca="1">IFERROR(__xludf.DUMMYFUNCTION("""COMPUTED_VALUE"""),"Angostura")</f>
        <v>Angostura</v>
      </c>
      <c r="D119" s="15" t="str">
        <f ca="1">IFERROR(__xludf.DUMMYFUNCTION("""COMPUTED_VALUE"""),"orange juice")</f>
        <v>orange juice</v>
      </c>
      <c r="E119" s="15" t="str">
        <f ca="1">IFERROR(__xludf.DUMMYFUNCTION("""COMPUTED_VALUE"""),"dry vermouth")</f>
        <v>dry vermouth</v>
      </c>
      <c r="F119" s="15"/>
      <c r="G119" s="15"/>
      <c r="H119" s="15" t="str">
        <f ca="1">IFERROR(__xludf.DUMMYFUNCTION("""COMPUTED_VALUE"""),"sweet vermouth")</f>
        <v>sweet vermouth</v>
      </c>
      <c r="I119" s="15"/>
    </row>
    <row r="120" spans="1:9" x14ac:dyDescent="0.2">
      <c r="A120" s="15" t="str">
        <f ca="1">IFERROR(__xludf.DUMMYFUNCTION("""COMPUTED_VALUE"""),"peach vodka")</f>
        <v>peach vodka</v>
      </c>
      <c r="B120" s="15"/>
      <c r="C120" s="15"/>
      <c r="D120" s="15"/>
      <c r="E120" s="15" t="str">
        <f ca="1">IFERROR(__xludf.DUMMYFUNCTION("""COMPUTED_VALUE"""),"Baileys")</f>
        <v>Baileys</v>
      </c>
      <c r="F120" s="15"/>
      <c r="G120" s="15"/>
      <c r="H120" s="15"/>
      <c r="I120" s="15"/>
    </row>
    <row r="121" spans="1:9" x14ac:dyDescent="0.2">
      <c r="A121" s="15" t="str">
        <f ca="1">IFERROR(__xludf.DUMMYFUNCTION("""COMPUTED_VALUE"""),"Irish whiskey")</f>
        <v>Irish whiskey</v>
      </c>
      <c r="B121" s="15"/>
      <c r="C121" s="15"/>
      <c r="D121" s="15" t="str">
        <f ca="1">IFERROR(__xludf.DUMMYFUNCTION("""COMPUTED_VALUE"""),"lemon juice")</f>
        <v>lemon juice</v>
      </c>
      <c r="E121" s="15" t="str">
        <f ca="1">IFERROR(__xludf.DUMMYFUNCTION("""COMPUTED_VALUE"""),"crème de noyau")</f>
        <v>crème de noyau</v>
      </c>
      <c r="F121" s="15"/>
      <c r="G121" s="15"/>
      <c r="H121" s="15"/>
      <c r="I121" s="15"/>
    </row>
    <row r="122" spans="1:9" x14ac:dyDescent="0.2">
      <c r="A122" s="15" t="str">
        <f ca="1">IFERROR(__xludf.DUMMYFUNCTION("""COMPUTED_VALUE"""),"Jack Daniel's")</f>
        <v>Jack Daniel's</v>
      </c>
      <c r="B122" s="15"/>
      <c r="C122" s="15" t="str">
        <f ca="1">IFERROR(__xludf.DUMMYFUNCTION("""COMPUTED_VALUE"""),"Coca-cola")</f>
        <v>Coca-cola</v>
      </c>
      <c r="D122" s="15"/>
      <c r="E122" s="15"/>
      <c r="F122" s="15"/>
      <c r="G122" s="15"/>
      <c r="H122" s="15"/>
      <c r="I122" s="15"/>
    </row>
    <row r="123" spans="1:9" x14ac:dyDescent="0.2">
      <c r="A123" s="15" t="str">
        <f ca="1">IFERROR(__xludf.DUMMYFUNCTION("""COMPUTED_VALUE"""),"applejack")</f>
        <v>applejack</v>
      </c>
      <c r="B123" s="15"/>
      <c r="C123" s="15" t="str">
        <f ca="1">IFERROR(__xludf.DUMMYFUNCTION("""COMPUTED_VALUE"""),"grenadine")</f>
        <v>grenadine</v>
      </c>
      <c r="D123" s="15" t="str">
        <f ca="1">IFERROR(__xludf.DUMMYFUNCTION("""COMPUTED_VALUE"""),"lemon juice")</f>
        <v>lemon juice</v>
      </c>
      <c r="E123" s="15"/>
      <c r="F123" s="15"/>
      <c r="G123" s="15"/>
      <c r="H123" s="15"/>
      <c r="I123" s="15"/>
    </row>
    <row r="124" spans="1:9" x14ac:dyDescent="0.2">
      <c r="A124" s="15" t="str">
        <f ca="1">IFERROR(__xludf.DUMMYFUNCTION("""COMPUTED_VALUE"""),"Irish whiskey")</f>
        <v>Irish whiskey</v>
      </c>
      <c r="B124" s="15"/>
      <c r="C124" s="15"/>
      <c r="D124" s="15" t="str">
        <f ca="1">IFERROR(__xludf.DUMMYFUNCTION("""COMPUTED_VALUE"""),"lime juice")</f>
        <v>lime juice</v>
      </c>
      <c r="E124" s="15" t="str">
        <f ca="1">IFERROR(__xludf.DUMMYFUNCTION("""COMPUTED_VALUE"""),"triple sec")</f>
        <v>triple sec</v>
      </c>
      <c r="F124" s="15"/>
      <c r="G124" s="15"/>
      <c r="H124" s="15"/>
      <c r="I124" s="15"/>
    </row>
    <row r="125" spans="1:9" x14ac:dyDescent="0.2">
      <c r="A125" s="15" t="str">
        <f ca="1">IFERROR(__xludf.DUMMYFUNCTION("""COMPUTED_VALUE"""),"gin")</f>
        <v>gin</v>
      </c>
      <c r="B125" s="15"/>
      <c r="C125" s="15" t="str">
        <f ca="1">IFERROR(__xludf.DUMMYFUNCTION("""COMPUTED_VALUE"""),"Angostura")</f>
        <v>Angostura</v>
      </c>
      <c r="D125" s="15" t="str">
        <f ca="1">IFERROR(__xludf.DUMMYFUNCTION("""COMPUTED_VALUE"""),"lemon juice")</f>
        <v>lemon juice</v>
      </c>
      <c r="E125" s="15" t="str">
        <f ca="1">IFERROR(__xludf.DUMMYFUNCTION("""COMPUTED_VALUE"""),"amaretto")</f>
        <v>amaretto</v>
      </c>
      <c r="F125" s="15"/>
      <c r="G125" s="15"/>
      <c r="H125" s="15"/>
      <c r="I125" s="15"/>
    </row>
    <row r="126" spans="1:9" x14ac:dyDescent="0.2">
      <c r="A126" s="15" t="str">
        <f ca="1">IFERROR(__xludf.DUMMYFUNCTION("""COMPUTED_VALUE"""),"bourbon")</f>
        <v>bourbon</v>
      </c>
      <c r="B126" s="15"/>
      <c r="C126" s="15" t="str">
        <f ca="1">IFERROR(__xludf.DUMMYFUNCTION("""COMPUTED_VALUE"""),"simple syrup")</f>
        <v>simple syrup</v>
      </c>
      <c r="D126" s="15" t="str">
        <f ca="1">IFERROR(__xludf.DUMMYFUNCTION("""COMPUTED_VALUE"""),"lemon juice")</f>
        <v>lemon juice</v>
      </c>
      <c r="E126" s="15"/>
      <c r="F126" s="15"/>
      <c r="G126" s="15"/>
      <c r="H126" s="15"/>
      <c r="I126" s="15"/>
    </row>
    <row r="127" spans="1:9" x14ac:dyDescent="0.2">
      <c r="A127" s="15" t="str">
        <f ca="1">IFERROR(__xludf.DUMMYFUNCTION("""COMPUTED_VALUE"""),"vodka")</f>
        <v>vodka</v>
      </c>
      <c r="B127" s="15"/>
      <c r="C127" s="15"/>
      <c r="D127" s="15" t="str">
        <f ca="1">IFERROR(__xludf.DUMMYFUNCTION("""COMPUTED_VALUE"""),"lime juice")</f>
        <v>lime juice</v>
      </c>
      <c r="E127" s="15" t="str">
        <f ca="1">IFERROR(__xludf.DUMMYFUNCTION("""COMPUTED_VALUE"""),"triple sec")</f>
        <v>triple sec</v>
      </c>
      <c r="F127" s="15"/>
      <c r="G127" s="15"/>
      <c r="H127" s="15"/>
      <c r="I127" s="15"/>
    </row>
    <row r="128" spans="1:9" x14ac:dyDescent="0.2">
      <c r="A128" s="15" t="str">
        <f ca="1">IFERROR(__xludf.DUMMYFUNCTION("""COMPUTED_VALUE"""),"bourbon")</f>
        <v>bourbon</v>
      </c>
      <c r="B128" s="15"/>
      <c r="C128" s="15"/>
      <c r="D128" s="15" t="str">
        <f ca="1">IFERROR(__xludf.DUMMYFUNCTION("""COMPUTED_VALUE"""),"lemon juice")</f>
        <v>lemon juice</v>
      </c>
      <c r="E128" s="15" t="str">
        <f ca="1">IFERROR(__xludf.DUMMYFUNCTION("""COMPUTED_VALUE"""),"crème de noyau")</f>
        <v>crème de noyau</v>
      </c>
      <c r="F128" s="15"/>
      <c r="G128" s="15"/>
      <c r="H128" s="15"/>
      <c r="I128" s="15"/>
    </row>
    <row r="129" spans="1:9" x14ac:dyDescent="0.2">
      <c r="A129" s="15" t="str">
        <f ca="1">IFERROR(__xludf.DUMMYFUNCTION("""COMPUTED_VALUE"""),"vodka")</f>
        <v>vodka</v>
      </c>
      <c r="B129" s="15"/>
      <c r="C129" s="15" t="str">
        <f ca="1">IFERROR(__xludf.DUMMYFUNCTION("""COMPUTED_VALUE"""),"grenadine")</f>
        <v>grenadine</v>
      </c>
      <c r="D129" s="15" t="str">
        <f ca="1">IFERROR(__xludf.DUMMYFUNCTION("""COMPUTED_VALUE"""),"lemon juice")</f>
        <v>lemon juice</v>
      </c>
      <c r="E129" s="15" t="str">
        <f ca="1">IFERROR(__xludf.DUMMYFUNCTION("""COMPUTED_VALUE"""),"white crème de cacao")</f>
        <v>white crème de cacao</v>
      </c>
      <c r="F129" s="15"/>
      <c r="G129" s="15"/>
      <c r="H129" s="15"/>
      <c r="I129" s="15"/>
    </row>
    <row r="130" spans="1:9" x14ac:dyDescent="0.2">
      <c r="A130" s="15" t="str">
        <f ca="1">IFERROR(__xludf.DUMMYFUNCTION("""COMPUTED_VALUE"""),"gin")</f>
        <v>gin</v>
      </c>
      <c r="B130" s="15"/>
      <c r="C130" s="15"/>
      <c r="D130" s="15" t="str">
        <f ca="1">IFERROR(__xludf.DUMMYFUNCTION("""COMPUTED_VALUE"""),"lemon juice")</f>
        <v>lemon juice</v>
      </c>
      <c r="E130" s="15" t="str">
        <f ca="1">IFERROR(__xludf.DUMMYFUNCTION("""COMPUTED_VALUE"""),"Grand Marnier")</f>
        <v>Grand Marnier</v>
      </c>
      <c r="F130" s="15"/>
      <c r="G130" s="15"/>
      <c r="H130" s="15"/>
      <c r="I130" s="15"/>
    </row>
    <row r="131" spans="1:9" x14ac:dyDescent="0.2">
      <c r="A131" s="15" t="str">
        <f ca="1">IFERROR(__xludf.DUMMYFUNCTION("""COMPUTED_VALUE"""),"citrus vodka")</f>
        <v>citrus vodka</v>
      </c>
      <c r="B131" s="15"/>
      <c r="C131" s="15" t="str">
        <f ca="1">IFERROR(__xludf.DUMMYFUNCTION("""COMPUTED_VALUE"""),"simple syrup")</f>
        <v>simple syrup</v>
      </c>
      <c r="D131" s="15" t="str">
        <f ca="1">IFERROR(__xludf.DUMMYFUNCTION("""COMPUTED_VALUE"""),"lemon juice")</f>
        <v>lemon juice</v>
      </c>
      <c r="E131" s="15"/>
      <c r="F131" s="15"/>
      <c r="G131" s="15"/>
      <c r="H131" s="15"/>
      <c r="I131" s="15"/>
    </row>
    <row r="132" spans="1:9" x14ac:dyDescent="0.2">
      <c r="A132" s="15" t="str">
        <f ca="1">IFERROR(__xludf.DUMMYFUNCTION("""COMPUTED_VALUE"""),"OP vodka")</f>
        <v>OP vodka</v>
      </c>
      <c r="B132" s="15"/>
      <c r="C132" s="15"/>
      <c r="D132" s="15" t="str">
        <f ca="1">IFERROR(__xludf.DUMMYFUNCTION("""COMPUTED_VALUE"""),"lime juice")</f>
        <v>lime juice</v>
      </c>
      <c r="E132" s="15" t="str">
        <f ca="1">IFERROR(__xludf.DUMMYFUNCTION("""COMPUTED_VALUE"""),"triple sec")</f>
        <v>triple sec</v>
      </c>
      <c r="F132" s="15" t="str">
        <f ca="1">IFERROR(__xludf.DUMMYFUNCTION("""COMPUTED_VALUE"""),"elderflower syrup")</f>
        <v>elderflower syrup</v>
      </c>
      <c r="G132" s="15"/>
      <c r="H132" s="15" t="str">
        <f ca="1">IFERROR(__xludf.DUMMYFUNCTION("""COMPUTED_VALUE"""),"cranberry juice")</f>
        <v>cranberry juice</v>
      </c>
      <c r="I132" s="15"/>
    </row>
    <row r="133" spans="1:9" x14ac:dyDescent="0.2">
      <c r="A133" s="15" t="str">
        <f ca="1">IFERROR(__xludf.DUMMYFUNCTION("""COMPUTED_VALUE"""),"vodka, gin, rum, and tequila")</f>
        <v>vodka, gin, rum, and tequila</v>
      </c>
      <c r="B133" s="15"/>
      <c r="C133" s="15" t="str">
        <f ca="1">IFERROR(__xludf.DUMMYFUNCTION("""COMPUTED_VALUE"""),"cola")</f>
        <v>cola</v>
      </c>
      <c r="D133" s="15" t="str">
        <f ca="1">IFERROR(__xludf.DUMMYFUNCTION("""COMPUTED_VALUE"""),"lemon juice")</f>
        <v>lemon juice</v>
      </c>
      <c r="E133" s="15" t="str">
        <f ca="1">IFERROR(__xludf.DUMMYFUNCTION("""COMPUTED_VALUE"""),"triple sec")</f>
        <v>triple sec</v>
      </c>
      <c r="F133" s="15"/>
      <c r="G133" s="15"/>
      <c r="H133" s="15"/>
      <c r="I133" s="15"/>
    </row>
    <row r="134" spans="1:9" x14ac:dyDescent="0.2">
      <c r="A134" s="15" t="str">
        <f ca="1">IFERROR(__xludf.DUMMYFUNCTION("""COMPUTED_VALUE"""),"vodka")</f>
        <v>vodka</v>
      </c>
      <c r="B134" s="15"/>
      <c r="C134" s="15"/>
      <c r="D134" s="15" t="str">
        <f ca="1">IFERROR(__xludf.DUMMYFUNCTION("""COMPUTED_VALUE"""),"cranberry juice")</f>
        <v>cranberry juice</v>
      </c>
      <c r="E134" s="15"/>
      <c r="F134" s="15"/>
      <c r="G134" s="15"/>
      <c r="H134" s="15"/>
      <c r="I134" s="15"/>
    </row>
    <row r="135" spans="1:9" x14ac:dyDescent="0.2">
      <c r="A135" s="15" t="str">
        <f ca="1">IFERROR(__xludf.DUMMYFUNCTION("""COMPUTED_VALUE"""),"gin")</f>
        <v>gin</v>
      </c>
      <c r="B135" s="15"/>
      <c r="C135" s="15" t="str">
        <f ca="1">IFERROR(__xludf.DUMMYFUNCTION("""COMPUTED_VALUE"""),"grenadine")</f>
        <v>grenadine</v>
      </c>
      <c r="D135" s="15" t="str">
        <f ca="1">IFERROR(__xludf.DUMMYFUNCTION("""COMPUTED_VALUE"""),"lemon juice")</f>
        <v>lemon juice</v>
      </c>
      <c r="E135" s="15" t="str">
        <f ca="1">IFERROR(__xludf.DUMMYFUNCTION("""COMPUTED_VALUE"""),"triple sec")</f>
        <v>triple sec</v>
      </c>
      <c r="F135" s="15"/>
      <c r="G135" s="15"/>
      <c r="H135" s="15"/>
      <c r="I135" s="15"/>
    </row>
    <row r="136" spans="1:9" x14ac:dyDescent="0.2">
      <c r="A136" s="15" t="str">
        <f ca="1">IFERROR(__xludf.DUMMYFUNCTION("""COMPUTED_VALUE"""),"gin")</f>
        <v>gin</v>
      </c>
      <c r="B136" s="15"/>
      <c r="C136" s="15" t="str">
        <f ca="1">IFERROR(__xludf.DUMMYFUNCTION("""COMPUTED_VALUE"""),"Angostura")</f>
        <v>Angostura</v>
      </c>
      <c r="D136" s="15" t="str">
        <f ca="1">IFERROR(__xludf.DUMMYFUNCTION("""COMPUTED_VALUE"""),"lemon juice")</f>
        <v>lemon juice</v>
      </c>
      <c r="E136" s="15" t="str">
        <f ca="1">IFERROR(__xludf.DUMMYFUNCTION("""COMPUTED_VALUE"""),"triple sec")</f>
        <v>triple sec</v>
      </c>
      <c r="F136" s="15"/>
      <c r="G136" s="15"/>
      <c r="H136" s="15"/>
      <c r="I136" s="15"/>
    </row>
    <row r="137" spans="1:9" x14ac:dyDescent="0.2">
      <c r="A137" s="15" t="str">
        <f ca="1">IFERROR(__xludf.DUMMYFUNCTION("""COMPUTED_VALUE"""),"scotch")</f>
        <v>scotch</v>
      </c>
      <c r="B137" s="15"/>
      <c r="C137" s="15" t="str">
        <f ca="1">IFERROR(__xludf.DUMMYFUNCTION("""COMPUTED_VALUE"""),"ginger ale")</f>
        <v>ginger ale</v>
      </c>
      <c r="D137" s="15"/>
      <c r="E137" s="15"/>
      <c r="F137" s="15"/>
      <c r="G137" s="15"/>
      <c r="H137" s="15"/>
      <c r="I137" s="15"/>
    </row>
    <row r="138" spans="1:9" x14ac:dyDescent="0.2">
      <c r="A138" s="15" t="str">
        <f ca="1">IFERROR(__xludf.DUMMYFUNCTION("""COMPUTED_VALUE"""),"bourbon")</f>
        <v>bourbon</v>
      </c>
      <c r="B138" s="15"/>
      <c r="C138" s="15" t="str">
        <f ca="1">IFERROR(__xludf.DUMMYFUNCTION("""COMPUTED_VALUE"""),"Angostura")</f>
        <v>Angostura</v>
      </c>
      <c r="D138" s="15"/>
      <c r="E138" s="15" t="str">
        <f ca="1">IFERROR(__xludf.DUMMYFUNCTION("""COMPUTED_VALUE"""),"sweet vermouth")</f>
        <v>sweet vermouth</v>
      </c>
      <c r="F138" s="15"/>
      <c r="G138" s="15"/>
      <c r="H138" s="15"/>
      <c r="I138" s="15"/>
    </row>
    <row r="139" spans="1:9" x14ac:dyDescent="0.2">
      <c r="A139" s="15" t="str">
        <f ca="1">IFERROR(__xludf.DUMMYFUNCTION("""COMPUTED_VALUE"""),"gin")</f>
        <v>gin</v>
      </c>
      <c r="B139" s="15"/>
      <c r="C139" s="15" t="str">
        <f ca="1">IFERROR(__xludf.DUMMYFUNCTION("""COMPUTED_VALUE"""),"club soda")</f>
        <v>club soda</v>
      </c>
      <c r="D139" s="15" t="str">
        <f ca="1">IFERROR(__xludf.DUMMYFUNCTION("""COMPUTED_VALUE"""),"lemon juice")</f>
        <v>lemon juice</v>
      </c>
      <c r="E139" s="15" t="str">
        <f ca="1">IFERROR(__xludf.DUMMYFUNCTION("""COMPUTED_VALUE"""),"Benedictine")</f>
        <v>Benedictine</v>
      </c>
      <c r="F139" s="15" t="str">
        <f ca="1">IFERROR(__xludf.DUMMYFUNCTION("""COMPUTED_VALUE"""),"tamarind juice")</f>
        <v>tamarind juice</v>
      </c>
      <c r="G139" s="15"/>
      <c r="H139" s="15" t="str">
        <f ca="1">IFERROR(__xludf.DUMMYFUNCTION("""COMPUTED_VALUE"""),"Angostura")</f>
        <v>Angostura</v>
      </c>
      <c r="I139" s="15" t="str">
        <f ca="1">IFERROR(__xludf.DUMMYFUNCTION("""COMPUTED_VALUE"""),"mango nectar")</f>
        <v>mango nectar</v>
      </c>
    </row>
    <row r="140" spans="1:9" x14ac:dyDescent="0.2">
      <c r="A140" s="15" t="str">
        <f ca="1">IFERROR(__xludf.DUMMYFUNCTION("""COMPUTED_VALUE"""),"tequila")</f>
        <v>tequila</v>
      </c>
      <c r="B140" s="15"/>
      <c r="C140" s="15"/>
      <c r="D140" s="15" t="str">
        <f ca="1">IFERROR(__xludf.DUMMYFUNCTION("""COMPUTED_VALUE"""),"lime juice")</f>
        <v>lime juice</v>
      </c>
      <c r="E140" s="15" t="str">
        <f ca="1">IFERROR(__xludf.DUMMYFUNCTION("""COMPUTED_VALUE"""),"triple sec")</f>
        <v>triple sec</v>
      </c>
      <c r="F140" s="15"/>
      <c r="G140" s="15"/>
      <c r="H140" s="15"/>
      <c r="I140" s="15"/>
    </row>
    <row r="141" spans="1:9" x14ac:dyDescent="0.2">
      <c r="A141" s="15" t="str">
        <f ca="1">IFERROR(__xludf.DUMMYFUNCTION("""COMPUTED_VALUE"""),"vodka")</f>
        <v>vodka</v>
      </c>
      <c r="B141" s="15"/>
      <c r="C141" s="15"/>
      <c r="D141" s="15" t="str">
        <f ca="1">IFERROR(__xludf.DUMMYFUNCTION("""COMPUTED_VALUE"""),"lime juice")</f>
        <v>lime juice</v>
      </c>
      <c r="E141" s="15" t="str">
        <f ca="1">IFERROR(__xludf.DUMMYFUNCTION("""COMPUTED_VALUE"""),"triple sec")</f>
        <v>triple sec</v>
      </c>
      <c r="F141" s="15"/>
      <c r="G141" s="15"/>
      <c r="H141" s="15" t="str">
        <f ca="1">IFERROR(__xludf.DUMMYFUNCTION("""COMPUTED_VALUE"""),"blue curacao")</f>
        <v>blue curacao</v>
      </c>
      <c r="I141" s="15" t="str">
        <f ca="1">IFERROR(__xludf.DUMMYFUNCTION("""COMPUTED_VALUE"""),"peach schnapps")</f>
        <v>peach schnapps</v>
      </c>
    </row>
    <row r="142" spans="1:9" x14ac:dyDescent="0.2">
      <c r="A142" s="15" t="str">
        <f ca="1">IFERROR(__xludf.DUMMYFUNCTION("""COMPUTED_VALUE"""),"gin")</f>
        <v>gin</v>
      </c>
      <c r="B142" s="15"/>
      <c r="C142" s="15" t="str">
        <f ca="1">IFERROR(__xludf.DUMMYFUNCTION("""COMPUTED_VALUE"""),"maraschino")</f>
        <v>maraschino</v>
      </c>
      <c r="D142" s="15"/>
      <c r="E142" s="15" t="str">
        <f ca="1">IFERROR(__xludf.DUMMYFUNCTION("""COMPUTED_VALUE"""),"sweet vermouth")</f>
        <v>sweet vermouth</v>
      </c>
      <c r="F142" s="15"/>
      <c r="G142" s="15"/>
      <c r="H142" s="15"/>
      <c r="I142" s="15"/>
    </row>
    <row r="143" spans="1:9" x14ac:dyDescent="0.2">
      <c r="A143" s="15" t="str">
        <f ca="1">IFERROR(__xludf.DUMMYFUNCTION("""COMPUTED_VALUE"""),"rye whiskey")</f>
        <v>rye whiskey</v>
      </c>
      <c r="B143" s="15"/>
      <c r="C143" s="15"/>
      <c r="D143" s="15" t="str">
        <f ca="1">IFERROR(__xludf.DUMMYFUNCTION("""COMPUTED_VALUE"""),"lemon juice")</f>
        <v>lemon juice</v>
      </c>
      <c r="E143" s="15" t="str">
        <f ca="1">IFERROR(__xludf.DUMMYFUNCTION("""COMPUTED_VALUE"""),"crème de noyau")</f>
        <v>crème de noyau</v>
      </c>
      <c r="F143" s="15"/>
      <c r="G143" s="15"/>
      <c r="H143" s="15"/>
      <c r="I143" s="15"/>
    </row>
    <row r="144" spans="1:9" x14ac:dyDescent="0.2">
      <c r="A144" s="15" t="str">
        <f ca="1">IFERROR(__xludf.DUMMYFUNCTION("""COMPUTED_VALUE"""),"gin")</f>
        <v>gin</v>
      </c>
      <c r="B144" s="15"/>
      <c r="C144" s="15"/>
      <c r="D144" s="15" t="str">
        <f ca="1">IFERROR(__xludf.DUMMYFUNCTION("""COMPUTED_VALUE"""),"orange juice")</f>
        <v>orange juice</v>
      </c>
      <c r="E144" s="15" t="str">
        <f ca="1">IFERROR(__xludf.DUMMYFUNCTION("""COMPUTED_VALUE"""),"dry vermouth")</f>
        <v>dry vermouth</v>
      </c>
      <c r="F144" s="15"/>
      <c r="G144" s="15"/>
      <c r="H144" s="15" t="str">
        <f ca="1">IFERROR(__xludf.DUMMYFUNCTION("""COMPUTED_VALUE"""),"sweet vermouth")</f>
        <v>sweet vermouth</v>
      </c>
      <c r="I144" s="15" t="str">
        <f ca="1">IFERROR(__xludf.DUMMYFUNCTION("""COMPUTED_VALUE"""),"absinthe")</f>
        <v>absinthe</v>
      </c>
    </row>
    <row r="145" spans="1:9" x14ac:dyDescent="0.2">
      <c r="A145" s="15" t="str">
        <f ca="1">IFERROR(__xludf.DUMMYFUNCTION("""COMPUTED_VALUE"""),"currant vodka")</f>
        <v>currant vodka</v>
      </c>
      <c r="B145" s="15"/>
      <c r="C145" s="15"/>
      <c r="D145" s="15" t="str">
        <f ca="1">IFERROR(__xludf.DUMMYFUNCTION("""COMPUTED_VALUE"""),"lime juice")</f>
        <v>lime juice</v>
      </c>
      <c r="E145" s="15" t="str">
        <f ca="1">IFERROR(__xludf.DUMMYFUNCTION("""COMPUTED_VALUE"""),"triple sec")</f>
        <v>triple sec</v>
      </c>
      <c r="F145" s="15" t="str">
        <f ca="1">IFERROR(__xludf.DUMMYFUNCTION("""COMPUTED_VALUE"""),"cranberry juice")</f>
        <v>cranberry juice</v>
      </c>
      <c r="G145" s="15"/>
      <c r="H145" s="15"/>
      <c r="I145" s="15"/>
    </row>
    <row r="146" spans="1:9" x14ac:dyDescent="0.2">
      <c r="A146" s="15" t="str">
        <f ca="1">IFERROR(__xludf.DUMMYFUNCTION("""COMPUTED_VALUE"""),"tequila")</f>
        <v>tequila</v>
      </c>
      <c r="B146" s="15"/>
      <c r="C146" s="15"/>
      <c r="D146" s="15" t="str">
        <f ca="1">IFERROR(__xludf.DUMMYFUNCTION("""COMPUTED_VALUE"""),"lime juice")</f>
        <v>lime juice</v>
      </c>
      <c r="E146" s="15" t="str">
        <f ca="1">IFERROR(__xludf.DUMMYFUNCTION("""COMPUTED_VALUE"""),"crème de noyau")</f>
        <v>crème de noyau</v>
      </c>
      <c r="F146" s="15"/>
      <c r="G146" s="15"/>
      <c r="H146" s="15"/>
      <c r="I146" s="15"/>
    </row>
    <row r="147" spans="1:9" x14ac:dyDescent="0.2">
      <c r="A147" s="15" t="str">
        <f ca="1">IFERROR(__xludf.DUMMYFUNCTION("""COMPUTED_VALUE"""),"bourbon")</f>
        <v>bourbon</v>
      </c>
      <c r="B147" s="15"/>
      <c r="C147" s="15" t="str">
        <f ca="1">IFERROR(__xludf.DUMMYFUNCTION("""COMPUTED_VALUE"""),"Angostura")</f>
        <v>Angostura</v>
      </c>
      <c r="D147" s="15"/>
      <c r="E147" s="15" t="str">
        <f ca="1">IFERROR(__xludf.DUMMYFUNCTION("""COMPUTED_VALUE"""),"sweet vermouth")</f>
        <v>sweet vermouth</v>
      </c>
      <c r="F147" s="15"/>
      <c r="G147" s="15"/>
      <c r="H147" s="15"/>
      <c r="I147" s="15"/>
    </row>
    <row r="148" spans="1:9" x14ac:dyDescent="0.2">
      <c r="A148" s="15" t="str">
        <f ca="1">IFERROR(__xludf.DUMMYFUNCTION("""COMPUTED_VALUE"""),"rum")</f>
        <v>rum</v>
      </c>
      <c r="B148" s="15" t="str">
        <f ca="1">IFERROR(__xludf.DUMMYFUNCTION("""COMPUTED_VALUE"""),"sloe gin")</f>
        <v>sloe gin</v>
      </c>
      <c r="C148" s="15"/>
      <c r="D148" s="15" t="str">
        <f ca="1">IFERROR(__xludf.DUMMYFUNCTION("""COMPUTED_VALUE"""),"lime juice")</f>
        <v>lime juice</v>
      </c>
      <c r="E148" s="15" t="str">
        <f ca="1">IFERROR(__xludf.DUMMYFUNCTION("""COMPUTED_VALUE"""),"apricot brandy")</f>
        <v>apricot brandy</v>
      </c>
      <c r="F148" s="15"/>
      <c r="G148" s="15"/>
      <c r="H148" s="15"/>
      <c r="I148" s="15"/>
    </row>
    <row r="149" spans="1:9" x14ac:dyDescent="0.2">
      <c r="A149" s="15" t="str">
        <f ca="1">IFERROR(__xludf.DUMMYFUNCTION("""COMPUTED_VALUE"""),"tequila")</f>
        <v>tequila</v>
      </c>
      <c r="B149" s="15"/>
      <c r="C149" s="15"/>
      <c r="D149" s="15" t="str">
        <f ca="1">IFERROR(__xludf.DUMMYFUNCTION("""COMPUTED_VALUE"""),"lime juice")</f>
        <v>lime juice</v>
      </c>
      <c r="E149" s="15" t="str">
        <f ca="1">IFERROR(__xludf.DUMMYFUNCTION("""COMPUTED_VALUE"""),"Grand Marnier")</f>
        <v>Grand Marnier</v>
      </c>
      <c r="F149" s="15"/>
      <c r="G149" s="15"/>
      <c r="H149" s="15"/>
      <c r="I149" s="15"/>
    </row>
    <row r="150" spans="1:9" x14ac:dyDescent="0.2">
      <c r="A150" s="15" t="str">
        <f ca="1">IFERROR(__xludf.DUMMYFUNCTION("""COMPUTED_VALUE"""),"bourbon")</f>
        <v>bourbon</v>
      </c>
      <c r="B150" s="15"/>
      <c r="C150" s="15" t="str">
        <f ca="1">IFERROR(__xludf.DUMMYFUNCTION("""COMPUTED_VALUE"""),"simple syrup")</f>
        <v>simple syrup</v>
      </c>
      <c r="D150" s="15"/>
      <c r="E150" s="15"/>
      <c r="F150" s="15"/>
      <c r="G150" s="15" t="str">
        <f ca="1">IFERROR(__xludf.DUMMYFUNCTION("""COMPUTED_VALUE"""),"Mint")</f>
        <v>Mint</v>
      </c>
      <c r="H150" s="15"/>
      <c r="I150" s="15"/>
    </row>
    <row r="151" spans="1:9" x14ac:dyDescent="0.2">
      <c r="A151" s="15" t="str">
        <f ca="1">IFERROR(__xludf.DUMMYFUNCTION("""COMPUTED_VALUE"""),"rum")</f>
        <v>rum</v>
      </c>
      <c r="B151" s="15"/>
      <c r="C151" s="15"/>
      <c r="D151" s="15" t="str">
        <f ca="1">IFERROR(__xludf.DUMMYFUNCTION("""COMPUTED_VALUE"""),"lemon juice")</f>
        <v>lemon juice</v>
      </c>
      <c r="E151" s="15" t="str">
        <f ca="1">IFERROR(__xludf.DUMMYFUNCTION("""COMPUTED_VALUE"""),"triple sec")</f>
        <v>triple sec</v>
      </c>
      <c r="F151" s="15"/>
      <c r="G151" s="15"/>
      <c r="H151" s="15"/>
      <c r="I151" s="15"/>
    </row>
    <row r="152" spans="1:9" x14ac:dyDescent="0.2">
      <c r="A152" s="15" t="str">
        <f ca="1">IFERROR(__xludf.DUMMYFUNCTION("""COMPUTED_VALUE"""),"scotch and rum")</f>
        <v>scotch and rum</v>
      </c>
      <c r="B152" s="15"/>
      <c r="C152" s="15" t="str">
        <f ca="1">IFERROR(__xludf.DUMMYFUNCTION("""COMPUTED_VALUE"""),"orange bitters")</f>
        <v>orange bitters</v>
      </c>
      <c r="D152" s="15" t="str">
        <f ca="1">IFERROR(__xludf.DUMMYFUNCTION("""COMPUTED_VALUE"""),"lemon juice")</f>
        <v>lemon juice</v>
      </c>
      <c r="E152" s="15" t="str">
        <f ca="1">IFERROR(__xludf.DUMMYFUNCTION("""COMPUTED_VALUE"""),"absinthe")</f>
        <v>absinthe</v>
      </c>
      <c r="F152" s="15"/>
      <c r="G152" s="15"/>
      <c r="H152" s="15"/>
      <c r="I152" s="15"/>
    </row>
    <row r="153" spans="1:9" x14ac:dyDescent="0.2">
      <c r="A153" s="15" t="str">
        <f ca="1">IFERROR(__xludf.DUMMYFUNCTION("""COMPUTED_VALUE"""),"light rum")</f>
        <v>light rum</v>
      </c>
      <c r="B153" s="15"/>
      <c r="C153" s="15" t="str">
        <f ca="1">IFERROR(__xludf.DUMMYFUNCTION("""COMPUTED_VALUE"""),"club soda")</f>
        <v>club soda</v>
      </c>
      <c r="D153" s="15"/>
      <c r="E153" s="15"/>
      <c r="F153" s="15"/>
      <c r="G153" s="15" t="str">
        <f ca="1">IFERROR(__xludf.DUMMYFUNCTION("""COMPUTED_VALUE"""),"lime wedges")</f>
        <v>lime wedges</v>
      </c>
      <c r="H153" s="15" t="str">
        <f ca="1">IFERROR(__xludf.DUMMYFUNCTION("""COMPUTED_VALUE"""),"sugar cube")</f>
        <v>sugar cube</v>
      </c>
      <c r="I153" s="15" t="str">
        <f ca="1">IFERROR(__xludf.DUMMYFUNCTION("""COMPUTED_VALUE"""),"mint leaves")</f>
        <v>mint leaves</v>
      </c>
    </row>
    <row r="154" spans="1:9" x14ac:dyDescent="0.2">
      <c r="A154" s="15" t="str">
        <f ca="1">IFERROR(__xludf.DUMMYFUNCTION("""COMPUTED_VALUE"""),"vodka")</f>
        <v>vodka</v>
      </c>
      <c r="B154" s="15"/>
      <c r="C154" s="15" t="str">
        <f ca="1">IFERROR(__xludf.DUMMYFUNCTION("""COMPUTED_VALUE"""),"ginger beer")</f>
        <v>ginger beer</v>
      </c>
      <c r="D154" s="15"/>
      <c r="E154" s="15"/>
      <c r="F154" s="15"/>
      <c r="G154" s="15"/>
      <c r="H154" s="15"/>
      <c r="I154" s="15"/>
    </row>
    <row r="155" spans="1:9" x14ac:dyDescent="0.2">
      <c r="A155" s="15" t="str">
        <f ca="1">IFERROR(__xludf.DUMMYFUNCTION("""COMPUTED_VALUE"""),"rum")</f>
        <v>rum</v>
      </c>
      <c r="B155" s="15"/>
      <c r="C155" s="15"/>
      <c r="D155" s="15" t="str">
        <f ca="1">IFERROR(__xludf.DUMMYFUNCTION("""COMPUTED_VALUE"""),"lime juice")</f>
        <v>lime juice</v>
      </c>
      <c r="E155" s="15" t="str">
        <f ca="1">IFERROR(__xludf.DUMMYFUNCTION("""COMPUTED_VALUE"""),"triple sec")</f>
        <v>triple sec</v>
      </c>
      <c r="F155" s="15"/>
      <c r="G155" s="15"/>
      <c r="H155" s="15"/>
      <c r="I155" s="15"/>
    </row>
    <row r="156" spans="1:9" x14ac:dyDescent="0.2">
      <c r="A156" s="15" t="str">
        <f ca="1">IFERROR(__xludf.DUMMYFUNCTION("""COMPUTED_VALUE"""),"rum")</f>
        <v>rum</v>
      </c>
      <c r="B156" s="15"/>
      <c r="C156" s="15"/>
      <c r="D156" s="15" t="str">
        <f ca="1">IFERROR(__xludf.DUMMYFUNCTION("""COMPUTED_VALUE"""),"grapefruit juice")</f>
        <v>grapefruit juice</v>
      </c>
      <c r="E156" s="15"/>
      <c r="F156" s="15"/>
      <c r="G156" s="15" t="str">
        <f ca="1">IFERROR(__xludf.DUMMYFUNCTION("""COMPUTED_VALUE"""),"lime wedges")</f>
        <v>lime wedges</v>
      </c>
      <c r="H156" s="15"/>
      <c r="I156" s="15"/>
    </row>
    <row r="157" spans="1:9" x14ac:dyDescent="0.2">
      <c r="A157" s="15" t="str">
        <f ca="1">IFERROR(__xludf.DUMMYFUNCTION("""COMPUTED_VALUE"""),"vodka")</f>
        <v>vodka</v>
      </c>
      <c r="B157" s="15"/>
      <c r="C157" s="15"/>
      <c r="D157" s="15"/>
      <c r="E157" s="15" t="str">
        <f ca="1">IFERROR(__xludf.DUMMYFUNCTION("""COMPUTED_VALUE"""),"Kahlua")</f>
        <v>Kahlua</v>
      </c>
      <c r="F157" s="15"/>
      <c r="G157" s="15"/>
      <c r="H157" s="15"/>
      <c r="I157" s="15"/>
    </row>
    <row r="158" spans="1:9" x14ac:dyDescent="0.2">
      <c r="A158" s="15" t="str">
        <f ca="1">IFERROR(__xludf.DUMMYFUNCTION("""COMPUTED_VALUE"""),"applejack")</f>
        <v>applejack</v>
      </c>
      <c r="B158" s="15"/>
      <c r="C158" s="15"/>
      <c r="D158" s="15" t="str">
        <f ca="1">IFERROR(__xludf.DUMMYFUNCTION("""COMPUTED_VALUE"""),"lemon juice")</f>
        <v>lemon juice</v>
      </c>
      <c r="E158" s="15" t="str">
        <f ca="1">IFERROR(__xludf.DUMMYFUNCTION("""COMPUTED_VALUE"""),"crème de noyau")</f>
        <v>crème de noyau</v>
      </c>
      <c r="F158" s="15"/>
      <c r="G158" s="15"/>
      <c r="H158" s="15"/>
      <c r="I158" s="15"/>
    </row>
    <row r="159" spans="1:9" x14ac:dyDescent="0.2">
      <c r="A159" s="15" t="str">
        <f ca="1">IFERROR(__xludf.DUMMYFUNCTION("""COMPUTED_VALUE"""),"rum")</f>
        <v>rum</v>
      </c>
      <c r="B159" s="15"/>
      <c r="C159" s="15" t="str">
        <f ca="1">IFERROR(__xludf.DUMMYFUNCTION("""COMPUTED_VALUE"""),"simple syrup")</f>
        <v>simple syrup</v>
      </c>
      <c r="D159" s="15" t="str">
        <f ca="1">IFERROR(__xludf.DUMMYFUNCTION("""COMPUTED_VALUE"""),"lime juice")</f>
        <v>lime juice</v>
      </c>
      <c r="E159" s="15"/>
      <c r="F159" s="15"/>
      <c r="G159" s="15"/>
      <c r="H159" s="15"/>
      <c r="I159" s="15"/>
    </row>
    <row r="160" spans="1:9" x14ac:dyDescent="0.2">
      <c r="A160" s="15" t="str">
        <f ca="1">IFERROR(__xludf.DUMMYFUNCTION("""COMPUTED_VALUE"""),"OP vodka")</f>
        <v>OP vodka</v>
      </c>
      <c r="B160" s="15"/>
      <c r="C160" s="15" t="str">
        <f ca="1">IFERROR(__xludf.DUMMYFUNCTION("""COMPUTED_VALUE"""),"simple syrup")</f>
        <v>simple syrup</v>
      </c>
      <c r="D160" s="15" t="str">
        <f ca="1">IFERROR(__xludf.DUMMYFUNCTION("""COMPUTED_VALUE"""),"lemon juice")</f>
        <v>lemon juice</v>
      </c>
      <c r="E160" s="15"/>
      <c r="F160" s="15"/>
      <c r="G160" s="15"/>
      <c r="H160" s="15"/>
      <c r="I160" s="15"/>
    </row>
    <row r="161" spans="1:9" x14ac:dyDescent="0.2">
      <c r="A161" s="15" t="str">
        <f ca="1">IFERROR(__xludf.DUMMYFUNCTION("""COMPUTED_VALUE"""),"rye whiskey")</f>
        <v>rye whiskey</v>
      </c>
      <c r="B161" s="15"/>
      <c r="C161" s="15"/>
      <c r="D161" s="15" t="str">
        <f ca="1">IFERROR(__xludf.DUMMYFUNCTION("""COMPUTED_VALUE"""),"lemon juice")</f>
        <v>lemon juice</v>
      </c>
      <c r="E161" s="15" t="str">
        <f ca="1">IFERROR(__xludf.DUMMYFUNCTION("""COMPUTED_VALUE"""),"triple sec")</f>
        <v>triple sec</v>
      </c>
      <c r="F161" s="15"/>
      <c r="G161" s="15"/>
      <c r="H161" s="15"/>
      <c r="I161" s="15"/>
    </row>
    <row r="162" spans="1:9" x14ac:dyDescent="0.2">
      <c r="A162" s="15" t="str">
        <f ca="1">IFERROR(__xludf.DUMMYFUNCTION("""COMPUTED_VALUE"""),"gin or vodka")</f>
        <v>gin or vodka</v>
      </c>
      <c r="B162" s="15"/>
      <c r="C162" s="15"/>
      <c r="D162" s="15"/>
      <c r="E162" s="15" t="str">
        <f ca="1">IFERROR(__xludf.DUMMYFUNCTION("""COMPUTED_VALUE"""),"ginger liqueur")</f>
        <v>ginger liqueur</v>
      </c>
      <c r="F162" s="15"/>
      <c r="G162" s="15"/>
      <c r="H162" s="15"/>
      <c r="I162" s="15"/>
    </row>
    <row r="163" spans="1:9" x14ac:dyDescent="0.2">
      <c r="A163" s="15" t="str">
        <f ca="1">IFERROR(__xludf.DUMMYFUNCTION("""COMPUTED_VALUE"""),"Irish Whiskey")</f>
        <v>Irish Whiskey</v>
      </c>
      <c r="B163" s="15"/>
      <c r="C163" s="15" t="str">
        <f ca="1">IFERROR(__xludf.DUMMYFUNCTION("""COMPUTED_VALUE"""),"Angostura")</f>
        <v>Angostura</v>
      </c>
      <c r="D163" s="15"/>
      <c r="E163" s="15" t="str">
        <f ca="1">IFERROR(__xludf.DUMMYFUNCTION("""COMPUTED_VALUE"""),"sweet vermouth")</f>
        <v>sweet vermouth</v>
      </c>
      <c r="F163" s="15"/>
      <c r="G163" s="15"/>
      <c r="H163" s="15"/>
      <c r="I163" s="15"/>
    </row>
    <row r="164" spans="1:9" x14ac:dyDescent="0.2">
      <c r="A164" s="15" t="str">
        <f ca="1">IFERROR(__xludf.DUMMYFUNCTION("""COMPUTED_VALUE"""),"gin")</f>
        <v>gin</v>
      </c>
      <c r="B164" s="15"/>
      <c r="C164" s="15"/>
      <c r="D164" s="15" t="str">
        <f ca="1">IFERROR(__xludf.DUMMYFUNCTION("""COMPUTED_VALUE"""),"lemon juice")</f>
        <v>lemon juice</v>
      </c>
      <c r="E164" s="15" t="str">
        <f ca="1">IFERROR(__xludf.DUMMYFUNCTION("""COMPUTED_VALUE"""),"apricot brandy")</f>
        <v>apricot brandy</v>
      </c>
      <c r="F164" s="15" t="str">
        <f ca="1">IFERROR(__xludf.DUMMYFUNCTION("""COMPUTED_VALUE"""),"orange juice")</f>
        <v>orange juice</v>
      </c>
      <c r="G164" s="15"/>
      <c r="H164" s="15"/>
      <c r="I164" s="15"/>
    </row>
    <row r="165" spans="1:9" x14ac:dyDescent="0.2">
      <c r="A165" s="15" t="str">
        <f ca="1">IFERROR(__xludf.DUMMYFUNCTION("""COMPUTED_VALUE"""),"gin")</f>
        <v>gin</v>
      </c>
      <c r="B165" s="15"/>
      <c r="C165" s="15" t="str">
        <f ca="1">IFERROR(__xludf.DUMMYFUNCTION("""COMPUTED_VALUE"""),"Angostura")</f>
        <v>Angostura</v>
      </c>
      <c r="D165" s="15" t="str">
        <f ca="1">IFERROR(__xludf.DUMMYFUNCTION("""COMPUTED_VALUE"""),"lime juice")</f>
        <v>lime juice</v>
      </c>
      <c r="E165" s="15" t="str">
        <f ca="1">IFERROR(__xludf.DUMMYFUNCTION("""COMPUTED_VALUE"""),"triple sec")</f>
        <v>triple sec</v>
      </c>
      <c r="F165" s="15"/>
      <c r="G165" s="15"/>
      <c r="H165" s="15" t="str">
        <f ca="1">IFERROR(__xludf.DUMMYFUNCTION("""COMPUTED_VALUE"""),"orange bitters")</f>
        <v>orange bitters</v>
      </c>
      <c r="I165" s="15"/>
    </row>
    <row r="166" spans="1:9" x14ac:dyDescent="0.2">
      <c r="A166" s="15" t="str">
        <f ca="1">IFERROR(__xludf.DUMMYFUNCTION("""COMPUTED_VALUE"""),"brandy")</f>
        <v>brandy</v>
      </c>
      <c r="B166" s="15"/>
      <c r="C166" s="15"/>
      <c r="D166" s="15"/>
      <c r="E166" s="15" t="str">
        <f ca="1">IFERROR(__xludf.DUMMYFUNCTION("""COMPUTED_VALUE"""),"Dubonnet")</f>
        <v>Dubonnet</v>
      </c>
      <c r="F166" s="15"/>
      <c r="G166" s="15"/>
      <c r="H166" s="15"/>
      <c r="I166" s="15"/>
    </row>
    <row r="167" spans="1:9" x14ac:dyDescent="0.2">
      <c r="A167" s="15" t="str">
        <f ca="1">IFERROR(__xludf.DUMMYFUNCTION("""COMPUTED_VALUE"""),"Pimm's No. 1")</f>
        <v>Pimm's No. 1</v>
      </c>
      <c r="B167" s="15"/>
      <c r="C167" s="15" t="str">
        <f ca="1">IFERROR(__xludf.DUMMYFUNCTION("""COMPUTED_VALUE"""),"ginger ale, lemon-lime soda, or club soda")</f>
        <v>ginger ale, lemon-lime soda, or club soda</v>
      </c>
      <c r="D167" s="15"/>
      <c r="E167" s="15"/>
      <c r="F167" s="15"/>
      <c r="G167" s="15"/>
      <c r="H167" s="15"/>
      <c r="I167" s="15"/>
    </row>
    <row r="168" spans="1:9" x14ac:dyDescent="0.2">
      <c r="A168" s="15" t="str">
        <f ca="1">IFERROR(__xludf.DUMMYFUNCTION("""COMPUTED_VALUE"""),"crème de noyau")</f>
        <v>crème de noyau</v>
      </c>
      <c r="B168" s="15"/>
      <c r="C168" s="15" t="str">
        <f ca="1">IFERROR(__xludf.DUMMYFUNCTION("""COMPUTED_VALUE"""),"cream")</f>
        <v>cream</v>
      </c>
      <c r="D168" s="15"/>
      <c r="E168" s="15" t="str">
        <f ca="1">IFERROR(__xludf.DUMMYFUNCTION("""COMPUTED_VALUE"""),"white crème de cacao")</f>
        <v>white crème de cacao</v>
      </c>
      <c r="F168" s="15"/>
      <c r="G168" s="15"/>
      <c r="H168" s="15"/>
      <c r="I168" s="15"/>
    </row>
    <row r="169" spans="1:9" x14ac:dyDescent="0.2">
      <c r="A169" s="15" t="str">
        <f ca="1">IFERROR(__xludf.DUMMYFUNCTION("""COMPUTED_VALUE"""),"pisco brandy")</f>
        <v>pisco brandy</v>
      </c>
      <c r="B169" s="15"/>
      <c r="C169" s="15" t="str">
        <f ca="1">IFERROR(__xludf.DUMMYFUNCTION("""COMPUTED_VALUE"""),"simple syrup")</f>
        <v>simple syrup</v>
      </c>
      <c r="D169" s="15" t="str">
        <f ca="1">IFERROR(__xludf.DUMMYFUNCTION("""COMPUTED_VALUE"""),"lemon juice")</f>
        <v>lemon juice</v>
      </c>
      <c r="E169" s="15"/>
      <c r="F169" s="15"/>
      <c r="G169" s="15"/>
      <c r="H169" s="15" t="str">
        <f ca="1">IFERROR(__xludf.DUMMYFUNCTION("""COMPUTED_VALUE"""),"egg white")</f>
        <v>egg white</v>
      </c>
      <c r="I169" s="15" t="str">
        <f ca="1">IFERROR(__xludf.DUMMYFUNCTION("""COMPUTED_VALUE"""),"Angostura")</f>
        <v>Angostura</v>
      </c>
    </row>
    <row r="170" spans="1:9" x14ac:dyDescent="0.2">
      <c r="A170" s="15" t="str">
        <f ca="1">IFERROR(__xludf.DUMMYFUNCTION("""COMPUTED_VALUE"""),"rum")</f>
        <v>rum</v>
      </c>
      <c r="B170" s="15"/>
      <c r="C170" s="15"/>
      <c r="D170" s="15"/>
      <c r="E170" s="15" t="str">
        <f ca="1">IFERROR(__xludf.DUMMYFUNCTION("""COMPUTED_VALUE"""),"Godiva Chocolate Liqueur")</f>
        <v>Godiva Chocolate Liqueur</v>
      </c>
      <c r="F170" s="15"/>
      <c r="G170" s="15"/>
      <c r="H170" s="15"/>
      <c r="I170" s="15"/>
    </row>
    <row r="171" spans="1:9" x14ac:dyDescent="0.2">
      <c r="A171" s="15" t="str">
        <f ca="1">IFERROR(__xludf.DUMMYFUNCTION("""COMPUTED_VALUE"""),"gin")</f>
        <v>gin</v>
      </c>
      <c r="B171" s="15"/>
      <c r="C171" s="15"/>
      <c r="D171" s="15"/>
      <c r="E171" s="15" t="str">
        <f ca="1">IFERROR(__xludf.DUMMYFUNCTION("""COMPUTED_VALUE"""),"dry vermouth")</f>
        <v>dry vermouth</v>
      </c>
      <c r="F171" s="15"/>
      <c r="G171" s="15"/>
      <c r="H171" s="15"/>
      <c r="I171" s="15"/>
    </row>
    <row r="172" spans="1:9" x14ac:dyDescent="0.2">
      <c r="A172" s="15" t="str">
        <f ca="1">IFERROR(__xludf.DUMMYFUNCTION("""COMPUTED_VALUE"""),"bourbon")</f>
        <v>bourbon</v>
      </c>
      <c r="B172" s="15"/>
      <c r="C172" s="15" t="str">
        <f ca="1">IFERROR(__xludf.DUMMYFUNCTION("""COMPUTED_VALUE"""),"Angostura")</f>
        <v>Angostura</v>
      </c>
      <c r="D172" s="15"/>
      <c r="E172" s="15" t="str">
        <f ca="1">IFERROR(__xludf.DUMMYFUNCTION("""COMPUTED_VALUE"""),"sweet vermouth")</f>
        <v>sweet vermouth</v>
      </c>
      <c r="F172" s="15"/>
      <c r="G172" s="15"/>
      <c r="H172" s="15"/>
      <c r="I172" s="15"/>
    </row>
    <row r="173" spans="1:9" x14ac:dyDescent="0.2">
      <c r="A173" s="15" t="str">
        <f ca="1">IFERROR(__xludf.DUMMYFUNCTION("""COMPUTED_VALUE"""),"rye whiskey")</f>
        <v>rye whiskey</v>
      </c>
      <c r="B173" s="15"/>
      <c r="C173" s="15" t="str">
        <f ca="1">IFERROR(__xludf.DUMMYFUNCTION("""COMPUTED_VALUE"""),"ginger ale")</f>
        <v>ginger ale</v>
      </c>
      <c r="D173" s="15"/>
      <c r="E173" s="15"/>
      <c r="F173" s="15"/>
      <c r="G173" s="15"/>
      <c r="H173" s="15" t="str">
        <f ca="1">IFERROR(__xludf.DUMMYFUNCTION("""COMPUTED_VALUE"""),"club soda")</f>
        <v>club soda</v>
      </c>
      <c r="I173" s="15"/>
    </row>
    <row r="174" spans="1:9" x14ac:dyDescent="0.2">
      <c r="A174" s="15" t="str">
        <f ca="1">IFERROR(__xludf.DUMMYFUNCTION("""COMPUTED_VALUE"""),"Van Gogh Wild Appel Vodka")</f>
        <v>Van Gogh Wild Appel Vodka</v>
      </c>
      <c r="B174" s="15"/>
      <c r="C174" s="15" t="str">
        <f ca="1">IFERROR(__xludf.DUMMYFUNCTION("""COMPUTED_VALUE"""),"club soda")</f>
        <v>club soda</v>
      </c>
      <c r="D174" s="15" t="str">
        <f ca="1">IFERROR(__xludf.DUMMYFUNCTION("""COMPUTED_VALUE"""),"lemon juice")</f>
        <v>lemon juice</v>
      </c>
      <c r="E174" s="15" t="str">
        <f ca="1">IFERROR(__xludf.DUMMYFUNCTION("""COMPUTED_VALUE"""),"crème de noyau")</f>
        <v>crème de noyau</v>
      </c>
      <c r="F174" s="15"/>
      <c r="G174" s="15"/>
      <c r="H174" s="15"/>
      <c r="I174" s="15"/>
    </row>
    <row r="175" spans="1:9" x14ac:dyDescent="0.2">
      <c r="A175" s="15" t="str">
        <f ca="1">IFERROR(__xludf.DUMMYFUNCTION("""COMPUTED_VALUE"""),"applejack")</f>
        <v>applejack</v>
      </c>
      <c r="B175" s="15"/>
      <c r="C175" s="15"/>
      <c r="D175" s="15"/>
      <c r="E175" s="15" t="str">
        <f ca="1">IFERROR(__xludf.DUMMYFUNCTION("""COMPUTED_VALUE"""),"dry vermouth")</f>
        <v>dry vermouth</v>
      </c>
      <c r="F175" s="15"/>
      <c r="G175" s="15"/>
      <c r="H175" s="15"/>
      <c r="I175" s="15"/>
    </row>
    <row r="176" spans="1:9" x14ac:dyDescent="0.2">
      <c r="A176" s="15" t="str">
        <f ca="1">IFERROR(__xludf.DUMMYFUNCTION("""COMPUTED_VALUE"""),"gin")</f>
        <v>gin</v>
      </c>
      <c r="B176" s="15"/>
      <c r="C176" s="15" t="str">
        <f ca="1">IFERROR(__xludf.DUMMYFUNCTION("""COMPUTED_VALUE"""),"simple syrup")</f>
        <v>simple syrup</v>
      </c>
      <c r="D176" s="15" t="str">
        <f ca="1">IFERROR(__xludf.DUMMYFUNCTION("""COMPUTED_VALUE"""),"lime juice")</f>
        <v>lime juice</v>
      </c>
      <c r="E176" s="15"/>
      <c r="F176" s="15" t="str">
        <f ca="1">IFERROR(__xludf.DUMMYFUNCTION("""COMPUTED_VALUE"""),"lemon juice")</f>
        <v>lemon juice</v>
      </c>
      <c r="G176" s="15"/>
      <c r="H176" s="15" t="str">
        <f ca="1">IFERROR(__xludf.DUMMYFUNCTION("""COMPUTED_VALUE"""),"club soda")</f>
        <v>club soda</v>
      </c>
      <c r="I176" s="15" t="str">
        <f ca="1">IFERROR(__xludf.DUMMYFUNCTION("""COMPUTED_VALUE"""),"cream, egg white, orange-flower water")</f>
        <v>cream, egg white, orange-flower water</v>
      </c>
    </row>
    <row r="177" spans="1:9" x14ac:dyDescent="0.2">
      <c r="A177" s="15" t="str">
        <f ca="1">IFERROR(__xludf.DUMMYFUNCTION("""COMPUTED_VALUE"""),"raspberry vodka")</f>
        <v>raspberry vodka</v>
      </c>
      <c r="B177" s="15"/>
      <c r="C177" s="15"/>
      <c r="D177" s="15"/>
      <c r="E177" s="15" t="str">
        <f ca="1">IFERROR(__xludf.DUMMYFUNCTION("""COMPUTED_VALUE"""),"Grand Marnier")</f>
        <v>Grand Marnier</v>
      </c>
      <c r="F177" s="15"/>
      <c r="G177" s="15"/>
      <c r="H177" s="15"/>
      <c r="I177" s="15"/>
    </row>
    <row r="178" spans="1:9" x14ac:dyDescent="0.2">
      <c r="A178" s="15" t="str">
        <f ca="1">IFERROR(__xludf.DUMMYFUNCTION("""COMPUTED_VALUE"""),"rye whiskey")</f>
        <v>rye whiskey</v>
      </c>
      <c r="B178" s="15"/>
      <c r="C178" s="15" t="str">
        <f ca="1">IFERROR(__xludf.DUMMYFUNCTION("""COMPUTED_VALUE"""),"grenadine")</f>
        <v>grenadine</v>
      </c>
      <c r="D178" s="15" t="str">
        <f ca="1">IFERROR(__xludf.DUMMYFUNCTION("""COMPUTED_VALUE"""),"lemon juice")</f>
        <v>lemon juice</v>
      </c>
      <c r="E178" s="15" t="str">
        <f ca="1">IFERROR(__xludf.DUMMYFUNCTION("""COMPUTED_VALUE"""),"kummel")</f>
        <v>kummel</v>
      </c>
      <c r="F178" s="15"/>
      <c r="G178" s="15"/>
      <c r="H178" s="15"/>
      <c r="I178" s="15"/>
    </row>
    <row r="179" spans="1:9" x14ac:dyDescent="0.2">
      <c r="A179" s="15" t="str">
        <f ca="1">IFERROR(__xludf.DUMMYFUNCTION("""COMPUTED_VALUE"""),"bourbon")</f>
        <v>bourbon</v>
      </c>
      <c r="B179" s="15"/>
      <c r="C179" s="15" t="str">
        <f ca="1">IFERROR(__xludf.DUMMYFUNCTION("""COMPUTED_VALUE"""),"Angostura")</f>
        <v>Angostura</v>
      </c>
      <c r="D179" s="15"/>
      <c r="E179" s="15" t="str">
        <f ca="1">IFERROR(__xludf.DUMMYFUNCTION("""COMPUTED_VALUE"""),"sweet vermouth")</f>
        <v>sweet vermouth</v>
      </c>
      <c r="F179" s="15"/>
      <c r="G179" s="15"/>
      <c r="H179" s="15"/>
      <c r="I179" s="15"/>
    </row>
    <row r="180" spans="1:9" x14ac:dyDescent="0.2">
      <c r="A180" s="15" t="str">
        <f ca="1">IFERROR(__xludf.DUMMYFUNCTION("""COMPUTED_VALUE"""),"gin")</f>
        <v>gin</v>
      </c>
      <c r="B180" s="15"/>
      <c r="C180" s="15" t="str">
        <f ca="1">IFERROR(__xludf.DUMMYFUNCTION("""COMPUTED_VALUE"""),"orange bitters")</f>
        <v>orange bitters</v>
      </c>
      <c r="D180" s="15" t="str">
        <f ca="1">IFERROR(__xludf.DUMMYFUNCTION("""COMPUTED_VALUE"""),"orange juice")</f>
        <v>orange juice</v>
      </c>
      <c r="E180" s="15" t="str">
        <f ca="1">IFERROR(__xludf.DUMMYFUNCTION("""COMPUTED_VALUE"""),"dry vermouth")</f>
        <v>dry vermouth</v>
      </c>
      <c r="F180" s="15"/>
      <c r="G180" s="15" t="str">
        <f ca="1">IFERROR(__xludf.DUMMYFUNCTION("""COMPUTED_VALUE"""),"orange zest")</f>
        <v>orange zest</v>
      </c>
      <c r="H180" s="15"/>
      <c r="I180" s="15"/>
    </row>
    <row r="181" spans="1:9" x14ac:dyDescent="0.2">
      <c r="A181" s="15" t="str">
        <f ca="1">IFERROR(__xludf.DUMMYFUNCTION("""COMPUTED_VALUE"""),"scotch")</f>
        <v>scotch</v>
      </c>
      <c r="B181" s="15"/>
      <c r="C181" s="15" t="str">
        <f ca="1">IFERROR(__xludf.DUMMYFUNCTION("""COMPUTED_VALUE"""),"Peychaud's")</f>
        <v>Peychaud's</v>
      </c>
      <c r="D181" s="15"/>
      <c r="E181" s="15" t="str">
        <f ca="1">IFERROR(__xludf.DUMMYFUNCTION("""COMPUTED_VALUE"""),"sweet vermouth")</f>
        <v>sweet vermouth</v>
      </c>
      <c r="F181" s="15"/>
      <c r="G181" s="15"/>
      <c r="H181" s="15"/>
      <c r="I181" s="15"/>
    </row>
    <row r="182" spans="1:9" x14ac:dyDescent="0.2">
      <c r="A182" s="15" t="str">
        <f ca="1">IFERROR(__xludf.DUMMYFUNCTION("""COMPUTED_VALUE"""),"citrus vodka")</f>
        <v>citrus vodka</v>
      </c>
      <c r="B182" s="15"/>
      <c r="C182" s="15"/>
      <c r="D182" s="15" t="str">
        <f ca="1">IFERROR(__xludf.DUMMYFUNCTION("""COMPUTED_VALUE"""),"lime juice")</f>
        <v>lime juice</v>
      </c>
      <c r="E182" s="15" t="str">
        <f ca="1">IFERROR(__xludf.DUMMYFUNCTION("""COMPUTED_VALUE"""),"triple sec")</f>
        <v>triple sec</v>
      </c>
      <c r="F182" s="15" t="str">
        <f ca="1">IFERROR(__xludf.DUMMYFUNCTION("""COMPUTED_VALUE"""),"grapefruit juice")</f>
        <v>grapefruit juice</v>
      </c>
      <c r="G182" s="15"/>
      <c r="H182" s="15"/>
      <c r="I182" s="15"/>
    </row>
    <row r="183" spans="1:9" x14ac:dyDescent="0.2">
      <c r="A183" s="15" t="str">
        <f ca="1">IFERROR(__xludf.DUMMYFUNCTION("""COMPUTED_VALUE"""),"vodka")</f>
        <v>vodka</v>
      </c>
      <c r="B183" s="15"/>
      <c r="C183" s="15"/>
      <c r="D183" s="15" t="str">
        <f ca="1">IFERROR(__xludf.DUMMYFUNCTION("""COMPUTED_VALUE"""),"lime juice")</f>
        <v>lime juice</v>
      </c>
      <c r="E183" s="15" t="str">
        <f ca="1">IFERROR(__xludf.DUMMYFUNCTION("""COMPUTED_VALUE"""),"crème de noyau")</f>
        <v>crème de noyau</v>
      </c>
      <c r="F183" s="15"/>
      <c r="G183" s="15"/>
      <c r="H183" s="15"/>
      <c r="I183" s="15"/>
    </row>
    <row r="184" spans="1:9" x14ac:dyDescent="0.2">
      <c r="A184" s="15" t="str">
        <f ca="1">IFERROR(__xludf.DUMMYFUNCTION("""COMPUTED_VALUE"""),"scotch")</f>
        <v>scotch</v>
      </c>
      <c r="B184" s="15"/>
      <c r="C184" s="15"/>
      <c r="D184" s="15"/>
      <c r="E184" s="15" t="str">
        <f ca="1">IFERROR(__xludf.DUMMYFUNCTION("""COMPUTED_VALUE"""),"Drambuie")</f>
        <v>Drambuie</v>
      </c>
      <c r="F184" s="15"/>
      <c r="G184" s="15"/>
      <c r="H184" s="15"/>
      <c r="I184" s="15"/>
    </row>
    <row r="185" spans="1:9" x14ac:dyDescent="0.2">
      <c r="A185" s="15" t="str">
        <f ca="1">IFERROR(__xludf.DUMMYFUNCTION("""COMPUTED_VALUE"""),"rye whiskey")</f>
        <v>rye whiskey</v>
      </c>
      <c r="B185" s="15"/>
      <c r="C185" s="15" t="str">
        <f ca="1">IFERROR(__xludf.DUMMYFUNCTION("""COMPUTED_VALUE"""),"ginger ale")</f>
        <v>ginger ale</v>
      </c>
      <c r="D185" s="15"/>
      <c r="E185" s="15"/>
      <c r="F185" s="15"/>
      <c r="G185" s="15"/>
      <c r="H185" s="15"/>
      <c r="I185" s="15"/>
    </row>
    <row r="186" spans="1:9" x14ac:dyDescent="0.2">
      <c r="A186" s="15" t="str">
        <f ca="1">IFERROR(__xludf.DUMMYFUNCTION("""COMPUTED_VALUE"""),"tequila")</f>
        <v>tequila</v>
      </c>
      <c r="B186" s="15"/>
      <c r="C186" s="15"/>
      <c r="D186" s="15" t="str">
        <f ca="1">IFERROR(__xludf.DUMMYFUNCTION("""COMPUTED_VALUE"""),"grapefruit juice")</f>
        <v>grapefruit juice</v>
      </c>
      <c r="E186" s="15"/>
      <c r="F186" s="15"/>
      <c r="G186" s="15" t="str">
        <f ca="1">IFERROR(__xludf.DUMMYFUNCTION("""COMPUTED_VALUE"""),"salt-rimmed glass")</f>
        <v>salt-rimmed glass</v>
      </c>
      <c r="H186" s="15"/>
      <c r="I186" s="15"/>
    </row>
    <row r="187" spans="1:9" x14ac:dyDescent="0.2">
      <c r="A187" s="15" t="str">
        <f ca="1">IFERROR(__xludf.DUMMYFUNCTION("""COMPUTED_VALUE"""),"vodka")</f>
        <v>vodka</v>
      </c>
      <c r="B187" s="15"/>
      <c r="C187" s="15"/>
      <c r="D187" s="15" t="str">
        <f ca="1">IFERROR(__xludf.DUMMYFUNCTION("""COMPUTED_VALUE"""),"grapefruit juice")</f>
        <v>grapefruit juice</v>
      </c>
      <c r="E187" s="15"/>
      <c r="F187" s="15"/>
      <c r="G187" s="15" t="str">
        <f ca="1">IFERROR(__xludf.DUMMYFUNCTION("""COMPUTED_VALUE"""),"salt-rimmed glass")</f>
        <v>salt-rimmed glass</v>
      </c>
      <c r="H187" s="15"/>
      <c r="I187" s="15"/>
    </row>
    <row r="188" spans="1:9" x14ac:dyDescent="0.2">
      <c r="A188" s="15" t="str">
        <f ca="1">IFERROR(__xludf.DUMMYFUNCTION("""COMPUTED_VALUE"""),"bourbon")</f>
        <v>bourbon</v>
      </c>
      <c r="B188" s="15"/>
      <c r="C188" s="15" t="str">
        <f ca="1">IFERROR(__xludf.DUMMYFUNCTION("""COMPUTED_VALUE"""),"orange bitters")</f>
        <v>orange bitters</v>
      </c>
      <c r="D188" s="15" t="str">
        <f ca="1">IFERROR(__xludf.DUMMYFUNCTION("""COMPUTED_VALUE"""),"lemon juice")</f>
        <v>lemon juice</v>
      </c>
      <c r="E188" s="15" t="str">
        <f ca="1">IFERROR(__xludf.DUMMYFUNCTION("""COMPUTED_VALUE"""),"dry vermouth")</f>
        <v>dry vermouth</v>
      </c>
      <c r="F188" s="15"/>
      <c r="G188" s="15"/>
      <c r="H188" s="15" t="str">
        <f ca="1">IFERROR(__xludf.DUMMYFUNCTION("""COMPUTED_VALUE"""),"grenadine")</f>
        <v>grenadine</v>
      </c>
      <c r="I188" s="15"/>
    </row>
    <row r="189" spans="1:9" x14ac:dyDescent="0.2">
      <c r="A189" s="15" t="str">
        <f ca="1">IFERROR(__xludf.DUMMYFUNCTION("""COMPUTED_VALUE"""),"scotch")</f>
        <v>scotch</v>
      </c>
      <c r="B189" s="15"/>
      <c r="C189" s="15" t="str">
        <f ca="1">IFERROR(__xludf.DUMMYFUNCTION("""COMPUTED_VALUE"""),"club soda")</f>
        <v>club soda</v>
      </c>
      <c r="D189" s="15"/>
      <c r="E189" s="15"/>
      <c r="F189" s="15"/>
      <c r="G189" s="15"/>
      <c r="H189" s="15"/>
      <c r="I189" s="15"/>
    </row>
    <row r="190" spans="1:9" x14ac:dyDescent="0.2">
      <c r="A190" s="15" t="str">
        <f ca="1">IFERROR(__xludf.DUMMYFUNCTION("""COMPUTED_VALUE"""),"scotch")</f>
        <v>scotch</v>
      </c>
      <c r="B190" s="15"/>
      <c r="C190" s="15" t="str">
        <f ca="1">IFERROR(__xludf.DUMMYFUNCTION("""COMPUTED_VALUE"""),"bottled water")</f>
        <v>bottled water</v>
      </c>
      <c r="D190" s="15"/>
      <c r="E190" s="15"/>
      <c r="F190" s="15"/>
      <c r="G190" s="15"/>
      <c r="H190" s="15"/>
      <c r="I190" s="15"/>
    </row>
    <row r="191" spans="1:9" x14ac:dyDescent="0.2">
      <c r="A191" s="15" t="str">
        <f ca="1">IFERROR(__xludf.DUMMYFUNCTION("""COMPUTED_VALUE"""),"scotch")</f>
        <v>scotch</v>
      </c>
      <c r="B191" s="15"/>
      <c r="C191" s="15"/>
      <c r="D191" s="15" t="str">
        <f ca="1">IFERROR(__xludf.DUMMYFUNCTION("""COMPUTED_VALUE"""),"lemon juice")</f>
        <v>lemon juice</v>
      </c>
      <c r="E191" s="15" t="str">
        <f ca="1">IFERROR(__xludf.DUMMYFUNCTION("""COMPUTED_VALUE"""),"crème de noyau")</f>
        <v>crème de noyau</v>
      </c>
      <c r="F191" s="15"/>
      <c r="G191" s="15"/>
      <c r="H191" s="15"/>
      <c r="I191" s="15"/>
    </row>
    <row r="192" spans="1:9" x14ac:dyDescent="0.2">
      <c r="A192" s="15" t="str">
        <f ca="1">IFERROR(__xludf.DUMMYFUNCTION("""COMPUTED_VALUE"""),"vodka")</f>
        <v>vodka</v>
      </c>
      <c r="B192" s="15"/>
      <c r="C192" s="15"/>
      <c r="D192" s="15" t="str">
        <f ca="1">IFERROR(__xludf.DUMMYFUNCTION("""COMPUTED_VALUE"""),"orange juice")</f>
        <v>orange juice</v>
      </c>
      <c r="E192" s="15"/>
      <c r="F192" s="15"/>
      <c r="G192" s="15"/>
      <c r="H192" s="15"/>
      <c r="I192" s="15"/>
    </row>
    <row r="193" spans="1:9" x14ac:dyDescent="0.2">
      <c r="A193" s="15" t="str">
        <f ca="1">IFERROR(__xludf.DUMMYFUNCTION("""COMPUTED_VALUE"""),"vodka")</f>
        <v>vodka</v>
      </c>
      <c r="B193" s="15"/>
      <c r="C193" s="15"/>
      <c r="D193" s="15" t="str">
        <f ca="1">IFERROR(__xludf.DUMMYFUNCTION("""COMPUTED_VALUE"""),"cranberry juice")</f>
        <v>cranberry juice</v>
      </c>
      <c r="E193" s="15"/>
      <c r="F193" s="15"/>
      <c r="G193" s="15"/>
      <c r="H193" s="15"/>
      <c r="I193" s="15"/>
    </row>
    <row r="194" spans="1:9" x14ac:dyDescent="0.2">
      <c r="A194" s="15" t="str">
        <f ca="1">IFERROR(__xludf.DUMMYFUNCTION("""COMPUTED_VALUE"""),"Seagram's Seven-Crown whiskey")</f>
        <v>Seagram's Seven-Crown whiskey</v>
      </c>
      <c r="B194" s="15"/>
      <c r="C194" s="15" t="str">
        <f ca="1">IFERROR(__xludf.DUMMYFUNCTION("""COMPUTED_VALUE"""),"7UP")</f>
        <v>7UP</v>
      </c>
      <c r="D194" s="15"/>
      <c r="E194" s="15"/>
      <c r="F194" s="15"/>
      <c r="G194" s="15"/>
      <c r="H194" s="15"/>
      <c r="I194" s="15"/>
    </row>
    <row r="195" spans="1:9" x14ac:dyDescent="0.2">
      <c r="A195" s="15" t="str">
        <f ca="1">IFERROR(__xludf.DUMMYFUNCTION("""COMPUTED_VALUE"""),"vodka")</f>
        <v>vodka</v>
      </c>
      <c r="B195" s="15"/>
      <c r="C195" s="15"/>
      <c r="D195" s="15" t="str">
        <f ca="1">IFERROR(__xludf.DUMMYFUNCTION("""COMPUTED_VALUE"""),"cranberry juice")</f>
        <v>cranberry juice</v>
      </c>
      <c r="E195" s="15" t="str">
        <f ca="1">IFERROR(__xludf.DUMMYFUNCTION("""COMPUTED_VALUE"""),"peach schnapps")</f>
        <v>peach schnapps</v>
      </c>
      <c r="F195" s="15" t="str">
        <f ca="1">IFERROR(__xludf.DUMMYFUNCTION("""COMPUTED_VALUE"""),"orange juice")</f>
        <v>orange juice</v>
      </c>
      <c r="G195" s="15"/>
      <c r="H195" s="15"/>
      <c r="I195" s="15"/>
    </row>
    <row r="196" spans="1:9" x14ac:dyDescent="0.2">
      <c r="A196" s="15" t="str">
        <f ca="1">IFERROR(__xludf.DUMMYFUNCTION("""COMPUTED_VALUE"""),"brandy")</f>
        <v>brandy</v>
      </c>
      <c r="B196" s="15"/>
      <c r="C196" s="15"/>
      <c r="D196" s="15" t="str">
        <f ca="1">IFERROR(__xludf.DUMMYFUNCTION("""COMPUTED_VALUE"""),"lemon juice")</f>
        <v>lemon juice</v>
      </c>
      <c r="E196" s="15" t="str">
        <f ca="1">IFERROR(__xludf.DUMMYFUNCTION("""COMPUTED_VALUE"""),"triple sec")</f>
        <v>triple sec</v>
      </c>
      <c r="F196" s="15"/>
      <c r="G196" s="15"/>
      <c r="H196" s="15"/>
      <c r="I196" s="15"/>
    </row>
    <row r="197" spans="1:9" x14ac:dyDescent="0.2">
      <c r="A197" s="15" t="str">
        <f ca="1">IFERROR(__xludf.DUMMYFUNCTION("""COMPUTED_VALUE"""),"gin")</f>
        <v>gin</v>
      </c>
      <c r="B197" s="15"/>
      <c r="C197" s="15" t="str">
        <f ca="1">IFERROR(__xludf.DUMMYFUNCTION("""COMPUTED_VALUE"""),"club soda")</f>
        <v>club soda</v>
      </c>
      <c r="D197" s="15" t="str">
        <f ca="1">IFERROR(__xludf.DUMMYFUNCTION("""COMPUTED_VALUE"""),"lemon juice")</f>
        <v>lemon juice</v>
      </c>
      <c r="E197" s="15" t="str">
        <f ca="1">IFERROR(__xludf.DUMMYFUNCTION("""COMPUTED_VALUE"""),"Benedictine")</f>
        <v>Benedictine</v>
      </c>
      <c r="F197" s="15"/>
      <c r="G197" s="15"/>
      <c r="H197" s="15" t="str">
        <f ca="1">IFERROR(__xludf.DUMMYFUNCTION("""COMPUTED_VALUE"""),"orange bitters")</f>
        <v>orange bitters</v>
      </c>
      <c r="I197" s="15"/>
    </row>
    <row r="198" spans="1:9" x14ac:dyDescent="0.2">
      <c r="A198" s="15" t="str">
        <f ca="1">IFERROR(__xludf.DUMMYFUNCTION("""COMPUTED_VALUE"""),"gin")</f>
        <v>gin</v>
      </c>
      <c r="B198" s="15"/>
      <c r="C198" s="15" t="str">
        <f ca="1">IFERROR(__xludf.DUMMYFUNCTION("""COMPUTED_VALUE"""),"club soda")</f>
        <v>club soda</v>
      </c>
      <c r="D198" s="15" t="str">
        <f ca="1">IFERROR(__xludf.DUMMYFUNCTION("""COMPUTED_VALUE"""),"lime juice")</f>
        <v>lime juice</v>
      </c>
      <c r="E198" s="15" t="str">
        <f ca="1">IFERROR(__xludf.DUMMYFUNCTION("""COMPUTED_VALUE"""),"Benedictine")</f>
        <v>Benedictine</v>
      </c>
      <c r="F198" s="15" t="str">
        <f ca="1">IFERROR(__xludf.DUMMYFUNCTION("""COMPUTED_VALUE"""),"pineapple juice")</f>
        <v>pineapple juice</v>
      </c>
      <c r="G198" s="15"/>
      <c r="H198" s="15" t="str">
        <f ca="1">IFERROR(__xludf.DUMMYFUNCTION("""COMPUTED_VALUE"""),"triple sec")</f>
        <v>triple sec</v>
      </c>
      <c r="I198" s="15" t="str">
        <f ca="1">IFERROR(__xludf.DUMMYFUNCTION("""COMPUTED_VALUE"""),"Angostura and Cherry Brandy")</f>
        <v>Angostura and Cherry Brandy</v>
      </c>
    </row>
    <row r="199" spans="1:9" x14ac:dyDescent="0.2">
      <c r="A199" s="15" t="str">
        <f ca="1">IFERROR(__xludf.DUMMYFUNCTION("""COMPUTED_VALUE"""),"vodka")</f>
        <v>vodka</v>
      </c>
      <c r="B199" s="15" t="str">
        <f ca="1">IFERROR(__xludf.DUMMYFUNCTION("""COMPUTED_VALUE"""),"sloe gin")</f>
        <v>sloe gin</v>
      </c>
      <c r="C199" s="15"/>
      <c r="D199" s="15" t="str">
        <f ca="1">IFERROR(__xludf.DUMMYFUNCTION("""COMPUTED_VALUE"""),"orange juice")</f>
        <v>orange juice</v>
      </c>
      <c r="E199" s="15" t="str">
        <f ca="1">IFERROR(__xludf.DUMMYFUNCTION("""COMPUTED_VALUE"""),"amaretto")</f>
        <v>amaretto</v>
      </c>
      <c r="F199" s="15"/>
      <c r="G199" s="15"/>
      <c r="H199" s="15"/>
      <c r="I199" s="15"/>
    </row>
    <row r="200" spans="1:9" x14ac:dyDescent="0.2">
      <c r="A200" s="15" t="str">
        <f ca="1">IFERROR(__xludf.DUMMYFUNCTION("""COMPUTED_VALUE"""),"sloe gin")</f>
        <v>sloe gin</v>
      </c>
      <c r="B200" s="15"/>
      <c r="C200" s="15" t="str">
        <f ca="1">IFERROR(__xludf.DUMMYFUNCTION("""COMPUTED_VALUE"""),"simple syrup")</f>
        <v>simple syrup</v>
      </c>
      <c r="D200" s="15" t="str">
        <f ca="1">IFERROR(__xludf.DUMMYFUNCTION("""COMPUTED_VALUE"""),"lemon juice")</f>
        <v>lemon juice</v>
      </c>
      <c r="E200" s="15"/>
      <c r="F200" s="15"/>
      <c r="G200" s="15"/>
      <c r="H200" s="15"/>
      <c r="I200" s="15"/>
    </row>
    <row r="201" spans="1:9" x14ac:dyDescent="0.2">
      <c r="A201" s="15" t="str">
        <f ca="1">IFERROR(__xludf.DUMMYFUNCTION("""COMPUTED_VALUE"""),"gin")</f>
        <v>gin</v>
      </c>
      <c r="B201" s="15"/>
      <c r="C201" s="15"/>
      <c r="D201" s="15"/>
      <c r="E201" s="15" t="str">
        <f ca="1">IFERROR(__xludf.DUMMYFUNCTION("""COMPUTED_VALUE"""),"Goldschlager")</f>
        <v>Goldschlager</v>
      </c>
      <c r="F201" s="15"/>
      <c r="G201" s="15"/>
      <c r="H201" s="15"/>
      <c r="I201" s="15"/>
    </row>
    <row r="202" spans="1:9" x14ac:dyDescent="0.2">
      <c r="A202" s="15" t="str">
        <f ca="1">IFERROR(__xludf.DUMMYFUNCTION("""COMPUTED_VALUE"""),"bourbon")</f>
        <v>bourbon</v>
      </c>
      <c r="B202" s="15"/>
      <c r="C202" s="15"/>
      <c r="D202" s="15" t="str">
        <f ca="1">IFERROR(__xludf.DUMMYFUNCTION("""COMPUTED_VALUE"""),"lime juice")</f>
        <v>lime juice</v>
      </c>
      <c r="E202" s="15" t="str">
        <f ca="1">IFERROR(__xludf.DUMMYFUNCTION("""COMPUTED_VALUE"""),"amaretto")</f>
        <v>amaretto</v>
      </c>
      <c r="F202" s="15"/>
      <c r="G202" s="15"/>
      <c r="H202" s="15"/>
      <c r="I202" s="15"/>
    </row>
    <row r="203" spans="1:9" x14ac:dyDescent="0.2">
      <c r="A203" s="15" t="str">
        <f ca="1">IFERROR(__xludf.DUMMYFUNCTION("""COMPUTED_VALUE"""),"brandy")</f>
        <v>brandy</v>
      </c>
      <c r="B203" s="15"/>
      <c r="C203" s="15"/>
      <c r="D203" s="15"/>
      <c r="E203" s="15" t="str">
        <f ca="1">IFERROR(__xludf.DUMMYFUNCTION("""COMPUTED_VALUE"""),"white crème de cacao")</f>
        <v>white crème de cacao</v>
      </c>
      <c r="F203" s="15"/>
      <c r="G203" s="15"/>
      <c r="H203" s="15"/>
      <c r="I203" s="15"/>
    </row>
    <row r="204" spans="1:9" x14ac:dyDescent="0.2">
      <c r="A204" s="15" t="str">
        <f ca="1">IFERROR(__xludf.DUMMYFUNCTION("""COMPUTED_VALUE"""),"orange vodka")</f>
        <v>orange vodka</v>
      </c>
      <c r="B204" s="15"/>
      <c r="C204" s="15" t="str">
        <f ca="1">IFERROR(__xludf.DUMMYFUNCTION("""COMPUTED_VALUE"""),"sweet iced tea")</f>
        <v>sweet iced tea</v>
      </c>
      <c r="D204" s="15" t="str">
        <f ca="1">IFERROR(__xludf.DUMMYFUNCTION("""COMPUTED_VALUE"""),"lemon juice")</f>
        <v>lemon juice</v>
      </c>
      <c r="E204" s="15"/>
      <c r="F204" s="15"/>
      <c r="G204" s="15"/>
      <c r="H204" s="15"/>
      <c r="I204" s="15"/>
    </row>
    <row r="205" spans="1:9" x14ac:dyDescent="0.2">
      <c r="A205" s="15" t="str">
        <f ca="1">IFERROR(__xludf.DUMMYFUNCTION("""COMPUTED_VALUE"""),"tequila")</f>
        <v>tequila</v>
      </c>
      <c r="B205" s="15"/>
      <c r="C205" s="15" t="str">
        <f ca="1">IFERROR(__xludf.DUMMYFUNCTION("""COMPUTED_VALUE"""),"grenadine")</f>
        <v>grenadine</v>
      </c>
      <c r="D205" s="15" t="str">
        <f ca="1">IFERROR(__xludf.DUMMYFUNCTION("""COMPUTED_VALUE"""),"orange juice")</f>
        <v>orange juice</v>
      </c>
      <c r="E205" s="15"/>
      <c r="F205" s="15"/>
      <c r="G205" s="15"/>
      <c r="H205" s="15"/>
      <c r="I205" s="15"/>
    </row>
    <row r="206" spans="1:9" x14ac:dyDescent="0.2">
      <c r="A206" s="15" t="str">
        <f ca="1">IFERROR(__xludf.DUMMYFUNCTION("""COMPUTED_VALUE"""),"gin")</f>
        <v>gin</v>
      </c>
      <c r="B206" s="15"/>
      <c r="C206" s="15"/>
      <c r="D206" s="15"/>
      <c r="E206" s="15" t="str">
        <f ca="1">IFERROR(__xludf.DUMMYFUNCTION("""COMPUTED_VALUE"""),"dry vermouth")</f>
        <v>dry vermouth</v>
      </c>
      <c r="F206" s="15"/>
      <c r="G206" s="15"/>
      <c r="H206" s="15"/>
      <c r="I206" s="15"/>
    </row>
    <row r="207" spans="1:9" x14ac:dyDescent="0.2">
      <c r="A207" s="15" t="str">
        <f ca="1">IFERROR(__xludf.DUMMYFUNCTION("""COMPUTED_VALUE"""),"amaretto")</f>
        <v>amaretto</v>
      </c>
      <c r="B207" s="15"/>
      <c r="C207" s="15" t="str">
        <f ca="1">IFERROR(__xludf.DUMMYFUNCTION("""COMPUTED_VALUE"""),"cream")</f>
        <v>cream</v>
      </c>
      <c r="D207" s="15"/>
      <c r="E207" s="15" t="str">
        <f ca="1">IFERROR(__xludf.DUMMYFUNCTION("""COMPUTED_VALUE"""),"Kahlua")</f>
        <v>Kahlua</v>
      </c>
      <c r="F207" s="15"/>
      <c r="G207" s="15"/>
      <c r="H207" s="15"/>
      <c r="I207" s="15"/>
    </row>
    <row r="208" spans="1:9" x14ac:dyDescent="0.2">
      <c r="A208" s="15" t="str">
        <f ca="1">IFERROR(__xludf.DUMMYFUNCTION("""COMPUTED_VALUE"""),"gin")</f>
        <v>gin</v>
      </c>
      <c r="B208" s="15"/>
      <c r="C208" s="15" t="str">
        <f ca="1">IFERROR(__xludf.DUMMYFUNCTION("""COMPUTED_VALUE"""),"simple syrup")</f>
        <v>simple syrup</v>
      </c>
      <c r="D208" s="15" t="str">
        <f ca="1">IFERROR(__xludf.DUMMYFUNCTION("""COMPUTED_VALUE"""),"lemon juice")</f>
        <v>lemon juice</v>
      </c>
      <c r="E208" s="15"/>
      <c r="F208" s="15"/>
      <c r="G208" s="15"/>
      <c r="H208" s="15"/>
      <c r="I208" s="15"/>
    </row>
    <row r="209" spans="1:9" x14ac:dyDescent="0.2">
      <c r="A209" s="15" t="str">
        <f ca="1">IFERROR(__xludf.DUMMYFUNCTION("""COMPUTED_VALUE"""),"cognac")</f>
        <v>cognac</v>
      </c>
      <c r="B209" s="15"/>
      <c r="C209" s="15"/>
      <c r="D209" s="15"/>
      <c r="E209" s="15" t="str">
        <f ca="1">IFERROR(__xludf.DUMMYFUNCTION("""COMPUTED_VALUE"""),"absinthe")</f>
        <v>absinthe</v>
      </c>
      <c r="F209" s="15"/>
      <c r="G209" s="15"/>
      <c r="H209" s="15"/>
      <c r="I209" s="15"/>
    </row>
    <row r="210" spans="1:9" x14ac:dyDescent="0.2">
      <c r="A210" s="15" t="str">
        <f ca="1">IFERROR(__xludf.DUMMYFUNCTION("""COMPUTED_VALUE"""),"rum")</f>
        <v>rum</v>
      </c>
      <c r="B210" s="15"/>
      <c r="C210" s="15" t="str">
        <f ca="1">IFERROR(__xludf.DUMMYFUNCTION("""COMPUTED_VALUE"""),"grenadine")</f>
        <v>grenadine</v>
      </c>
      <c r="D210" s="15" t="str">
        <f ca="1">IFERROR(__xludf.DUMMYFUNCTION("""COMPUTED_VALUE"""),"lime juice")</f>
        <v>lime juice</v>
      </c>
      <c r="E210" s="15"/>
      <c r="F210" s="15"/>
      <c r="G210" s="15"/>
      <c r="H210" s="15"/>
      <c r="I210" s="15"/>
    </row>
    <row r="211" spans="1:9" x14ac:dyDescent="0.2">
      <c r="A211" s="15" t="str">
        <f ca="1">IFERROR(__xludf.DUMMYFUNCTION("""COMPUTED_VALUE"""),"gin")</f>
        <v>gin</v>
      </c>
      <c r="B211" s="15"/>
      <c r="C211" s="15"/>
      <c r="D211" s="15" t="str">
        <f ca="1">IFERROR(__xludf.DUMMYFUNCTION("""COMPUTED_VALUE"""),"lemon juice")</f>
        <v>lemon juice</v>
      </c>
      <c r="E211" s="15" t="str">
        <f ca="1">IFERROR(__xludf.DUMMYFUNCTION("""COMPUTED_VALUE"""),"white crème de cacao")</f>
        <v>white crème de cacao</v>
      </c>
      <c r="F211" s="15"/>
      <c r="G211" s="15"/>
      <c r="H211" s="15"/>
      <c r="I211" s="15"/>
    </row>
    <row r="212" spans="1:9" x14ac:dyDescent="0.2">
      <c r="A212" s="15" t="str">
        <f ca="1">IFERROR(__xludf.DUMMYFUNCTION("""COMPUTED_VALUE"""),"gin or vodka")</f>
        <v>gin or vodka</v>
      </c>
      <c r="B212" s="15"/>
      <c r="C212" s="15"/>
      <c r="D212" s="15"/>
      <c r="E212" s="15" t="str">
        <f ca="1">IFERROR(__xludf.DUMMYFUNCTION("""COMPUTED_VALUE"""),"Lillet")</f>
        <v>Lillet</v>
      </c>
      <c r="F212" s="15"/>
      <c r="G212" s="15"/>
      <c r="H212" s="15"/>
      <c r="I212" s="15"/>
    </row>
    <row r="213" spans="1:9" x14ac:dyDescent="0.2">
      <c r="A213" s="15" t="str">
        <f ca="1">IFERROR(__xludf.DUMMYFUNCTION("""COMPUTED_VALUE"""),"vodka")</f>
        <v>vodka</v>
      </c>
      <c r="B213" s="15"/>
      <c r="C213" s="15" t="str">
        <f ca="1">IFERROR(__xludf.DUMMYFUNCTION("""COMPUTED_VALUE"""),"tonic water")</f>
        <v>tonic water</v>
      </c>
      <c r="D213" s="15"/>
      <c r="E213" s="15"/>
      <c r="F213" s="15"/>
      <c r="G213" s="15"/>
      <c r="H213" s="15"/>
      <c r="I213" s="15"/>
    </row>
    <row r="214" spans="1:9" x14ac:dyDescent="0.2">
      <c r="A214" s="15" t="str">
        <f ca="1">IFERROR(__xludf.DUMMYFUNCTION("""COMPUTED_VALUE"""),"rye whiskey")</f>
        <v>rye whiskey</v>
      </c>
      <c r="B214" s="15"/>
      <c r="C214" s="15" t="str">
        <f ca="1">IFERROR(__xludf.DUMMYFUNCTION("""COMPUTED_VALUE"""),"grenadine")</f>
        <v>grenadine</v>
      </c>
      <c r="D214" s="15" t="str">
        <f ca="1">IFERROR(__xludf.DUMMYFUNCTION("""COMPUTED_VALUE"""),"lemon juice")</f>
        <v>lemon juice</v>
      </c>
      <c r="E214" s="15"/>
      <c r="F214" s="15"/>
      <c r="G214" s="15"/>
      <c r="H214" s="15"/>
      <c r="I214" s="15"/>
    </row>
    <row r="215" spans="1:9" x14ac:dyDescent="0.2">
      <c r="A215" s="15" t="str">
        <f ca="1">IFERROR(__xludf.DUMMYFUNCTION("""COMPUTED_VALUE"""),"rye whiskey, bourbon")</f>
        <v>rye whiskey, bourbon</v>
      </c>
      <c r="B215" s="15"/>
      <c r="C215" s="15" t="str">
        <f ca="1">IFERROR(__xludf.DUMMYFUNCTION("""COMPUTED_VALUE"""),"Angostura")</f>
        <v>Angostura</v>
      </c>
      <c r="D215" s="15"/>
      <c r="E215" s="15"/>
      <c r="F215" s="15"/>
      <c r="G215" s="15" t="str">
        <f ca="1">IFERROR(__xludf.DUMMYFUNCTION("""COMPUTED_VALUE"""),"sugar cube")</f>
        <v>sugar cube</v>
      </c>
      <c r="H215" s="15"/>
      <c r="I215" s="15"/>
    </row>
    <row r="216" spans="1:9" x14ac:dyDescent="0.2">
      <c r="A216" s="15" t="str">
        <f ca="1">IFERROR(__xludf.DUMMYFUNCTION("""COMPUTED_VALUE"""),"bourbon")</f>
        <v>bourbon</v>
      </c>
      <c r="B216" s="15"/>
      <c r="C216" s="15" t="str">
        <f ca="1">IFERROR(__xludf.DUMMYFUNCTION("""COMPUTED_VALUE"""),"simple syrup")</f>
        <v>simple syrup</v>
      </c>
      <c r="D216" s="15" t="str">
        <f ca="1">IFERROR(__xludf.DUMMYFUNCTION("""COMPUTED_VALUE"""),"lemon juice")</f>
        <v>lemon juice</v>
      </c>
      <c r="E216" s="15"/>
      <c r="F216" s="15"/>
      <c r="G216" s="15"/>
      <c r="H216" s="15"/>
      <c r="I216" s="15"/>
    </row>
    <row r="217" spans="1:9" x14ac:dyDescent="0.2">
      <c r="A217" s="15" t="str">
        <f ca="1">IFERROR(__xludf.DUMMYFUNCTION("""COMPUTED_VALUE"""),"vodka")</f>
        <v>vodka</v>
      </c>
      <c r="B217" s="15"/>
      <c r="C217" s="15" t="str">
        <f ca="1">IFERROR(__xludf.DUMMYFUNCTION("""COMPUTED_VALUE"""),"cream")</f>
        <v>cream</v>
      </c>
      <c r="D217" s="15"/>
      <c r="E217" s="15" t="str">
        <f ca="1">IFERROR(__xludf.DUMMYFUNCTION("""COMPUTED_VALUE"""),"Kahlua")</f>
        <v>Kahlua</v>
      </c>
      <c r="F217" s="15"/>
      <c r="G217" s="15"/>
      <c r="H217" s="15"/>
      <c r="I217" s="15"/>
    </row>
    <row r="218" spans="1:9" x14ac:dyDescent="0.2">
      <c r="A218" s="15" t="str">
        <f ca="1">IFERROR(__xludf.DUMMYFUNCTION("""COMPUTED_VALUE"""),"vodka")</f>
        <v>vodka</v>
      </c>
      <c r="B218" s="15"/>
      <c r="C218" s="15"/>
      <c r="D218" s="15"/>
      <c r="E218" s="15" t="str">
        <f ca="1">IFERROR(__xludf.DUMMYFUNCTION("""COMPUTED_VALUE"""),"white crème de cacao")</f>
        <v>white crème de cacao</v>
      </c>
      <c r="F218" s="15"/>
      <c r="G218" s="15"/>
      <c r="H218" s="15"/>
      <c r="I218" s="15"/>
    </row>
    <row r="219" spans="1:9" x14ac:dyDescent="0.2">
      <c r="A219" s="15" t="str">
        <f ca="1">IFERROR(__xludf.DUMMYFUNCTION("""COMPUTED_VALUE"""),"vodka")</f>
        <v>vodka</v>
      </c>
      <c r="B219" s="15"/>
      <c r="C219" s="15"/>
      <c r="D219" s="15" t="str">
        <f ca="1">IFERROR(__xludf.DUMMYFUNCTION("""COMPUTED_VALUE"""),"cranberry juice")</f>
        <v>cranberry juice</v>
      </c>
      <c r="E219" s="15" t="str">
        <f ca="1">IFERROR(__xludf.DUMMYFUNCTION("""COMPUTED_VALUE"""),"peach schnapps")</f>
        <v>peach schnapps</v>
      </c>
      <c r="F219" s="15"/>
      <c r="G219" s="15"/>
      <c r="H219" s="15"/>
      <c r="I21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81"/>
  <sheetViews>
    <sheetView workbookViewId="0">
      <selection activeCell="D2" sqref="D2"/>
    </sheetView>
  </sheetViews>
  <sheetFormatPr baseColWidth="10" defaultColWidth="14.5" defaultRowHeight="15" customHeight="1" x14ac:dyDescent="0.2"/>
  <cols>
    <col min="1" max="1" width="28.1640625" customWidth="1"/>
    <col min="2" max="2" width="18.5" customWidth="1"/>
    <col min="3" max="3" width="18.33203125" customWidth="1"/>
  </cols>
  <sheetData>
    <row r="1" spans="1:3" x14ac:dyDescent="0.2">
      <c r="A1" s="11" t="s">
        <v>405</v>
      </c>
      <c r="B1" s="11" t="s">
        <v>406</v>
      </c>
      <c r="C1" s="11" t="s">
        <v>407</v>
      </c>
    </row>
    <row r="2" spans="1:3" x14ac:dyDescent="0.2">
      <c r="A2" s="11" t="s">
        <v>410</v>
      </c>
      <c r="B2" s="29" t="s">
        <v>411</v>
      </c>
      <c r="C2" s="11" t="s">
        <v>412</v>
      </c>
    </row>
    <row r="3" spans="1:3" x14ac:dyDescent="0.2">
      <c r="A3" s="11" t="s">
        <v>410</v>
      </c>
      <c r="B3" s="29" t="s">
        <v>411</v>
      </c>
      <c r="C3" s="11" t="s">
        <v>64</v>
      </c>
    </row>
    <row r="4" spans="1:3" x14ac:dyDescent="0.2">
      <c r="A4" s="11" t="s">
        <v>410</v>
      </c>
      <c r="B4" s="29" t="s">
        <v>411</v>
      </c>
      <c r="C4" s="11" t="s">
        <v>95</v>
      </c>
    </row>
    <row r="5" spans="1:3" x14ac:dyDescent="0.2">
      <c r="A5" s="11" t="s">
        <v>410</v>
      </c>
      <c r="B5" s="29" t="s">
        <v>411</v>
      </c>
      <c r="C5" s="11" t="s">
        <v>85</v>
      </c>
    </row>
    <row r="6" spans="1:3" x14ac:dyDescent="0.2">
      <c r="A6" s="11" t="s">
        <v>416</v>
      </c>
      <c r="B6" s="11" t="s">
        <v>417</v>
      </c>
      <c r="C6" s="11" t="s">
        <v>116</v>
      </c>
    </row>
    <row r="7" spans="1:3" x14ac:dyDescent="0.2">
      <c r="A7" s="11" t="s">
        <v>416</v>
      </c>
      <c r="B7" s="11" t="s">
        <v>417</v>
      </c>
      <c r="C7" s="11" t="s">
        <v>138</v>
      </c>
    </row>
    <row r="8" spans="1:3" x14ac:dyDescent="0.2">
      <c r="A8" s="11" t="s">
        <v>420</v>
      </c>
      <c r="B8" s="11" t="s">
        <v>421</v>
      </c>
    </row>
    <row r="9" spans="1:3" x14ac:dyDescent="0.2">
      <c r="A9" s="11" t="s">
        <v>408</v>
      </c>
      <c r="B9" s="29" t="s">
        <v>423</v>
      </c>
      <c r="C9" s="11" t="s">
        <v>168</v>
      </c>
    </row>
    <row r="10" spans="1:3" x14ac:dyDescent="0.2">
      <c r="A10" s="11" t="s">
        <v>408</v>
      </c>
      <c r="B10" s="29" t="s">
        <v>423</v>
      </c>
      <c r="C10" s="11" t="s">
        <v>194</v>
      </c>
    </row>
    <row r="11" spans="1:3" x14ac:dyDescent="0.2">
      <c r="A11" s="11" t="s">
        <v>408</v>
      </c>
      <c r="B11" s="29" t="s">
        <v>423</v>
      </c>
      <c r="C11" s="11" t="s">
        <v>414</v>
      </c>
    </row>
    <row r="12" spans="1:3" x14ac:dyDescent="0.2">
      <c r="A12" s="11" t="s">
        <v>408</v>
      </c>
      <c r="B12" s="29" t="s">
        <v>423</v>
      </c>
      <c r="C12" s="11" t="s">
        <v>223</v>
      </c>
    </row>
    <row r="13" spans="1:3" x14ac:dyDescent="0.2">
      <c r="A13" s="11" t="s">
        <v>408</v>
      </c>
      <c r="B13" s="29" t="s">
        <v>423</v>
      </c>
      <c r="C13" s="11" t="s">
        <v>157</v>
      </c>
    </row>
    <row r="14" spans="1:3" x14ac:dyDescent="0.2">
      <c r="A14" s="11" t="s">
        <v>408</v>
      </c>
      <c r="B14" s="29" t="s">
        <v>423</v>
      </c>
      <c r="C14" s="11" t="s">
        <v>418</v>
      </c>
    </row>
    <row r="15" spans="1:3" x14ac:dyDescent="0.2">
      <c r="A15" s="11" t="s">
        <v>408</v>
      </c>
      <c r="B15" s="29" t="s">
        <v>423</v>
      </c>
      <c r="C15" s="11" t="s">
        <v>422</v>
      </c>
    </row>
    <row r="16" spans="1:3" x14ac:dyDescent="0.2">
      <c r="A16" s="11" t="s">
        <v>408</v>
      </c>
      <c r="B16" s="29" t="s">
        <v>423</v>
      </c>
      <c r="C16" s="11" t="s">
        <v>424</v>
      </c>
    </row>
    <row r="17" spans="1:3" x14ac:dyDescent="0.2">
      <c r="A17" s="11" t="s">
        <v>408</v>
      </c>
      <c r="B17" s="29" t="s">
        <v>423</v>
      </c>
      <c r="C17" s="11" t="s">
        <v>426</v>
      </c>
    </row>
    <row r="18" spans="1:3" x14ac:dyDescent="0.2">
      <c r="A18" s="11" t="s">
        <v>408</v>
      </c>
      <c r="B18" s="29" t="s">
        <v>423</v>
      </c>
      <c r="C18" s="11" t="s">
        <v>180</v>
      </c>
    </row>
    <row r="19" spans="1:3" x14ac:dyDescent="0.2">
      <c r="A19" s="11" t="s">
        <v>427</v>
      </c>
      <c r="B19" s="11" t="s">
        <v>428</v>
      </c>
      <c r="C19" s="11" t="s">
        <v>237</v>
      </c>
    </row>
    <row r="20" spans="1:3" x14ac:dyDescent="0.2">
      <c r="A20" s="11" t="s">
        <v>427</v>
      </c>
      <c r="B20" s="11" t="s">
        <v>428</v>
      </c>
      <c r="C20" s="11" t="s">
        <v>275</v>
      </c>
    </row>
    <row r="21" spans="1:3" x14ac:dyDescent="0.2">
      <c r="A21" s="11" t="s">
        <v>427</v>
      </c>
      <c r="B21" s="11" t="s">
        <v>428</v>
      </c>
      <c r="C21" s="11" t="s">
        <v>415</v>
      </c>
    </row>
    <row r="22" spans="1:3" x14ac:dyDescent="0.2">
      <c r="A22" s="11" t="s">
        <v>427</v>
      </c>
      <c r="B22" s="11" t="s">
        <v>428</v>
      </c>
      <c r="C22" s="11" t="s">
        <v>429</v>
      </c>
    </row>
    <row r="23" spans="1:3" x14ac:dyDescent="0.2">
      <c r="A23" s="11" t="s">
        <v>430</v>
      </c>
      <c r="B23" s="29" t="s">
        <v>431</v>
      </c>
      <c r="C23" s="11" t="s">
        <v>269</v>
      </c>
    </row>
    <row r="24" spans="1:3" x14ac:dyDescent="0.2">
      <c r="A24" s="11" t="s">
        <v>430</v>
      </c>
      <c r="B24" s="29" t="s">
        <v>431</v>
      </c>
      <c r="C24" s="11" t="s">
        <v>432</v>
      </c>
    </row>
    <row r="25" spans="1:3" x14ac:dyDescent="0.2">
      <c r="A25" s="11" t="s">
        <v>433</v>
      </c>
      <c r="B25" s="11" t="s">
        <v>434</v>
      </c>
    </row>
    <row r="26" spans="1:3" x14ac:dyDescent="0.2">
      <c r="A26" s="11" t="s">
        <v>435</v>
      </c>
      <c r="B26" s="29" t="s">
        <v>436</v>
      </c>
    </row>
    <row r="27" spans="1:3" x14ac:dyDescent="0.2">
      <c r="A27" s="11" t="s">
        <v>437</v>
      </c>
      <c r="B27" s="11" t="s">
        <v>438</v>
      </c>
    </row>
    <row r="28" spans="1:3" x14ac:dyDescent="0.2">
      <c r="A28" s="11" t="s">
        <v>439</v>
      </c>
      <c r="B28" s="11" t="s">
        <v>440</v>
      </c>
    </row>
    <row r="29" spans="1:3" x14ac:dyDescent="0.2">
      <c r="A29" s="11" t="s">
        <v>441</v>
      </c>
      <c r="B29" s="11" t="s">
        <v>442</v>
      </c>
      <c r="C29" s="11" t="s">
        <v>351</v>
      </c>
    </row>
    <row r="30" spans="1:3" x14ac:dyDescent="0.2">
      <c r="A30" s="11" t="s">
        <v>441</v>
      </c>
      <c r="B30" s="11" t="s">
        <v>442</v>
      </c>
      <c r="C30" s="11" t="s">
        <v>346</v>
      </c>
    </row>
    <row r="31" spans="1:3" x14ac:dyDescent="0.2">
      <c r="A31" s="11" t="s">
        <v>443</v>
      </c>
      <c r="B31" s="11" t="s">
        <v>444</v>
      </c>
    </row>
    <row r="32" spans="1:3" x14ac:dyDescent="0.2">
      <c r="A32" s="11" t="s">
        <v>445</v>
      </c>
      <c r="B32" s="29" t="s">
        <v>446</v>
      </c>
    </row>
    <row r="33" spans="1:3" x14ac:dyDescent="0.2">
      <c r="A33" s="11" t="s">
        <v>447</v>
      </c>
      <c r="B33" s="11" t="s">
        <v>448</v>
      </c>
    </row>
    <row r="34" spans="1:3" x14ac:dyDescent="0.2">
      <c r="A34" s="11" t="s">
        <v>409</v>
      </c>
      <c r="B34" s="29" t="s">
        <v>449</v>
      </c>
      <c r="C34" s="11" t="s">
        <v>361</v>
      </c>
    </row>
    <row r="35" spans="1:3" x14ac:dyDescent="0.2">
      <c r="A35" s="11" t="s">
        <v>409</v>
      </c>
      <c r="B35" s="29" t="s">
        <v>449</v>
      </c>
      <c r="C35" s="11" t="s">
        <v>364</v>
      </c>
    </row>
    <row r="36" spans="1:3" x14ac:dyDescent="0.2">
      <c r="A36" s="11" t="s">
        <v>409</v>
      </c>
      <c r="B36" s="29" t="s">
        <v>449</v>
      </c>
      <c r="C36" s="11" t="s">
        <v>419</v>
      </c>
    </row>
    <row r="37" spans="1:3" x14ac:dyDescent="0.2">
      <c r="A37" s="11" t="s">
        <v>409</v>
      </c>
      <c r="B37" s="29" t="s">
        <v>449</v>
      </c>
      <c r="C37" s="11" t="s">
        <v>366</v>
      </c>
    </row>
    <row r="38" spans="1:3" x14ac:dyDescent="0.2">
      <c r="A38" s="11" t="s">
        <v>409</v>
      </c>
      <c r="B38" s="29" t="s">
        <v>449</v>
      </c>
      <c r="C38" s="11" t="s">
        <v>413</v>
      </c>
    </row>
    <row r="39" spans="1:3" x14ac:dyDescent="0.2">
      <c r="A39" s="11" t="s">
        <v>450</v>
      </c>
      <c r="B39" s="11" t="s">
        <v>451</v>
      </c>
    </row>
    <row r="40" spans="1:3" x14ac:dyDescent="0.2">
      <c r="A40" s="11" t="s">
        <v>452</v>
      </c>
      <c r="B40" s="11" t="s">
        <v>453</v>
      </c>
      <c r="C40" s="11" t="s">
        <v>132</v>
      </c>
    </row>
    <row r="41" spans="1:3" x14ac:dyDescent="0.2">
      <c r="A41" s="11" t="s">
        <v>452</v>
      </c>
      <c r="B41" s="11" t="s">
        <v>453</v>
      </c>
      <c r="C41" s="11" t="s">
        <v>130</v>
      </c>
    </row>
    <row r="42" spans="1:3" x14ac:dyDescent="0.2">
      <c r="A42" s="11" t="s">
        <v>454</v>
      </c>
      <c r="B42" s="11" t="s">
        <v>411</v>
      </c>
      <c r="C42" s="11" t="s">
        <v>301</v>
      </c>
    </row>
    <row r="43" spans="1:3" x14ac:dyDescent="0.2">
      <c r="A43" s="11" t="s">
        <v>455</v>
      </c>
      <c r="B43" s="29" t="s">
        <v>456</v>
      </c>
    </row>
    <row r="44" spans="1:3" x14ac:dyDescent="0.2">
      <c r="A44" s="11" t="s">
        <v>457</v>
      </c>
      <c r="B44" s="11" t="s">
        <v>236</v>
      </c>
      <c r="C44" s="11" t="s">
        <v>458</v>
      </c>
    </row>
    <row r="45" spans="1:3" x14ac:dyDescent="0.2">
      <c r="A45" s="11" t="s">
        <v>459</v>
      </c>
      <c r="B45" s="29" t="s">
        <v>460</v>
      </c>
    </row>
    <row r="46" spans="1:3" x14ac:dyDescent="0.2">
      <c r="A46" s="11" t="s">
        <v>461</v>
      </c>
      <c r="B46" s="11" t="s">
        <v>462</v>
      </c>
    </row>
    <row r="47" spans="1:3" x14ac:dyDescent="0.2">
      <c r="A47" s="11" t="s">
        <v>463</v>
      </c>
      <c r="B47" s="29" t="s">
        <v>464</v>
      </c>
      <c r="C47" s="11"/>
    </row>
    <row r="48" spans="1:3" x14ac:dyDescent="0.2">
      <c r="A48" s="11" t="s">
        <v>465</v>
      </c>
      <c r="B48" s="29" t="s">
        <v>208</v>
      </c>
      <c r="C48" s="11" t="s">
        <v>425</v>
      </c>
    </row>
    <row r="49" spans="1:3" x14ac:dyDescent="0.2">
      <c r="A49" s="11" t="s">
        <v>466</v>
      </c>
      <c r="B49" s="29" t="s">
        <v>467</v>
      </c>
      <c r="C49" s="11" t="s">
        <v>37</v>
      </c>
    </row>
    <row r="50" spans="1:3" x14ac:dyDescent="0.2">
      <c r="A50" s="11" t="s">
        <v>468</v>
      </c>
    </row>
    <row r="51" spans="1:3" x14ac:dyDescent="0.2">
      <c r="A51" s="11" t="s">
        <v>469</v>
      </c>
    </row>
    <row r="52" spans="1:3" x14ac:dyDescent="0.2">
      <c r="A52" s="11" t="s">
        <v>470</v>
      </c>
      <c r="B52" s="29" t="s">
        <v>471</v>
      </c>
    </row>
    <row r="53" spans="1:3" x14ac:dyDescent="0.2">
      <c r="A53" s="11" t="s">
        <v>472</v>
      </c>
      <c r="B53" s="29" t="s">
        <v>473</v>
      </c>
    </row>
    <row r="54" spans="1:3" x14ac:dyDescent="0.2">
      <c r="A54" s="11" t="s">
        <v>474</v>
      </c>
      <c r="B54" s="11" t="s">
        <v>340</v>
      </c>
    </row>
    <row r="55" spans="1:3" x14ac:dyDescent="0.2">
      <c r="A55" s="11" t="s">
        <v>475</v>
      </c>
      <c r="B55" s="29" t="s">
        <v>476</v>
      </c>
    </row>
    <row r="56" spans="1:3" x14ac:dyDescent="0.2">
      <c r="A56" s="11" t="s">
        <v>477</v>
      </c>
      <c r="B56" s="29" t="s">
        <v>478</v>
      </c>
    </row>
    <row r="57" spans="1:3" x14ac:dyDescent="0.2">
      <c r="A57" s="11" t="s">
        <v>479</v>
      </c>
    </row>
    <row r="58" spans="1:3" x14ac:dyDescent="0.2">
      <c r="A58" s="11" t="s">
        <v>480</v>
      </c>
    </row>
    <row r="59" spans="1:3" x14ac:dyDescent="0.2">
      <c r="A59" s="11" t="s">
        <v>481</v>
      </c>
    </row>
    <row r="60" spans="1:3" x14ac:dyDescent="0.2">
      <c r="A60" s="11" t="s">
        <v>482</v>
      </c>
    </row>
    <row r="61" spans="1:3" x14ac:dyDescent="0.2">
      <c r="A61" s="11" t="s">
        <v>483</v>
      </c>
    </row>
    <row r="62" spans="1:3" x14ac:dyDescent="0.2">
      <c r="A62" s="11" t="s">
        <v>484</v>
      </c>
    </row>
    <row r="63" spans="1:3" x14ac:dyDescent="0.2">
      <c r="A63" s="11" t="s">
        <v>485</v>
      </c>
      <c r="B63" s="11" t="s">
        <v>323</v>
      </c>
    </row>
    <row r="64" spans="1:3" x14ac:dyDescent="0.2">
      <c r="A64" s="11" t="s">
        <v>486</v>
      </c>
      <c r="B64" s="11" t="s">
        <v>114</v>
      </c>
    </row>
    <row r="65" spans="1:3" x14ac:dyDescent="0.2">
      <c r="A65" s="11" t="s">
        <v>487</v>
      </c>
      <c r="B65" s="11" t="s">
        <v>345</v>
      </c>
    </row>
    <row r="66" spans="1:3" x14ac:dyDescent="0.2">
      <c r="A66" s="11" t="s">
        <v>488</v>
      </c>
      <c r="B66" s="29" t="s">
        <v>139</v>
      </c>
    </row>
    <row r="67" spans="1:3" x14ac:dyDescent="0.2">
      <c r="A67" s="11" t="s">
        <v>489</v>
      </c>
    </row>
    <row r="68" spans="1:3" x14ac:dyDescent="0.2">
      <c r="A68" s="11" t="s">
        <v>490</v>
      </c>
    </row>
    <row r="69" spans="1:3" x14ac:dyDescent="0.2">
      <c r="A69" s="11" t="s">
        <v>491</v>
      </c>
    </row>
    <row r="70" spans="1:3" x14ac:dyDescent="0.2">
      <c r="A70" s="11" t="s">
        <v>492</v>
      </c>
      <c r="B70" s="29" t="s">
        <v>493</v>
      </c>
      <c r="C70" s="11" t="s">
        <v>168</v>
      </c>
    </row>
    <row r="71" spans="1:3" x14ac:dyDescent="0.2">
      <c r="A71" s="11" t="s">
        <v>494</v>
      </c>
    </row>
    <row r="72" spans="1:3" x14ac:dyDescent="0.2">
      <c r="A72" s="11" t="s">
        <v>495</v>
      </c>
      <c r="B72" s="11" t="s">
        <v>496</v>
      </c>
      <c r="C72" s="11" t="s">
        <v>254</v>
      </c>
    </row>
    <row r="73" spans="1:3" x14ac:dyDescent="0.2">
      <c r="A73" s="11" t="s">
        <v>497</v>
      </c>
    </row>
    <row r="74" spans="1:3" x14ac:dyDescent="0.2">
      <c r="A74" s="11" t="s">
        <v>498</v>
      </c>
    </row>
    <row r="75" spans="1:3" x14ac:dyDescent="0.2">
      <c r="A75" s="11" t="s">
        <v>499</v>
      </c>
      <c r="B75" s="11" t="s">
        <v>500</v>
      </c>
    </row>
    <row r="76" spans="1:3" x14ac:dyDescent="0.2">
      <c r="A76" s="11" t="s">
        <v>501</v>
      </c>
    </row>
    <row r="77" spans="1:3" x14ac:dyDescent="0.2">
      <c r="A77" s="11" t="s">
        <v>502</v>
      </c>
      <c r="B77" s="11" t="s">
        <v>280</v>
      </c>
      <c r="C77" s="11" t="s">
        <v>337</v>
      </c>
    </row>
    <row r="78" spans="1:3" x14ac:dyDescent="0.2">
      <c r="A78" s="11" t="s">
        <v>503</v>
      </c>
    </row>
    <row r="79" spans="1:3" x14ac:dyDescent="0.2">
      <c r="A79" s="11" t="s">
        <v>504</v>
      </c>
    </row>
    <row r="80" spans="1:3" x14ac:dyDescent="0.2">
      <c r="A80" s="11" t="s">
        <v>505</v>
      </c>
    </row>
    <row r="81" spans="1:1" x14ac:dyDescent="0.2">
      <c r="A81" s="11" t="s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5.1640625" customWidth="1"/>
    <col min="2" max="2" width="18.5" customWidth="1"/>
    <col min="3" max="3" width="14.5" customWidth="1"/>
    <col min="4" max="4" width="17.1640625" customWidth="1"/>
    <col min="5" max="5" width="21.5" customWidth="1"/>
    <col min="6" max="6" width="15.83203125" customWidth="1"/>
    <col min="7" max="7" width="13.5" customWidth="1"/>
    <col min="8" max="11" width="9.5" customWidth="1"/>
  </cols>
  <sheetData>
    <row r="1" spans="1:11" x14ac:dyDescent="0.2">
      <c r="A1" s="16" t="s">
        <v>10</v>
      </c>
      <c r="B1" s="16" t="s">
        <v>18</v>
      </c>
      <c r="C1" s="16" t="s">
        <v>11</v>
      </c>
      <c r="D1" s="16" t="s">
        <v>1</v>
      </c>
      <c r="E1" s="16" t="s">
        <v>507</v>
      </c>
      <c r="F1" s="16" t="s">
        <v>3</v>
      </c>
      <c r="G1" s="16" t="s">
        <v>508</v>
      </c>
      <c r="H1" s="16" t="s">
        <v>509</v>
      </c>
      <c r="I1" s="16" t="s">
        <v>8</v>
      </c>
      <c r="J1" s="30"/>
      <c r="K1" s="30"/>
    </row>
    <row r="2" spans="1:11" x14ac:dyDescent="0.2">
      <c r="A2" s="19">
        <v>9</v>
      </c>
      <c r="B2" s="19" t="s">
        <v>34</v>
      </c>
      <c r="C2" s="19" t="s">
        <v>29</v>
      </c>
      <c r="D2" s="19" t="s">
        <v>30</v>
      </c>
      <c r="E2" s="19" t="s">
        <v>31</v>
      </c>
      <c r="F2" s="19"/>
      <c r="G2" s="19"/>
      <c r="H2" s="19"/>
      <c r="I2" s="19" t="s">
        <v>32</v>
      </c>
      <c r="J2" s="30"/>
      <c r="K2" s="30"/>
    </row>
    <row r="3" spans="1:11" x14ac:dyDescent="0.2">
      <c r="A3" s="19">
        <v>16</v>
      </c>
      <c r="B3" s="19" t="s">
        <v>34</v>
      </c>
      <c r="C3" s="19" t="s">
        <v>35</v>
      </c>
      <c r="D3" s="19" t="s">
        <v>30</v>
      </c>
      <c r="E3" s="19" t="s">
        <v>36</v>
      </c>
      <c r="F3" s="19"/>
      <c r="G3" s="19"/>
      <c r="H3" s="19"/>
      <c r="I3" s="19" t="s">
        <v>32</v>
      </c>
      <c r="J3" s="30"/>
      <c r="K3" s="30"/>
    </row>
    <row r="4" spans="1:11" x14ac:dyDescent="0.2">
      <c r="A4" s="19">
        <v>107</v>
      </c>
      <c r="B4" s="19" t="s">
        <v>39</v>
      </c>
      <c r="C4" s="19" t="s">
        <v>37</v>
      </c>
      <c r="D4" s="19" t="s">
        <v>30</v>
      </c>
      <c r="E4" s="19"/>
      <c r="F4" s="19" t="s">
        <v>38</v>
      </c>
      <c r="G4" s="19"/>
      <c r="H4" s="19"/>
      <c r="I4" s="19"/>
      <c r="J4" s="30"/>
      <c r="K4" s="30"/>
    </row>
    <row r="5" spans="1:11" ht="25" x14ac:dyDescent="0.2">
      <c r="A5" s="19">
        <v>155</v>
      </c>
      <c r="B5" s="19" t="s">
        <v>44</v>
      </c>
      <c r="C5" s="19" t="s">
        <v>40</v>
      </c>
      <c r="D5" s="19" t="s">
        <v>41</v>
      </c>
      <c r="E5" s="19" t="s">
        <v>42</v>
      </c>
      <c r="F5" s="19" t="s">
        <v>43</v>
      </c>
      <c r="G5" s="19"/>
      <c r="H5" s="19"/>
      <c r="I5" s="19"/>
      <c r="J5" s="30"/>
      <c r="K5" s="30"/>
    </row>
    <row r="6" spans="1:11" ht="25" x14ac:dyDescent="0.2">
      <c r="A6" s="19">
        <v>57</v>
      </c>
      <c r="B6" s="19" t="s">
        <v>50</v>
      </c>
      <c r="C6" s="19" t="s">
        <v>46</v>
      </c>
      <c r="D6" s="19" t="s">
        <v>47</v>
      </c>
      <c r="E6" s="19" t="s">
        <v>48</v>
      </c>
      <c r="F6" s="19"/>
      <c r="G6" s="19" t="s">
        <v>49</v>
      </c>
      <c r="H6" s="19"/>
      <c r="I6" s="19"/>
      <c r="J6" s="30"/>
      <c r="K6" s="30"/>
    </row>
    <row r="7" spans="1:11" ht="25" x14ac:dyDescent="0.2">
      <c r="A7" s="19">
        <v>67</v>
      </c>
      <c r="B7" s="19" t="s">
        <v>50</v>
      </c>
      <c r="C7" s="19" t="s">
        <v>51</v>
      </c>
      <c r="D7" s="19" t="s">
        <v>47</v>
      </c>
      <c r="E7" s="19" t="s">
        <v>52</v>
      </c>
      <c r="F7" s="19"/>
      <c r="G7" s="19" t="s">
        <v>53</v>
      </c>
      <c r="H7" s="19"/>
      <c r="I7" s="19"/>
      <c r="J7" s="30"/>
      <c r="K7" s="30"/>
    </row>
    <row r="8" spans="1:11" x14ac:dyDescent="0.2">
      <c r="A8" s="19">
        <v>114</v>
      </c>
      <c r="B8" s="19" t="s">
        <v>39</v>
      </c>
      <c r="C8" s="19" t="s">
        <v>54</v>
      </c>
      <c r="D8" s="19" t="s">
        <v>47</v>
      </c>
      <c r="E8" s="19"/>
      <c r="F8" s="19" t="s">
        <v>38</v>
      </c>
      <c r="G8" s="19" t="s">
        <v>55</v>
      </c>
      <c r="H8" s="19"/>
      <c r="I8" s="19"/>
      <c r="J8" s="30"/>
      <c r="K8" s="30"/>
    </row>
    <row r="9" spans="1:11" x14ac:dyDescent="0.2">
      <c r="A9" s="19">
        <v>203</v>
      </c>
      <c r="B9" s="19" t="s">
        <v>58</v>
      </c>
      <c r="C9" s="19" t="s">
        <v>56</v>
      </c>
      <c r="D9" s="19" t="s">
        <v>47</v>
      </c>
      <c r="E9" s="19" t="s">
        <v>57</v>
      </c>
      <c r="F9" s="19" t="s">
        <v>38</v>
      </c>
      <c r="G9" s="19"/>
      <c r="H9" s="19"/>
      <c r="I9" s="19"/>
      <c r="J9" s="30"/>
      <c r="K9" s="30"/>
    </row>
    <row r="10" spans="1:11" x14ac:dyDescent="0.2">
      <c r="A10" s="19">
        <v>108</v>
      </c>
      <c r="B10" s="19" t="s">
        <v>39</v>
      </c>
      <c r="C10" s="19" t="s">
        <v>59</v>
      </c>
      <c r="D10" s="19" t="s">
        <v>60</v>
      </c>
      <c r="E10" s="19"/>
      <c r="F10" s="19" t="s">
        <v>38</v>
      </c>
      <c r="G10" s="19"/>
      <c r="H10" s="19"/>
      <c r="I10" s="19"/>
      <c r="J10" s="30"/>
      <c r="K10" s="30"/>
    </row>
    <row r="11" spans="1:11" x14ac:dyDescent="0.2">
      <c r="A11" s="19">
        <v>184</v>
      </c>
      <c r="B11" s="19" t="s">
        <v>63</v>
      </c>
      <c r="C11" s="19" t="s">
        <v>61</v>
      </c>
      <c r="D11" s="19" t="s">
        <v>60</v>
      </c>
      <c r="E11" s="19"/>
      <c r="F11" s="19" t="s">
        <v>38</v>
      </c>
      <c r="G11" s="19" t="s">
        <v>62</v>
      </c>
      <c r="H11" s="19"/>
      <c r="I11" s="19"/>
      <c r="J11" s="30"/>
      <c r="K11" s="30"/>
    </row>
    <row r="12" spans="1:11" ht="25" x14ac:dyDescent="0.2">
      <c r="A12" s="20">
        <v>54</v>
      </c>
      <c r="B12" s="20" t="s">
        <v>50</v>
      </c>
      <c r="C12" s="20" t="s">
        <v>64</v>
      </c>
      <c r="D12" s="20" t="s">
        <v>65</v>
      </c>
      <c r="E12" s="20" t="s">
        <v>48</v>
      </c>
      <c r="F12" s="20"/>
      <c r="G12" s="20"/>
      <c r="H12" s="20" t="s">
        <v>66</v>
      </c>
      <c r="I12" s="20"/>
      <c r="J12" s="30"/>
      <c r="K12" s="30"/>
    </row>
    <row r="13" spans="1:11" ht="25" x14ac:dyDescent="0.2">
      <c r="A13" s="19">
        <v>59</v>
      </c>
      <c r="B13" s="19" t="s">
        <v>50</v>
      </c>
      <c r="C13" s="19" t="s">
        <v>67</v>
      </c>
      <c r="D13" s="19" t="s">
        <v>65</v>
      </c>
      <c r="E13" s="19" t="s">
        <v>48</v>
      </c>
      <c r="F13" s="19"/>
      <c r="G13" s="19" t="s">
        <v>68</v>
      </c>
      <c r="H13" s="19" t="s">
        <v>66</v>
      </c>
      <c r="I13" s="19"/>
      <c r="J13" s="30"/>
      <c r="K13" s="30"/>
    </row>
    <row r="14" spans="1:11" ht="25" x14ac:dyDescent="0.2">
      <c r="A14" s="19">
        <v>60</v>
      </c>
      <c r="B14" s="19" t="s">
        <v>50</v>
      </c>
      <c r="C14" s="19" t="s">
        <v>69</v>
      </c>
      <c r="D14" s="19" t="s">
        <v>65</v>
      </c>
      <c r="E14" s="19" t="s">
        <v>48</v>
      </c>
      <c r="F14" s="19"/>
      <c r="G14" s="19" t="s">
        <v>70</v>
      </c>
      <c r="H14" s="19" t="s">
        <v>71</v>
      </c>
      <c r="I14" s="19"/>
      <c r="J14" s="30"/>
      <c r="K14" s="30"/>
    </row>
    <row r="15" spans="1:11" ht="25" x14ac:dyDescent="0.2">
      <c r="A15" s="19">
        <v>63</v>
      </c>
      <c r="B15" s="19" t="s">
        <v>50</v>
      </c>
      <c r="C15" s="19" t="s">
        <v>72</v>
      </c>
      <c r="D15" s="19" t="s">
        <v>65</v>
      </c>
      <c r="E15" s="19" t="s">
        <v>48</v>
      </c>
      <c r="F15" s="19"/>
      <c r="G15" s="19" t="s">
        <v>73</v>
      </c>
      <c r="H15" s="19" t="s">
        <v>74</v>
      </c>
      <c r="I15" s="19"/>
      <c r="J15" s="30"/>
      <c r="K15" s="30"/>
    </row>
    <row r="16" spans="1:11" ht="25" x14ac:dyDescent="0.2">
      <c r="A16" s="19">
        <v>64</v>
      </c>
      <c r="B16" s="19" t="s">
        <v>50</v>
      </c>
      <c r="C16" s="19" t="s">
        <v>75</v>
      </c>
      <c r="D16" s="19" t="s">
        <v>65</v>
      </c>
      <c r="E16" s="19" t="s">
        <v>48</v>
      </c>
      <c r="F16" s="19"/>
      <c r="G16" s="19" t="s">
        <v>76</v>
      </c>
      <c r="H16" s="19" t="s">
        <v>66</v>
      </c>
      <c r="I16" s="19"/>
      <c r="J16" s="30"/>
      <c r="K16" s="30"/>
    </row>
    <row r="17" spans="1:11" ht="25" x14ac:dyDescent="0.2">
      <c r="A17" s="19">
        <v>66</v>
      </c>
      <c r="B17" s="19" t="s">
        <v>50</v>
      </c>
      <c r="C17" s="19" t="s">
        <v>77</v>
      </c>
      <c r="D17" s="19" t="s">
        <v>65</v>
      </c>
      <c r="E17" s="19" t="s">
        <v>52</v>
      </c>
      <c r="F17" s="19" t="s">
        <v>78</v>
      </c>
      <c r="G17" s="19" t="s">
        <v>79</v>
      </c>
      <c r="H17" s="19" t="s">
        <v>66</v>
      </c>
      <c r="I17" s="19"/>
      <c r="J17" s="30"/>
      <c r="K17" s="30"/>
    </row>
    <row r="18" spans="1:11" x14ac:dyDescent="0.2">
      <c r="A18" s="19">
        <v>70</v>
      </c>
      <c r="B18" s="19" t="s">
        <v>82</v>
      </c>
      <c r="C18" s="19" t="s">
        <v>80</v>
      </c>
      <c r="D18" s="19" t="s">
        <v>65</v>
      </c>
      <c r="E18" s="19" t="s">
        <v>81</v>
      </c>
      <c r="F18" s="19"/>
      <c r="G18" s="19"/>
      <c r="H18" s="19"/>
      <c r="I18" s="19"/>
      <c r="J18" s="30"/>
      <c r="K18" s="30"/>
    </row>
    <row r="19" spans="1:11" x14ac:dyDescent="0.2">
      <c r="A19" s="19">
        <v>71</v>
      </c>
      <c r="B19" s="19" t="s">
        <v>82</v>
      </c>
      <c r="C19" s="19" t="s">
        <v>83</v>
      </c>
      <c r="D19" s="19" t="s">
        <v>65</v>
      </c>
      <c r="E19" s="19" t="s">
        <v>84</v>
      </c>
      <c r="F19" s="19"/>
      <c r="G19" s="19"/>
      <c r="H19" s="19"/>
      <c r="I19" s="19"/>
      <c r="J19" s="30"/>
      <c r="K19" s="30"/>
    </row>
    <row r="20" spans="1:11" x14ac:dyDescent="0.2">
      <c r="A20" s="19">
        <v>124</v>
      </c>
      <c r="B20" s="19" t="s">
        <v>39</v>
      </c>
      <c r="C20" s="19" t="s">
        <v>85</v>
      </c>
      <c r="D20" s="19" t="s">
        <v>65</v>
      </c>
      <c r="E20" s="19"/>
      <c r="F20" s="19" t="s">
        <v>38</v>
      </c>
      <c r="G20" s="19" t="s">
        <v>86</v>
      </c>
      <c r="H20" s="19"/>
      <c r="I20" s="19"/>
      <c r="J20" s="30"/>
      <c r="K20" s="30"/>
    </row>
    <row r="21" spans="1:11" ht="15.75" customHeight="1" x14ac:dyDescent="0.2">
      <c r="A21" s="19">
        <v>125</v>
      </c>
      <c r="B21" s="19" t="s">
        <v>39</v>
      </c>
      <c r="C21" s="19" t="s">
        <v>87</v>
      </c>
      <c r="D21" s="19" t="s">
        <v>65</v>
      </c>
      <c r="E21" s="19"/>
      <c r="F21" s="19" t="s">
        <v>38</v>
      </c>
      <c r="G21" s="19" t="s">
        <v>88</v>
      </c>
      <c r="H21" s="19" t="s">
        <v>52</v>
      </c>
      <c r="I21" s="19"/>
      <c r="J21" s="30"/>
      <c r="K21" s="30"/>
    </row>
    <row r="22" spans="1:11" ht="15.75" customHeight="1" x14ac:dyDescent="0.2">
      <c r="A22" s="19">
        <v>128</v>
      </c>
      <c r="B22" s="19" t="s">
        <v>44</v>
      </c>
      <c r="C22" s="19" t="s">
        <v>89</v>
      </c>
      <c r="D22" s="19" t="s">
        <v>65</v>
      </c>
      <c r="E22" s="19" t="s">
        <v>30</v>
      </c>
      <c r="F22" s="19" t="s">
        <v>90</v>
      </c>
      <c r="G22" s="19"/>
      <c r="H22" s="19"/>
      <c r="I22" s="19"/>
      <c r="J22" s="30"/>
      <c r="K22" s="30"/>
    </row>
    <row r="23" spans="1:11" ht="15.75" customHeight="1" x14ac:dyDescent="0.2">
      <c r="A23" s="19">
        <v>152</v>
      </c>
      <c r="B23" s="19" t="s">
        <v>44</v>
      </c>
      <c r="C23" s="19" t="s">
        <v>91</v>
      </c>
      <c r="D23" s="19" t="s">
        <v>65</v>
      </c>
      <c r="E23" s="19" t="s">
        <v>92</v>
      </c>
      <c r="F23" s="19" t="s">
        <v>38</v>
      </c>
      <c r="G23" s="19" t="s">
        <v>86</v>
      </c>
      <c r="H23" s="19"/>
      <c r="I23" s="19"/>
      <c r="J23" s="30"/>
      <c r="K23" s="30"/>
    </row>
    <row r="24" spans="1:11" ht="15.75" customHeight="1" x14ac:dyDescent="0.2">
      <c r="A24" s="19">
        <v>185</v>
      </c>
      <c r="B24" s="19" t="s">
        <v>63</v>
      </c>
      <c r="C24" s="19" t="s">
        <v>93</v>
      </c>
      <c r="D24" s="19" t="s">
        <v>65</v>
      </c>
      <c r="E24" s="19" t="s">
        <v>86</v>
      </c>
      <c r="F24" s="19" t="s">
        <v>38</v>
      </c>
      <c r="G24" s="19" t="s">
        <v>62</v>
      </c>
      <c r="H24" s="19"/>
      <c r="I24" s="19"/>
      <c r="J24" s="30"/>
      <c r="K24" s="30"/>
    </row>
    <row r="25" spans="1:11" ht="15.75" customHeight="1" x14ac:dyDescent="0.2">
      <c r="A25" s="19">
        <v>200</v>
      </c>
      <c r="B25" s="19" t="s">
        <v>58</v>
      </c>
      <c r="C25" s="19" t="s">
        <v>94</v>
      </c>
      <c r="D25" s="19" t="s">
        <v>65</v>
      </c>
      <c r="E25" s="19" t="s">
        <v>57</v>
      </c>
      <c r="F25" s="19" t="s">
        <v>38</v>
      </c>
      <c r="G25" s="19"/>
      <c r="H25" s="19"/>
      <c r="I25" s="19"/>
      <c r="J25" s="30"/>
      <c r="K25" s="30"/>
    </row>
    <row r="26" spans="1:11" ht="15.75" customHeight="1" x14ac:dyDescent="0.2">
      <c r="A26" s="20">
        <v>209</v>
      </c>
      <c r="B26" s="20" t="s">
        <v>97</v>
      </c>
      <c r="C26" s="20" t="s">
        <v>95</v>
      </c>
      <c r="D26" s="20" t="s">
        <v>65</v>
      </c>
      <c r="E26" s="20"/>
      <c r="F26" s="20"/>
      <c r="G26" s="20" t="s">
        <v>86</v>
      </c>
      <c r="H26" s="20" t="s">
        <v>96</v>
      </c>
      <c r="I26" s="20"/>
      <c r="J26" s="30"/>
      <c r="K26" s="30"/>
    </row>
    <row r="27" spans="1:11" ht="15.75" customHeight="1" x14ac:dyDescent="0.2">
      <c r="A27" s="19">
        <v>159</v>
      </c>
      <c r="B27" s="19" t="s">
        <v>101</v>
      </c>
      <c r="C27" s="19" t="s">
        <v>98</v>
      </c>
      <c r="D27" s="19" t="s">
        <v>99</v>
      </c>
      <c r="E27" s="19" t="s">
        <v>100</v>
      </c>
      <c r="F27" s="19" t="s">
        <v>38</v>
      </c>
      <c r="G27" s="19"/>
      <c r="H27" s="19"/>
      <c r="I27" s="19"/>
      <c r="J27" s="30"/>
      <c r="K27" s="30"/>
    </row>
    <row r="28" spans="1:11" ht="15.75" customHeight="1" x14ac:dyDescent="0.2">
      <c r="A28" s="19">
        <v>17</v>
      </c>
      <c r="B28" s="19" t="s">
        <v>34</v>
      </c>
      <c r="C28" s="19" t="s">
        <v>102</v>
      </c>
      <c r="D28" s="19" t="s">
        <v>49</v>
      </c>
      <c r="E28" s="19" t="s">
        <v>31</v>
      </c>
      <c r="F28" s="19"/>
      <c r="G28" s="19"/>
      <c r="H28" s="19"/>
      <c r="I28" s="19"/>
      <c r="J28" s="30"/>
      <c r="K28" s="30"/>
    </row>
    <row r="29" spans="1:11" ht="15.75" customHeight="1" x14ac:dyDescent="0.2">
      <c r="A29" s="19">
        <v>56</v>
      </c>
      <c r="B29" s="19" t="s">
        <v>50</v>
      </c>
      <c r="C29" s="19" t="s">
        <v>103</v>
      </c>
      <c r="D29" s="19" t="s">
        <v>49</v>
      </c>
      <c r="E29" s="19" t="s">
        <v>53</v>
      </c>
      <c r="F29" s="19"/>
      <c r="G29" s="19" t="s">
        <v>104</v>
      </c>
      <c r="H29" s="19"/>
      <c r="I29" s="19"/>
      <c r="J29" s="30"/>
      <c r="K29" s="30"/>
    </row>
    <row r="30" spans="1:11" ht="15.75" customHeight="1" x14ac:dyDescent="0.2">
      <c r="A30" s="19">
        <v>68</v>
      </c>
      <c r="B30" s="19" t="s">
        <v>50</v>
      </c>
      <c r="C30" s="19" t="s">
        <v>105</v>
      </c>
      <c r="D30" s="19" t="s">
        <v>49</v>
      </c>
      <c r="E30" s="19" t="s">
        <v>52</v>
      </c>
      <c r="F30" s="19"/>
      <c r="G30" s="19" t="s">
        <v>100</v>
      </c>
      <c r="H30" s="19" t="s">
        <v>66</v>
      </c>
      <c r="I30" s="19" t="s">
        <v>3</v>
      </c>
      <c r="J30" s="30"/>
      <c r="K30" s="30"/>
    </row>
    <row r="31" spans="1:11" ht="15.75" customHeight="1" x14ac:dyDescent="0.2">
      <c r="A31" s="19">
        <v>69</v>
      </c>
      <c r="B31" s="19" t="s">
        <v>50</v>
      </c>
      <c r="C31" s="19" t="s">
        <v>106</v>
      </c>
      <c r="D31" s="19" t="s">
        <v>49</v>
      </c>
      <c r="E31" s="19" t="s">
        <v>107</v>
      </c>
      <c r="F31" s="19"/>
      <c r="G31" s="19" t="s">
        <v>108</v>
      </c>
      <c r="H31" s="19" t="s">
        <v>74</v>
      </c>
      <c r="I31" s="19" t="s">
        <v>3</v>
      </c>
      <c r="J31" s="30"/>
      <c r="K31" s="30"/>
    </row>
    <row r="32" spans="1:11" ht="15.75" customHeight="1" x14ac:dyDescent="0.2">
      <c r="A32" s="19">
        <v>72</v>
      </c>
      <c r="B32" s="19" t="s">
        <v>82</v>
      </c>
      <c r="C32" s="19" t="s">
        <v>109</v>
      </c>
      <c r="D32" s="19" t="s">
        <v>49</v>
      </c>
      <c r="E32" s="19" t="s">
        <v>62</v>
      </c>
      <c r="F32" s="19"/>
      <c r="G32" s="19"/>
      <c r="H32" s="19"/>
      <c r="I32" s="19"/>
      <c r="J32" s="30"/>
      <c r="K32" s="30"/>
    </row>
    <row r="33" spans="1:11" ht="15.75" customHeight="1" x14ac:dyDescent="0.2">
      <c r="A33" s="19">
        <v>149</v>
      </c>
      <c r="B33" s="19" t="s">
        <v>44</v>
      </c>
      <c r="C33" s="19" t="s">
        <v>110</v>
      </c>
      <c r="D33" s="19" t="s">
        <v>49</v>
      </c>
      <c r="E33" s="19" t="s">
        <v>108</v>
      </c>
      <c r="F33" s="19" t="s">
        <v>38</v>
      </c>
      <c r="G33" s="19" t="s">
        <v>52</v>
      </c>
      <c r="H33" s="19"/>
      <c r="I33" s="19"/>
      <c r="J33" s="30"/>
      <c r="K33" s="30"/>
    </row>
    <row r="34" spans="1:11" ht="15.75" customHeight="1" x14ac:dyDescent="0.2">
      <c r="A34" s="19">
        <v>154</v>
      </c>
      <c r="B34" s="19" t="s">
        <v>44</v>
      </c>
      <c r="C34" s="19" t="s">
        <v>111</v>
      </c>
      <c r="D34" s="19" t="s">
        <v>49</v>
      </c>
      <c r="E34" s="19" t="s">
        <v>112</v>
      </c>
      <c r="F34" s="19" t="s">
        <v>113</v>
      </c>
      <c r="G34" s="19" t="s">
        <v>114</v>
      </c>
      <c r="H34" s="19"/>
      <c r="I34" s="19"/>
      <c r="J34" s="30"/>
      <c r="K34" s="30"/>
    </row>
    <row r="35" spans="1:11" ht="15.75" customHeight="1" x14ac:dyDescent="0.2">
      <c r="A35" s="20">
        <v>157</v>
      </c>
      <c r="B35" s="20" t="s">
        <v>101</v>
      </c>
      <c r="C35" s="20" t="s">
        <v>116</v>
      </c>
      <c r="D35" s="20" t="s">
        <v>49</v>
      </c>
      <c r="E35" s="20" t="s">
        <v>100</v>
      </c>
      <c r="F35" s="20" t="s">
        <v>38</v>
      </c>
      <c r="G35" s="20"/>
      <c r="H35" s="20"/>
      <c r="I35" s="20"/>
      <c r="J35" s="30"/>
      <c r="K35" s="30"/>
    </row>
    <row r="36" spans="1:11" ht="15.75" customHeight="1" x14ac:dyDescent="0.2">
      <c r="A36" s="19">
        <v>160</v>
      </c>
      <c r="B36" s="19" t="s">
        <v>101</v>
      </c>
      <c r="C36" s="19" t="s">
        <v>117</v>
      </c>
      <c r="D36" s="19" t="s">
        <v>49</v>
      </c>
      <c r="E36" s="19" t="s">
        <v>100</v>
      </c>
      <c r="F36" s="19" t="s">
        <v>38</v>
      </c>
      <c r="G36" s="19"/>
      <c r="H36" s="19" t="s">
        <v>118</v>
      </c>
      <c r="I36" s="19"/>
      <c r="J36" s="30"/>
      <c r="K36" s="30"/>
    </row>
    <row r="37" spans="1:11" ht="15.75" customHeight="1" x14ac:dyDescent="0.2">
      <c r="A37" s="19">
        <v>161</v>
      </c>
      <c r="B37" s="19" t="s">
        <v>101</v>
      </c>
      <c r="C37" s="19" t="s">
        <v>119</v>
      </c>
      <c r="D37" s="19" t="s">
        <v>49</v>
      </c>
      <c r="E37" s="19" t="s">
        <v>100</v>
      </c>
      <c r="F37" s="19" t="s">
        <v>38</v>
      </c>
      <c r="G37" s="19"/>
      <c r="H37" s="19" t="s">
        <v>120</v>
      </c>
      <c r="I37" s="19"/>
      <c r="J37" s="30"/>
      <c r="K37" s="30"/>
    </row>
    <row r="38" spans="1:11" ht="15.75" customHeight="1" x14ac:dyDescent="0.2">
      <c r="A38" s="19">
        <v>162</v>
      </c>
      <c r="B38" s="19" t="s">
        <v>101</v>
      </c>
      <c r="C38" s="19" t="s">
        <v>121</v>
      </c>
      <c r="D38" s="19" t="s">
        <v>49</v>
      </c>
      <c r="E38" s="19" t="s">
        <v>100</v>
      </c>
      <c r="F38" s="19" t="s">
        <v>38</v>
      </c>
      <c r="G38" s="19"/>
      <c r="H38" s="19" t="s">
        <v>70</v>
      </c>
      <c r="I38" s="19"/>
      <c r="J38" s="30"/>
      <c r="K38" s="30"/>
    </row>
    <row r="39" spans="1:11" ht="15.75" customHeight="1" x14ac:dyDescent="0.2">
      <c r="A39" s="19">
        <v>163</v>
      </c>
      <c r="B39" s="19" t="s">
        <v>101</v>
      </c>
      <c r="C39" s="19" t="s">
        <v>122</v>
      </c>
      <c r="D39" s="19" t="s">
        <v>49</v>
      </c>
      <c r="E39" s="19" t="s">
        <v>100</v>
      </c>
      <c r="F39" s="19" t="s">
        <v>38</v>
      </c>
      <c r="G39" s="19" t="s">
        <v>66</v>
      </c>
      <c r="H39" s="19" t="s">
        <v>78</v>
      </c>
      <c r="I39" s="19"/>
      <c r="J39" s="30"/>
      <c r="K39" s="30"/>
    </row>
    <row r="40" spans="1:11" ht="15.75" customHeight="1" x14ac:dyDescent="0.2">
      <c r="A40" s="19">
        <v>198</v>
      </c>
      <c r="B40" s="19" t="s">
        <v>58</v>
      </c>
      <c r="C40" s="19" t="s">
        <v>123</v>
      </c>
      <c r="D40" s="19" t="s">
        <v>49</v>
      </c>
      <c r="E40" s="19" t="s">
        <v>57</v>
      </c>
      <c r="F40" s="19" t="s">
        <v>38</v>
      </c>
      <c r="G40" s="19"/>
      <c r="H40" s="19"/>
      <c r="I40" s="19"/>
      <c r="J40" s="30"/>
      <c r="K40" s="30"/>
    </row>
    <row r="41" spans="1:11" ht="15.75" customHeight="1" x14ac:dyDescent="0.2">
      <c r="A41" s="19">
        <v>164</v>
      </c>
      <c r="B41" s="19" t="s">
        <v>101</v>
      </c>
      <c r="C41" s="19" t="s">
        <v>124</v>
      </c>
      <c r="D41" s="19" t="s">
        <v>125</v>
      </c>
      <c r="E41" s="19" t="s">
        <v>100</v>
      </c>
      <c r="F41" s="19" t="s">
        <v>38</v>
      </c>
      <c r="G41" s="19" t="s">
        <v>74</v>
      </c>
      <c r="H41" s="19" t="s">
        <v>126</v>
      </c>
      <c r="I41" s="19"/>
      <c r="J41" s="30"/>
      <c r="K41" s="30"/>
    </row>
    <row r="42" spans="1:11" ht="15.75" customHeight="1" x14ac:dyDescent="0.2">
      <c r="A42" s="19">
        <v>175</v>
      </c>
      <c r="B42" s="19" t="s">
        <v>101</v>
      </c>
      <c r="C42" s="19" t="s">
        <v>127</v>
      </c>
      <c r="D42" s="19" t="s">
        <v>128</v>
      </c>
      <c r="E42" s="19" t="s">
        <v>100</v>
      </c>
      <c r="F42" s="19" t="s">
        <v>90</v>
      </c>
      <c r="G42" s="19" t="s">
        <v>66</v>
      </c>
      <c r="H42" s="19" t="s">
        <v>129</v>
      </c>
      <c r="I42" s="19"/>
      <c r="J42" s="30"/>
      <c r="K42" s="30"/>
    </row>
    <row r="43" spans="1:11" ht="15.75" customHeight="1" x14ac:dyDescent="0.2">
      <c r="A43" s="19">
        <v>121</v>
      </c>
      <c r="B43" s="19" t="s">
        <v>39</v>
      </c>
      <c r="C43" s="19" t="s">
        <v>130</v>
      </c>
      <c r="D43" s="19" t="s">
        <v>131</v>
      </c>
      <c r="E43" s="19"/>
      <c r="F43" s="19" t="s">
        <v>38</v>
      </c>
      <c r="G43" s="19" t="s">
        <v>86</v>
      </c>
      <c r="H43" s="19"/>
      <c r="I43" s="19"/>
      <c r="J43" s="30"/>
      <c r="K43" s="30"/>
    </row>
    <row r="44" spans="1:11" ht="15.75" customHeight="1" x14ac:dyDescent="0.2">
      <c r="A44" s="20">
        <v>167</v>
      </c>
      <c r="B44" s="20" t="s">
        <v>101</v>
      </c>
      <c r="C44" s="20" t="s">
        <v>132</v>
      </c>
      <c r="D44" s="20" t="s">
        <v>131</v>
      </c>
      <c r="E44" s="20" t="s">
        <v>100</v>
      </c>
      <c r="F44" s="20" t="s">
        <v>90</v>
      </c>
      <c r="G44" s="20"/>
      <c r="H44" s="20" t="s">
        <v>45</v>
      </c>
      <c r="I44" s="20"/>
      <c r="J44" s="30"/>
      <c r="K44" s="30"/>
    </row>
    <row r="45" spans="1:11" ht="15.75" customHeight="1" x14ac:dyDescent="0.2">
      <c r="A45" s="19">
        <v>169</v>
      </c>
      <c r="B45" s="19" t="s">
        <v>101</v>
      </c>
      <c r="C45" s="19" t="s">
        <v>133</v>
      </c>
      <c r="D45" s="19" t="s">
        <v>131</v>
      </c>
      <c r="E45" s="19" t="s">
        <v>100</v>
      </c>
      <c r="F45" s="19" t="s">
        <v>90</v>
      </c>
      <c r="G45" s="19"/>
      <c r="H45" s="19" t="s">
        <v>134</v>
      </c>
      <c r="I45" s="19"/>
      <c r="J45" s="30"/>
      <c r="K45" s="30"/>
    </row>
    <row r="46" spans="1:11" ht="15.75" customHeight="1" x14ac:dyDescent="0.2">
      <c r="A46" s="19">
        <v>7</v>
      </c>
      <c r="B46" s="19" t="s">
        <v>34</v>
      </c>
      <c r="C46" s="19" t="s">
        <v>135</v>
      </c>
      <c r="D46" s="19" t="s">
        <v>136</v>
      </c>
      <c r="E46" s="19" t="s">
        <v>137</v>
      </c>
      <c r="F46" s="19"/>
      <c r="G46" s="19"/>
      <c r="H46" s="19"/>
      <c r="I46" s="19" t="s">
        <v>32</v>
      </c>
      <c r="J46" s="30"/>
      <c r="K46" s="30"/>
    </row>
    <row r="47" spans="1:11" ht="15.75" customHeight="1" x14ac:dyDescent="0.2">
      <c r="A47" s="19">
        <v>20</v>
      </c>
      <c r="B47" s="19" t="s">
        <v>34</v>
      </c>
      <c r="C47" s="19" t="s">
        <v>138</v>
      </c>
      <c r="D47" s="19" t="s">
        <v>136</v>
      </c>
      <c r="E47" s="19" t="s">
        <v>139</v>
      </c>
      <c r="F47" s="19"/>
      <c r="G47" s="19"/>
      <c r="H47" s="19"/>
      <c r="I47" s="19"/>
      <c r="J47" s="30"/>
      <c r="K47" s="30"/>
    </row>
    <row r="48" spans="1:11" ht="15.75" customHeight="1" x14ac:dyDescent="0.2">
      <c r="A48" s="19">
        <v>24</v>
      </c>
      <c r="B48" s="19" t="s">
        <v>34</v>
      </c>
      <c r="C48" s="19" t="s">
        <v>140</v>
      </c>
      <c r="D48" s="19" t="s">
        <v>136</v>
      </c>
      <c r="E48" s="19" t="s">
        <v>104</v>
      </c>
      <c r="F48" s="19"/>
      <c r="G48" s="19"/>
      <c r="H48" s="19"/>
      <c r="I48" s="19"/>
      <c r="J48" s="30"/>
      <c r="K48" s="30"/>
    </row>
    <row r="49" spans="1:11" ht="15.75" customHeight="1" x14ac:dyDescent="0.2">
      <c r="A49" s="19">
        <v>25</v>
      </c>
      <c r="B49" s="19" t="s">
        <v>34</v>
      </c>
      <c r="C49" s="19" t="s">
        <v>141</v>
      </c>
      <c r="D49" s="19" t="s">
        <v>136</v>
      </c>
      <c r="E49" s="19" t="s">
        <v>114</v>
      </c>
      <c r="F49" s="19"/>
      <c r="G49" s="19"/>
      <c r="H49" s="19"/>
      <c r="I49" s="19"/>
      <c r="J49" s="30"/>
      <c r="K49" s="30"/>
    </row>
    <row r="50" spans="1:11" ht="15.75" customHeight="1" x14ac:dyDescent="0.2">
      <c r="A50" s="19">
        <v>10</v>
      </c>
      <c r="B50" s="19" t="s">
        <v>34</v>
      </c>
      <c r="C50" s="19" t="s">
        <v>142</v>
      </c>
      <c r="D50" s="19" t="s">
        <v>57</v>
      </c>
      <c r="E50" s="19" t="s">
        <v>31</v>
      </c>
      <c r="F50" s="19"/>
      <c r="G50" s="19"/>
      <c r="H50" s="19"/>
      <c r="I50" s="19" t="s">
        <v>32</v>
      </c>
      <c r="J50" s="30"/>
      <c r="K50" s="30"/>
    </row>
    <row r="51" spans="1:11" ht="15.75" customHeight="1" x14ac:dyDescent="0.2">
      <c r="A51" s="19">
        <v>168</v>
      </c>
      <c r="B51" s="19" t="s">
        <v>101</v>
      </c>
      <c r="C51" s="19" t="s">
        <v>143</v>
      </c>
      <c r="D51" s="19" t="s">
        <v>144</v>
      </c>
      <c r="E51" s="19" t="s">
        <v>100</v>
      </c>
      <c r="F51" s="19" t="s">
        <v>90</v>
      </c>
      <c r="G51" s="19"/>
      <c r="H51" s="19" t="s">
        <v>45</v>
      </c>
      <c r="I51" s="19"/>
      <c r="J51" s="30"/>
      <c r="K51" s="30"/>
    </row>
    <row r="52" spans="1:11" ht="15.75" customHeight="1" x14ac:dyDescent="0.2">
      <c r="A52" s="19">
        <v>11</v>
      </c>
      <c r="B52" s="19" t="s">
        <v>34</v>
      </c>
      <c r="C52" s="19" t="s">
        <v>145</v>
      </c>
      <c r="D52" s="19" t="s">
        <v>146</v>
      </c>
      <c r="E52" s="19" t="s">
        <v>31</v>
      </c>
      <c r="F52" s="19"/>
      <c r="G52" s="19"/>
      <c r="H52" s="19"/>
      <c r="I52" s="19" t="s">
        <v>32</v>
      </c>
      <c r="J52" s="30"/>
      <c r="K52" s="30"/>
    </row>
    <row r="53" spans="1:11" ht="15.75" customHeight="1" x14ac:dyDescent="0.2">
      <c r="A53" s="19">
        <v>6</v>
      </c>
      <c r="B53" s="19" t="s">
        <v>34</v>
      </c>
      <c r="C53" s="19" t="s">
        <v>147</v>
      </c>
      <c r="D53" s="19" t="s">
        <v>148</v>
      </c>
      <c r="E53" s="19" t="s">
        <v>31</v>
      </c>
      <c r="F53" s="19"/>
      <c r="G53" s="19"/>
      <c r="H53" s="19"/>
      <c r="I53" s="19" t="s">
        <v>32</v>
      </c>
      <c r="J53" s="30"/>
      <c r="K53" s="30"/>
    </row>
    <row r="54" spans="1:11" ht="15.75" customHeight="1" x14ac:dyDescent="0.2">
      <c r="A54" s="19">
        <v>26</v>
      </c>
      <c r="B54" s="19" t="s">
        <v>34</v>
      </c>
      <c r="C54" s="19" t="s">
        <v>149</v>
      </c>
      <c r="D54" s="19" t="s">
        <v>148</v>
      </c>
      <c r="E54" s="19" t="s">
        <v>53</v>
      </c>
      <c r="F54" s="19"/>
      <c r="G54" s="19"/>
      <c r="H54" s="19"/>
      <c r="I54" s="19"/>
      <c r="J54" s="30"/>
      <c r="K54" s="30"/>
    </row>
    <row r="55" spans="1:11" ht="15.75" customHeight="1" x14ac:dyDescent="0.2">
      <c r="A55" s="19">
        <v>27</v>
      </c>
      <c r="B55" s="19" t="s">
        <v>34</v>
      </c>
      <c r="C55" s="19" t="s">
        <v>150</v>
      </c>
      <c r="D55" s="19" t="s">
        <v>148</v>
      </c>
      <c r="E55" s="19" t="s">
        <v>151</v>
      </c>
      <c r="F55" s="19"/>
      <c r="G55" s="19"/>
      <c r="H55" s="19"/>
      <c r="I55" s="19"/>
      <c r="J55" s="30"/>
      <c r="K55" s="30"/>
    </row>
    <row r="56" spans="1:11" ht="15.75" customHeight="1" x14ac:dyDescent="0.2">
      <c r="A56" s="19">
        <v>28</v>
      </c>
      <c r="B56" s="19" t="s">
        <v>34</v>
      </c>
      <c r="C56" s="19" t="s">
        <v>152</v>
      </c>
      <c r="D56" s="19" t="s">
        <v>148</v>
      </c>
      <c r="E56" s="19" t="s">
        <v>153</v>
      </c>
      <c r="F56" s="19"/>
      <c r="G56" s="19"/>
      <c r="H56" s="19"/>
      <c r="I56" s="19"/>
      <c r="J56" s="30"/>
      <c r="K56" s="30"/>
    </row>
    <row r="57" spans="1:11" ht="15.75" customHeight="1" x14ac:dyDescent="0.2">
      <c r="A57" s="19">
        <v>73</v>
      </c>
      <c r="B57" s="19" t="s">
        <v>82</v>
      </c>
      <c r="C57" s="19" t="s">
        <v>154</v>
      </c>
      <c r="D57" s="19" t="s">
        <v>148</v>
      </c>
      <c r="E57" s="19" t="s">
        <v>62</v>
      </c>
      <c r="F57" s="19" t="s">
        <v>90</v>
      </c>
      <c r="G57" s="19"/>
      <c r="H57" s="19"/>
      <c r="I57" s="19"/>
      <c r="J57" s="30"/>
      <c r="K57" s="30"/>
    </row>
    <row r="58" spans="1:11" ht="15.75" customHeight="1" x14ac:dyDescent="0.2">
      <c r="A58" s="19">
        <v>74</v>
      </c>
      <c r="B58" s="19" t="s">
        <v>82</v>
      </c>
      <c r="C58" s="19" t="s">
        <v>155</v>
      </c>
      <c r="D58" s="19" t="s">
        <v>148</v>
      </c>
      <c r="E58" s="19" t="s">
        <v>156</v>
      </c>
      <c r="F58" s="19"/>
      <c r="G58" s="19"/>
      <c r="H58" s="19"/>
      <c r="I58" s="19"/>
      <c r="J58" s="30"/>
      <c r="K58" s="30"/>
    </row>
    <row r="59" spans="1:11" ht="15.75" customHeight="1" x14ac:dyDescent="0.2">
      <c r="A59" s="19">
        <v>75</v>
      </c>
      <c r="B59" s="19" t="s">
        <v>82</v>
      </c>
      <c r="C59" s="19" t="s">
        <v>157</v>
      </c>
      <c r="D59" s="19" t="s">
        <v>148</v>
      </c>
      <c r="E59" s="19" t="s">
        <v>158</v>
      </c>
      <c r="F59" s="19"/>
      <c r="G59" s="19"/>
      <c r="H59" s="19"/>
      <c r="I59" s="19"/>
      <c r="J59" s="30"/>
      <c r="K59" s="30"/>
    </row>
    <row r="60" spans="1:11" ht="15.75" customHeight="1" x14ac:dyDescent="0.2">
      <c r="A60" s="19">
        <v>109</v>
      </c>
      <c r="B60" s="19" t="s">
        <v>39</v>
      </c>
      <c r="C60" s="19" t="s">
        <v>159</v>
      </c>
      <c r="D60" s="19" t="s">
        <v>148</v>
      </c>
      <c r="E60" s="19"/>
      <c r="F60" s="19" t="s">
        <v>90</v>
      </c>
      <c r="G60" s="19" t="s">
        <v>86</v>
      </c>
      <c r="H60" s="19"/>
      <c r="I60" s="19"/>
      <c r="J60" s="30"/>
      <c r="K60" s="30"/>
    </row>
    <row r="61" spans="1:11" ht="15.75" customHeight="1" x14ac:dyDescent="0.2">
      <c r="A61" s="19">
        <v>110</v>
      </c>
      <c r="B61" s="19" t="s">
        <v>39</v>
      </c>
      <c r="C61" s="19" t="s">
        <v>160</v>
      </c>
      <c r="D61" s="19" t="s">
        <v>148</v>
      </c>
      <c r="E61" s="19"/>
      <c r="F61" s="19" t="s">
        <v>90</v>
      </c>
      <c r="G61" s="19" t="s">
        <v>510</v>
      </c>
      <c r="H61" s="19"/>
      <c r="I61" s="19"/>
      <c r="J61" s="30"/>
      <c r="K61" s="30"/>
    </row>
    <row r="62" spans="1:11" ht="15.75" customHeight="1" x14ac:dyDescent="0.2">
      <c r="A62" s="19">
        <v>111</v>
      </c>
      <c r="B62" s="19" t="s">
        <v>39</v>
      </c>
      <c r="C62" s="19" t="s">
        <v>161</v>
      </c>
      <c r="D62" s="19" t="s">
        <v>148</v>
      </c>
      <c r="E62" s="19"/>
      <c r="F62" s="19" t="s">
        <v>38</v>
      </c>
      <c r="G62" s="19" t="s">
        <v>162</v>
      </c>
      <c r="H62" s="19" t="s">
        <v>163</v>
      </c>
      <c r="I62" s="19"/>
      <c r="J62" s="30"/>
      <c r="K62" s="30"/>
    </row>
    <row r="63" spans="1:11" ht="15.75" customHeight="1" x14ac:dyDescent="0.2">
      <c r="A63" s="19">
        <v>130</v>
      </c>
      <c r="B63" s="19" t="s">
        <v>44</v>
      </c>
      <c r="C63" s="19" t="s">
        <v>164</v>
      </c>
      <c r="D63" s="19" t="s">
        <v>148</v>
      </c>
      <c r="E63" s="19" t="s">
        <v>30</v>
      </c>
      <c r="F63" s="19" t="s">
        <v>38</v>
      </c>
      <c r="G63" s="19"/>
      <c r="H63" s="19" t="s">
        <v>66</v>
      </c>
      <c r="I63" s="19"/>
      <c r="J63" s="30"/>
      <c r="K63" s="30"/>
    </row>
    <row r="64" spans="1:11" ht="15.75" customHeight="1" x14ac:dyDescent="0.2">
      <c r="A64" s="19">
        <v>136</v>
      </c>
      <c r="B64" s="19" t="s">
        <v>44</v>
      </c>
      <c r="C64" s="19" t="s">
        <v>165</v>
      </c>
      <c r="D64" s="19" t="s">
        <v>148</v>
      </c>
      <c r="E64" s="19" t="s">
        <v>60</v>
      </c>
      <c r="F64" s="19" t="s">
        <v>38</v>
      </c>
      <c r="G64" s="19" t="s">
        <v>52</v>
      </c>
      <c r="H64" s="19" t="s">
        <v>55</v>
      </c>
      <c r="I64" s="19"/>
      <c r="J64" s="30"/>
      <c r="K64" s="30"/>
    </row>
    <row r="65" spans="1:11" ht="15.75" customHeight="1" x14ac:dyDescent="0.2">
      <c r="A65" s="19">
        <v>137</v>
      </c>
      <c r="B65" s="19" t="s">
        <v>44</v>
      </c>
      <c r="C65" s="19" t="s">
        <v>166</v>
      </c>
      <c r="D65" s="19" t="s">
        <v>148</v>
      </c>
      <c r="E65" s="19" t="s">
        <v>60</v>
      </c>
      <c r="F65" s="19" t="s">
        <v>38</v>
      </c>
      <c r="G65" s="19" t="s">
        <v>126</v>
      </c>
      <c r="H65" s="19"/>
      <c r="I65" s="19"/>
      <c r="J65" s="30"/>
      <c r="K65" s="30"/>
    </row>
    <row r="66" spans="1:11" ht="15.75" customHeight="1" x14ac:dyDescent="0.2">
      <c r="A66" s="19">
        <v>138</v>
      </c>
      <c r="B66" s="19" t="s">
        <v>44</v>
      </c>
      <c r="C66" s="19" t="s">
        <v>167</v>
      </c>
      <c r="D66" s="19" t="s">
        <v>148</v>
      </c>
      <c r="E66" s="19" t="s">
        <v>31</v>
      </c>
      <c r="F66" s="19" t="s">
        <v>38</v>
      </c>
      <c r="G66" s="19" t="s">
        <v>52</v>
      </c>
      <c r="H66" s="19"/>
      <c r="I66" s="19"/>
      <c r="J66" s="30"/>
      <c r="K66" s="30"/>
    </row>
    <row r="67" spans="1:11" ht="15.75" customHeight="1" x14ac:dyDescent="0.2">
      <c r="A67" s="19">
        <v>142</v>
      </c>
      <c r="B67" s="19" t="s">
        <v>44</v>
      </c>
      <c r="C67" s="19" t="s">
        <v>168</v>
      </c>
      <c r="D67" s="19" t="s">
        <v>148</v>
      </c>
      <c r="E67" s="19" t="s">
        <v>120</v>
      </c>
      <c r="F67" s="19" t="s">
        <v>38</v>
      </c>
      <c r="G67" s="19"/>
      <c r="H67" s="19"/>
      <c r="I67" s="19"/>
      <c r="J67" s="30"/>
      <c r="K67" s="30"/>
    </row>
    <row r="68" spans="1:11" ht="15.75" customHeight="1" x14ac:dyDescent="0.2">
      <c r="A68" s="19">
        <v>144</v>
      </c>
      <c r="B68" s="19" t="s">
        <v>44</v>
      </c>
      <c r="C68" s="19" t="s">
        <v>169</v>
      </c>
      <c r="D68" s="19" t="s">
        <v>148</v>
      </c>
      <c r="E68" s="19" t="s">
        <v>120</v>
      </c>
      <c r="F68" s="19" t="s">
        <v>511</v>
      </c>
      <c r="G68" s="19" t="s">
        <v>170</v>
      </c>
      <c r="H68" s="19" t="s">
        <v>86</v>
      </c>
      <c r="I68" s="19"/>
      <c r="J68" s="30"/>
      <c r="K68" s="30"/>
    </row>
    <row r="69" spans="1:11" ht="15.75" customHeight="1" x14ac:dyDescent="0.2">
      <c r="A69" s="19">
        <v>146</v>
      </c>
      <c r="B69" s="19" t="s">
        <v>44</v>
      </c>
      <c r="C69" s="19" t="s">
        <v>171</v>
      </c>
      <c r="D69" s="19" t="s">
        <v>148</v>
      </c>
      <c r="E69" s="19" t="s">
        <v>139</v>
      </c>
      <c r="F69" s="19" t="s">
        <v>38</v>
      </c>
      <c r="G69" s="19" t="s">
        <v>48</v>
      </c>
      <c r="H69" s="19"/>
      <c r="I69" s="19"/>
      <c r="J69" s="30"/>
      <c r="K69" s="30"/>
    </row>
    <row r="70" spans="1:11" ht="15.75" customHeight="1" x14ac:dyDescent="0.2">
      <c r="A70" s="19">
        <v>147</v>
      </c>
      <c r="B70" s="19" t="s">
        <v>44</v>
      </c>
      <c r="C70" s="19" t="s">
        <v>172</v>
      </c>
      <c r="D70" s="19" t="s">
        <v>148</v>
      </c>
      <c r="E70" s="19" t="s">
        <v>173</v>
      </c>
      <c r="F70" s="19" t="s">
        <v>38</v>
      </c>
      <c r="G70" s="19"/>
      <c r="H70" s="19"/>
      <c r="I70" s="19"/>
      <c r="J70" s="30"/>
      <c r="K70" s="30"/>
    </row>
    <row r="71" spans="1:11" ht="15.75" customHeight="1" x14ac:dyDescent="0.2">
      <c r="A71" s="19">
        <v>177</v>
      </c>
      <c r="B71" s="19" t="s">
        <v>101</v>
      </c>
      <c r="C71" s="19" t="s">
        <v>174</v>
      </c>
      <c r="D71" s="19" t="s">
        <v>148</v>
      </c>
      <c r="E71" s="19" t="s">
        <v>100</v>
      </c>
      <c r="F71" s="19" t="s">
        <v>90</v>
      </c>
      <c r="G71" s="19"/>
      <c r="H71" s="19"/>
      <c r="I71" s="19"/>
      <c r="J71" s="30"/>
      <c r="K71" s="30"/>
    </row>
    <row r="72" spans="1:11" ht="15.75" customHeight="1" x14ac:dyDescent="0.2">
      <c r="A72" s="19">
        <v>178</v>
      </c>
      <c r="B72" s="19" t="s">
        <v>101</v>
      </c>
      <c r="C72" s="19" t="s">
        <v>175</v>
      </c>
      <c r="D72" s="19" t="s">
        <v>148</v>
      </c>
      <c r="E72" s="19" t="s">
        <v>100</v>
      </c>
      <c r="F72" s="19" t="s">
        <v>90</v>
      </c>
      <c r="G72" s="19" t="s">
        <v>182</v>
      </c>
      <c r="H72" s="19"/>
      <c r="I72" s="19"/>
      <c r="J72" s="30"/>
      <c r="K72" s="30"/>
    </row>
    <row r="73" spans="1:11" ht="15.75" customHeight="1" x14ac:dyDescent="0.2">
      <c r="A73" s="19">
        <v>179</v>
      </c>
      <c r="B73" s="19" t="s">
        <v>101</v>
      </c>
      <c r="C73" s="19" t="s">
        <v>176</v>
      </c>
      <c r="D73" s="19" t="s">
        <v>148</v>
      </c>
      <c r="E73" s="19" t="s">
        <v>100</v>
      </c>
      <c r="F73" s="19" t="s">
        <v>38</v>
      </c>
      <c r="G73" s="19"/>
      <c r="H73" s="19" t="s">
        <v>55</v>
      </c>
      <c r="I73" s="19"/>
      <c r="J73" s="30"/>
      <c r="K73" s="30"/>
    </row>
    <row r="74" spans="1:11" ht="15.75" customHeight="1" x14ac:dyDescent="0.2">
      <c r="A74" s="19">
        <v>180</v>
      </c>
      <c r="B74" s="19" t="s">
        <v>101</v>
      </c>
      <c r="C74" s="19" t="s">
        <v>177</v>
      </c>
      <c r="D74" s="19" t="s">
        <v>148</v>
      </c>
      <c r="E74" s="19" t="s">
        <v>100</v>
      </c>
      <c r="F74" s="19" t="s">
        <v>38</v>
      </c>
      <c r="G74" s="19" t="s">
        <v>104</v>
      </c>
      <c r="H74" s="19" t="s">
        <v>178</v>
      </c>
      <c r="I74" s="19"/>
      <c r="J74" s="30"/>
      <c r="K74" s="30"/>
    </row>
    <row r="75" spans="1:11" ht="15.75" customHeight="1" x14ac:dyDescent="0.2">
      <c r="A75" s="19">
        <v>181</v>
      </c>
      <c r="B75" s="19" t="s">
        <v>101</v>
      </c>
      <c r="C75" s="19" t="s">
        <v>179</v>
      </c>
      <c r="D75" s="19" t="s">
        <v>148</v>
      </c>
      <c r="E75" s="19" t="s">
        <v>100</v>
      </c>
      <c r="F75" s="19" t="s">
        <v>38</v>
      </c>
      <c r="G75" s="19" t="s">
        <v>66</v>
      </c>
      <c r="H75" s="19" t="s">
        <v>126</v>
      </c>
      <c r="I75" s="19"/>
      <c r="J75" s="30"/>
      <c r="K75" s="30"/>
    </row>
    <row r="76" spans="1:11" ht="15.75" customHeight="1" x14ac:dyDescent="0.2">
      <c r="A76" s="19">
        <v>186</v>
      </c>
      <c r="B76" s="19" t="s">
        <v>63</v>
      </c>
      <c r="C76" s="19" t="s">
        <v>180</v>
      </c>
      <c r="D76" s="19" t="s">
        <v>148</v>
      </c>
      <c r="E76" s="19" t="s">
        <v>86</v>
      </c>
      <c r="F76" s="19" t="s">
        <v>38</v>
      </c>
      <c r="G76" s="19" t="s">
        <v>62</v>
      </c>
      <c r="H76" s="19"/>
      <c r="I76" s="19"/>
      <c r="J76" s="30"/>
      <c r="K76" s="30"/>
    </row>
    <row r="77" spans="1:11" ht="15.75" customHeight="1" x14ac:dyDescent="0.2">
      <c r="A77" s="19">
        <v>191</v>
      </c>
      <c r="B77" s="19" t="s">
        <v>63</v>
      </c>
      <c r="C77" s="19" t="s">
        <v>181</v>
      </c>
      <c r="D77" s="19" t="s">
        <v>148</v>
      </c>
      <c r="E77" s="19" t="s">
        <v>68</v>
      </c>
      <c r="F77" s="19" t="s">
        <v>38</v>
      </c>
      <c r="G77" s="19" t="s">
        <v>62</v>
      </c>
      <c r="H77" s="19" t="s">
        <v>182</v>
      </c>
      <c r="I77" s="19" t="s">
        <v>183</v>
      </c>
      <c r="J77" s="30"/>
      <c r="K77" s="30"/>
    </row>
    <row r="78" spans="1:11" ht="15.75" customHeight="1" x14ac:dyDescent="0.2">
      <c r="A78" s="19">
        <v>192</v>
      </c>
      <c r="B78" s="19" t="s">
        <v>63</v>
      </c>
      <c r="C78" s="19" t="s">
        <v>184</v>
      </c>
      <c r="D78" s="19" t="s">
        <v>148</v>
      </c>
      <c r="E78" s="19" t="s">
        <v>185</v>
      </c>
      <c r="F78" s="19" t="s">
        <v>186</v>
      </c>
      <c r="G78" s="19" t="s">
        <v>62</v>
      </c>
      <c r="H78" s="19" t="s">
        <v>187</v>
      </c>
      <c r="I78" s="19" t="s">
        <v>70</v>
      </c>
      <c r="J78" s="30"/>
      <c r="K78" s="30"/>
    </row>
    <row r="79" spans="1:11" ht="15.75" customHeight="1" x14ac:dyDescent="0.2">
      <c r="A79" s="19">
        <v>193</v>
      </c>
      <c r="B79" s="19" t="s">
        <v>63</v>
      </c>
      <c r="C79" s="19" t="s">
        <v>188</v>
      </c>
      <c r="D79" s="19" t="s">
        <v>148</v>
      </c>
      <c r="E79" s="19" t="s">
        <v>86</v>
      </c>
      <c r="F79" s="19" t="s">
        <v>295</v>
      </c>
      <c r="G79" s="19" t="s">
        <v>62</v>
      </c>
      <c r="H79" s="19" t="s">
        <v>189</v>
      </c>
      <c r="I79" s="19"/>
      <c r="J79" s="30"/>
      <c r="K79" s="30"/>
    </row>
    <row r="80" spans="1:11" ht="15.75" customHeight="1" x14ac:dyDescent="0.2">
      <c r="A80" s="19">
        <v>194</v>
      </c>
      <c r="B80" s="19" t="s">
        <v>63</v>
      </c>
      <c r="C80" s="19" t="s">
        <v>190</v>
      </c>
      <c r="D80" s="19" t="s">
        <v>148</v>
      </c>
      <c r="E80" s="19" t="s">
        <v>68</v>
      </c>
      <c r="F80" s="19" t="s">
        <v>512</v>
      </c>
      <c r="G80" s="19" t="s">
        <v>62</v>
      </c>
      <c r="H80" s="19" t="s">
        <v>191</v>
      </c>
      <c r="I80" s="19"/>
      <c r="J80" s="30"/>
      <c r="K80" s="30"/>
    </row>
    <row r="81" spans="1:11" ht="15.75" customHeight="1" x14ac:dyDescent="0.2">
      <c r="A81" s="19">
        <v>195</v>
      </c>
      <c r="B81" s="19" t="s">
        <v>58</v>
      </c>
      <c r="C81" s="19" t="s">
        <v>193</v>
      </c>
      <c r="D81" s="19" t="s">
        <v>148</v>
      </c>
      <c r="E81" s="19" t="s">
        <v>57</v>
      </c>
      <c r="F81" s="19" t="s">
        <v>90</v>
      </c>
      <c r="G81" s="19"/>
      <c r="H81" s="19"/>
      <c r="I81" s="19"/>
      <c r="J81" s="30"/>
      <c r="K81" s="30"/>
    </row>
    <row r="82" spans="1:11" ht="15.75" customHeight="1" x14ac:dyDescent="0.2">
      <c r="A82" s="20">
        <v>208</v>
      </c>
      <c r="B82" s="20" t="s">
        <v>196</v>
      </c>
      <c r="C82" s="20" t="s">
        <v>194</v>
      </c>
      <c r="D82" s="20" t="s">
        <v>148</v>
      </c>
      <c r="E82" s="20" t="s">
        <v>195</v>
      </c>
      <c r="F82" s="20" t="s">
        <v>38</v>
      </c>
      <c r="G82" s="20" t="s">
        <v>86</v>
      </c>
      <c r="H82" s="20"/>
      <c r="I82" s="20"/>
      <c r="J82" s="30"/>
      <c r="K82" s="30"/>
    </row>
    <row r="83" spans="1:11" ht="15.75" customHeight="1" x14ac:dyDescent="0.2">
      <c r="A83" s="19">
        <v>37</v>
      </c>
      <c r="B83" s="19" t="s">
        <v>199</v>
      </c>
      <c r="C83" s="19" t="s">
        <v>197</v>
      </c>
      <c r="D83" s="19" t="s">
        <v>198</v>
      </c>
      <c r="E83" s="19" t="s">
        <v>52</v>
      </c>
      <c r="F83" s="19"/>
      <c r="G83" s="19"/>
      <c r="H83" s="19" t="s">
        <v>104</v>
      </c>
      <c r="I83" s="19"/>
      <c r="J83" s="30"/>
      <c r="K83" s="30"/>
    </row>
    <row r="84" spans="1:11" ht="15.75" customHeight="1" x14ac:dyDescent="0.2">
      <c r="A84" s="19">
        <v>39</v>
      </c>
      <c r="B84" s="19" t="s">
        <v>199</v>
      </c>
      <c r="C84" s="19" t="s">
        <v>200</v>
      </c>
      <c r="D84" s="19" t="s">
        <v>198</v>
      </c>
      <c r="E84" s="19" t="s">
        <v>52</v>
      </c>
      <c r="F84" s="19" t="s">
        <v>126</v>
      </c>
      <c r="G84" s="19"/>
      <c r="H84" s="19" t="s">
        <v>513</v>
      </c>
      <c r="I84" s="19"/>
      <c r="J84" s="30"/>
      <c r="K84" s="30"/>
    </row>
    <row r="85" spans="1:11" ht="15.75" customHeight="1" x14ac:dyDescent="0.2">
      <c r="A85" s="19">
        <v>40</v>
      </c>
      <c r="B85" s="19" t="s">
        <v>199</v>
      </c>
      <c r="C85" s="19" t="s">
        <v>202</v>
      </c>
      <c r="D85" s="19" t="s">
        <v>198</v>
      </c>
      <c r="E85" s="19" t="s">
        <v>178</v>
      </c>
      <c r="F85" s="19" t="s">
        <v>126</v>
      </c>
      <c r="G85" s="19"/>
      <c r="H85" s="19" t="s">
        <v>66</v>
      </c>
      <c r="I85" s="19"/>
      <c r="J85" s="30"/>
      <c r="K85" s="30"/>
    </row>
    <row r="86" spans="1:11" ht="15.75" customHeight="1" x14ac:dyDescent="0.2">
      <c r="A86" s="19">
        <v>41</v>
      </c>
      <c r="B86" s="19" t="s">
        <v>199</v>
      </c>
      <c r="C86" s="19" t="s">
        <v>203</v>
      </c>
      <c r="D86" s="19" t="s">
        <v>198</v>
      </c>
      <c r="E86" s="19" t="s">
        <v>204</v>
      </c>
      <c r="F86" s="19" t="s">
        <v>126</v>
      </c>
      <c r="G86" s="19"/>
      <c r="H86" s="19" t="s">
        <v>74</v>
      </c>
      <c r="I86" s="19"/>
      <c r="J86" s="30"/>
      <c r="K86" s="30"/>
    </row>
    <row r="87" spans="1:11" ht="15.75" customHeight="1" x14ac:dyDescent="0.2">
      <c r="A87" s="19">
        <v>42</v>
      </c>
      <c r="B87" s="19" t="s">
        <v>199</v>
      </c>
      <c r="C87" s="19" t="s">
        <v>205</v>
      </c>
      <c r="D87" s="19" t="s">
        <v>198</v>
      </c>
      <c r="E87" s="19" t="s">
        <v>204</v>
      </c>
      <c r="F87" s="19" t="s">
        <v>126</v>
      </c>
      <c r="G87" s="19"/>
      <c r="H87" s="19" t="s">
        <v>66</v>
      </c>
      <c r="I87" s="19"/>
      <c r="J87" s="30"/>
      <c r="K87" s="30"/>
    </row>
    <row r="88" spans="1:11" ht="15.75" customHeight="1" x14ac:dyDescent="0.2">
      <c r="A88" s="19">
        <v>43</v>
      </c>
      <c r="B88" s="19" t="s">
        <v>199</v>
      </c>
      <c r="C88" s="19" t="s">
        <v>206</v>
      </c>
      <c r="D88" s="19" t="s">
        <v>198</v>
      </c>
      <c r="E88" s="19" t="s">
        <v>204</v>
      </c>
      <c r="F88" s="19" t="s">
        <v>126</v>
      </c>
      <c r="G88" s="19"/>
      <c r="H88" s="19" t="s">
        <v>104</v>
      </c>
      <c r="I88" s="19"/>
      <c r="J88" s="30"/>
      <c r="K88" s="30"/>
    </row>
    <row r="89" spans="1:11" ht="15.75" customHeight="1" x14ac:dyDescent="0.2">
      <c r="A89" s="19">
        <v>44</v>
      </c>
      <c r="B89" s="19" t="s">
        <v>199</v>
      </c>
      <c r="C89" s="19" t="s">
        <v>207</v>
      </c>
      <c r="D89" s="19" t="s">
        <v>198</v>
      </c>
      <c r="E89" s="19" t="s">
        <v>48</v>
      </c>
      <c r="F89" s="19" t="s">
        <v>134</v>
      </c>
      <c r="G89" s="19" t="s">
        <v>100</v>
      </c>
      <c r="H89" s="19" t="s">
        <v>208</v>
      </c>
      <c r="I89" s="19"/>
      <c r="J89" s="30"/>
      <c r="K89" s="30"/>
    </row>
    <row r="90" spans="1:11" ht="15.75" customHeight="1" x14ac:dyDescent="0.2">
      <c r="A90" s="19">
        <v>45</v>
      </c>
      <c r="B90" s="19" t="s">
        <v>199</v>
      </c>
      <c r="C90" s="19" t="s">
        <v>209</v>
      </c>
      <c r="D90" s="19" t="s">
        <v>198</v>
      </c>
      <c r="E90" s="19" t="s">
        <v>52</v>
      </c>
      <c r="F90" s="19"/>
      <c r="G90" s="19" t="s">
        <v>100</v>
      </c>
      <c r="H90" s="19"/>
      <c r="I90" s="19"/>
      <c r="J90" s="30"/>
      <c r="K90" s="30"/>
    </row>
    <row r="91" spans="1:11" ht="15.75" customHeight="1" x14ac:dyDescent="0.2">
      <c r="A91" s="19">
        <v>46</v>
      </c>
      <c r="B91" s="19" t="s">
        <v>199</v>
      </c>
      <c r="C91" s="19" t="s">
        <v>210</v>
      </c>
      <c r="D91" s="19" t="s">
        <v>198</v>
      </c>
      <c r="E91" s="19" t="s">
        <v>52</v>
      </c>
      <c r="F91" s="19"/>
      <c r="G91" s="19" t="s">
        <v>100</v>
      </c>
      <c r="H91" s="19" t="s">
        <v>60</v>
      </c>
      <c r="I91" s="19"/>
      <c r="J91" s="30"/>
      <c r="K91" s="30"/>
    </row>
    <row r="92" spans="1:11" ht="15.75" customHeight="1" x14ac:dyDescent="0.2">
      <c r="A92" s="19">
        <v>47</v>
      </c>
      <c r="B92" s="19" t="s">
        <v>199</v>
      </c>
      <c r="C92" s="19" t="s">
        <v>211</v>
      </c>
      <c r="D92" s="19" t="s">
        <v>198</v>
      </c>
      <c r="E92" s="19" t="s">
        <v>52</v>
      </c>
      <c r="F92" s="19"/>
      <c r="G92" s="19" t="s">
        <v>108</v>
      </c>
      <c r="H92" s="19"/>
      <c r="I92" s="19"/>
      <c r="J92" s="30"/>
      <c r="K92" s="30"/>
    </row>
    <row r="93" spans="1:11" ht="15.75" customHeight="1" x14ac:dyDescent="0.2">
      <c r="A93" s="19">
        <v>48</v>
      </c>
      <c r="B93" s="19" t="s">
        <v>199</v>
      </c>
      <c r="C93" s="19" t="s">
        <v>212</v>
      </c>
      <c r="D93" s="19" t="s">
        <v>198</v>
      </c>
      <c r="E93" s="19" t="s">
        <v>52</v>
      </c>
      <c r="F93" s="19"/>
      <c r="G93" s="19" t="s">
        <v>213</v>
      </c>
      <c r="H93" s="19"/>
      <c r="I93" s="19"/>
      <c r="J93" s="30"/>
      <c r="K93" s="30"/>
    </row>
    <row r="94" spans="1:11" ht="15.75" customHeight="1" x14ac:dyDescent="0.2">
      <c r="A94" s="19">
        <v>49</v>
      </c>
      <c r="B94" s="19" t="s">
        <v>199</v>
      </c>
      <c r="C94" s="19" t="s">
        <v>214</v>
      </c>
      <c r="D94" s="19" t="s">
        <v>198</v>
      </c>
      <c r="E94" s="19" t="s">
        <v>52</v>
      </c>
      <c r="F94" s="19"/>
      <c r="G94" s="19" t="s">
        <v>215</v>
      </c>
      <c r="H94" s="19"/>
      <c r="I94" s="19"/>
      <c r="J94" s="30"/>
      <c r="K94" s="30"/>
    </row>
    <row r="95" spans="1:11" ht="15.75" customHeight="1" x14ac:dyDescent="0.2">
      <c r="A95" s="19">
        <v>50</v>
      </c>
      <c r="B95" s="19" t="s">
        <v>199</v>
      </c>
      <c r="C95" s="19" t="s">
        <v>216</v>
      </c>
      <c r="D95" s="19" t="s">
        <v>198</v>
      </c>
      <c r="E95" s="19" t="s">
        <v>48</v>
      </c>
      <c r="F95" s="19"/>
      <c r="G95" s="19" t="s">
        <v>73</v>
      </c>
      <c r="H95" s="19" t="s">
        <v>66</v>
      </c>
      <c r="I95" s="19"/>
      <c r="J95" s="30"/>
      <c r="K95" s="30"/>
    </row>
    <row r="96" spans="1:11" ht="15.75" customHeight="1" x14ac:dyDescent="0.2">
      <c r="A96" s="19">
        <v>51</v>
      </c>
      <c r="B96" s="19" t="s">
        <v>199</v>
      </c>
      <c r="C96" s="19" t="s">
        <v>217</v>
      </c>
      <c r="D96" s="19" t="s">
        <v>198</v>
      </c>
      <c r="E96" s="19" t="s">
        <v>48</v>
      </c>
      <c r="F96" s="19"/>
      <c r="G96" s="19" t="s">
        <v>60</v>
      </c>
      <c r="H96" s="19" t="s">
        <v>55</v>
      </c>
      <c r="I96" s="19"/>
      <c r="J96" s="30"/>
      <c r="K96" s="30"/>
    </row>
    <row r="97" spans="1:11" ht="15.75" customHeight="1" x14ac:dyDescent="0.2">
      <c r="A97" s="19">
        <v>22</v>
      </c>
      <c r="B97" s="19" t="s">
        <v>34</v>
      </c>
      <c r="C97" s="19" t="s">
        <v>218</v>
      </c>
      <c r="D97" s="19" t="s">
        <v>219</v>
      </c>
      <c r="E97" s="19" t="s">
        <v>173</v>
      </c>
      <c r="F97" s="19"/>
      <c r="G97" s="19"/>
      <c r="H97" s="19"/>
      <c r="I97" s="19"/>
      <c r="J97" s="30"/>
      <c r="K97" s="30"/>
    </row>
    <row r="98" spans="1:11" ht="15.75" customHeight="1" x14ac:dyDescent="0.2">
      <c r="A98" s="19">
        <v>29</v>
      </c>
      <c r="B98" s="19" t="s">
        <v>34</v>
      </c>
      <c r="C98" s="19" t="s">
        <v>220</v>
      </c>
      <c r="D98" s="19" t="s">
        <v>219</v>
      </c>
      <c r="E98" s="19" t="s">
        <v>221</v>
      </c>
      <c r="F98" s="19"/>
      <c r="G98" s="19"/>
      <c r="H98" s="19"/>
      <c r="I98" s="19"/>
      <c r="J98" s="30"/>
      <c r="K98" s="30"/>
    </row>
    <row r="99" spans="1:11" ht="15.75" customHeight="1" x14ac:dyDescent="0.2">
      <c r="A99" s="20">
        <v>34</v>
      </c>
      <c r="B99" s="20" t="s">
        <v>199</v>
      </c>
      <c r="C99" s="20" t="s">
        <v>222</v>
      </c>
      <c r="D99" s="20" t="s">
        <v>219</v>
      </c>
      <c r="E99" s="20" t="s">
        <v>52</v>
      </c>
      <c r="F99" s="20"/>
      <c r="G99" s="20"/>
      <c r="H99" s="20"/>
      <c r="I99" s="20"/>
      <c r="J99" s="30"/>
      <c r="K99" s="30"/>
    </row>
    <row r="100" spans="1:11" ht="15.75" customHeight="1" x14ac:dyDescent="0.2">
      <c r="A100" s="19">
        <v>35</v>
      </c>
      <c r="B100" s="19" t="s">
        <v>199</v>
      </c>
      <c r="C100" s="19" t="s">
        <v>223</v>
      </c>
      <c r="D100" s="19" t="s">
        <v>219</v>
      </c>
      <c r="E100" s="19" t="s">
        <v>52</v>
      </c>
      <c r="F100" s="19"/>
      <c r="G100" s="19"/>
      <c r="H100" s="19" t="s">
        <v>224</v>
      </c>
      <c r="I100" s="19"/>
      <c r="J100" s="30"/>
      <c r="K100" s="30"/>
    </row>
    <row r="101" spans="1:11" ht="15.75" customHeight="1" x14ac:dyDescent="0.2">
      <c r="A101" s="20">
        <v>36</v>
      </c>
      <c r="B101" s="20" t="s">
        <v>199</v>
      </c>
      <c r="C101" s="20" t="s">
        <v>225</v>
      </c>
      <c r="D101" s="20" t="s">
        <v>219</v>
      </c>
      <c r="E101" s="20" t="s">
        <v>52</v>
      </c>
      <c r="F101" s="20"/>
      <c r="G101" s="20"/>
      <c r="H101" s="20" t="s">
        <v>226</v>
      </c>
      <c r="I101" s="20"/>
      <c r="J101" s="30"/>
      <c r="K101" s="30"/>
    </row>
    <row r="102" spans="1:11" ht="15.75" customHeight="1" x14ac:dyDescent="0.2">
      <c r="A102" s="19">
        <v>38</v>
      </c>
      <c r="B102" s="19" t="s">
        <v>199</v>
      </c>
      <c r="C102" s="19" t="s">
        <v>227</v>
      </c>
      <c r="D102" s="19" t="s">
        <v>219</v>
      </c>
      <c r="E102" s="19" t="s">
        <v>178</v>
      </c>
      <c r="F102" s="19"/>
      <c r="G102" s="19"/>
      <c r="H102" s="19"/>
      <c r="I102" s="19"/>
      <c r="J102" s="30"/>
      <c r="K102" s="30"/>
    </row>
    <row r="103" spans="1:11" ht="15.75" customHeight="1" x14ac:dyDescent="0.2">
      <c r="A103" s="19">
        <v>52</v>
      </c>
      <c r="B103" s="19" t="s">
        <v>50</v>
      </c>
      <c r="C103" s="19" t="s">
        <v>228</v>
      </c>
      <c r="D103" s="19" t="s">
        <v>229</v>
      </c>
      <c r="E103" s="19" t="s">
        <v>48</v>
      </c>
      <c r="F103" s="19"/>
      <c r="G103" s="19"/>
      <c r="H103" s="19" t="s">
        <v>66</v>
      </c>
      <c r="I103" s="19"/>
      <c r="J103" s="30"/>
      <c r="K103" s="30"/>
    </row>
    <row r="104" spans="1:11" ht="15.75" customHeight="1" x14ac:dyDescent="0.2">
      <c r="A104" s="19">
        <v>53</v>
      </c>
      <c r="B104" s="19" t="s">
        <v>50</v>
      </c>
      <c r="C104" s="19" t="s">
        <v>230</v>
      </c>
      <c r="D104" s="19" t="s">
        <v>229</v>
      </c>
      <c r="E104" s="19" t="s">
        <v>48</v>
      </c>
      <c r="F104" s="19"/>
      <c r="G104" s="19"/>
      <c r="H104" s="19" t="s">
        <v>71</v>
      </c>
      <c r="I104" s="19"/>
      <c r="J104" s="30"/>
      <c r="K104" s="30"/>
    </row>
    <row r="105" spans="1:11" ht="15.75" customHeight="1" x14ac:dyDescent="0.2">
      <c r="A105" s="19">
        <v>62</v>
      </c>
      <c r="B105" s="19" t="s">
        <v>50</v>
      </c>
      <c r="C105" s="19" t="s">
        <v>231</v>
      </c>
      <c r="D105" s="19" t="s">
        <v>229</v>
      </c>
      <c r="E105" s="19" t="s">
        <v>48</v>
      </c>
      <c r="F105" s="19"/>
      <c r="G105" s="19" t="s">
        <v>139</v>
      </c>
      <c r="H105" s="19" t="s">
        <v>74</v>
      </c>
      <c r="I105" s="19"/>
      <c r="J105" s="30"/>
      <c r="K105" s="30"/>
    </row>
    <row r="106" spans="1:11" ht="15.75" customHeight="1" x14ac:dyDescent="0.2">
      <c r="A106" s="19">
        <v>182</v>
      </c>
      <c r="B106" s="19" t="s">
        <v>101</v>
      </c>
      <c r="C106" s="19" t="s">
        <v>232</v>
      </c>
      <c r="D106" s="19" t="s">
        <v>233</v>
      </c>
      <c r="E106" s="19" t="s">
        <v>100</v>
      </c>
      <c r="F106" s="19" t="s">
        <v>90</v>
      </c>
      <c r="G106" s="19"/>
      <c r="H106" s="19" t="s">
        <v>48</v>
      </c>
      <c r="I106" s="19"/>
      <c r="J106" s="30"/>
      <c r="K106" s="30"/>
    </row>
    <row r="107" spans="1:11" ht="15.75" customHeight="1" x14ac:dyDescent="0.2">
      <c r="A107" s="19">
        <v>199</v>
      </c>
      <c r="B107" s="19" t="s">
        <v>58</v>
      </c>
      <c r="C107" s="19" t="s">
        <v>234</v>
      </c>
      <c r="D107" s="19" t="s">
        <v>233</v>
      </c>
      <c r="E107" s="19" t="s">
        <v>57</v>
      </c>
      <c r="F107" s="19" t="s">
        <v>38</v>
      </c>
      <c r="G107" s="19"/>
      <c r="H107" s="19"/>
      <c r="I107" s="19"/>
      <c r="J107" s="30"/>
      <c r="K107" s="30"/>
    </row>
    <row r="108" spans="1:11" ht="15.75" customHeight="1" x14ac:dyDescent="0.2">
      <c r="A108" s="19">
        <v>76</v>
      </c>
      <c r="B108" s="19" t="s">
        <v>82</v>
      </c>
      <c r="C108" s="19" t="s">
        <v>235</v>
      </c>
      <c r="D108" s="19" t="s">
        <v>236</v>
      </c>
      <c r="E108" s="19" t="s">
        <v>84</v>
      </c>
      <c r="F108" s="19"/>
      <c r="G108" s="19"/>
      <c r="H108" s="19"/>
      <c r="I108" s="19"/>
      <c r="J108" s="30"/>
      <c r="K108" s="30"/>
    </row>
    <row r="109" spans="1:11" ht="15.75" customHeight="1" x14ac:dyDescent="0.2">
      <c r="A109" s="20">
        <v>207</v>
      </c>
      <c r="B109" s="20" t="s">
        <v>242</v>
      </c>
      <c r="C109" s="20" t="s">
        <v>237</v>
      </c>
      <c r="D109" s="20" t="s">
        <v>238</v>
      </c>
      <c r="E109" s="20" t="s">
        <v>62</v>
      </c>
      <c r="F109" s="20"/>
      <c r="G109" s="20" t="s">
        <v>239</v>
      </c>
      <c r="H109" s="20" t="s">
        <v>240</v>
      </c>
      <c r="I109" s="20" t="s">
        <v>241</v>
      </c>
      <c r="J109" s="30"/>
      <c r="K109" s="30"/>
    </row>
    <row r="110" spans="1:11" ht="15.75" customHeight="1" x14ac:dyDescent="0.2">
      <c r="A110" s="19">
        <v>123</v>
      </c>
      <c r="B110" s="19" t="s">
        <v>39</v>
      </c>
      <c r="C110" s="19" t="s">
        <v>243</v>
      </c>
      <c r="D110" s="19" t="s">
        <v>244</v>
      </c>
      <c r="E110" s="19"/>
      <c r="F110" s="19" t="s">
        <v>38</v>
      </c>
      <c r="G110" s="19" t="s">
        <v>86</v>
      </c>
      <c r="H110" s="19" t="s">
        <v>245</v>
      </c>
      <c r="I110" s="19"/>
      <c r="J110" s="30"/>
      <c r="K110" s="30"/>
    </row>
    <row r="111" spans="1:11" ht="15.75" customHeight="1" x14ac:dyDescent="0.2">
      <c r="A111" s="19">
        <v>171</v>
      </c>
      <c r="B111" s="19" t="s">
        <v>101</v>
      </c>
      <c r="C111" s="19" t="s">
        <v>246</v>
      </c>
      <c r="D111" s="19" t="s">
        <v>244</v>
      </c>
      <c r="E111" s="19" t="s">
        <v>100</v>
      </c>
      <c r="F111" s="19" t="s">
        <v>90</v>
      </c>
      <c r="G111" s="19" t="s">
        <v>247</v>
      </c>
      <c r="H111" s="19" t="s">
        <v>45</v>
      </c>
      <c r="I111" s="19"/>
      <c r="J111" s="30"/>
      <c r="K111" s="30"/>
    </row>
    <row r="112" spans="1:11" ht="15.75" customHeight="1" x14ac:dyDescent="0.2">
      <c r="A112" s="19">
        <v>122</v>
      </c>
      <c r="B112" s="19" t="s">
        <v>39</v>
      </c>
      <c r="C112" s="19" t="s">
        <v>248</v>
      </c>
      <c r="D112" s="19" t="s">
        <v>249</v>
      </c>
      <c r="E112" s="19"/>
      <c r="F112" s="19" t="s">
        <v>38</v>
      </c>
      <c r="G112" s="19" t="s">
        <v>250</v>
      </c>
      <c r="H112" s="19"/>
      <c r="I112" s="19"/>
      <c r="J112" s="30"/>
      <c r="K112" s="30"/>
    </row>
    <row r="113" spans="1:11" ht="15.75" customHeight="1" x14ac:dyDescent="0.2">
      <c r="A113" s="19">
        <v>30</v>
      </c>
      <c r="B113" s="19" t="s">
        <v>34</v>
      </c>
      <c r="C113" s="19" t="s">
        <v>251</v>
      </c>
      <c r="D113" s="19" t="s">
        <v>252</v>
      </c>
      <c r="E113" s="19" t="s">
        <v>253</v>
      </c>
      <c r="F113" s="19"/>
      <c r="G113" s="19"/>
      <c r="H113" s="19"/>
      <c r="I113" s="19"/>
      <c r="J113" s="30"/>
      <c r="K113" s="30"/>
    </row>
    <row r="114" spans="1:11" ht="15.75" customHeight="1" x14ac:dyDescent="0.2">
      <c r="A114" s="19">
        <v>77</v>
      </c>
      <c r="B114" s="19" t="s">
        <v>82</v>
      </c>
      <c r="C114" s="19" t="s">
        <v>254</v>
      </c>
      <c r="D114" s="19" t="s">
        <v>255</v>
      </c>
      <c r="E114" s="19" t="s">
        <v>256</v>
      </c>
      <c r="F114" s="19"/>
      <c r="G114" s="19"/>
      <c r="H114" s="19"/>
      <c r="I114" s="19"/>
      <c r="J114" s="30"/>
      <c r="K114" s="30"/>
    </row>
    <row r="115" spans="1:11" ht="15.75" customHeight="1" x14ac:dyDescent="0.2">
      <c r="A115" s="19">
        <v>127</v>
      </c>
      <c r="B115" s="19" t="s">
        <v>39</v>
      </c>
      <c r="C115" s="19" t="s">
        <v>257</v>
      </c>
      <c r="D115" s="19" t="s">
        <v>258</v>
      </c>
      <c r="E115" s="19"/>
      <c r="F115" s="19" t="s">
        <v>38</v>
      </c>
      <c r="G115" s="19" t="s">
        <v>510</v>
      </c>
      <c r="H115" s="19" t="s">
        <v>163</v>
      </c>
      <c r="I115" s="19"/>
      <c r="J115" s="30"/>
      <c r="K115" s="30"/>
    </row>
    <row r="116" spans="1:11" ht="15.75" customHeight="1" x14ac:dyDescent="0.2">
      <c r="A116" s="19">
        <v>158</v>
      </c>
      <c r="B116" s="19" t="s">
        <v>101</v>
      </c>
      <c r="C116" s="19" t="s">
        <v>259</v>
      </c>
      <c r="D116" s="19" t="s">
        <v>258</v>
      </c>
      <c r="E116" s="19" t="s">
        <v>100</v>
      </c>
      <c r="F116" s="19" t="s">
        <v>90</v>
      </c>
      <c r="G116" s="19"/>
      <c r="H116" s="19"/>
      <c r="I116" s="19"/>
      <c r="J116" s="30"/>
      <c r="K116" s="30"/>
    </row>
    <row r="117" spans="1:11" ht="15.75" customHeight="1" x14ac:dyDescent="0.2">
      <c r="A117" s="19">
        <v>21</v>
      </c>
      <c r="B117" s="19" t="s">
        <v>34</v>
      </c>
      <c r="C117" s="19" t="s">
        <v>260</v>
      </c>
      <c r="D117" s="19" t="s">
        <v>261</v>
      </c>
      <c r="E117" s="19" t="s">
        <v>139</v>
      </c>
      <c r="F117" s="19"/>
      <c r="G117" s="19"/>
      <c r="H117" s="19"/>
      <c r="I117" s="19"/>
      <c r="J117" s="30"/>
      <c r="K117" s="30"/>
    </row>
    <row r="118" spans="1:11" ht="15.75" customHeight="1" x14ac:dyDescent="0.2">
      <c r="A118" s="19">
        <v>166</v>
      </c>
      <c r="B118" s="19" t="s">
        <v>101</v>
      </c>
      <c r="C118" s="19" t="s">
        <v>262</v>
      </c>
      <c r="D118" s="19" t="s">
        <v>261</v>
      </c>
      <c r="E118" s="19" t="s">
        <v>100</v>
      </c>
      <c r="F118" s="19" t="s">
        <v>90</v>
      </c>
      <c r="G118" s="19" t="s">
        <v>263</v>
      </c>
      <c r="H118" s="19"/>
      <c r="I118" s="19"/>
      <c r="J118" s="30"/>
      <c r="K118" s="30"/>
    </row>
    <row r="119" spans="1:11" ht="15.75" customHeight="1" x14ac:dyDescent="0.2">
      <c r="A119" s="19">
        <v>8</v>
      </c>
      <c r="B119" s="19" t="s">
        <v>34</v>
      </c>
      <c r="C119" s="19" t="s">
        <v>264</v>
      </c>
      <c r="D119" s="19" t="s">
        <v>265</v>
      </c>
      <c r="E119" s="19" t="s">
        <v>266</v>
      </c>
      <c r="F119" s="19"/>
      <c r="G119" s="19"/>
      <c r="H119" s="19"/>
      <c r="I119" s="19"/>
      <c r="J119" s="30"/>
      <c r="K119" s="30"/>
    </row>
    <row r="120" spans="1:11" ht="15.75" customHeight="1" x14ac:dyDescent="0.2">
      <c r="A120" s="20">
        <v>78</v>
      </c>
      <c r="B120" s="20" t="s">
        <v>82</v>
      </c>
      <c r="C120" s="20" t="s">
        <v>267</v>
      </c>
      <c r="D120" s="20" t="s">
        <v>265</v>
      </c>
      <c r="E120" s="20" t="s">
        <v>268</v>
      </c>
      <c r="F120" s="20" t="s">
        <v>90</v>
      </c>
      <c r="G120" s="20"/>
      <c r="H120" s="20"/>
      <c r="I120" s="20"/>
      <c r="J120" s="30"/>
      <c r="K120" s="30"/>
    </row>
    <row r="121" spans="1:11" ht="15.75" customHeight="1" x14ac:dyDescent="0.2">
      <c r="A121" s="19">
        <v>79</v>
      </c>
      <c r="B121" s="19" t="s">
        <v>82</v>
      </c>
      <c r="C121" s="19" t="s">
        <v>269</v>
      </c>
      <c r="D121" s="19" t="s">
        <v>265</v>
      </c>
      <c r="E121" s="19" t="s">
        <v>270</v>
      </c>
      <c r="F121" s="19"/>
      <c r="G121" s="19"/>
      <c r="H121" s="19"/>
      <c r="I121" s="19"/>
      <c r="J121" s="30"/>
      <c r="K121" s="30"/>
    </row>
    <row r="122" spans="1:11" ht="15.75" customHeight="1" x14ac:dyDescent="0.2">
      <c r="A122" s="19">
        <v>100</v>
      </c>
      <c r="B122" s="19" t="s">
        <v>272</v>
      </c>
      <c r="C122" s="19" t="s">
        <v>271</v>
      </c>
      <c r="D122" s="19" t="s">
        <v>265</v>
      </c>
      <c r="E122" s="19"/>
      <c r="F122" s="19" t="s">
        <v>134</v>
      </c>
      <c r="G122" s="19" t="s">
        <v>239</v>
      </c>
      <c r="H122" s="19"/>
      <c r="I122" s="19"/>
      <c r="J122" s="30"/>
      <c r="K122" s="30"/>
    </row>
    <row r="123" spans="1:11" ht="15.75" customHeight="1" x14ac:dyDescent="0.2">
      <c r="A123" s="19">
        <v>103</v>
      </c>
      <c r="B123" s="19" t="s">
        <v>274</v>
      </c>
      <c r="C123" s="19" t="s">
        <v>273</v>
      </c>
      <c r="D123" s="19" t="s">
        <v>265</v>
      </c>
      <c r="E123" s="19"/>
      <c r="F123" s="19" t="s">
        <v>45</v>
      </c>
      <c r="G123" s="19" t="s">
        <v>78</v>
      </c>
      <c r="H123" s="19"/>
      <c r="I123" s="19"/>
      <c r="J123" s="30"/>
      <c r="K123" s="30"/>
    </row>
    <row r="124" spans="1:11" ht="15.75" customHeight="1" x14ac:dyDescent="0.2">
      <c r="A124" s="19">
        <v>112</v>
      </c>
      <c r="B124" s="19" t="s">
        <v>39</v>
      </c>
      <c r="C124" s="19" t="s">
        <v>275</v>
      </c>
      <c r="D124" s="19" t="s">
        <v>265</v>
      </c>
      <c r="E124" s="19"/>
      <c r="F124" s="19" t="s">
        <v>90</v>
      </c>
      <c r="G124" s="19" t="s">
        <v>86</v>
      </c>
      <c r="H124" s="19"/>
      <c r="I124" s="19"/>
      <c r="J124" s="30"/>
      <c r="K124" s="30"/>
    </row>
    <row r="125" spans="1:11" ht="15.75" customHeight="1" x14ac:dyDescent="0.2">
      <c r="A125" s="19">
        <v>115</v>
      </c>
      <c r="B125" s="19" t="s">
        <v>39</v>
      </c>
      <c r="C125" s="19" t="s">
        <v>276</v>
      </c>
      <c r="D125" s="19" t="s">
        <v>265</v>
      </c>
      <c r="E125" s="19"/>
      <c r="F125" s="19" t="s">
        <v>186</v>
      </c>
      <c r="G125" s="19" t="s">
        <v>55</v>
      </c>
      <c r="H125" s="19"/>
      <c r="I125" s="19"/>
      <c r="J125" s="30"/>
      <c r="K125" s="30"/>
    </row>
    <row r="126" spans="1:11" ht="15.75" customHeight="1" x14ac:dyDescent="0.2">
      <c r="A126" s="19">
        <v>116</v>
      </c>
      <c r="B126" s="19" t="s">
        <v>39</v>
      </c>
      <c r="C126" s="19" t="s">
        <v>277</v>
      </c>
      <c r="D126" s="19" t="s">
        <v>265</v>
      </c>
      <c r="E126" s="19"/>
      <c r="F126" s="19" t="s">
        <v>186</v>
      </c>
      <c r="G126" s="19" t="s">
        <v>514</v>
      </c>
      <c r="H126" s="19"/>
      <c r="I126" s="19"/>
      <c r="J126" s="30"/>
      <c r="K126" s="30"/>
    </row>
    <row r="127" spans="1:11" ht="15.75" customHeight="1" x14ac:dyDescent="0.2">
      <c r="A127" s="19">
        <v>117</v>
      </c>
      <c r="B127" s="19" t="s">
        <v>39</v>
      </c>
      <c r="C127" s="19" t="s">
        <v>278</v>
      </c>
      <c r="D127" s="19" t="s">
        <v>265</v>
      </c>
      <c r="E127" s="19"/>
      <c r="F127" s="19" t="s">
        <v>90</v>
      </c>
      <c r="G127" s="19" t="s">
        <v>86</v>
      </c>
      <c r="H127" s="19" t="s">
        <v>45</v>
      </c>
      <c r="I127" s="19"/>
      <c r="J127" s="30"/>
      <c r="K127" s="30"/>
    </row>
    <row r="128" spans="1:11" ht="15.75" customHeight="1" x14ac:dyDescent="0.2">
      <c r="A128" s="19">
        <v>132</v>
      </c>
      <c r="B128" s="19" t="s">
        <v>44</v>
      </c>
      <c r="C128" s="19" t="s">
        <v>279</v>
      </c>
      <c r="D128" s="19" t="s">
        <v>265</v>
      </c>
      <c r="E128" s="19" t="s">
        <v>30</v>
      </c>
      <c r="F128" s="19" t="s">
        <v>90</v>
      </c>
      <c r="G128" s="19" t="s">
        <v>280</v>
      </c>
      <c r="H128" s="19"/>
      <c r="I128" s="19"/>
      <c r="J128" s="30"/>
      <c r="K128" s="30"/>
    </row>
    <row r="129" spans="1:11" ht="15.75" customHeight="1" x14ac:dyDescent="0.2">
      <c r="A129" s="19">
        <v>134</v>
      </c>
      <c r="B129" s="19" t="s">
        <v>44</v>
      </c>
      <c r="C129" s="19" t="s">
        <v>281</v>
      </c>
      <c r="D129" s="19" t="s">
        <v>265</v>
      </c>
      <c r="E129" s="19" t="s">
        <v>60</v>
      </c>
      <c r="F129" s="19" t="s">
        <v>90</v>
      </c>
      <c r="G129" s="19" t="s">
        <v>282</v>
      </c>
      <c r="H129" s="19"/>
      <c r="I129" s="19"/>
      <c r="J129" s="30"/>
      <c r="K129" s="30"/>
    </row>
    <row r="130" spans="1:11" ht="15.75" customHeight="1" x14ac:dyDescent="0.2">
      <c r="A130" s="19">
        <v>135</v>
      </c>
      <c r="B130" s="19" t="s">
        <v>44</v>
      </c>
      <c r="C130" s="19" t="s">
        <v>283</v>
      </c>
      <c r="D130" s="19" t="s">
        <v>265</v>
      </c>
      <c r="E130" s="19" t="s">
        <v>60</v>
      </c>
      <c r="F130" s="19" t="s">
        <v>90</v>
      </c>
      <c r="G130" s="19"/>
      <c r="H130" s="19" t="s">
        <v>66</v>
      </c>
      <c r="I130" s="19"/>
      <c r="J130" s="30"/>
      <c r="K130" s="30"/>
    </row>
    <row r="131" spans="1:11" ht="15.75" customHeight="1" x14ac:dyDescent="0.2">
      <c r="A131" s="19">
        <v>140</v>
      </c>
      <c r="B131" s="19" t="s">
        <v>44</v>
      </c>
      <c r="C131" s="19" t="s">
        <v>284</v>
      </c>
      <c r="D131" s="19" t="s">
        <v>265</v>
      </c>
      <c r="E131" s="19" t="s">
        <v>31</v>
      </c>
      <c r="F131" s="19" t="s">
        <v>90</v>
      </c>
      <c r="G131" s="19" t="s">
        <v>48</v>
      </c>
      <c r="H131" s="19" t="s">
        <v>55</v>
      </c>
      <c r="I131" s="19"/>
      <c r="J131" s="30"/>
      <c r="K131" s="30"/>
    </row>
    <row r="132" spans="1:11" ht="15.75" customHeight="1" x14ac:dyDescent="0.2">
      <c r="A132" s="19">
        <v>143</v>
      </c>
      <c r="B132" s="19" t="s">
        <v>44</v>
      </c>
      <c r="C132" s="19" t="s">
        <v>285</v>
      </c>
      <c r="D132" s="19" t="s">
        <v>265</v>
      </c>
      <c r="E132" s="19" t="s">
        <v>120</v>
      </c>
      <c r="F132" s="19" t="s">
        <v>90</v>
      </c>
      <c r="G132" s="19"/>
      <c r="H132" s="19" t="s">
        <v>86</v>
      </c>
      <c r="I132" s="19"/>
      <c r="J132" s="30"/>
      <c r="K132" s="30"/>
    </row>
    <row r="133" spans="1:11" ht="15.75" customHeight="1" x14ac:dyDescent="0.2">
      <c r="A133" s="19">
        <v>172</v>
      </c>
      <c r="B133" s="19" t="s">
        <v>101</v>
      </c>
      <c r="C133" s="19" t="s">
        <v>286</v>
      </c>
      <c r="D133" s="19" t="s">
        <v>265</v>
      </c>
      <c r="E133" s="19" t="s">
        <v>100</v>
      </c>
      <c r="F133" s="19" t="s">
        <v>90</v>
      </c>
      <c r="G133" s="19"/>
      <c r="H133" s="19"/>
      <c r="I133" s="19"/>
      <c r="J133" s="30"/>
      <c r="K133" s="30"/>
    </row>
    <row r="134" spans="1:11" ht="15.75" customHeight="1" x14ac:dyDescent="0.2">
      <c r="A134" s="19">
        <v>173</v>
      </c>
      <c r="B134" s="19" t="s">
        <v>101</v>
      </c>
      <c r="C134" s="19" t="s">
        <v>287</v>
      </c>
      <c r="D134" s="19" t="s">
        <v>265</v>
      </c>
      <c r="E134" s="19" t="s">
        <v>100</v>
      </c>
      <c r="F134" s="19" t="s">
        <v>38</v>
      </c>
      <c r="G134" s="19"/>
      <c r="H134" s="19"/>
      <c r="I134" s="19"/>
      <c r="J134" s="30"/>
      <c r="K134" s="30"/>
    </row>
    <row r="135" spans="1:11" ht="15.75" customHeight="1" x14ac:dyDescent="0.2">
      <c r="A135" s="19">
        <v>176</v>
      </c>
      <c r="B135" s="19" t="s">
        <v>101</v>
      </c>
      <c r="C135" s="19" t="s">
        <v>288</v>
      </c>
      <c r="D135" s="19" t="s">
        <v>265</v>
      </c>
      <c r="E135" s="19" t="s">
        <v>100</v>
      </c>
      <c r="F135" s="19" t="s">
        <v>90</v>
      </c>
      <c r="G135" s="19"/>
      <c r="H135" s="19" t="s">
        <v>120</v>
      </c>
      <c r="I135" s="19"/>
      <c r="J135" s="30"/>
      <c r="K135" s="30"/>
    </row>
    <row r="136" spans="1:11" ht="15.75" customHeight="1" x14ac:dyDescent="0.2">
      <c r="A136" s="19">
        <v>188</v>
      </c>
      <c r="B136" s="19" t="s">
        <v>63</v>
      </c>
      <c r="C136" s="19" t="s">
        <v>289</v>
      </c>
      <c r="D136" s="19" t="s">
        <v>265</v>
      </c>
      <c r="E136" s="19" t="s">
        <v>282</v>
      </c>
      <c r="F136" s="19" t="s">
        <v>90</v>
      </c>
      <c r="G136" s="19" t="s">
        <v>62</v>
      </c>
      <c r="H136" s="19"/>
      <c r="I136" s="19"/>
      <c r="J136" s="30"/>
      <c r="K136" s="30"/>
    </row>
    <row r="137" spans="1:11" ht="15.75" customHeight="1" x14ac:dyDescent="0.2">
      <c r="A137" s="19">
        <v>196</v>
      </c>
      <c r="B137" s="19" t="s">
        <v>58</v>
      </c>
      <c r="C137" s="19" t="s">
        <v>290</v>
      </c>
      <c r="D137" s="19" t="s">
        <v>265</v>
      </c>
      <c r="E137" s="19" t="s">
        <v>57</v>
      </c>
      <c r="F137" s="19" t="s">
        <v>38</v>
      </c>
      <c r="G137" s="19"/>
      <c r="H137" s="19"/>
      <c r="I137" s="19"/>
      <c r="J137" s="30"/>
      <c r="K137" s="30"/>
    </row>
    <row r="138" spans="1:11" ht="15.75" customHeight="1" x14ac:dyDescent="0.2">
      <c r="A138" s="19">
        <v>113</v>
      </c>
      <c r="B138" s="19" t="s">
        <v>39</v>
      </c>
      <c r="C138" s="19" t="s">
        <v>291</v>
      </c>
      <c r="D138" s="19" t="s">
        <v>292</v>
      </c>
      <c r="E138" s="19"/>
      <c r="F138" s="19" t="s">
        <v>90</v>
      </c>
      <c r="G138" s="19" t="s">
        <v>55</v>
      </c>
      <c r="H138" s="19"/>
      <c r="I138" s="19"/>
      <c r="J138" s="30"/>
      <c r="K138" s="30"/>
    </row>
    <row r="139" spans="1:11" ht="15.75" customHeight="1" x14ac:dyDescent="0.2">
      <c r="A139" s="19">
        <v>118</v>
      </c>
      <c r="B139" s="19" t="s">
        <v>39</v>
      </c>
      <c r="C139" s="19" t="s">
        <v>293</v>
      </c>
      <c r="D139" s="19" t="s">
        <v>294</v>
      </c>
      <c r="E139" s="19"/>
      <c r="F139" s="19" t="s">
        <v>295</v>
      </c>
      <c r="G139" s="19" t="s">
        <v>86</v>
      </c>
      <c r="H139" s="19" t="s">
        <v>296</v>
      </c>
      <c r="I139" s="19"/>
      <c r="J139" s="30"/>
      <c r="K139" s="30"/>
    </row>
    <row r="140" spans="1:11" ht="15.75" customHeight="1" x14ac:dyDescent="0.2">
      <c r="A140" s="19">
        <v>119</v>
      </c>
      <c r="B140" s="19" t="s">
        <v>39</v>
      </c>
      <c r="C140" s="19" t="s">
        <v>297</v>
      </c>
      <c r="D140" s="19" t="s">
        <v>294</v>
      </c>
      <c r="E140" s="19"/>
      <c r="F140" s="19" t="s">
        <v>90</v>
      </c>
      <c r="G140" s="19" t="s">
        <v>86</v>
      </c>
      <c r="H140" s="19" t="s">
        <v>126</v>
      </c>
      <c r="I140" s="19"/>
      <c r="J140" s="30"/>
      <c r="K140" s="30"/>
    </row>
    <row r="141" spans="1:11" ht="15.75" customHeight="1" x14ac:dyDescent="0.2">
      <c r="A141" s="19">
        <v>174</v>
      </c>
      <c r="B141" s="19" t="s">
        <v>101</v>
      </c>
      <c r="C141" s="19" t="s">
        <v>298</v>
      </c>
      <c r="D141" s="19" t="s">
        <v>294</v>
      </c>
      <c r="E141" s="19" t="s">
        <v>100</v>
      </c>
      <c r="F141" s="19" t="s">
        <v>38</v>
      </c>
      <c r="G141" s="19"/>
      <c r="H141" s="19"/>
      <c r="I141" s="19"/>
      <c r="J141" s="30"/>
      <c r="K141" s="30"/>
    </row>
    <row r="142" spans="1:11" ht="15.75" customHeight="1" x14ac:dyDescent="0.2">
      <c r="A142" s="19">
        <v>65</v>
      </c>
      <c r="B142" s="19" t="s">
        <v>50</v>
      </c>
      <c r="C142" s="19" t="s">
        <v>299</v>
      </c>
      <c r="D142" s="19" t="s">
        <v>300</v>
      </c>
      <c r="E142" s="19" t="s">
        <v>52</v>
      </c>
      <c r="F142" s="19" t="s">
        <v>78</v>
      </c>
      <c r="G142" s="19"/>
      <c r="H142" s="19"/>
      <c r="I142" s="19"/>
      <c r="J142" s="30"/>
      <c r="K142" s="30"/>
    </row>
    <row r="143" spans="1:11" ht="15.75" customHeight="1" x14ac:dyDescent="0.2">
      <c r="A143" s="19">
        <v>80</v>
      </c>
      <c r="B143" s="19" t="s">
        <v>82</v>
      </c>
      <c r="C143" s="19" t="s">
        <v>301</v>
      </c>
      <c r="D143" s="19" t="s">
        <v>300</v>
      </c>
      <c r="E143" s="19" t="s">
        <v>302</v>
      </c>
      <c r="F143" s="19"/>
      <c r="G143" s="19"/>
      <c r="H143" s="19"/>
      <c r="I143" s="19"/>
      <c r="J143" s="30"/>
      <c r="K143" s="30"/>
    </row>
    <row r="144" spans="1:11" ht="15.75" customHeight="1" x14ac:dyDescent="0.2">
      <c r="A144" s="19">
        <v>81</v>
      </c>
      <c r="B144" s="19" t="s">
        <v>82</v>
      </c>
      <c r="C144" s="19" t="s">
        <v>303</v>
      </c>
      <c r="D144" s="19" t="s">
        <v>300</v>
      </c>
      <c r="E144" s="19" t="s">
        <v>156</v>
      </c>
      <c r="F144" s="19"/>
      <c r="G144" s="19"/>
      <c r="H144" s="19"/>
      <c r="I144" s="19"/>
      <c r="J144" s="30"/>
      <c r="K144" s="30"/>
    </row>
    <row r="145" spans="1:11" ht="15.75" customHeight="1" x14ac:dyDescent="0.2">
      <c r="A145" s="19">
        <v>126</v>
      </c>
      <c r="B145" s="19" t="s">
        <v>39</v>
      </c>
      <c r="C145" s="19" t="s">
        <v>304</v>
      </c>
      <c r="D145" s="19" t="s">
        <v>300</v>
      </c>
      <c r="E145" s="19"/>
      <c r="F145" s="19" t="s">
        <v>38</v>
      </c>
      <c r="G145" s="19" t="s">
        <v>55</v>
      </c>
      <c r="H145" s="19" t="s">
        <v>126</v>
      </c>
      <c r="I145" s="19"/>
      <c r="J145" s="30"/>
      <c r="K145" s="30"/>
    </row>
    <row r="146" spans="1:11" ht="15.75" customHeight="1" x14ac:dyDescent="0.2">
      <c r="A146" s="19">
        <v>131</v>
      </c>
      <c r="B146" s="19" t="s">
        <v>44</v>
      </c>
      <c r="C146" s="19" t="s">
        <v>305</v>
      </c>
      <c r="D146" s="19" t="s">
        <v>300</v>
      </c>
      <c r="E146" s="19" t="s">
        <v>30</v>
      </c>
      <c r="F146" s="19" t="s">
        <v>38</v>
      </c>
      <c r="G146" s="19" t="s">
        <v>52</v>
      </c>
      <c r="H146" s="19"/>
      <c r="I146" s="19"/>
      <c r="J146" s="30"/>
      <c r="K146" s="30"/>
    </row>
    <row r="147" spans="1:11" ht="15.75" customHeight="1" x14ac:dyDescent="0.2">
      <c r="A147" s="19">
        <v>139</v>
      </c>
      <c r="B147" s="19" t="s">
        <v>44</v>
      </c>
      <c r="C147" s="19" t="s">
        <v>306</v>
      </c>
      <c r="D147" s="19" t="s">
        <v>300</v>
      </c>
      <c r="E147" s="19" t="s">
        <v>31</v>
      </c>
      <c r="F147" s="19" t="s">
        <v>38</v>
      </c>
      <c r="G147" s="19" t="s">
        <v>52</v>
      </c>
      <c r="H147" s="19"/>
      <c r="I147" s="19"/>
      <c r="J147" s="30"/>
      <c r="K147" s="30"/>
    </row>
    <row r="148" spans="1:11" ht="15.75" customHeight="1" x14ac:dyDescent="0.2">
      <c r="A148" s="19">
        <v>148</v>
      </c>
      <c r="B148" s="19" t="s">
        <v>44</v>
      </c>
      <c r="C148" s="19" t="s">
        <v>307</v>
      </c>
      <c r="D148" s="19" t="s">
        <v>300</v>
      </c>
      <c r="E148" s="19" t="s">
        <v>308</v>
      </c>
      <c r="F148" s="19" t="s">
        <v>38</v>
      </c>
      <c r="G148" s="19" t="s">
        <v>52</v>
      </c>
      <c r="H148" s="19"/>
      <c r="I148" s="19"/>
      <c r="J148" s="30"/>
      <c r="K148" s="30"/>
    </row>
    <row r="149" spans="1:11" ht="15.75" customHeight="1" x14ac:dyDescent="0.2">
      <c r="A149" s="19">
        <v>151</v>
      </c>
      <c r="B149" s="19" t="s">
        <v>44</v>
      </c>
      <c r="C149" s="19" t="s">
        <v>309</v>
      </c>
      <c r="D149" s="19" t="s">
        <v>300</v>
      </c>
      <c r="E149" s="19" t="s">
        <v>215</v>
      </c>
      <c r="F149" s="19" t="s">
        <v>38</v>
      </c>
      <c r="G149" s="19" t="s">
        <v>55</v>
      </c>
      <c r="H149" s="19"/>
      <c r="I149" s="19"/>
      <c r="J149" s="30"/>
      <c r="K149" s="30"/>
    </row>
    <row r="150" spans="1:11" ht="15.75" customHeight="1" x14ac:dyDescent="0.2">
      <c r="A150" s="19">
        <v>183</v>
      </c>
      <c r="B150" s="19" t="s">
        <v>101</v>
      </c>
      <c r="C150" s="19" t="s">
        <v>310</v>
      </c>
      <c r="D150" s="19" t="s">
        <v>300</v>
      </c>
      <c r="E150" s="19" t="s">
        <v>100</v>
      </c>
      <c r="F150" s="19" t="s">
        <v>38</v>
      </c>
      <c r="G150" s="19"/>
      <c r="H150" s="19" t="s">
        <v>48</v>
      </c>
      <c r="I150" s="19"/>
      <c r="J150" s="30"/>
      <c r="K150" s="30"/>
    </row>
    <row r="151" spans="1:11" ht="15.75" customHeight="1" x14ac:dyDescent="0.2">
      <c r="A151" s="19">
        <v>201</v>
      </c>
      <c r="B151" s="19" t="s">
        <v>58</v>
      </c>
      <c r="C151" s="19" t="s">
        <v>311</v>
      </c>
      <c r="D151" s="19" t="s">
        <v>300</v>
      </c>
      <c r="E151" s="19" t="s">
        <v>57</v>
      </c>
      <c r="F151" s="19" t="s">
        <v>38</v>
      </c>
      <c r="G151" s="19"/>
      <c r="H151" s="19"/>
      <c r="I151" s="19"/>
      <c r="J151" s="30"/>
      <c r="K151" s="30"/>
    </row>
    <row r="152" spans="1:11" ht="15.75" customHeight="1" x14ac:dyDescent="0.2">
      <c r="A152" s="20">
        <v>206</v>
      </c>
      <c r="B152" s="20" t="s">
        <v>242</v>
      </c>
      <c r="C152" s="20" t="s">
        <v>312</v>
      </c>
      <c r="D152" s="20" t="s">
        <v>313</v>
      </c>
      <c r="E152" s="20"/>
      <c r="F152" s="20"/>
      <c r="G152" s="20" t="s">
        <v>314</v>
      </c>
      <c r="H152" s="20" t="s">
        <v>240</v>
      </c>
      <c r="I152" s="20" t="s">
        <v>315</v>
      </c>
      <c r="J152" s="30"/>
      <c r="K152" s="30"/>
    </row>
    <row r="153" spans="1:11" ht="15.75" customHeight="1" x14ac:dyDescent="0.2">
      <c r="A153" s="19">
        <v>1</v>
      </c>
      <c r="B153" s="19" t="s">
        <v>34</v>
      </c>
      <c r="C153" s="19" t="s">
        <v>316</v>
      </c>
      <c r="D153" s="19" t="s">
        <v>317</v>
      </c>
      <c r="E153" s="19" t="s">
        <v>30</v>
      </c>
      <c r="F153" s="19"/>
      <c r="G153" s="19"/>
      <c r="H153" s="19"/>
      <c r="I153" s="19"/>
      <c r="J153" s="30"/>
      <c r="K153" s="30"/>
    </row>
    <row r="154" spans="1:11" ht="15.75" customHeight="1" x14ac:dyDescent="0.2">
      <c r="A154" s="19">
        <v>2</v>
      </c>
      <c r="B154" s="19" t="s">
        <v>34</v>
      </c>
      <c r="C154" s="19" t="s">
        <v>318</v>
      </c>
      <c r="D154" s="19" t="s">
        <v>317</v>
      </c>
      <c r="E154" s="19" t="s">
        <v>30</v>
      </c>
      <c r="F154" s="19"/>
      <c r="G154" s="19"/>
      <c r="H154" s="19"/>
      <c r="I154" s="19" t="s">
        <v>32</v>
      </c>
      <c r="J154" s="30"/>
      <c r="K154" s="30"/>
    </row>
    <row r="155" spans="1:11" ht="15.75" customHeight="1" x14ac:dyDescent="0.2">
      <c r="A155" s="19">
        <v>23</v>
      </c>
      <c r="B155" s="19" t="s">
        <v>34</v>
      </c>
      <c r="C155" s="19" t="s">
        <v>319</v>
      </c>
      <c r="D155" s="19" t="s">
        <v>317</v>
      </c>
      <c r="E155" s="19" t="s">
        <v>173</v>
      </c>
      <c r="F155" s="19"/>
      <c r="G155" s="19"/>
      <c r="H155" s="19"/>
      <c r="I155" s="19"/>
      <c r="J155" s="30"/>
      <c r="K155" s="30"/>
    </row>
    <row r="156" spans="1:11" ht="15.75" customHeight="1" x14ac:dyDescent="0.2">
      <c r="A156" s="19">
        <v>31</v>
      </c>
      <c r="B156" s="19" t="s">
        <v>34</v>
      </c>
      <c r="C156" s="19" t="s">
        <v>320</v>
      </c>
      <c r="D156" s="19" t="s">
        <v>317</v>
      </c>
      <c r="E156" s="19" t="s">
        <v>60</v>
      </c>
      <c r="F156" s="19"/>
      <c r="G156" s="19"/>
      <c r="H156" s="19"/>
      <c r="I156" s="19"/>
      <c r="J156" s="30"/>
      <c r="K156" s="30"/>
    </row>
    <row r="157" spans="1:11" ht="15.75" customHeight="1" x14ac:dyDescent="0.2">
      <c r="A157" s="19">
        <v>32</v>
      </c>
      <c r="B157" s="19" t="s">
        <v>34</v>
      </c>
      <c r="C157" s="19" t="s">
        <v>321</v>
      </c>
      <c r="D157" s="19" t="s">
        <v>317</v>
      </c>
      <c r="E157" s="19" t="s">
        <v>70</v>
      </c>
      <c r="F157" s="19"/>
      <c r="G157" s="19"/>
      <c r="H157" s="19"/>
      <c r="I157" s="19"/>
      <c r="J157" s="30"/>
      <c r="K157" s="30"/>
    </row>
    <row r="158" spans="1:11" ht="15.75" customHeight="1" x14ac:dyDescent="0.2">
      <c r="A158" s="19">
        <v>33</v>
      </c>
      <c r="B158" s="19" t="s">
        <v>34</v>
      </c>
      <c r="C158" s="19" t="s">
        <v>322</v>
      </c>
      <c r="D158" s="19" t="s">
        <v>317</v>
      </c>
      <c r="E158" s="19" t="s">
        <v>323</v>
      </c>
      <c r="F158" s="19"/>
      <c r="G158" s="19"/>
      <c r="H158" s="19"/>
      <c r="I158" s="19"/>
      <c r="J158" s="30"/>
      <c r="K158" s="30"/>
    </row>
    <row r="159" spans="1:11" ht="15.75" customHeight="1" x14ac:dyDescent="0.2">
      <c r="A159" s="19">
        <v>55</v>
      </c>
      <c r="B159" s="19" t="s">
        <v>50</v>
      </c>
      <c r="C159" s="19" t="s">
        <v>324</v>
      </c>
      <c r="D159" s="19" t="s">
        <v>317</v>
      </c>
      <c r="E159" s="19" t="s">
        <v>48</v>
      </c>
      <c r="F159" s="19"/>
      <c r="G159" s="19"/>
      <c r="H159" s="19" t="s">
        <v>263</v>
      </c>
      <c r="I159" s="19"/>
      <c r="J159" s="30"/>
      <c r="K159" s="30"/>
    </row>
    <row r="160" spans="1:11" ht="15.75" customHeight="1" x14ac:dyDescent="0.2">
      <c r="A160" s="19">
        <v>58</v>
      </c>
      <c r="B160" s="19" t="s">
        <v>50</v>
      </c>
      <c r="C160" s="19" t="s">
        <v>325</v>
      </c>
      <c r="D160" s="19" t="s">
        <v>317</v>
      </c>
      <c r="E160" s="19" t="s">
        <v>48</v>
      </c>
      <c r="F160" s="19"/>
      <c r="G160" s="19" t="s">
        <v>68</v>
      </c>
      <c r="H160" s="19"/>
      <c r="I160" s="19"/>
      <c r="J160" s="30"/>
      <c r="K160" s="30"/>
    </row>
    <row r="161" spans="1:11" ht="15.75" customHeight="1" x14ac:dyDescent="0.2">
      <c r="A161" s="19">
        <v>61</v>
      </c>
      <c r="B161" s="19" t="s">
        <v>50</v>
      </c>
      <c r="C161" s="19" t="s">
        <v>326</v>
      </c>
      <c r="D161" s="19" t="s">
        <v>317</v>
      </c>
      <c r="E161" s="19" t="s">
        <v>48</v>
      </c>
      <c r="F161" s="19" t="s">
        <v>126</v>
      </c>
      <c r="G161" s="19" t="s">
        <v>70</v>
      </c>
      <c r="H161" s="19"/>
      <c r="I161" s="19"/>
      <c r="J161" s="30"/>
      <c r="K161" s="30"/>
    </row>
    <row r="162" spans="1:11" ht="15.75" customHeight="1" x14ac:dyDescent="0.2">
      <c r="A162" s="19">
        <v>82</v>
      </c>
      <c r="B162" s="19" t="s">
        <v>82</v>
      </c>
      <c r="C162" s="19" t="s">
        <v>327</v>
      </c>
      <c r="D162" s="19" t="s">
        <v>317</v>
      </c>
      <c r="E162" s="19" t="s">
        <v>81</v>
      </c>
      <c r="F162" s="19"/>
      <c r="G162" s="19"/>
      <c r="H162" s="19"/>
      <c r="I162" s="19"/>
      <c r="J162" s="30"/>
      <c r="K162" s="30"/>
    </row>
    <row r="163" spans="1:11" ht="15.75" customHeight="1" x14ac:dyDescent="0.2">
      <c r="A163" s="19">
        <v>83</v>
      </c>
      <c r="B163" s="19" t="s">
        <v>82</v>
      </c>
      <c r="C163" s="19" t="s">
        <v>328</v>
      </c>
      <c r="D163" s="19" t="s">
        <v>317</v>
      </c>
      <c r="E163" s="19" t="s">
        <v>62</v>
      </c>
      <c r="F163" s="19"/>
      <c r="G163" s="19"/>
      <c r="H163" s="19"/>
      <c r="I163" s="19"/>
      <c r="J163" s="30"/>
      <c r="K163" s="30"/>
    </row>
    <row r="164" spans="1:11" ht="15.75" customHeight="1" x14ac:dyDescent="0.2">
      <c r="A164" s="19">
        <v>84</v>
      </c>
      <c r="B164" s="19" t="s">
        <v>82</v>
      </c>
      <c r="C164" s="19" t="s">
        <v>329</v>
      </c>
      <c r="D164" s="19" t="s">
        <v>317</v>
      </c>
      <c r="E164" s="19" t="s">
        <v>156</v>
      </c>
      <c r="F164" s="19"/>
      <c r="G164" s="19"/>
      <c r="H164" s="19"/>
      <c r="I164" s="19"/>
      <c r="J164" s="30"/>
      <c r="K164" s="30"/>
    </row>
    <row r="165" spans="1:11" ht="15.75" customHeight="1" x14ac:dyDescent="0.2">
      <c r="A165" s="19">
        <v>205</v>
      </c>
      <c r="B165" s="19" t="s">
        <v>58</v>
      </c>
      <c r="C165" s="19" t="s">
        <v>330</v>
      </c>
      <c r="D165" s="19" t="s">
        <v>317</v>
      </c>
      <c r="E165" s="19" t="s">
        <v>57</v>
      </c>
      <c r="F165" s="19" t="s">
        <v>38</v>
      </c>
      <c r="G165" s="19"/>
      <c r="H165" s="19"/>
      <c r="I165" s="19"/>
      <c r="J165" s="30"/>
      <c r="K165" s="30"/>
    </row>
    <row r="166" spans="1:11" ht="15.75" customHeight="1" x14ac:dyDescent="0.2">
      <c r="A166" s="19">
        <v>150</v>
      </c>
      <c r="B166" s="19" t="s">
        <v>44</v>
      </c>
      <c r="C166" s="19" t="s">
        <v>331</v>
      </c>
      <c r="D166" s="19" t="s">
        <v>332</v>
      </c>
      <c r="E166" s="19" t="s">
        <v>104</v>
      </c>
      <c r="F166" s="19" t="s">
        <v>38</v>
      </c>
      <c r="G166" s="19" t="s">
        <v>74</v>
      </c>
      <c r="H166" s="19"/>
      <c r="I166" s="19"/>
      <c r="J166" s="30"/>
      <c r="K166" s="30"/>
    </row>
    <row r="167" spans="1:11" ht="15.75" customHeight="1" x14ac:dyDescent="0.2">
      <c r="A167" s="19">
        <v>85</v>
      </c>
      <c r="B167" s="19" t="s">
        <v>82</v>
      </c>
      <c r="C167" s="19" t="s">
        <v>333</v>
      </c>
      <c r="D167" s="19" t="s">
        <v>334</v>
      </c>
      <c r="E167" s="19" t="s">
        <v>335</v>
      </c>
      <c r="F167" s="19"/>
      <c r="G167" s="19"/>
      <c r="H167" s="19"/>
      <c r="I167" s="19"/>
      <c r="J167" s="30"/>
      <c r="K167" s="30"/>
    </row>
    <row r="168" spans="1:11" ht="15.75" customHeight="1" x14ac:dyDescent="0.2">
      <c r="A168" s="19">
        <v>187</v>
      </c>
      <c r="B168" s="19" t="s">
        <v>63</v>
      </c>
      <c r="C168" s="19" t="s">
        <v>336</v>
      </c>
      <c r="D168" s="19" t="s">
        <v>282</v>
      </c>
      <c r="E168" s="19" t="s">
        <v>86</v>
      </c>
      <c r="F168" s="19" t="s">
        <v>38</v>
      </c>
      <c r="G168" s="19" t="s">
        <v>62</v>
      </c>
      <c r="H168" s="19"/>
      <c r="I168" s="19"/>
      <c r="J168" s="30"/>
      <c r="K168" s="30"/>
    </row>
    <row r="169" spans="1:11" ht="15.75" customHeight="1" x14ac:dyDescent="0.2">
      <c r="A169" s="19">
        <v>95</v>
      </c>
      <c r="B169" s="19" t="s">
        <v>272</v>
      </c>
      <c r="C169" s="19" t="s">
        <v>337</v>
      </c>
      <c r="D169" s="19" t="s">
        <v>280</v>
      </c>
      <c r="E169" s="19" t="s">
        <v>282</v>
      </c>
      <c r="F169" s="19" t="s">
        <v>126</v>
      </c>
      <c r="G169" s="19" t="s">
        <v>30</v>
      </c>
      <c r="H169" s="19"/>
      <c r="I169" s="19"/>
      <c r="J169" s="30"/>
      <c r="K169" s="30"/>
    </row>
    <row r="170" spans="1:11" ht="15.75" customHeight="1" x14ac:dyDescent="0.2">
      <c r="A170" s="19">
        <v>153</v>
      </c>
      <c r="B170" s="19" t="s">
        <v>44</v>
      </c>
      <c r="C170" s="19" t="s">
        <v>338</v>
      </c>
      <c r="D170" s="19" t="s">
        <v>339</v>
      </c>
      <c r="E170" s="19" t="s">
        <v>340</v>
      </c>
      <c r="F170" s="19" t="s">
        <v>341</v>
      </c>
      <c r="G170" s="19"/>
      <c r="H170" s="19"/>
      <c r="I170" s="19"/>
      <c r="J170" s="30"/>
      <c r="K170" s="30"/>
    </row>
    <row r="171" spans="1:11" ht="15.75" customHeight="1" x14ac:dyDescent="0.2">
      <c r="A171" s="19">
        <v>15</v>
      </c>
      <c r="B171" s="19" t="s">
        <v>34</v>
      </c>
      <c r="C171" s="19" t="s">
        <v>342</v>
      </c>
      <c r="D171" s="19" t="s">
        <v>343</v>
      </c>
      <c r="E171" s="19" t="s">
        <v>36</v>
      </c>
      <c r="F171" s="19"/>
      <c r="G171" s="19"/>
      <c r="H171" s="19"/>
      <c r="I171" s="19"/>
      <c r="J171" s="30"/>
      <c r="K171" s="30"/>
    </row>
    <row r="172" spans="1:11" ht="15.75" customHeight="1" x14ac:dyDescent="0.2">
      <c r="A172" s="19">
        <v>91</v>
      </c>
      <c r="B172" s="19" t="s">
        <v>272</v>
      </c>
      <c r="C172" s="19" t="s">
        <v>344</v>
      </c>
      <c r="D172" s="19" t="s">
        <v>343</v>
      </c>
      <c r="E172" s="19" t="s">
        <v>345</v>
      </c>
      <c r="F172" s="19" t="s">
        <v>126</v>
      </c>
      <c r="G172" s="19"/>
      <c r="H172" s="19"/>
      <c r="I172" s="19"/>
      <c r="J172" s="30"/>
      <c r="K172" s="30"/>
    </row>
    <row r="173" spans="1:11" ht="15.75" customHeight="1" x14ac:dyDescent="0.2">
      <c r="A173" s="19">
        <v>92</v>
      </c>
      <c r="B173" s="19" t="s">
        <v>272</v>
      </c>
      <c r="C173" s="19" t="s">
        <v>346</v>
      </c>
      <c r="D173" s="19" t="s">
        <v>343</v>
      </c>
      <c r="E173" s="19" t="s">
        <v>55</v>
      </c>
      <c r="F173" s="19" t="s">
        <v>126</v>
      </c>
      <c r="G173" s="19"/>
      <c r="H173" s="19"/>
      <c r="I173" s="19"/>
      <c r="J173" s="30"/>
      <c r="K173" s="30"/>
    </row>
    <row r="174" spans="1:11" ht="15.75" customHeight="1" x14ac:dyDescent="0.2">
      <c r="A174" s="19">
        <v>99</v>
      </c>
      <c r="B174" s="19" t="s">
        <v>272</v>
      </c>
      <c r="C174" s="19" t="s">
        <v>347</v>
      </c>
      <c r="D174" s="19" t="s">
        <v>343</v>
      </c>
      <c r="E174" s="19"/>
      <c r="F174" s="19" t="s">
        <v>134</v>
      </c>
      <c r="G174" s="19" t="s">
        <v>348</v>
      </c>
      <c r="H174" s="19"/>
      <c r="I174" s="19"/>
      <c r="J174" s="30"/>
      <c r="K174" s="30"/>
    </row>
    <row r="175" spans="1:11" ht="15.75" customHeight="1" x14ac:dyDescent="0.2">
      <c r="A175" s="19">
        <v>129</v>
      </c>
      <c r="B175" s="19" t="s">
        <v>44</v>
      </c>
      <c r="C175" s="19" t="s">
        <v>349</v>
      </c>
      <c r="D175" s="19" t="s">
        <v>343</v>
      </c>
      <c r="E175" s="19" t="s">
        <v>30</v>
      </c>
      <c r="F175" s="19" t="s">
        <v>90</v>
      </c>
      <c r="G175" s="19"/>
      <c r="H175" s="19"/>
      <c r="I175" s="19"/>
      <c r="J175" s="30"/>
      <c r="K175" s="30"/>
    </row>
    <row r="176" spans="1:11" ht="15.75" customHeight="1" x14ac:dyDescent="0.2">
      <c r="A176" s="19">
        <v>145</v>
      </c>
      <c r="B176" s="19" t="s">
        <v>44</v>
      </c>
      <c r="C176" s="19" t="s">
        <v>350</v>
      </c>
      <c r="D176" s="19" t="s">
        <v>343</v>
      </c>
      <c r="E176" s="19" t="s">
        <v>139</v>
      </c>
      <c r="F176" s="19" t="s">
        <v>90</v>
      </c>
      <c r="G176" s="19"/>
      <c r="H176" s="19"/>
      <c r="I176" s="19"/>
      <c r="J176" s="30"/>
      <c r="K176" s="30"/>
    </row>
    <row r="177" spans="1:11" ht="15.75" customHeight="1" x14ac:dyDescent="0.2">
      <c r="A177" s="19">
        <v>156</v>
      </c>
      <c r="B177" s="19" t="s">
        <v>101</v>
      </c>
      <c r="C177" s="19" t="s">
        <v>351</v>
      </c>
      <c r="D177" s="19" t="s">
        <v>343</v>
      </c>
      <c r="E177" s="19" t="s">
        <v>100</v>
      </c>
      <c r="F177" s="19" t="s">
        <v>90</v>
      </c>
      <c r="G177" s="19"/>
      <c r="H177" s="19"/>
      <c r="I177" s="19"/>
      <c r="J177" s="30"/>
      <c r="K177" s="30"/>
    </row>
    <row r="178" spans="1:11" ht="15.75" customHeight="1" x14ac:dyDescent="0.2">
      <c r="A178" s="19">
        <v>202</v>
      </c>
      <c r="B178" s="19" t="s">
        <v>58</v>
      </c>
      <c r="C178" s="19" t="s">
        <v>352</v>
      </c>
      <c r="D178" s="19" t="s">
        <v>343</v>
      </c>
      <c r="E178" s="19" t="s">
        <v>57</v>
      </c>
      <c r="F178" s="19" t="s">
        <v>90</v>
      </c>
      <c r="G178" s="19"/>
      <c r="H178" s="19"/>
      <c r="I178" s="19"/>
      <c r="J178" s="30"/>
      <c r="K178" s="30"/>
    </row>
    <row r="179" spans="1:11" ht="15.75" customHeight="1" x14ac:dyDescent="0.2">
      <c r="A179" s="19">
        <v>189</v>
      </c>
      <c r="B179" s="19" t="s">
        <v>63</v>
      </c>
      <c r="C179" s="19" t="s">
        <v>353</v>
      </c>
      <c r="D179" s="19" t="s">
        <v>354</v>
      </c>
      <c r="E179" s="19" t="s">
        <v>57</v>
      </c>
      <c r="F179" s="19" t="s">
        <v>38</v>
      </c>
      <c r="G179" s="19" t="s">
        <v>62</v>
      </c>
      <c r="H179" s="19"/>
      <c r="I179" s="19"/>
      <c r="J179" s="30"/>
      <c r="K179" s="30"/>
    </row>
    <row r="180" spans="1:11" ht="15.75" customHeight="1" x14ac:dyDescent="0.2">
      <c r="A180" s="19">
        <v>197</v>
      </c>
      <c r="B180" s="19" t="s">
        <v>58</v>
      </c>
      <c r="C180" s="19" t="s">
        <v>355</v>
      </c>
      <c r="D180" s="19" t="s">
        <v>354</v>
      </c>
      <c r="E180" s="19" t="s">
        <v>57</v>
      </c>
      <c r="F180" s="19" t="s">
        <v>38</v>
      </c>
      <c r="G180" s="19"/>
      <c r="H180" s="19"/>
      <c r="I180" s="19"/>
      <c r="J180" s="30"/>
      <c r="K180" s="30"/>
    </row>
    <row r="181" spans="1:11" ht="15.75" customHeight="1" x14ac:dyDescent="0.2">
      <c r="A181" s="19">
        <v>3</v>
      </c>
      <c r="B181" s="19" t="s">
        <v>34</v>
      </c>
      <c r="C181" s="19" t="s">
        <v>356</v>
      </c>
      <c r="D181" s="19" t="s">
        <v>357</v>
      </c>
      <c r="E181" s="19" t="s">
        <v>30</v>
      </c>
      <c r="F181" s="19"/>
      <c r="G181" s="19"/>
      <c r="H181" s="19"/>
      <c r="I181" s="19"/>
      <c r="J181" s="30"/>
      <c r="K181" s="30"/>
    </row>
    <row r="182" spans="1:11" ht="15.75" customHeight="1" x14ac:dyDescent="0.2">
      <c r="A182" s="19">
        <v>4</v>
      </c>
      <c r="B182" s="19" t="s">
        <v>34</v>
      </c>
      <c r="C182" s="19" t="s">
        <v>358</v>
      </c>
      <c r="D182" s="19" t="s">
        <v>357</v>
      </c>
      <c r="E182" s="19" t="s">
        <v>30</v>
      </c>
      <c r="F182" s="19"/>
      <c r="G182" s="19"/>
      <c r="H182" s="19"/>
      <c r="I182" s="19" t="s">
        <v>32</v>
      </c>
      <c r="J182" s="30"/>
      <c r="K182" s="30"/>
    </row>
    <row r="183" spans="1:11" ht="15.75" customHeight="1" x14ac:dyDescent="0.2">
      <c r="A183" s="19">
        <v>5</v>
      </c>
      <c r="B183" s="19" t="s">
        <v>34</v>
      </c>
      <c r="C183" s="19" t="s">
        <v>359</v>
      </c>
      <c r="D183" s="19" t="s">
        <v>357</v>
      </c>
      <c r="E183" s="19" t="s">
        <v>31</v>
      </c>
      <c r="F183" s="19"/>
      <c r="G183" s="19"/>
      <c r="H183" s="19"/>
      <c r="I183" s="19"/>
      <c r="J183" s="30"/>
      <c r="K183" s="30"/>
    </row>
    <row r="184" spans="1:11" ht="15.75" customHeight="1" x14ac:dyDescent="0.2">
      <c r="A184" s="19">
        <v>12</v>
      </c>
      <c r="B184" s="19" t="s">
        <v>34</v>
      </c>
      <c r="C184" s="19" t="s">
        <v>360</v>
      </c>
      <c r="D184" s="19" t="s">
        <v>357</v>
      </c>
      <c r="E184" s="19" t="s">
        <v>36</v>
      </c>
      <c r="F184" s="19"/>
      <c r="G184" s="19"/>
      <c r="H184" s="19"/>
      <c r="I184" s="19"/>
      <c r="J184" s="30"/>
      <c r="K184" s="30"/>
    </row>
    <row r="185" spans="1:11" ht="15.75" customHeight="1" x14ac:dyDescent="0.2">
      <c r="A185" s="19">
        <v>13</v>
      </c>
      <c r="B185" s="19" t="s">
        <v>34</v>
      </c>
      <c r="C185" s="19" t="s">
        <v>361</v>
      </c>
      <c r="D185" s="19" t="s">
        <v>357</v>
      </c>
      <c r="E185" s="19" t="s">
        <v>36</v>
      </c>
      <c r="F185" s="19"/>
      <c r="G185" s="19"/>
      <c r="H185" s="19"/>
      <c r="I185" s="19" t="s">
        <v>32</v>
      </c>
      <c r="J185" s="30"/>
      <c r="K185" s="30"/>
    </row>
    <row r="186" spans="1:11" ht="15.75" customHeight="1" x14ac:dyDescent="0.2">
      <c r="A186" s="19">
        <v>14</v>
      </c>
      <c r="B186" s="19" t="s">
        <v>34</v>
      </c>
      <c r="C186" s="19" t="s">
        <v>362</v>
      </c>
      <c r="D186" s="19" t="s">
        <v>357</v>
      </c>
      <c r="E186" s="19" t="s">
        <v>36</v>
      </c>
      <c r="F186" s="19"/>
      <c r="G186" s="19"/>
      <c r="H186" s="19"/>
      <c r="I186" s="19" t="s">
        <v>253</v>
      </c>
      <c r="J186" s="30"/>
      <c r="K186" s="30"/>
    </row>
    <row r="187" spans="1:11" ht="15.75" customHeight="1" x14ac:dyDescent="0.2">
      <c r="A187" s="19">
        <v>18</v>
      </c>
      <c r="B187" s="19" t="s">
        <v>34</v>
      </c>
      <c r="C187" s="19" t="s">
        <v>363</v>
      </c>
      <c r="D187" s="19" t="s">
        <v>357</v>
      </c>
      <c r="E187" s="19" t="s">
        <v>31</v>
      </c>
      <c r="F187" s="19"/>
      <c r="G187" s="19"/>
      <c r="H187" s="19"/>
      <c r="I187" s="19"/>
      <c r="J187" s="30"/>
      <c r="K187" s="30"/>
    </row>
    <row r="188" spans="1:11" ht="15.75" customHeight="1" x14ac:dyDescent="0.2">
      <c r="A188" s="20">
        <v>86</v>
      </c>
      <c r="B188" s="20" t="s">
        <v>82</v>
      </c>
      <c r="C188" s="20" t="s">
        <v>364</v>
      </c>
      <c r="D188" s="20" t="s">
        <v>357</v>
      </c>
      <c r="E188" s="20" t="s">
        <v>270</v>
      </c>
      <c r="F188" s="20"/>
      <c r="G188" s="20"/>
      <c r="H188" s="20"/>
      <c r="I188" s="20"/>
      <c r="J188" s="30"/>
      <c r="K188" s="30"/>
    </row>
    <row r="189" spans="1:11" ht="15.75" customHeight="1" x14ac:dyDescent="0.2">
      <c r="A189" s="19">
        <v>87</v>
      </c>
      <c r="B189" s="19" t="s">
        <v>82</v>
      </c>
      <c r="C189" s="19" t="s">
        <v>365</v>
      </c>
      <c r="D189" s="19" t="s">
        <v>357</v>
      </c>
      <c r="E189" s="19" t="s">
        <v>158</v>
      </c>
      <c r="F189" s="19"/>
      <c r="G189" s="19"/>
      <c r="H189" s="19"/>
      <c r="I189" s="19"/>
      <c r="J189" s="30"/>
      <c r="K189" s="30"/>
    </row>
    <row r="190" spans="1:11" ht="15.75" customHeight="1" x14ac:dyDescent="0.2">
      <c r="A190" s="19">
        <v>88</v>
      </c>
      <c r="B190" s="19" t="s">
        <v>272</v>
      </c>
      <c r="C190" s="19" t="s">
        <v>366</v>
      </c>
      <c r="D190" s="19" t="s">
        <v>357</v>
      </c>
      <c r="E190" s="19"/>
      <c r="F190" s="19" t="s">
        <v>126</v>
      </c>
      <c r="G190" s="19"/>
      <c r="H190" s="19"/>
      <c r="I190" s="19"/>
      <c r="J190" s="30"/>
      <c r="K190" s="30"/>
    </row>
    <row r="191" spans="1:11" ht="15.75" customHeight="1" x14ac:dyDescent="0.2">
      <c r="A191" s="19">
        <v>89</v>
      </c>
      <c r="B191" s="19" t="s">
        <v>272</v>
      </c>
      <c r="C191" s="19" t="s">
        <v>367</v>
      </c>
      <c r="D191" s="19" t="s">
        <v>357</v>
      </c>
      <c r="E191" s="19" t="s">
        <v>76</v>
      </c>
      <c r="F191" s="19" t="s">
        <v>126</v>
      </c>
      <c r="G191" s="19"/>
      <c r="H191" s="19"/>
      <c r="I191" s="19"/>
      <c r="J191" s="30"/>
      <c r="K191" s="30"/>
    </row>
    <row r="192" spans="1:11" ht="15.75" customHeight="1" x14ac:dyDescent="0.2">
      <c r="A192" s="19">
        <v>90</v>
      </c>
      <c r="B192" s="19" t="s">
        <v>272</v>
      </c>
      <c r="C192" s="19" t="s">
        <v>368</v>
      </c>
      <c r="D192" s="19" t="s">
        <v>357</v>
      </c>
      <c r="E192" s="19" t="s">
        <v>345</v>
      </c>
      <c r="F192" s="19" t="s">
        <v>126</v>
      </c>
      <c r="G192" s="19"/>
      <c r="H192" s="19"/>
      <c r="I192" s="19"/>
      <c r="J192" s="30"/>
      <c r="K192" s="30"/>
    </row>
    <row r="193" spans="1:11" ht="15.75" customHeight="1" x14ac:dyDescent="0.2">
      <c r="A193" s="19">
        <v>94</v>
      </c>
      <c r="B193" s="19" t="s">
        <v>272</v>
      </c>
      <c r="C193" s="19" t="s">
        <v>369</v>
      </c>
      <c r="D193" s="19" t="s">
        <v>357</v>
      </c>
      <c r="E193" s="19" t="s">
        <v>282</v>
      </c>
      <c r="F193" s="19" t="s">
        <v>126</v>
      </c>
      <c r="G193" s="19" t="s">
        <v>30</v>
      </c>
      <c r="H193" s="19"/>
      <c r="I193" s="19"/>
      <c r="J193" s="30"/>
      <c r="K193" s="30"/>
    </row>
    <row r="194" spans="1:11" ht="15.75" customHeight="1" x14ac:dyDescent="0.2">
      <c r="A194" s="19">
        <v>96</v>
      </c>
      <c r="B194" s="19" t="s">
        <v>272</v>
      </c>
      <c r="C194" s="19" t="s">
        <v>370</v>
      </c>
      <c r="D194" s="19" t="s">
        <v>357</v>
      </c>
      <c r="E194" s="19" t="s">
        <v>265</v>
      </c>
      <c r="F194" s="19" t="s">
        <v>515</v>
      </c>
      <c r="G194" s="19" t="s">
        <v>100</v>
      </c>
      <c r="H194" s="19"/>
      <c r="I194" s="19"/>
      <c r="J194" s="30"/>
      <c r="K194" s="30"/>
    </row>
    <row r="195" spans="1:11" ht="15.75" customHeight="1" x14ac:dyDescent="0.2">
      <c r="A195" s="19">
        <v>97</v>
      </c>
      <c r="B195" s="19" t="s">
        <v>272</v>
      </c>
      <c r="C195" s="19" t="s">
        <v>371</v>
      </c>
      <c r="D195" s="19" t="s">
        <v>357</v>
      </c>
      <c r="E195" s="19"/>
      <c r="F195" s="19" t="s">
        <v>134</v>
      </c>
      <c r="G195" s="19"/>
      <c r="H195" s="19"/>
      <c r="I195" s="19"/>
      <c r="J195" s="30"/>
      <c r="K195" s="30"/>
    </row>
    <row r="196" spans="1:11" ht="15.75" customHeight="1" x14ac:dyDescent="0.2">
      <c r="A196" s="19">
        <v>98</v>
      </c>
      <c r="B196" s="19" t="s">
        <v>272</v>
      </c>
      <c r="C196" s="19" t="s">
        <v>372</v>
      </c>
      <c r="D196" s="19" t="s">
        <v>357</v>
      </c>
      <c r="E196" s="19"/>
      <c r="F196" s="19" t="s">
        <v>134</v>
      </c>
      <c r="G196" s="19" t="s">
        <v>348</v>
      </c>
      <c r="H196" s="19"/>
      <c r="I196" s="19"/>
      <c r="J196" s="30"/>
      <c r="K196" s="30"/>
    </row>
    <row r="197" spans="1:11" ht="15.75" customHeight="1" x14ac:dyDescent="0.2">
      <c r="A197" s="19">
        <v>101</v>
      </c>
      <c r="B197" s="19" t="s">
        <v>274</v>
      </c>
      <c r="C197" s="19" t="s">
        <v>373</v>
      </c>
      <c r="D197" s="19" t="s">
        <v>357</v>
      </c>
      <c r="E197" s="19"/>
      <c r="F197" s="19" t="s">
        <v>45</v>
      </c>
      <c r="G197" s="19"/>
      <c r="H197" s="19"/>
      <c r="I197" s="19"/>
      <c r="J197" s="30"/>
      <c r="K197" s="30"/>
    </row>
    <row r="198" spans="1:11" ht="15.75" customHeight="1" x14ac:dyDescent="0.2">
      <c r="A198" s="19">
        <v>102</v>
      </c>
      <c r="B198" s="19" t="s">
        <v>274</v>
      </c>
      <c r="C198" s="19" t="s">
        <v>374</v>
      </c>
      <c r="D198" s="19" t="s">
        <v>357</v>
      </c>
      <c r="E198" s="19"/>
      <c r="F198" s="19" t="s">
        <v>45</v>
      </c>
      <c r="G198" s="19" t="s">
        <v>134</v>
      </c>
      <c r="H198" s="19"/>
      <c r="I198" s="19"/>
      <c r="J198" s="30"/>
      <c r="K198" s="30"/>
    </row>
    <row r="199" spans="1:11" ht="15.75" customHeight="1" x14ac:dyDescent="0.2">
      <c r="A199" s="19">
        <v>104</v>
      </c>
      <c r="B199" s="19" t="s">
        <v>274</v>
      </c>
      <c r="C199" s="19" t="s">
        <v>375</v>
      </c>
      <c r="D199" s="19" t="s">
        <v>357</v>
      </c>
      <c r="E199" s="19"/>
      <c r="F199" s="19" t="s">
        <v>45</v>
      </c>
      <c r="G199" s="19" t="s">
        <v>126</v>
      </c>
      <c r="H199" s="19"/>
      <c r="I199" s="19"/>
      <c r="J199" s="30"/>
      <c r="K199" s="30"/>
    </row>
    <row r="200" spans="1:11" ht="15.75" customHeight="1" x14ac:dyDescent="0.2">
      <c r="A200" s="19">
        <v>105</v>
      </c>
      <c r="B200" s="19" t="s">
        <v>274</v>
      </c>
      <c r="C200" s="19" t="s">
        <v>376</v>
      </c>
      <c r="D200" s="19" t="s">
        <v>357</v>
      </c>
      <c r="E200" s="19" t="s">
        <v>76</v>
      </c>
      <c r="F200" s="19" t="s">
        <v>45</v>
      </c>
      <c r="G200" s="19" t="s">
        <v>126</v>
      </c>
      <c r="H200" s="19"/>
      <c r="I200" s="19"/>
      <c r="J200" s="30"/>
      <c r="K200" s="30"/>
    </row>
    <row r="201" spans="1:11" ht="15.75" customHeight="1" x14ac:dyDescent="0.2">
      <c r="A201" s="19">
        <v>106</v>
      </c>
      <c r="B201" s="19" t="s">
        <v>274</v>
      </c>
      <c r="C201" s="19" t="s">
        <v>377</v>
      </c>
      <c r="D201" s="19" t="s">
        <v>357</v>
      </c>
      <c r="E201" s="19" t="s">
        <v>76</v>
      </c>
      <c r="F201" s="19" t="s">
        <v>45</v>
      </c>
      <c r="G201" s="19"/>
      <c r="H201" s="19"/>
      <c r="I201" s="19"/>
      <c r="J201" s="30"/>
      <c r="K201" s="30"/>
    </row>
    <row r="202" spans="1:11" ht="15.75" customHeight="1" x14ac:dyDescent="0.2">
      <c r="A202" s="19">
        <v>120</v>
      </c>
      <c r="B202" s="19" t="s">
        <v>39</v>
      </c>
      <c r="C202" s="19" t="s">
        <v>378</v>
      </c>
      <c r="D202" s="19" t="s">
        <v>357</v>
      </c>
      <c r="E202" s="19"/>
      <c r="F202" s="19" t="s">
        <v>38</v>
      </c>
      <c r="G202" s="19" t="s">
        <v>115</v>
      </c>
      <c r="H202" s="19" t="s">
        <v>379</v>
      </c>
      <c r="I202" s="19"/>
      <c r="J202" s="30"/>
      <c r="K202" s="30"/>
    </row>
    <row r="203" spans="1:11" ht="15.75" customHeight="1" x14ac:dyDescent="0.2">
      <c r="A203" s="19">
        <v>141</v>
      </c>
      <c r="B203" s="19" t="s">
        <v>44</v>
      </c>
      <c r="C203" s="19" t="s">
        <v>380</v>
      </c>
      <c r="D203" s="19" t="s">
        <v>357</v>
      </c>
      <c r="E203" s="19" t="s">
        <v>31</v>
      </c>
      <c r="F203" s="19" t="s">
        <v>38</v>
      </c>
      <c r="G203" s="19"/>
      <c r="H203" s="19" t="s">
        <v>55</v>
      </c>
      <c r="I203" s="19"/>
      <c r="J203" s="30"/>
      <c r="K203" s="30"/>
    </row>
    <row r="204" spans="1:11" ht="15.75" customHeight="1" x14ac:dyDescent="0.2">
      <c r="A204" s="19">
        <v>165</v>
      </c>
      <c r="B204" s="19" t="s">
        <v>101</v>
      </c>
      <c r="C204" s="19" t="s">
        <v>381</v>
      </c>
      <c r="D204" s="19" t="s">
        <v>357</v>
      </c>
      <c r="E204" s="19" t="s">
        <v>100</v>
      </c>
      <c r="F204" s="19" t="s">
        <v>90</v>
      </c>
      <c r="G204" s="19"/>
      <c r="H204" s="19"/>
      <c r="I204" s="19"/>
      <c r="J204" s="30"/>
      <c r="K204" s="30"/>
    </row>
    <row r="205" spans="1:11" ht="15.75" customHeight="1" x14ac:dyDescent="0.2">
      <c r="A205" s="19">
        <v>170</v>
      </c>
      <c r="B205" s="19" t="s">
        <v>101</v>
      </c>
      <c r="C205" s="19" t="s">
        <v>382</v>
      </c>
      <c r="D205" s="19" t="s">
        <v>357</v>
      </c>
      <c r="E205" s="19" t="s">
        <v>100</v>
      </c>
      <c r="F205" s="19" t="s">
        <v>90</v>
      </c>
      <c r="G205" s="19" t="s">
        <v>383</v>
      </c>
      <c r="H205" s="19" t="s">
        <v>76</v>
      </c>
      <c r="I205" s="19"/>
      <c r="J205" s="30"/>
      <c r="K205" s="30"/>
    </row>
    <row r="206" spans="1:11" ht="15.75" customHeight="1" x14ac:dyDescent="0.2">
      <c r="A206" s="19">
        <v>204</v>
      </c>
      <c r="B206" s="19" t="s">
        <v>58</v>
      </c>
      <c r="C206" s="19" t="s">
        <v>384</v>
      </c>
      <c r="D206" s="19" t="s">
        <v>357</v>
      </c>
      <c r="E206" s="19" t="s">
        <v>57</v>
      </c>
      <c r="F206" s="19" t="s">
        <v>90</v>
      </c>
      <c r="G206" s="19"/>
      <c r="H206" s="19"/>
      <c r="I206" s="19"/>
      <c r="J206" s="30"/>
      <c r="K206" s="30"/>
    </row>
    <row r="207" spans="1:11" ht="15.75" customHeight="1" x14ac:dyDescent="0.2">
      <c r="A207" s="19">
        <v>190</v>
      </c>
      <c r="B207" s="19" t="s">
        <v>63</v>
      </c>
      <c r="C207" s="19" t="s">
        <v>385</v>
      </c>
      <c r="D207" s="19" t="s">
        <v>386</v>
      </c>
      <c r="E207" s="19" t="s">
        <v>100</v>
      </c>
      <c r="F207" s="19" t="s">
        <v>38</v>
      </c>
      <c r="G207" s="19" t="s">
        <v>268</v>
      </c>
      <c r="H207" s="19"/>
      <c r="I207" s="19"/>
    </row>
    <row r="208" spans="1:11" ht="15.75" customHeight="1" x14ac:dyDescent="0.2">
      <c r="A208" s="19">
        <v>19</v>
      </c>
      <c r="B208" s="19" t="s">
        <v>34</v>
      </c>
      <c r="C208" s="19" t="s">
        <v>387</v>
      </c>
      <c r="D208" s="19" t="s">
        <v>31</v>
      </c>
      <c r="E208" s="19" t="s">
        <v>388</v>
      </c>
      <c r="F208" s="19"/>
      <c r="G208" s="19"/>
      <c r="H208" s="19"/>
      <c r="I208" s="19" t="s">
        <v>32</v>
      </c>
    </row>
    <row r="209" spans="1:9" ht="15.75" customHeight="1" x14ac:dyDescent="0.2">
      <c r="A209" s="19">
        <v>93</v>
      </c>
      <c r="B209" s="19" t="s">
        <v>272</v>
      </c>
      <c r="C209" s="19" t="s">
        <v>389</v>
      </c>
      <c r="D209" s="19"/>
      <c r="E209" s="19"/>
      <c r="F209" s="19" t="s">
        <v>126</v>
      </c>
      <c r="G209" s="19" t="s">
        <v>30</v>
      </c>
      <c r="H209" s="19"/>
      <c r="I209" s="19"/>
    </row>
    <row r="210" spans="1:9" ht="15.75" customHeight="1" x14ac:dyDescent="0.2">
      <c r="A210" s="19">
        <v>133</v>
      </c>
      <c r="B210" s="19" t="s">
        <v>44</v>
      </c>
      <c r="C210" s="19" t="s">
        <v>390</v>
      </c>
      <c r="D210" s="19"/>
      <c r="E210" s="19" t="s">
        <v>60</v>
      </c>
      <c r="F210" s="19" t="s">
        <v>90</v>
      </c>
      <c r="G210" s="19" t="s">
        <v>282</v>
      </c>
      <c r="H210" s="19"/>
      <c r="I210" s="19"/>
    </row>
    <row r="211" spans="1:9" ht="15.75" customHeight="1" x14ac:dyDescent="0.2"/>
    <row r="212" spans="1:9" ht="15.75" customHeight="1" x14ac:dyDescent="0.2"/>
    <row r="213" spans="1:9" ht="15.75" customHeight="1" x14ac:dyDescent="0.2"/>
    <row r="214" spans="1:9" ht="15.75" customHeight="1" x14ac:dyDescent="0.2"/>
    <row r="215" spans="1:9" ht="15.75" customHeight="1" x14ac:dyDescent="0.2"/>
    <row r="216" spans="1:9" ht="15.75" customHeight="1" x14ac:dyDescent="0.2"/>
    <row r="217" spans="1:9" ht="15.75" customHeight="1" x14ac:dyDescent="0.2"/>
    <row r="218" spans="1:9" ht="15.75" customHeight="1" x14ac:dyDescent="0.2"/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I1" xr:uid="{00000000-0009-0000-0000-000007000000}"/>
  <pageMargins left="0.25" right="0.25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68"/>
  <sheetViews>
    <sheetView workbookViewId="0"/>
  </sheetViews>
  <sheetFormatPr baseColWidth="10" defaultColWidth="14.5" defaultRowHeight="15" customHeight="1" x14ac:dyDescent="0.2"/>
  <cols>
    <col min="1" max="6" width="8.6640625" customWidth="1"/>
  </cols>
  <sheetData>
    <row r="1" spans="1:15" ht="25" x14ac:dyDescent="0.2">
      <c r="A1" s="16" t="s">
        <v>11</v>
      </c>
      <c r="B1" s="16" t="s">
        <v>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I1" s="11" t="s">
        <v>6</v>
      </c>
      <c r="J1" s="11" t="s">
        <v>4</v>
      </c>
      <c r="K1" s="11" t="s">
        <v>3</v>
      </c>
      <c r="L1" s="11" t="s">
        <v>2</v>
      </c>
      <c r="M1" s="11" t="s">
        <v>5</v>
      </c>
      <c r="N1" s="11" t="s">
        <v>7</v>
      </c>
      <c r="O1" s="11" t="s">
        <v>8</v>
      </c>
    </row>
    <row r="2" spans="1:15" ht="25" x14ac:dyDescent="0.2">
      <c r="A2" s="19" t="s">
        <v>29</v>
      </c>
      <c r="B2" s="19" t="s">
        <v>30</v>
      </c>
      <c r="C2" s="19" t="s">
        <v>31</v>
      </c>
      <c r="D2" s="19"/>
      <c r="E2" s="19" t="s">
        <v>32</v>
      </c>
      <c r="F2" s="19" t="s">
        <v>33</v>
      </c>
      <c r="G2" s="19" t="s">
        <v>33</v>
      </c>
      <c r="H2" s="15" t="s">
        <v>30</v>
      </c>
      <c r="L2" s="15" t="str">
        <f t="shared" ref="L2:L5" si="0">H2</f>
        <v>amaretto</v>
      </c>
    </row>
    <row r="3" spans="1:15" ht="25" x14ac:dyDescent="0.2">
      <c r="A3" s="19" t="s">
        <v>35</v>
      </c>
      <c r="B3" s="19" t="s">
        <v>30</v>
      </c>
      <c r="C3" s="19" t="s">
        <v>36</v>
      </c>
      <c r="D3" s="19"/>
      <c r="E3" s="19" t="s">
        <v>32</v>
      </c>
      <c r="F3" s="19" t="s">
        <v>33</v>
      </c>
      <c r="G3" s="19" t="s">
        <v>33</v>
      </c>
      <c r="H3" s="15" t="s">
        <v>41</v>
      </c>
      <c r="L3" s="15" t="str">
        <f t="shared" si="0"/>
        <v>apple vodka</v>
      </c>
    </row>
    <row r="4" spans="1:15" ht="25" x14ac:dyDescent="0.2">
      <c r="A4" s="19" t="s">
        <v>37</v>
      </c>
      <c r="B4" s="19" t="s">
        <v>30</v>
      </c>
      <c r="C4" s="19"/>
      <c r="D4" s="19" t="s">
        <v>38</v>
      </c>
      <c r="E4" s="19" t="s">
        <v>33</v>
      </c>
      <c r="F4" s="19" t="s">
        <v>33</v>
      </c>
      <c r="G4" s="19" t="s">
        <v>33</v>
      </c>
      <c r="H4" s="15" t="s">
        <v>47</v>
      </c>
      <c r="L4" s="15" t="str">
        <f t="shared" si="0"/>
        <v>applejack</v>
      </c>
    </row>
    <row r="5" spans="1:15" ht="37" x14ac:dyDescent="0.2">
      <c r="A5" s="19" t="s">
        <v>40</v>
      </c>
      <c r="B5" s="19" t="s">
        <v>41</v>
      </c>
      <c r="C5" s="19" t="s">
        <v>42</v>
      </c>
      <c r="D5" s="19" t="s">
        <v>43</v>
      </c>
      <c r="E5" s="19" t="s">
        <v>33</v>
      </c>
      <c r="F5" s="19" t="s">
        <v>33</v>
      </c>
      <c r="G5" s="19" t="s">
        <v>33</v>
      </c>
      <c r="H5" s="15" t="s">
        <v>60</v>
      </c>
      <c r="L5" s="15" t="str">
        <f t="shared" si="0"/>
        <v>apricot brandy</v>
      </c>
    </row>
    <row r="6" spans="1:15" ht="25" x14ac:dyDescent="0.2">
      <c r="A6" s="19" t="s">
        <v>46</v>
      </c>
      <c r="B6" s="19" t="s">
        <v>47</v>
      </c>
      <c r="C6" s="19" t="s">
        <v>48</v>
      </c>
      <c r="D6" s="19"/>
      <c r="E6" s="19" t="s">
        <v>49</v>
      </c>
      <c r="F6" s="19" t="s">
        <v>33</v>
      </c>
      <c r="G6" s="19" t="s">
        <v>33</v>
      </c>
      <c r="H6" s="15" t="s">
        <v>65</v>
      </c>
      <c r="I6" s="15" t="str">
        <f>H6</f>
        <v>bourbon</v>
      </c>
    </row>
    <row r="7" spans="1:15" ht="25" x14ac:dyDescent="0.2">
      <c r="A7" s="19" t="s">
        <v>51</v>
      </c>
      <c r="B7" s="19" t="s">
        <v>47</v>
      </c>
      <c r="C7" s="19" t="s">
        <v>52</v>
      </c>
      <c r="D7" s="19"/>
      <c r="E7" s="19" t="s">
        <v>53</v>
      </c>
      <c r="F7" s="19" t="s">
        <v>33</v>
      </c>
      <c r="G7" s="19" t="s">
        <v>33</v>
      </c>
      <c r="H7" s="15" t="s">
        <v>99</v>
      </c>
      <c r="L7" s="11" t="s">
        <v>49</v>
      </c>
      <c r="O7" s="11" t="s">
        <v>47</v>
      </c>
    </row>
    <row r="8" spans="1:15" x14ac:dyDescent="0.2">
      <c r="A8" s="19" t="s">
        <v>54</v>
      </c>
      <c r="B8" s="19" t="s">
        <v>47</v>
      </c>
      <c r="C8" s="19"/>
      <c r="D8" s="19" t="s">
        <v>38</v>
      </c>
      <c r="E8" s="19" t="s">
        <v>55</v>
      </c>
      <c r="F8" s="19" t="s">
        <v>33</v>
      </c>
      <c r="G8" s="19" t="s">
        <v>33</v>
      </c>
      <c r="H8" s="15" t="s">
        <v>49</v>
      </c>
      <c r="L8" s="11" t="s">
        <v>49</v>
      </c>
    </row>
    <row r="9" spans="1:15" ht="25" x14ac:dyDescent="0.2">
      <c r="A9" s="19" t="s">
        <v>56</v>
      </c>
      <c r="B9" s="19" t="s">
        <v>47</v>
      </c>
      <c r="C9" s="19" t="s">
        <v>57</v>
      </c>
      <c r="D9" s="19" t="s">
        <v>38</v>
      </c>
      <c r="E9" s="19" t="s">
        <v>33</v>
      </c>
      <c r="F9" s="19" t="s">
        <v>33</v>
      </c>
      <c r="G9" s="19" t="s">
        <v>33</v>
      </c>
      <c r="H9" s="15" t="s">
        <v>125</v>
      </c>
      <c r="L9" s="11" t="str">
        <f t="shared" ref="L9:L15" si="1">H9</f>
        <v>calvados</v>
      </c>
    </row>
    <row r="10" spans="1:15" ht="25" x14ac:dyDescent="0.2">
      <c r="A10" s="19" t="s">
        <v>59</v>
      </c>
      <c r="B10" s="19" t="s">
        <v>60</v>
      </c>
      <c r="C10" s="19"/>
      <c r="D10" s="19" t="s">
        <v>38</v>
      </c>
      <c r="E10" s="19" t="s">
        <v>33</v>
      </c>
      <c r="F10" s="19" t="s">
        <v>33</v>
      </c>
      <c r="G10" s="19" t="s">
        <v>33</v>
      </c>
      <c r="H10" s="15" t="s">
        <v>128</v>
      </c>
      <c r="L10" s="15" t="str">
        <f t="shared" si="1"/>
        <v>citrus rum</v>
      </c>
    </row>
    <row r="11" spans="1:15" ht="25" x14ac:dyDescent="0.2">
      <c r="A11" s="19" t="s">
        <v>61</v>
      </c>
      <c r="B11" s="19" t="s">
        <v>60</v>
      </c>
      <c r="C11" s="19"/>
      <c r="D11" s="19" t="s">
        <v>38</v>
      </c>
      <c r="E11" s="19" t="s">
        <v>62</v>
      </c>
      <c r="F11" s="19" t="s">
        <v>33</v>
      </c>
      <c r="G11" s="19" t="s">
        <v>33</v>
      </c>
      <c r="H11" s="15" t="s">
        <v>131</v>
      </c>
      <c r="L11" s="15" t="str">
        <f t="shared" si="1"/>
        <v>citrus vodka</v>
      </c>
    </row>
    <row r="12" spans="1:15" ht="25" x14ac:dyDescent="0.2">
      <c r="A12" s="20" t="s">
        <v>64</v>
      </c>
      <c r="B12" s="20" t="s">
        <v>65</v>
      </c>
      <c r="C12" s="20" t="s">
        <v>48</v>
      </c>
      <c r="D12" s="20"/>
      <c r="E12" s="20" t="s">
        <v>66</v>
      </c>
      <c r="F12" s="20" t="s">
        <v>33</v>
      </c>
      <c r="G12" s="20" t="s">
        <v>33</v>
      </c>
      <c r="H12" s="15" t="s">
        <v>136</v>
      </c>
      <c r="L12" s="15" t="str">
        <f t="shared" si="1"/>
        <v>cognac</v>
      </c>
    </row>
    <row r="13" spans="1:15" ht="25" x14ac:dyDescent="0.2">
      <c r="A13" s="19" t="s">
        <v>67</v>
      </c>
      <c r="B13" s="19" t="s">
        <v>65</v>
      </c>
      <c r="C13" s="19" t="s">
        <v>48</v>
      </c>
      <c r="D13" s="19"/>
      <c r="E13" s="19" t="s">
        <v>68</v>
      </c>
      <c r="F13" s="19" t="s">
        <v>66</v>
      </c>
      <c r="G13" s="19" t="s">
        <v>33</v>
      </c>
      <c r="H13" s="15" t="s">
        <v>57</v>
      </c>
      <c r="L13" s="15" t="str">
        <f t="shared" si="1"/>
        <v>crème de noyau</v>
      </c>
    </row>
    <row r="14" spans="1:15" ht="25" x14ac:dyDescent="0.2">
      <c r="A14" s="19" t="s">
        <v>69</v>
      </c>
      <c r="B14" s="19" t="s">
        <v>65</v>
      </c>
      <c r="C14" s="19" t="s">
        <v>48</v>
      </c>
      <c r="D14" s="19"/>
      <c r="E14" s="19" t="s">
        <v>70</v>
      </c>
      <c r="F14" s="19" t="s">
        <v>71</v>
      </c>
      <c r="G14" s="19" t="s">
        <v>33</v>
      </c>
      <c r="H14" s="15" t="s">
        <v>144</v>
      </c>
      <c r="L14" s="15" t="str">
        <f t="shared" si="1"/>
        <v>currant vodka</v>
      </c>
    </row>
    <row r="15" spans="1:15" ht="25" x14ac:dyDescent="0.2">
      <c r="A15" s="19" t="s">
        <v>72</v>
      </c>
      <c r="B15" s="19" t="s">
        <v>65</v>
      </c>
      <c r="C15" s="19" t="s">
        <v>48</v>
      </c>
      <c r="D15" s="19"/>
      <c r="E15" s="19" t="s">
        <v>73</v>
      </c>
      <c r="F15" s="19" t="s">
        <v>74</v>
      </c>
      <c r="G15" s="19" t="s">
        <v>33</v>
      </c>
      <c r="H15" s="15" t="s">
        <v>146</v>
      </c>
      <c r="L15" s="15" t="str">
        <f t="shared" si="1"/>
        <v>galliano</v>
      </c>
    </row>
    <row r="16" spans="1:15" ht="25" x14ac:dyDescent="0.2">
      <c r="A16" s="19" t="s">
        <v>75</v>
      </c>
      <c r="B16" s="19" t="s">
        <v>65</v>
      </c>
      <c r="C16" s="19" t="s">
        <v>48</v>
      </c>
      <c r="D16" s="19"/>
      <c r="E16" s="19" t="s">
        <v>76</v>
      </c>
      <c r="F16" s="19" t="s">
        <v>66</v>
      </c>
      <c r="G16" s="19" t="s">
        <v>33</v>
      </c>
      <c r="H16" s="15" t="s">
        <v>148</v>
      </c>
      <c r="I16" s="11" t="s">
        <v>148</v>
      </c>
    </row>
    <row r="17" spans="1:12" ht="25" x14ac:dyDescent="0.2">
      <c r="A17" s="19" t="s">
        <v>77</v>
      </c>
      <c r="B17" s="19" t="s">
        <v>65</v>
      </c>
      <c r="C17" s="19" t="s">
        <v>52</v>
      </c>
      <c r="D17" s="19" t="s">
        <v>78</v>
      </c>
      <c r="E17" s="19" t="s">
        <v>79</v>
      </c>
      <c r="F17" s="19" t="s">
        <v>66</v>
      </c>
      <c r="G17" s="19" t="s">
        <v>33</v>
      </c>
      <c r="H17" s="15" t="s">
        <v>198</v>
      </c>
      <c r="I17" s="11" t="s">
        <v>148</v>
      </c>
    </row>
    <row r="18" spans="1:12" ht="25" x14ac:dyDescent="0.2">
      <c r="A18" s="19" t="s">
        <v>80</v>
      </c>
      <c r="B18" s="19" t="s">
        <v>65</v>
      </c>
      <c r="C18" s="19" t="s">
        <v>81</v>
      </c>
      <c r="D18" s="19"/>
      <c r="E18" s="19" t="s">
        <v>33</v>
      </c>
      <c r="F18" s="19" t="s">
        <v>33</v>
      </c>
      <c r="G18" s="19" t="s">
        <v>33</v>
      </c>
      <c r="H18" s="15" t="s">
        <v>219</v>
      </c>
      <c r="I18" s="15" t="str">
        <f t="shared" ref="I18:I19" si="2">H18</f>
        <v>gin or vodka</v>
      </c>
    </row>
    <row r="19" spans="1:12" ht="25" x14ac:dyDescent="0.2">
      <c r="A19" s="19" t="s">
        <v>83</v>
      </c>
      <c r="B19" s="19" t="s">
        <v>65</v>
      </c>
      <c r="C19" s="19" t="s">
        <v>84</v>
      </c>
      <c r="D19" s="19"/>
      <c r="E19" s="19" t="s">
        <v>33</v>
      </c>
      <c r="F19" s="19" t="s">
        <v>33</v>
      </c>
      <c r="G19" s="19" t="s">
        <v>33</v>
      </c>
      <c r="H19" s="15" t="s">
        <v>229</v>
      </c>
      <c r="I19" s="15" t="str">
        <f t="shared" si="2"/>
        <v>Irish Whiskey</v>
      </c>
    </row>
    <row r="20" spans="1:12" x14ac:dyDescent="0.2">
      <c r="A20" s="19" t="s">
        <v>85</v>
      </c>
      <c r="B20" s="19" t="s">
        <v>65</v>
      </c>
      <c r="C20" s="19"/>
      <c r="D20" s="19" t="s">
        <v>38</v>
      </c>
      <c r="E20" s="19" t="s">
        <v>86</v>
      </c>
      <c r="F20" s="19" t="s">
        <v>33</v>
      </c>
      <c r="G20" s="19" t="s">
        <v>33</v>
      </c>
      <c r="H20" s="15" t="s">
        <v>233</v>
      </c>
      <c r="I20" s="11" t="s">
        <v>229</v>
      </c>
    </row>
    <row r="21" spans="1:12" ht="15.75" customHeight="1" x14ac:dyDescent="0.2">
      <c r="A21" s="19" t="s">
        <v>87</v>
      </c>
      <c r="B21" s="19" t="s">
        <v>65</v>
      </c>
      <c r="C21" s="19"/>
      <c r="D21" s="19" t="s">
        <v>38</v>
      </c>
      <c r="E21" s="19" t="s">
        <v>88</v>
      </c>
      <c r="F21" s="19" t="s">
        <v>52</v>
      </c>
      <c r="G21" s="19" t="s">
        <v>33</v>
      </c>
      <c r="H21" s="15" t="s">
        <v>236</v>
      </c>
      <c r="I21" s="15" t="str">
        <f t="shared" ref="I21:I22" si="3">H21</f>
        <v>Jack Daniel's</v>
      </c>
    </row>
    <row r="22" spans="1:12" ht="15.75" customHeight="1" x14ac:dyDescent="0.2">
      <c r="A22" s="19" t="s">
        <v>89</v>
      </c>
      <c r="B22" s="19" t="s">
        <v>65</v>
      </c>
      <c r="C22" s="19" t="s">
        <v>30</v>
      </c>
      <c r="D22" s="19" t="s">
        <v>90</v>
      </c>
      <c r="E22" s="19" t="s">
        <v>33</v>
      </c>
      <c r="F22" s="19" t="s">
        <v>33</v>
      </c>
      <c r="G22" s="19" t="s">
        <v>33</v>
      </c>
      <c r="H22" s="15" t="s">
        <v>238</v>
      </c>
      <c r="I22" s="15" t="str">
        <f t="shared" si="3"/>
        <v>light rum</v>
      </c>
    </row>
    <row r="23" spans="1:12" ht="15.75" customHeight="1" x14ac:dyDescent="0.2">
      <c r="A23" s="19" t="s">
        <v>91</v>
      </c>
      <c r="B23" s="19" t="s">
        <v>65</v>
      </c>
      <c r="C23" s="19" t="s">
        <v>92</v>
      </c>
      <c r="D23" s="19" t="s">
        <v>38</v>
      </c>
      <c r="E23" s="19" t="s">
        <v>86</v>
      </c>
      <c r="F23" s="19" t="s">
        <v>33</v>
      </c>
      <c r="G23" s="19" t="s">
        <v>33</v>
      </c>
      <c r="H23" s="15" t="s">
        <v>244</v>
      </c>
      <c r="L23" s="15" t="str">
        <f t="shared" ref="L23:L28" si="4">H23</f>
        <v>OP vodka</v>
      </c>
    </row>
    <row r="24" spans="1:12" ht="15.75" customHeight="1" x14ac:dyDescent="0.2">
      <c r="A24" s="19" t="s">
        <v>93</v>
      </c>
      <c r="B24" s="19" t="s">
        <v>65</v>
      </c>
      <c r="C24" s="19" t="s">
        <v>86</v>
      </c>
      <c r="D24" s="19" t="s">
        <v>38</v>
      </c>
      <c r="E24" s="19" t="s">
        <v>62</v>
      </c>
      <c r="F24" s="19" t="s">
        <v>33</v>
      </c>
      <c r="G24" s="19" t="s">
        <v>33</v>
      </c>
      <c r="H24" s="15" t="s">
        <v>249</v>
      </c>
      <c r="L24" s="15" t="str">
        <f t="shared" si="4"/>
        <v>orange vodka</v>
      </c>
    </row>
    <row r="25" spans="1:12" ht="15.75" customHeight="1" x14ac:dyDescent="0.2">
      <c r="A25" s="19" t="s">
        <v>94</v>
      </c>
      <c r="B25" s="19" t="s">
        <v>65</v>
      </c>
      <c r="C25" s="19" t="s">
        <v>57</v>
      </c>
      <c r="D25" s="19" t="s">
        <v>38</v>
      </c>
      <c r="E25" s="19" t="s">
        <v>33</v>
      </c>
      <c r="F25" s="19" t="s">
        <v>33</v>
      </c>
      <c r="G25" s="19" t="s">
        <v>33</v>
      </c>
      <c r="H25" s="15" t="s">
        <v>252</v>
      </c>
      <c r="L25" s="15" t="str">
        <f t="shared" si="4"/>
        <v>peach vodka</v>
      </c>
    </row>
    <row r="26" spans="1:12" ht="15.75" customHeight="1" x14ac:dyDescent="0.2">
      <c r="A26" s="20" t="s">
        <v>95</v>
      </c>
      <c r="B26" s="20" t="s">
        <v>65</v>
      </c>
      <c r="C26" s="20"/>
      <c r="D26" s="20"/>
      <c r="E26" s="20" t="s">
        <v>86</v>
      </c>
      <c r="F26" s="20" t="s">
        <v>96</v>
      </c>
      <c r="G26" s="20" t="s">
        <v>33</v>
      </c>
      <c r="H26" s="15" t="s">
        <v>255</v>
      </c>
      <c r="L26" s="15" t="str">
        <f t="shared" si="4"/>
        <v>Pimm's No. 1</v>
      </c>
    </row>
    <row r="27" spans="1:12" ht="15.75" customHeight="1" x14ac:dyDescent="0.2">
      <c r="A27" s="19" t="s">
        <v>98</v>
      </c>
      <c r="B27" s="19" t="s">
        <v>99</v>
      </c>
      <c r="C27" s="19" t="s">
        <v>100</v>
      </c>
      <c r="D27" s="19" t="s">
        <v>38</v>
      </c>
      <c r="E27" s="19" t="s">
        <v>33</v>
      </c>
      <c r="F27" s="19" t="s">
        <v>33</v>
      </c>
      <c r="G27" s="19" t="s">
        <v>33</v>
      </c>
      <c r="H27" s="15" t="s">
        <v>258</v>
      </c>
      <c r="L27" s="15" t="str">
        <f t="shared" si="4"/>
        <v>pisco brandy</v>
      </c>
    </row>
    <row r="28" spans="1:12" ht="15.75" customHeight="1" x14ac:dyDescent="0.2">
      <c r="A28" s="19" t="s">
        <v>102</v>
      </c>
      <c r="B28" s="19" t="s">
        <v>49</v>
      </c>
      <c r="C28" s="19" t="s">
        <v>31</v>
      </c>
      <c r="D28" s="19"/>
      <c r="E28" s="19" t="s">
        <v>33</v>
      </c>
      <c r="F28" s="19" t="s">
        <v>33</v>
      </c>
      <c r="G28" s="19" t="s">
        <v>33</v>
      </c>
      <c r="H28" s="15" t="s">
        <v>261</v>
      </c>
      <c r="L28" s="15" t="str">
        <f t="shared" si="4"/>
        <v>raspberry vodka</v>
      </c>
    </row>
    <row r="29" spans="1:12" ht="15.75" customHeight="1" x14ac:dyDescent="0.2">
      <c r="A29" s="19" t="s">
        <v>103</v>
      </c>
      <c r="B29" s="19" t="s">
        <v>49</v>
      </c>
      <c r="C29" s="19" t="s">
        <v>53</v>
      </c>
      <c r="D29" s="19"/>
      <c r="E29" s="19" t="s">
        <v>104</v>
      </c>
      <c r="F29" s="19" t="s">
        <v>33</v>
      </c>
      <c r="G29" s="19" t="s">
        <v>33</v>
      </c>
      <c r="H29" s="15" t="s">
        <v>265</v>
      </c>
      <c r="I29" s="15" t="str">
        <f t="shared" ref="I29:I32" si="5">H29</f>
        <v>rum</v>
      </c>
    </row>
    <row r="30" spans="1:12" ht="15.75" customHeight="1" x14ac:dyDescent="0.2">
      <c r="A30" s="19" t="s">
        <v>105</v>
      </c>
      <c r="B30" s="19" t="s">
        <v>49</v>
      </c>
      <c r="C30" s="19" t="s">
        <v>52</v>
      </c>
      <c r="D30" s="19"/>
      <c r="E30" s="19" t="s">
        <v>100</v>
      </c>
      <c r="F30" s="19" t="s">
        <v>66</v>
      </c>
      <c r="G30" s="19" t="s">
        <v>3</v>
      </c>
      <c r="H30" s="15" t="s">
        <v>292</v>
      </c>
      <c r="I30" s="15" t="str">
        <f t="shared" si="5"/>
        <v>rum (Bacardi)</v>
      </c>
    </row>
    <row r="31" spans="1:12" ht="15.75" customHeight="1" x14ac:dyDescent="0.2">
      <c r="A31" s="19" t="s">
        <v>106</v>
      </c>
      <c r="B31" s="19" t="s">
        <v>49</v>
      </c>
      <c r="C31" s="19" t="s">
        <v>107</v>
      </c>
      <c r="D31" s="19"/>
      <c r="E31" s="19" t="s">
        <v>108</v>
      </c>
      <c r="F31" s="19" t="s">
        <v>74</v>
      </c>
      <c r="G31" s="19" t="s">
        <v>3</v>
      </c>
      <c r="H31" s="15" t="s">
        <v>294</v>
      </c>
      <c r="I31" s="15" t="str">
        <f t="shared" si="5"/>
        <v>rum and brandy</v>
      </c>
    </row>
    <row r="32" spans="1:12" ht="15.75" customHeight="1" x14ac:dyDescent="0.2">
      <c r="A32" s="19" t="s">
        <v>109</v>
      </c>
      <c r="B32" s="19" t="s">
        <v>49</v>
      </c>
      <c r="C32" s="19" t="s">
        <v>62</v>
      </c>
      <c r="D32" s="19"/>
      <c r="E32" s="19" t="s">
        <v>33</v>
      </c>
      <c r="F32" s="19" t="s">
        <v>33</v>
      </c>
      <c r="G32" s="19" t="s">
        <v>33</v>
      </c>
      <c r="H32" s="15" t="s">
        <v>300</v>
      </c>
      <c r="I32" s="15" t="str">
        <f t="shared" si="5"/>
        <v>rye whiskey</v>
      </c>
    </row>
    <row r="33" spans="1:15" ht="15.75" customHeight="1" x14ac:dyDescent="0.2">
      <c r="A33" s="19" t="s">
        <v>110</v>
      </c>
      <c r="B33" s="19" t="s">
        <v>49</v>
      </c>
      <c r="C33" s="19" t="s">
        <v>108</v>
      </c>
      <c r="D33" s="19" t="s">
        <v>38</v>
      </c>
      <c r="E33" s="19" t="s">
        <v>52</v>
      </c>
      <c r="F33" s="19" t="s">
        <v>33</v>
      </c>
      <c r="G33" s="19" t="s">
        <v>33</v>
      </c>
      <c r="H33" s="15" t="s">
        <v>313</v>
      </c>
      <c r="I33" s="11" t="s">
        <v>516</v>
      </c>
      <c r="O33" s="11" t="s">
        <v>65</v>
      </c>
    </row>
    <row r="34" spans="1:15" ht="15.75" customHeight="1" x14ac:dyDescent="0.2">
      <c r="A34" s="19" t="s">
        <v>111</v>
      </c>
      <c r="B34" s="19" t="s">
        <v>49</v>
      </c>
      <c r="C34" s="19" t="s">
        <v>112</v>
      </c>
      <c r="D34" s="19" t="s">
        <v>113</v>
      </c>
      <c r="E34" s="19" t="s">
        <v>114</v>
      </c>
      <c r="F34" s="19" t="s">
        <v>33</v>
      </c>
      <c r="G34" s="19" t="s">
        <v>33</v>
      </c>
      <c r="H34" s="15" t="s">
        <v>317</v>
      </c>
      <c r="I34" s="15" t="str">
        <f>H34</f>
        <v>scotch</v>
      </c>
    </row>
    <row r="35" spans="1:15" ht="15.75" customHeight="1" x14ac:dyDescent="0.2">
      <c r="A35" s="20" t="s">
        <v>116</v>
      </c>
      <c r="B35" s="20" t="s">
        <v>49</v>
      </c>
      <c r="C35" s="20" t="s">
        <v>100</v>
      </c>
      <c r="D35" s="20" t="s">
        <v>38</v>
      </c>
      <c r="E35" s="20" t="s">
        <v>33</v>
      </c>
      <c r="F35" s="20" t="s">
        <v>33</v>
      </c>
      <c r="G35" s="20" t="s">
        <v>33</v>
      </c>
      <c r="H35" s="15" t="s">
        <v>332</v>
      </c>
      <c r="I35" s="11" t="s">
        <v>317</v>
      </c>
      <c r="O35" s="11" t="s">
        <v>265</v>
      </c>
    </row>
    <row r="36" spans="1:15" ht="15.75" customHeight="1" x14ac:dyDescent="0.2">
      <c r="A36" s="19" t="s">
        <v>117</v>
      </c>
      <c r="B36" s="19" t="s">
        <v>49</v>
      </c>
      <c r="C36" s="19" t="s">
        <v>100</v>
      </c>
      <c r="D36" s="19" t="s">
        <v>38</v>
      </c>
      <c r="E36" s="19" t="s">
        <v>118</v>
      </c>
      <c r="F36" s="19" t="s">
        <v>33</v>
      </c>
      <c r="G36" s="19" t="s">
        <v>33</v>
      </c>
      <c r="H36" s="15" t="s">
        <v>334</v>
      </c>
      <c r="I36" s="15" t="str">
        <f t="shared" ref="I36:I40" si="6">H36</f>
        <v>Seagram's Seven-Crown whiskey</v>
      </c>
    </row>
    <row r="37" spans="1:15" ht="15.75" customHeight="1" x14ac:dyDescent="0.2">
      <c r="A37" s="19" t="s">
        <v>119</v>
      </c>
      <c r="B37" s="19" t="s">
        <v>49</v>
      </c>
      <c r="C37" s="19" t="s">
        <v>100</v>
      </c>
      <c r="D37" s="19" t="s">
        <v>38</v>
      </c>
      <c r="E37" s="19" t="s">
        <v>120</v>
      </c>
      <c r="F37" s="19" t="s">
        <v>33</v>
      </c>
      <c r="G37" s="19" t="s">
        <v>33</v>
      </c>
      <c r="H37" s="15" t="s">
        <v>282</v>
      </c>
      <c r="I37" s="15" t="str">
        <f t="shared" si="6"/>
        <v>sloe gin</v>
      </c>
    </row>
    <row r="38" spans="1:15" ht="15.75" customHeight="1" x14ac:dyDescent="0.2">
      <c r="A38" s="19" t="s">
        <v>121</v>
      </c>
      <c r="B38" s="19" t="s">
        <v>49</v>
      </c>
      <c r="C38" s="19" t="s">
        <v>100</v>
      </c>
      <c r="D38" s="19" t="s">
        <v>38</v>
      </c>
      <c r="E38" s="19" t="s">
        <v>70</v>
      </c>
      <c r="F38" s="19" t="s">
        <v>33</v>
      </c>
      <c r="G38" s="19" t="s">
        <v>33</v>
      </c>
      <c r="H38" s="15" t="s">
        <v>280</v>
      </c>
      <c r="I38" s="15" t="str">
        <f t="shared" si="6"/>
        <v>Southern Comfort</v>
      </c>
    </row>
    <row r="39" spans="1:15" ht="15.75" customHeight="1" x14ac:dyDescent="0.2">
      <c r="A39" s="19" t="s">
        <v>122</v>
      </c>
      <c r="B39" s="19" t="s">
        <v>49</v>
      </c>
      <c r="C39" s="19" t="s">
        <v>100</v>
      </c>
      <c r="D39" s="19" t="s">
        <v>38</v>
      </c>
      <c r="E39" s="19" t="s">
        <v>66</v>
      </c>
      <c r="F39" s="19" t="s">
        <v>78</v>
      </c>
      <c r="G39" s="19" t="s">
        <v>33</v>
      </c>
      <c r="H39" s="15" t="s">
        <v>339</v>
      </c>
      <c r="I39" s="15" t="str">
        <f t="shared" si="6"/>
        <v>spiced rum</v>
      </c>
    </row>
    <row r="40" spans="1:15" ht="15.75" customHeight="1" x14ac:dyDescent="0.2">
      <c r="A40" s="19" t="s">
        <v>123</v>
      </c>
      <c r="B40" s="19" t="s">
        <v>49</v>
      </c>
      <c r="C40" s="19" t="s">
        <v>57</v>
      </c>
      <c r="D40" s="19" t="s">
        <v>38</v>
      </c>
      <c r="E40" s="19" t="s">
        <v>33</v>
      </c>
      <c r="F40" s="19" t="s">
        <v>33</v>
      </c>
      <c r="G40" s="19" t="s">
        <v>33</v>
      </c>
      <c r="H40" s="15" t="s">
        <v>343</v>
      </c>
      <c r="I40" s="15" t="str">
        <f t="shared" si="6"/>
        <v>tequila</v>
      </c>
    </row>
    <row r="41" spans="1:15" ht="15.75" customHeight="1" x14ac:dyDescent="0.2">
      <c r="A41" s="19" t="s">
        <v>124</v>
      </c>
      <c r="B41" s="19" t="s">
        <v>125</v>
      </c>
      <c r="C41" s="19" t="s">
        <v>100</v>
      </c>
      <c r="D41" s="19" t="s">
        <v>38</v>
      </c>
      <c r="E41" s="19" t="s">
        <v>74</v>
      </c>
      <c r="F41" s="19" t="s">
        <v>126</v>
      </c>
      <c r="G41" s="19" t="s">
        <v>33</v>
      </c>
      <c r="H41" s="15" t="s">
        <v>354</v>
      </c>
      <c r="L41" s="15" t="str">
        <f>H41</f>
        <v>Van Gogh Wild Appel Vodka</v>
      </c>
    </row>
    <row r="42" spans="1:15" ht="15.75" customHeight="1" x14ac:dyDescent="0.2">
      <c r="A42" s="19" t="s">
        <v>127</v>
      </c>
      <c r="B42" s="19" t="s">
        <v>128</v>
      </c>
      <c r="C42" s="19" t="s">
        <v>100</v>
      </c>
      <c r="D42" s="19" t="s">
        <v>90</v>
      </c>
      <c r="E42" s="19" t="s">
        <v>66</v>
      </c>
      <c r="F42" s="19" t="s">
        <v>129</v>
      </c>
      <c r="G42" s="19" t="s">
        <v>33</v>
      </c>
      <c r="H42" s="15" t="s">
        <v>357</v>
      </c>
      <c r="I42" s="15" t="str">
        <f t="shared" ref="I42:I43" si="7">H42</f>
        <v>vodka</v>
      </c>
    </row>
    <row r="43" spans="1:15" ht="15.75" customHeight="1" x14ac:dyDescent="0.2">
      <c r="A43" s="19" t="s">
        <v>130</v>
      </c>
      <c r="B43" s="19" t="s">
        <v>131</v>
      </c>
      <c r="C43" s="19"/>
      <c r="D43" s="19" t="s">
        <v>38</v>
      </c>
      <c r="E43" s="19" t="s">
        <v>86</v>
      </c>
      <c r="F43" s="19" t="s">
        <v>33</v>
      </c>
      <c r="G43" s="19" t="s">
        <v>33</v>
      </c>
      <c r="H43" s="15" t="s">
        <v>386</v>
      </c>
      <c r="I43" s="15" t="str">
        <f t="shared" si="7"/>
        <v>vodka, gin, rum, and tequila</v>
      </c>
    </row>
    <row r="44" spans="1:15" ht="15.75" customHeight="1" x14ac:dyDescent="0.2">
      <c r="A44" s="20" t="s">
        <v>132</v>
      </c>
      <c r="B44" s="20" t="s">
        <v>131</v>
      </c>
      <c r="C44" s="20" t="s">
        <v>100</v>
      </c>
      <c r="D44" s="20" t="s">
        <v>90</v>
      </c>
      <c r="E44" s="20" t="s">
        <v>45</v>
      </c>
      <c r="F44" s="20" t="s">
        <v>33</v>
      </c>
      <c r="G44" s="20" t="s">
        <v>33</v>
      </c>
      <c r="H44" s="15" t="s">
        <v>31</v>
      </c>
      <c r="L44" s="15" t="str">
        <f t="shared" ref="L44:L45" si="8">H44</f>
        <v>white crème de cacao</v>
      </c>
    </row>
    <row r="45" spans="1:15" ht="15.75" customHeight="1" x14ac:dyDescent="0.2">
      <c r="A45" s="19" t="s">
        <v>133</v>
      </c>
      <c r="B45" s="19" t="s">
        <v>131</v>
      </c>
      <c r="C45" s="19" t="s">
        <v>100</v>
      </c>
      <c r="D45" s="19" t="s">
        <v>90</v>
      </c>
      <c r="E45" s="19" t="s">
        <v>134</v>
      </c>
      <c r="F45" s="19" t="s">
        <v>33</v>
      </c>
      <c r="G45" s="19" t="s">
        <v>33</v>
      </c>
      <c r="H45" s="15" t="s">
        <v>36</v>
      </c>
      <c r="L45" s="15" t="str">
        <f t="shared" si="8"/>
        <v>Kahlua</v>
      </c>
    </row>
    <row r="46" spans="1:15" ht="15.75" customHeight="1" x14ac:dyDescent="0.2">
      <c r="A46" s="19" t="s">
        <v>135</v>
      </c>
      <c r="B46" s="19" t="s">
        <v>136</v>
      </c>
      <c r="C46" s="19" t="s">
        <v>137</v>
      </c>
      <c r="D46" s="19"/>
      <c r="E46" s="19" t="s">
        <v>32</v>
      </c>
      <c r="F46" s="19" t="s">
        <v>33</v>
      </c>
      <c r="G46" s="19" t="s">
        <v>33</v>
      </c>
      <c r="H46" s="15" t="s">
        <v>38</v>
      </c>
      <c r="K46" s="15" t="str">
        <f>H46</f>
        <v>lemon juice</v>
      </c>
    </row>
    <row r="47" spans="1:15" ht="15.75" customHeight="1" x14ac:dyDescent="0.2">
      <c r="A47" s="19" t="s">
        <v>138</v>
      </c>
      <c r="B47" s="19" t="s">
        <v>136</v>
      </c>
      <c r="C47" s="19" t="s">
        <v>139</v>
      </c>
      <c r="D47" s="19"/>
      <c r="E47" s="19" t="s">
        <v>33</v>
      </c>
      <c r="F47" s="19" t="s">
        <v>33</v>
      </c>
      <c r="G47" s="19" t="s">
        <v>33</v>
      </c>
      <c r="H47" s="15" t="s">
        <v>43</v>
      </c>
      <c r="K47" s="11" t="s">
        <v>90</v>
      </c>
      <c r="M47" s="11" t="s">
        <v>45</v>
      </c>
    </row>
    <row r="48" spans="1:15" ht="15.75" customHeight="1" x14ac:dyDescent="0.2">
      <c r="A48" s="19" t="s">
        <v>140</v>
      </c>
      <c r="B48" s="19" t="s">
        <v>136</v>
      </c>
      <c r="C48" s="19" t="s">
        <v>104</v>
      </c>
      <c r="D48" s="19"/>
      <c r="E48" s="19" t="s">
        <v>33</v>
      </c>
      <c r="F48" s="19" t="s">
        <v>33</v>
      </c>
      <c r="G48" s="19" t="s">
        <v>33</v>
      </c>
      <c r="H48" s="15" t="s">
        <v>78</v>
      </c>
      <c r="K48" s="15" t="str">
        <f t="shared" ref="K48:K49" si="9">H48</f>
        <v>pineapple juice</v>
      </c>
    </row>
    <row r="49" spans="1:13" ht="15.75" customHeight="1" x14ac:dyDescent="0.2">
      <c r="A49" s="19" t="s">
        <v>141</v>
      </c>
      <c r="B49" s="19" t="s">
        <v>136</v>
      </c>
      <c r="C49" s="19" t="s">
        <v>114</v>
      </c>
      <c r="D49" s="19"/>
      <c r="E49" s="19" t="s">
        <v>33</v>
      </c>
      <c r="F49" s="19" t="s">
        <v>33</v>
      </c>
      <c r="G49" s="19" t="s">
        <v>33</v>
      </c>
      <c r="H49" s="15" t="s">
        <v>90</v>
      </c>
      <c r="K49" s="15" t="str">
        <f t="shared" si="9"/>
        <v>lime juice</v>
      </c>
    </row>
    <row r="50" spans="1:13" ht="15.75" customHeight="1" x14ac:dyDescent="0.2">
      <c r="A50" s="19" t="s">
        <v>142</v>
      </c>
      <c r="B50" s="19" t="s">
        <v>57</v>
      </c>
      <c r="C50" s="19" t="s">
        <v>31</v>
      </c>
      <c r="D50" s="19"/>
      <c r="E50" s="19" t="s">
        <v>32</v>
      </c>
      <c r="F50" s="19" t="s">
        <v>33</v>
      </c>
      <c r="G50" s="19" t="s">
        <v>33</v>
      </c>
      <c r="H50" s="15" t="s">
        <v>113</v>
      </c>
      <c r="K50" s="11" t="s">
        <v>38</v>
      </c>
      <c r="M50" s="11" t="s">
        <v>115</v>
      </c>
    </row>
    <row r="51" spans="1:13" ht="15.75" customHeight="1" x14ac:dyDescent="0.2">
      <c r="A51" s="19" t="s">
        <v>143</v>
      </c>
      <c r="B51" s="19" t="s">
        <v>144</v>
      </c>
      <c r="C51" s="19" t="s">
        <v>100</v>
      </c>
      <c r="D51" s="19" t="s">
        <v>90</v>
      </c>
      <c r="E51" s="19" t="s">
        <v>45</v>
      </c>
      <c r="F51" s="19" t="s">
        <v>33</v>
      </c>
      <c r="G51" s="19" t="s">
        <v>33</v>
      </c>
      <c r="H51" s="15" t="s">
        <v>186</v>
      </c>
      <c r="K51" s="11" t="s">
        <v>90</v>
      </c>
      <c r="M51" s="11" t="s">
        <v>78</v>
      </c>
    </row>
    <row r="52" spans="1:13" ht="15.75" customHeight="1" x14ac:dyDescent="0.2">
      <c r="A52" s="19" t="s">
        <v>145</v>
      </c>
      <c r="B52" s="19" t="s">
        <v>146</v>
      </c>
      <c r="C52" s="19" t="s">
        <v>31</v>
      </c>
      <c r="D52" s="19"/>
      <c r="E52" s="19" t="s">
        <v>32</v>
      </c>
      <c r="F52" s="19" t="s">
        <v>33</v>
      </c>
      <c r="G52" s="19" t="s">
        <v>33</v>
      </c>
      <c r="H52" s="15" t="s">
        <v>126</v>
      </c>
      <c r="K52" s="15" t="str">
        <f t="shared" ref="K52:K54" si="10">H52</f>
        <v>orange juice</v>
      </c>
    </row>
    <row r="53" spans="1:13" ht="15.75" customHeight="1" x14ac:dyDescent="0.2">
      <c r="A53" s="19" t="s">
        <v>147</v>
      </c>
      <c r="B53" s="19" t="s">
        <v>148</v>
      </c>
      <c r="C53" s="19" t="s">
        <v>31</v>
      </c>
      <c r="D53" s="19"/>
      <c r="E53" s="19" t="s">
        <v>32</v>
      </c>
      <c r="F53" s="19" t="s">
        <v>33</v>
      </c>
      <c r="G53" s="19" t="s">
        <v>33</v>
      </c>
      <c r="H53" s="15" t="s">
        <v>134</v>
      </c>
      <c r="K53" s="15" t="str">
        <f t="shared" si="10"/>
        <v>grapefruit juice</v>
      </c>
    </row>
    <row r="54" spans="1:13" ht="15.75" customHeight="1" x14ac:dyDescent="0.2">
      <c r="A54" s="19" t="s">
        <v>149</v>
      </c>
      <c r="B54" s="19" t="s">
        <v>148</v>
      </c>
      <c r="C54" s="19" t="s">
        <v>53</v>
      </c>
      <c r="D54" s="19"/>
      <c r="E54" s="19" t="s">
        <v>33</v>
      </c>
      <c r="F54" s="19" t="s">
        <v>33</v>
      </c>
      <c r="G54" s="19" t="s">
        <v>33</v>
      </c>
      <c r="H54" s="15" t="s">
        <v>45</v>
      </c>
      <c r="K54" s="15" t="str">
        <f t="shared" si="10"/>
        <v>cranberry juice</v>
      </c>
    </row>
    <row r="55" spans="1:13" ht="15.75" customHeight="1" x14ac:dyDescent="0.2">
      <c r="A55" s="19" t="s">
        <v>150</v>
      </c>
      <c r="B55" s="19" t="s">
        <v>148</v>
      </c>
      <c r="C55" s="19" t="s">
        <v>151</v>
      </c>
      <c r="D55" s="19"/>
      <c r="E55" s="19" t="s">
        <v>33</v>
      </c>
      <c r="F55" s="19" t="s">
        <v>33</v>
      </c>
      <c r="G55" s="19" t="s">
        <v>33</v>
      </c>
      <c r="H55" s="15" t="s">
        <v>295</v>
      </c>
      <c r="K55" s="11" t="s">
        <v>90</v>
      </c>
      <c r="M55" s="11" t="s">
        <v>38</v>
      </c>
    </row>
    <row r="56" spans="1:13" ht="15.75" customHeight="1" x14ac:dyDescent="0.2">
      <c r="A56" s="19" t="s">
        <v>152</v>
      </c>
      <c r="B56" s="19" t="s">
        <v>148</v>
      </c>
      <c r="C56" s="19" t="s">
        <v>153</v>
      </c>
      <c r="D56" s="19"/>
      <c r="E56" s="19" t="s">
        <v>33</v>
      </c>
      <c r="F56" s="19" t="s">
        <v>33</v>
      </c>
      <c r="G56" s="19" t="s">
        <v>33</v>
      </c>
      <c r="H56" s="15" t="s">
        <v>341</v>
      </c>
      <c r="K56" s="11" t="s">
        <v>90</v>
      </c>
      <c r="M56" s="11" t="s">
        <v>126</v>
      </c>
    </row>
    <row r="57" spans="1:13" ht="15.75" customHeight="1" x14ac:dyDescent="0.2">
      <c r="A57" s="19" t="s">
        <v>154</v>
      </c>
      <c r="B57" s="19" t="s">
        <v>148</v>
      </c>
      <c r="C57" s="19" t="s">
        <v>62</v>
      </c>
      <c r="D57" s="19" t="s">
        <v>90</v>
      </c>
      <c r="E57" s="19" t="s">
        <v>33</v>
      </c>
      <c r="F57" s="19" t="s">
        <v>33</v>
      </c>
      <c r="G57" s="19" t="s">
        <v>33</v>
      </c>
      <c r="H57" s="15" t="s">
        <v>53</v>
      </c>
      <c r="L57" s="15" t="str">
        <f t="shared" ref="L57:L58" si="11">H57</f>
        <v>Dubonnet</v>
      </c>
    </row>
    <row r="58" spans="1:13" ht="15.75" customHeight="1" x14ac:dyDescent="0.2">
      <c r="A58" s="19" t="s">
        <v>155</v>
      </c>
      <c r="B58" s="19" t="s">
        <v>148</v>
      </c>
      <c r="C58" s="19" t="s">
        <v>156</v>
      </c>
      <c r="D58" s="19"/>
      <c r="E58" s="19" t="s">
        <v>33</v>
      </c>
      <c r="F58" s="19" t="s">
        <v>33</v>
      </c>
      <c r="G58" s="19" t="s">
        <v>33</v>
      </c>
      <c r="H58" s="15" t="s">
        <v>107</v>
      </c>
      <c r="L58" s="15" t="str">
        <f t="shared" si="11"/>
        <v>Lillet Blonde</v>
      </c>
    </row>
    <row r="59" spans="1:13" ht="15.75" customHeight="1" x14ac:dyDescent="0.2">
      <c r="A59" s="19" t="s">
        <v>157</v>
      </c>
      <c r="B59" s="19" t="s">
        <v>148</v>
      </c>
      <c r="C59" s="19" t="s">
        <v>158</v>
      </c>
      <c r="D59" s="19"/>
      <c r="E59" s="19" t="s">
        <v>33</v>
      </c>
      <c r="F59" s="19" t="s">
        <v>33</v>
      </c>
      <c r="G59" s="19" t="s">
        <v>33</v>
      </c>
      <c r="H59" s="15" t="s">
        <v>62</v>
      </c>
      <c r="J59" s="15" t="str">
        <f>H59</f>
        <v>club soda</v>
      </c>
    </row>
    <row r="60" spans="1:13" ht="15.75" customHeight="1" x14ac:dyDescent="0.2">
      <c r="A60" s="19" t="s">
        <v>159</v>
      </c>
      <c r="B60" s="19" t="s">
        <v>148</v>
      </c>
      <c r="C60" s="19"/>
      <c r="D60" s="19" t="s">
        <v>90</v>
      </c>
      <c r="E60" s="19" t="s">
        <v>86</v>
      </c>
      <c r="F60" s="19" t="s">
        <v>33</v>
      </c>
      <c r="G60" s="19" t="s">
        <v>33</v>
      </c>
      <c r="H60" s="15" t="s">
        <v>108</v>
      </c>
      <c r="L60" s="15" t="str">
        <f t="shared" ref="L60:L65" si="12">H60</f>
        <v>crème de cassis</v>
      </c>
    </row>
    <row r="61" spans="1:13" ht="15.75" customHeight="1" x14ac:dyDescent="0.2">
      <c r="A61" s="19" t="s">
        <v>160</v>
      </c>
      <c r="B61" s="19" t="s">
        <v>148</v>
      </c>
      <c r="C61" s="19"/>
      <c r="D61" s="19" t="s">
        <v>90</v>
      </c>
      <c r="E61" s="18" t="s">
        <v>86</v>
      </c>
      <c r="F61" s="18" t="s">
        <v>66</v>
      </c>
      <c r="G61" s="19" t="s">
        <v>33</v>
      </c>
      <c r="H61" s="15" t="s">
        <v>112</v>
      </c>
      <c r="L61" s="15" t="str">
        <f t="shared" si="12"/>
        <v>Tuaca</v>
      </c>
    </row>
    <row r="62" spans="1:13" ht="15.75" customHeight="1" x14ac:dyDescent="0.2">
      <c r="A62" s="19" t="s">
        <v>161</v>
      </c>
      <c r="B62" s="19" t="s">
        <v>148</v>
      </c>
      <c r="C62" s="19"/>
      <c r="D62" s="19" t="s">
        <v>38</v>
      </c>
      <c r="E62" s="19" t="s">
        <v>162</v>
      </c>
      <c r="F62" s="19" t="s">
        <v>163</v>
      </c>
      <c r="G62" s="19" t="s">
        <v>33</v>
      </c>
      <c r="H62" s="15" t="s">
        <v>137</v>
      </c>
      <c r="L62" s="15" t="str">
        <f t="shared" si="12"/>
        <v>dark crème de cacao</v>
      </c>
    </row>
    <row r="63" spans="1:13" ht="15.75" customHeight="1" x14ac:dyDescent="0.2">
      <c r="A63" s="19" t="s">
        <v>164</v>
      </c>
      <c r="B63" s="19" t="s">
        <v>148</v>
      </c>
      <c r="C63" s="19" t="s">
        <v>30</v>
      </c>
      <c r="D63" s="19" t="s">
        <v>38</v>
      </c>
      <c r="E63" s="19" t="s">
        <v>66</v>
      </c>
      <c r="F63" s="19" t="s">
        <v>33</v>
      </c>
      <c r="G63" s="19" t="s">
        <v>33</v>
      </c>
      <c r="H63" s="15" t="s">
        <v>139</v>
      </c>
      <c r="L63" s="15" t="str">
        <f t="shared" si="12"/>
        <v>Grand Marnier</v>
      </c>
    </row>
    <row r="64" spans="1:13" ht="15.75" customHeight="1" x14ac:dyDescent="0.2">
      <c r="A64" s="19" t="s">
        <v>165</v>
      </c>
      <c r="B64" s="19" t="s">
        <v>148</v>
      </c>
      <c r="C64" s="19" t="s">
        <v>60</v>
      </c>
      <c r="D64" s="19" t="s">
        <v>38</v>
      </c>
      <c r="E64" s="19" t="s">
        <v>52</v>
      </c>
      <c r="F64" s="19" t="s">
        <v>55</v>
      </c>
      <c r="G64" s="19" t="s">
        <v>33</v>
      </c>
      <c r="H64" s="15" t="s">
        <v>104</v>
      </c>
      <c r="L64" s="15" t="str">
        <f t="shared" si="12"/>
        <v>absinthe</v>
      </c>
    </row>
    <row r="65" spans="1:15" ht="15.75" customHeight="1" x14ac:dyDescent="0.2">
      <c r="A65" s="19" t="s">
        <v>166</v>
      </c>
      <c r="B65" s="19" t="s">
        <v>148</v>
      </c>
      <c r="C65" s="19" t="s">
        <v>60</v>
      </c>
      <c r="D65" s="19" t="s">
        <v>38</v>
      </c>
      <c r="E65" s="19" t="s">
        <v>126</v>
      </c>
      <c r="F65" s="19" t="s">
        <v>33</v>
      </c>
      <c r="G65" s="19" t="s">
        <v>33</v>
      </c>
      <c r="H65" s="15" t="s">
        <v>114</v>
      </c>
      <c r="L65" s="15" t="str">
        <f t="shared" si="12"/>
        <v>Frangelico</v>
      </c>
    </row>
    <row r="66" spans="1:15" ht="15.75" customHeight="1" x14ac:dyDescent="0.2">
      <c r="A66" s="19" t="s">
        <v>167</v>
      </c>
      <c r="B66" s="19" t="s">
        <v>148</v>
      </c>
      <c r="C66" s="19" t="s">
        <v>31</v>
      </c>
      <c r="D66" s="19" t="s">
        <v>38</v>
      </c>
      <c r="E66" s="19" t="s">
        <v>52</v>
      </c>
      <c r="F66" s="19" t="s">
        <v>33</v>
      </c>
      <c r="G66" s="19" t="s">
        <v>33</v>
      </c>
      <c r="H66" s="15" t="s">
        <v>151</v>
      </c>
      <c r="L66" s="11" t="s">
        <v>396</v>
      </c>
    </row>
    <row r="67" spans="1:15" ht="15.75" customHeight="1" x14ac:dyDescent="0.2">
      <c r="A67" s="19" t="s">
        <v>168</v>
      </c>
      <c r="B67" s="19" t="s">
        <v>148</v>
      </c>
      <c r="C67" s="19" t="s">
        <v>120</v>
      </c>
      <c r="D67" s="19" t="s">
        <v>38</v>
      </c>
      <c r="E67" s="19" t="s">
        <v>33</v>
      </c>
      <c r="F67" s="19" t="s">
        <v>33</v>
      </c>
      <c r="G67" s="19" t="s">
        <v>33</v>
      </c>
      <c r="H67" s="15" t="s">
        <v>153</v>
      </c>
      <c r="L67" s="15" t="str">
        <f>H67</f>
        <v>yellow Chartreuse</v>
      </c>
    </row>
    <row r="68" spans="1:15" ht="15.75" customHeight="1" x14ac:dyDescent="0.2">
      <c r="A68" s="19" t="s">
        <v>169</v>
      </c>
      <c r="B68" s="19" t="s">
        <v>148</v>
      </c>
      <c r="C68" s="19" t="s">
        <v>120</v>
      </c>
      <c r="D68" s="18" t="s">
        <v>90</v>
      </c>
      <c r="E68" s="19" t="s">
        <v>170</v>
      </c>
      <c r="F68" s="19" t="s">
        <v>86</v>
      </c>
      <c r="G68" s="18" t="s">
        <v>134</v>
      </c>
      <c r="H68" s="15" t="s">
        <v>156</v>
      </c>
      <c r="J68" s="15" t="str">
        <f t="shared" ref="J68:J69" si="13">H68</f>
        <v>ginger ale</v>
      </c>
    </row>
    <row r="69" spans="1:15" ht="15.75" customHeight="1" x14ac:dyDescent="0.2">
      <c r="A69" s="19" t="s">
        <v>171</v>
      </c>
      <c r="B69" s="19" t="s">
        <v>148</v>
      </c>
      <c r="C69" s="19" t="s">
        <v>139</v>
      </c>
      <c r="D69" s="19" t="s">
        <v>38</v>
      </c>
      <c r="E69" s="19" t="s">
        <v>48</v>
      </c>
      <c r="F69" s="19" t="s">
        <v>33</v>
      </c>
      <c r="G69" s="19" t="s">
        <v>33</v>
      </c>
      <c r="H69" s="15" t="s">
        <v>158</v>
      </c>
      <c r="J69" s="15" t="str">
        <f t="shared" si="13"/>
        <v>tonic water</v>
      </c>
    </row>
    <row r="70" spans="1:15" ht="15.75" customHeight="1" x14ac:dyDescent="0.2">
      <c r="A70" s="19" t="s">
        <v>172</v>
      </c>
      <c r="B70" s="19" t="s">
        <v>148</v>
      </c>
      <c r="C70" s="19" t="s">
        <v>173</v>
      </c>
      <c r="D70" s="19" t="s">
        <v>38</v>
      </c>
      <c r="E70" s="19" t="s">
        <v>33</v>
      </c>
      <c r="F70" s="19" t="s">
        <v>33</v>
      </c>
      <c r="G70" s="19" t="s">
        <v>33</v>
      </c>
      <c r="H70" s="15" t="s">
        <v>120</v>
      </c>
      <c r="L70" s="15" t="str">
        <f t="shared" ref="L70:L72" si="14">H70</f>
        <v>maraschino liqueur</v>
      </c>
    </row>
    <row r="71" spans="1:15" ht="15.75" customHeight="1" x14ac:dyDescent="0.2">
      <c r="A71" s="19" t="s">
        <v>174</v>
      </c>
      <c r="B71" s="19" t="s">
        <v>148</v>
      </c>
      <c r="C71" s="19" t="s">
        <v>100</v>
      </c>
      <c r="D71" s="19" t="s">
        <v>90</v>
      </c>
      <c r="E71" s="19" t="s">
        <v>33</v>
      </c>
      <c r="F71" s="19" t="s">
        <v>33</v>
      </c>
      <c r="G71" s="19" t="s">
        <v>33</v>
      </c>
      <c r="H71" s="15" t="s">
        <v>173</v>
      </c>
      <c r="L71" s="15" t="str">
        <f t="shared" si="14"/>
        <v>ginger liqueur</v>
      </c>
    </row>
    <row r="72" spans="1:15" ht="15.75" customHeight="1" x14ac:dyDescent="0.2">
      <c r="A72" s="19" t="s">
        <v>175</v>
      </c>
      <c r="B72" s="19" t="s">
        <v>148</v>
      </c>
      <c r="C72" s="19" t="s">
        <v>100</v>
      </c>
      <c r="D72" s="19" t="s">
        <v>90</v>
      </c>
      <c r="E72" s="18" t="s">
        <v>66</v>
      </c>
      <c r="F72" s="18" t="s">
        <v>74</v>
      </c>
      <c r="G72" s="19" t="s">
        <v>33</v>
      </c>
      <c r="H72" s="15" t="s">
        <v>68</v>
      </c>
      <c r="L72" s="15" t="str">
        <f t="shared" si="14"/>
        <v>Benedictine</v>
      </c>
    </row>
    <row r="73" spans="1:15" ht="15.75" customHeight="1" x14ac:dyDescent="0.2">
      <c r="A73" s="19" t="s">
        <v>176</v>
      </c>
      <c r="B73" s="19" t="s">
        <v>148</v>
      </c>
      <c r="C73" s="19" t="s">
        <v>100</v>
      </c>
      <c r="D73" s="19" t="s">
        <v>38</v>
      </c>
      <c r="E73" s="19" t="s">
        <v>55</v>
      </c>
      <c r="F73" s="19" t="s">
        <v>33</v>
      </c>
      <c r="G73" s="19" t="s">
        <v>33</v>
      </c>
      <c r="H73" s="15" t="s">
        <v>185</v>
      </c>
      <c r="L73" s="11" t="s">
        <v>68</v>
      </c>
      <c r="O73" s="11" t="s">
        <v>100</v>
      </c>
    </row>
    <row r="74" spans="1:15" ht="15.75" customHeight="1" x14ac:dyDescent="0.2">
      <c r="A74" s="19" t="s">
        <v>177</v>
      </c>
      <c r="B74" s="19" t="s">
        <v>148</v>
      </c>
      <c r="C74" s="19" t="s">
        <v>100</v>
      </c>
      <c r="D74" s="19" t="s">
        <v>38</v>
      </c>
      <c r="E74" s="19" t="s">
        <v>104</v>
      </c>
      <c r="F74" s="19" t="s">
        <v>178</v>
      </c>
      <c r="G74" s="19" t="s">
        <v>33</v>
      </c>
      <c r="H74" s="15" t="s">
        <v>195</v>
      </c>
      <c r="J74" s="15" t="str">
        <f>H74</f>
        <v>champagne</v>
      </c>
    </row>
    <row r="75" spans="1:15" ht="15.75" customHeight="1" x14ac:dyDescent="0.2">
      <c r="A75" s="19" t="s">
        <v>179</v>
      </c>
      <c r="B75" s="19" t="s">
        <v>148</v>
      </c>
      <c r="C75" s="19" t="s">
        <v>100</v>
      </c>
      <c r="D75" s="19" t="s">
        <v>38</v>
      </c>
      <c r="E75" s="19" t="s">
        <v>66</v>
      </c>
      <c r="F75" s="19" t="s">
        <v>126</v>
      </c>
      <c r="G75" s="19" t="s">
        <v>33</v>
      </c>
      <c r="H75" s="15" t="s">
        <v>178</v>
      </c>
      <c r="L75" s="15" t="str">
        <f>H75</f>
        <v>Lillet</v>
      </c>
    </row>
    <row r="76" spans="1:15" ht="15.75" customHeight="1" x14ac:dyDescent="0.2">
      <c r="A76" s="19" t="s">
        <v>180</v>
      </c>
      <c r="B76" s="19" t="s">
        <v>148</v>
      </c>
      <c r="C76" s="19" t="s">
        <v>86</v>
      </c>
      <c r="D76" s="19" t="s">
        <v>38</v>
      </c>
      <c r="E76" s="19" t="s">
        <v>62</v>
      </c>
      <c r="F76" s="19" t="s">
        <v>33</v>
      </c>
      <c r="G76" s="19" t="s">
        <v>33</v>
      </c>
      <c r="H76" s="15" t="s">
        <v>204</v>
      </c>
      <c r="L76" s="11" t="s">
        <v>52</v>
      </c>
      <c r="O76" s="11" t="s">
        <v>48</v>
      </c>
    </row>
    <row r="77" spans="1:15" ht="15.75" customHeight="1" x14ac:dyDescent="0.2">
      <c r="A77" s="19" t="s">
        <v>181</v>
      </c>
      <c r="B77" s="19" t="s">
        <v>148</v>
      </c>
      <c r="C77" s="19" t="s">
        <v>68</v>
      </c>
      <c r="D77" s="19" t="s">
        <v>38</v>
      </c>
      <c r="E77" s="19" t="s">
        <v>62</v>
      </c>
      <c r="F77" s="19" t="s">
        <v>182</v>
      </c>
      <c r="G77" s="19" t="s">
        <v>183</v>
      </c>
      <c r="H77" s="15" t="s">
        <v>221</v>
      </c>
      <c r="L77" s="15" t="str">
        <f t="shared" ref="L77:L78" si="15">H77</f>
        <v>green-apple schnapps</v>
      </c>
    </row>
    <row r="78" spans="1:15" ht="15.75" customHeight="1" x14ac:dyDescent="0.2">
      <c r="A78" s="19" t="s">
        <v>184</v>
      </c>
      <c r="B78" s="19" t="s">
        <v>148</v>
      </c>
      <c r="C78" s="19" t="s">
        <v>185</v>
      </c>
      <c r="D78" s="19" t="s">
        <v>186</v>
      </c>
      <c r="E78" s="19" t="s">
        <v>62</v>
      </c>
      <c r="F78" s="19" t="s">
        <v>187</v>
      </c>
      <c r="G78" s="19" t="s">
        <v>70</v>
      </c>
      <c r="H78" s="15" t="s">
        <v>253</v>
      </c>
      <c r="L78" s="15" t="str">
        <f t="shared" si="15"/>
        <v>Baileys</v>
      </c>
    </row>
    <row r="79" spans="1:15" ht="15.75" customHeight="1" x14ac:dyDescent="0.2">
      <c r="A79" s="19" t="s">
        <v>188</v>
      </c>
      <c r="B79" s="19" t="s">
        <v>148</v>
      </c>
      <c r="C79" s="19" t="s">
        <v>86</v>
      </c>
      <c r="D79" s="18" t="s">
        <v>90</v>
      </c>
      <c r="E79" s="19" t="s">
        <v>62</v>
      </c>
      <c r="F79" s="19" t="s">
        <v>189</v>
      </c>
      <c r="G79" s="18" t="s">
        <v>38</v>
      </c>
      <c r="H79" s="15" t="s">
        <v>256</v>
      </c>
      <c r="J79" s="15" t="str">
        <f>H79</f>
        <v>ginger ale, lemon-lime soda, or club soda</v>
      </c>
    </row>
    <row r="80" spans="1:15" ht="15.75" customHeight="1" x14ac:dyDescent="0.2">
      <c r="A80" s="19" t="s">
        <v>190</v>
      </c>
      <c r="B80" s="19" t="s">
        <v>148</v>
      </c>
      <c r="C80" s="19" t="s">
        <v>68</v>
      </c>
      <c r="D80" s="18" t="s">
        <v>38</v>
      </c>
      <c r="E80" s="19" t="s">
        <v>62</v>
      </c>
      <c r="F80" s="19" t="s">
        <v>191</v>
      </c>
      <c r="G80" s="18" t="s">
        <v>192</v>
      </c>
      <c r="H80" s="15" t="s">
        <v>266</v>
      </c>
      <c r="L80" s="15" t="str">
        <f>H80</f>
        <v>Godiva Chocolate Liqueur</v>
      </c>
    </row>
    <row r="81" spans="1:15" ht="15.75" customHeight="1" x14ac:dyDescent="0.2">
      <c r="A81" s="19" t="s">
        <v>193</v>
      </c>
      <c r="B81" s="19" t="s">
        <v>148</v>
      </c>
      <c r="C81" s="19" t="s">
        <v>57</v>
      </c>
      <c r="D81" s="19" t="s">
        <v>90</v>
      </c>
      <c r="E81" s="19" t="s">
        <v>33</v>
      </c>
      <c r="F81" s="19" t="s">
        <v>33</v>
      </c>
      <c r="G81" s="19" t="s">
        <v>33</v>
      </c>
      <c r="H81" s="15" t="s">
        <v>268</v>
      </c>
      <c r="J81" s="15" t="str">
        <f t="shared" ref="J81:J82" si="16">H81</f>
        <v>cola</v>
      </c>
    </row>
    <row r="82" spans="1:15" ht="15.75" customHeight="1" x14ac:dyDescent="0.2">
      <c r="A82" s="20" t="s">
        <v>194</v>
      </c>
      <c r="B82" s="20" t="s">
        <v>148</v>
      </c>
      <c r="C82" s="20" t="s">
        <v>195</v>
      </c>
      <c r="D82" s="20" t="s">
        <v>38</v>
      </c>
      <c r="E82" s="20" t="s">
        <v>86</v>
      </c>
      <c r="F82" s="20" t="s">
        <v>33</v>
      </c>
      <c r="G82" s="20" t="s">
        <v>33</v>
      </c>
      <c r="H82" s="15" t="s">
        <v>270</v>
      </c>
      <c r="J82" s="15" t="str">
        <f t="shared" si="16"/>
        <v>ginger beer</v>
      </c>
    </row>
    <row r="83" spans="1:15" ht="15.75" customHeight="1" x14ac:dyDescent="0.2">
      <c r="A83" s="19" t="s">
        <v>197</v>
      </c>
      <c r="B83" s="19" t="s">
        <v>198</v>
      </c>
      <c r="C83" s="19" t="s">
        <v>52</v>
      </c>
      <c r="D83" s="19"/>
      <c r="E83" s="19" t="s">
        <v>104</v>
      </c>
      <c r="F83" s="19" t="s">
        <v>33</v>
      </c>
      <c r="G83" s="19" t="s">
        <v>33</v>
      </c>
      <c r="H83" s="15" t="s">
        <v>302</v>
      </c>
      <c r="J83" s="11" t="s">
        <v>156</v>
      </c>
      <c r="O83" s="11" t="s">
        <v>62</v>
      </c>
    </row>
    <row r="84" spans="1:15" ht="15.75" customHeight="1" x14ac:dyDescent="0.2">
      <c r="A84" s="19" t="s">
        <v>200</v>
      </c>
      <c r="B84" s="19" t="s">
        <v>198</v>
      </c>
      <c r="C84" s="19" t="s">
        <v>52</v>
      </c>
      <c r="D84" s="19" t="s">
        <v>126</v>
      </c>
      <c r="E84" s="18" t="s">
        <v>74</v>
      </c>
      <c r="F84" s="18" t="s">
        <v>201</v>
      </c>
      <c r="G84" s="19" t="s">
        <v>33</v>
      </c>
      <c r="H84" s="15" t="s">
        <v>308</v>
      </c>
      <c r="L84" s="15" t="str">
        <f t="shared" ref="L84:L87" si="17">H84</f>
        <v>white crème de menthe</v>
      </c>
    </row>
    <row r="85" spans="1:15" ht="15.75" customHeight="1" x14ac:dyDescent="0.2">
      <c r="A85" s="19" t="s">
        <v>202</v>
      </c>
      <c r="B85" s="19" t="s">
        <v>198</v>
      </c>
      <c r="C85" s="19" t="s">
        <v>178</v>
      </c>
      <c r="D85" s="19" t="s">
        <v>126</v>
      </c>
      <c r="E85" s="19" t="s">
        <v>66</v>
      </c>
      <c r="F85" s="19" t="s">
        <v>33</v>
      </c>
      <c r="G85" s="19" t="s">
        <v>33</v>
      </c>
      <c r="H85" s="15" t="s">
        <v>215</v>
      </c>
      <c r="L85" s="15" t="str">
        <f t="shared" si="17"/>
        <v>kummel</v>
      </c>
    </row>
    <row r="86" spans="1:15" ht="15.75" customHeight="1" x14ac:dyDescent="0.2">
      <c r="A86" s="19" t="s">
        <v>203</v>
      </c>
      <c r="B86" s="19" t="s">
        <v>198</v>
      </c>
      <c r="C86" s="19" t="s">
        <v>204</v>
      </c>
      <c r="D86" s="19" t="s">
        <v>126</v>
      </c>
      <c r="E86" s="19" t="s">
        <v>74</v>
      </c>
      <c r="F86" s="19" t="s">
        <v>33</v>
      </c>
      <c r="G86" s="19" t="s">
        <v>33</v>
      </c>
      <c r="H86" s="15" t="s">
        <v>70</v>
      </c>
      <c r="L86" s="15" t="str">
        <f t="shared" si="17"/>
        <v>cherry brandy</v>
      </c>
    </row>
    <row r="87" spans="1:15" ht="15.75" customHeight="1" x14ac:dyDescent="0.2">
      <c r="A87" s="19" t="s">
        <v>205</v>
      </c>
      <c r="B87" s="19" t="s">
        <v>198</v>
      </c>
      <c r="C87" s="19" t="s">
        <v>204</v>
      </c>
      <c r="D87" s="19" t="s">
        <v>126</v>
      </c>
      <c r="E87" s="19" t="s">
        <v>66</v>
      </c>
      <c r="F87" s="19" t="s">
        <v>33</v>
      </c>
      <c r="G87" s="19" t="s">
        <v>33</v>
      </c>
      <c r="H87" s="15" t="s">
        <v>323</v>
      </c>
      <c r="L87" s="15" t="str">
        <f t="shared" si="17"/>
        <v>Drambuie</v>
      </c>
    </row>
    <row r="88" spans="1:15" ht="15.75" customHeight="1" x14ac:dyDescent="0.2">
      <c r="A88" s="19" t="s">
        <v>206</v>
      </c>
      <c r="B88" s="19" t="s">
        <v>198</v>
      </c>
      <c r="C88" s="19" t="s">
        <v>204</v>
      </c>
      <c r="D88" s="19" t="s">
        <v>126</v>
      </c>
      <c r="E88" s="19" t="s">
        <v>104</v>
      </c>
      <c r="F88" s="19" t="s">
        <v>33</v>
      </c>
      <c r="G88" s="19" t="s">
        <v>33</v>
      </c>
      <c r="H88" s="15" t="s">
        <v>335</v>
      </c>
      <c r="J88" s="15" t="str">
        <f>H88</f>
        <v>7UP</v>
      </c>
    </row>
    <row r="89" spans="1:15" ht="15.75" customHeight="1" x14ac:dyDescent="0.2">
      <c r="A89" s="19" t="s">
        <v>207</v>
      </c>
      <c r="B89" s="19" t="s">
        <v>198</v>
      </c>
      <c r="C89" s="19" t="s">
        <v>48</v>
      </c>
      <c r="D89" s="19" t="s">
        <v>134</v>
      </c>
      <c r="E89" s="19" t="s">
        <v>100</v>
      </c>
      <c r="F89" s="19" t="s">
        <v>208</v>
      </c>
      <c r="G89" s="19" t="s">
        <v>33</v>
      </c>
      <c r="H89" s="15" t="s">
        <v>340</v>
      </c>
      <c r="L89" s="15" t="str">
        <f t="shared" ref="L89:L90" si="18">H89</f>
        <v>Chambord</v>
      </c>
    </row>
    <row r="90" spans="1:15" ht="15.75" customHeight="1" x14ac:dyDescent="0.2">
      <c r="A90" s="19" t="s">
        <v>209</v>
      </c>
      <c r="B90" s="19" t="s">
        <v>198</v>
      </c>
      <c r="C90" s="19" t="s">
        <v>52</v>
      </c>
      <c r="D90" s="19"/>
      <c r="E90" s="19" t="s">
        <v>100</v>
      </c>
      <c r="F90" s="19" t="s">
        <v>33</v>
      </c>
      <c r="G90" s="19" t="s">
        <v>33</v>
      </c>
      <c r="H90" s="15" t="s">
        <v>345</v>
      </c>
      <c r="L90" s="15" t="str">
        <f t="shared" si="18"/>
        <v>Galliano</v>
      </c>
    </row>
    <row r="91" spans="1:15" ht="15.75" customHeight="1" x14ac:dyDescent="0.2">
      <c r="A91" s="19" t="s">
        <v>210</v>
      </c>
      <c r="B91" s="19" t="s">
        <v>198</v>
      </c>
      <c r="C91" s="19" t="s">
        <v>52</v>
      </c>
      <c r="D91" s="19"/>
      <c r="E91" s="19" t="s">
        <v>100</v>
      </c>
      <c r="F91" s="19" t="s">
        <v>60</v>
      </c>
      <c r="G91" s="19" t="s">
        <v>33</v>
      </c>
      <c r="H91" s="15" t="s">
        <v>55</v>
      </c>
      <c r="J91" s="15" t="str">
        <f>H91</f>
        <v>grenadine</v>
      </c>
    </row>
    <row r="92" spans="1:15" ht="15.75" customHeight="1" x14ac:dyDescent="0.2">
      <c r="A92" s="19" t="s">
        <v>211</v>
      </c>
      <c r="B92" s="19" t="s">
        <v>198</v>
      </c>
      <c r="C92" s="19" t="s">
        <v>52</v>
      </c>
      <c r="D92" s="19"/>
      <c r="E92" s="19" t="s">
        <v>108</v>
      </c>
      <c r="F92" s="19" t="s">
        <v>33</v>
      </c>
      <c r="G92" s="19" t="s">
        <v>33</v>
      </c>
      <c r="H92" s="15" t="s">
        <v>76</v>
      </c>
      <c r="L92" s="15" t="str">
        <f t="shared" ref="L92:L93" si="19">H92</f>
        <v>peach schnapps</v>
      </c>
    </row>
    <row r="93" spans="1:15" ht="15.75" customHeight="1" x14ac:dyDescent="0.2">
      <c r="A93" s="19" t="s">
        <v>212</v>
      </c>
      <c r="B93" s="19" t="s">
        <v>198</v>
      </c>
      <c r="C93" s="19" t="s">
        <v>52</v>
      </c>
      <c r="D93" s="19"/>
      <c r="E93" s="19" t="s">
        <v>213</v>
      </c>
      <c r="F93" s="19" t="s">
        <v>33</v>
      </c>
      <c r="G93" s="19" t="s">
        <v>33</v>
      </c>
      <c r="H93" s="15" t="s">
        <v>388</v>
      </c>
      <c r="L93" s="15" t="str">
        <f t="shared" si="19"/>
        <v>green crème de cacao</v>
      </c>
    </row>
    <row r="94" spans="1:15" ht="15.75" customHeight="1" x14ac:dyDescent="0.2">
      <c r="A94" s="19" t="s">
        <v>214</v>
      </c>
      <c r="B94" s="19" t="s">
        <v>198</v>
      </c>
      <c r="C94" s="19" t="s">
        <v>52</v>
      </c>
      <c r="D94" s="19"/>
      <c r="E94" s="19" t="s">
        <v>215</v>
      </c>
      <c r="F94" s="19" t="s">
        <v>33</v>
      </c>
      <c r="G94" s="19" t="s">
        <v>33</v>
      </c>
      <c r="H94" s="15" t="s">
        <v>32</v>
      </c>
      <c r="J94" s="15" t="str">
        <f>H94</f>
        <v>cream</v>
      </c>
    </row>
    <row r="95" spans="1:15" ht="15.75" customHeight="1" x14ac:dyDescent="0.2">
      <c r="A95" s="19" t="s">
        <v>216</v>
      </c>
      <c r="B95" s="19" t="s">
        <v>198</v>
      </c>
      <c r="C95" s="19" t="s">
        <v>48</v>
      </c>
      <c r="D95" s="19"/>
      <c r="E95" s="19" t="s">
        <v>73</v>
      </c>
      <c r="F95" s="19" t="s">
        <v>66</v>
      </c>
      <c r="G95" s="19" t="s">
        <v>33</v>
      </c>
      <c r="H95" s="11" t="s">
        <v>392</v>
      </c>
      <c r="J95" s="11" t="s">
        <v>392</v>
      </c>
    </row>
    <row r="96" spans="1:15" ht="15.75" customHeight="1" x14ac:dyDescent="0.2">
      <c r="A96" s="19" t="s">
        <v>217</v>
      </c>
      <c r="B96" s="19" t="s">
        <v>198</v>
      </c>
      <c r="C96" s="19" t="s">
        <v>48</v>
      </c>
      <c r="D96" s="19"/>
      <c r="E96" s="19" t="s">
        <v>60</v>
      </c>
      <c r="F96" s="19" t="s">
        <v>55</v>
      </c>
      <c r="G96" s="19" t="s">
        <v>33</v>
      </c>
      <c r="H96" s="15" t="s">
        <v>66</v>
      </c>
      <c r="J96" s="15" t="str">
        <f t="shared" ref="J96:J97" si="20">H96</f>
        <v>Angostura</v>
      </c>
    </row>
    <row r="97" spans="1:14" ht="15.75" customHeight="1" x14ac:dyDescent="0.2">
      <c r="A97" s="19" t="s">
        <v>218</v>
      </c>
      <c r="B97" s="19" t="s">
        <v>219</v>
      </c>
      <c r="C97" s="19" t="s">
        <v>173</v>
      </c>
      <c r="D97" s="19"/>
      <c r="E97" s="19" t="s">
        <v>33</v>
      </c>
      <c r="F97" s="19" t="s">
        <v>33</v>
      </c>
      <c r="G97" s="19" t="s">
        <v>33</v>
      </c>
      <c r="H97" s="15" t="s">
        <v>73</v>
      </c>
      <c r="J97" s="15" t="str">
        <f t="shared" si="20"/>
        <v>maraschino</v>
      </c>
    </row>
    <row r="98" spans="1:14" ht="15.75" customHeight="1" x14ac:dyDescent="0.2">
      <c r="A98" s="19" t="s">
        <v>220</v>
      </c>
      <c r="B98" s="19" t="s">
        <v>219</v>
      </c>
      <c r="C98" s="19" t="s">
        <v>221</v>
      </c>
      <c r="D98" s="19"/>
      <c r="E98" s="19" t="s">
        <v>33</v>
      </c>
      <c r="F98" s="19" t="s">
        <v>33</v>
      </c>
      <c r="G98" s="19" t="s">
        <v>33</v>
      </c>
      <c r="H98" s="15" t="s">
        <v>79</v>
      </c>
      <c r="K98" s="15" t="str">
        <f>H98</f>
        <v>tamarind juice</v>
      </c>
    </row>
    <row r="99" spans="1:14" ht="15.75" customHeight="1" x14ac:dyDescent="0.2">
      <c r="A99" s="20" t="s">
        <v>222</v>
      </c>
      <c r="B99" s="20" t="s">
        <v>219</v>
      </c>
      <c r="C99" s="20" t="s">
        <v>52</v>
      </c>
      <c r="D99" s="20"/>
      <c r="E99" s="20" t="s">
        <v>33</v>
      </c>
      <c r="F99" s="20" t="s">
        <v>33</v>
      </c>
      <c r="G99" s="20" t="s">
        <v>33</v>
      </c>
      <c r="H99" s="15" t="s">
        <v>86</v>
      </c>
      <c r="J99" s="15" t="str">
        <f>H99</f>
        <v>simple syrup</v>
      </c>
    </row>
    <row r="100" spans="1:14" ht="15.75" customHeight="1" x14ac:dyDescent="0.2">
      <c r="A100" s="19" t="s">
        <v>223</v>
      </c>
      <c r="B100" s="19" t="s">
        <v>219</v>
      </c>
      <c r="C100" s="19" t="s">
        <v>52</v>
      </c>
      <c r="D100" s="19"/>
      <c r="E100" s="19" t="s">
        <v>224</v>
      </c>
      <c r="F100" s="19" t="s">
        <v>33</v>
      </c>
      <c r="G100" s="19" t="s">
        <v>33</v>
      </c>
      <c r="H100" s="15" t="s">
        <v>88</v>
      </c>
      <c r="J100" s="11" t="s">
        <v>74</v>
      </c>
      <c r="K100" s="11" t="s">
        <v>55</v>
      </c>
    </row>
    <row r="101" spans="1:14" ht="15.75" customHeight="1" x14ac:dyDescent="0.2">
      <c r="A101" s="20" t="s">
        <v>225</v>
      </c>
      <c r="B101" s="20" t="s">
        <v>219</v>
      </c>
      <c r="C101" s="20" t="s">
        <v>52</v>
      </c>
      <c r="D101" s="20"/>
      <c r="E101" s="20" t="s">
        <v>226</v>
      </c>
      <c r="F101" s="20" t="s">
        <v>33</v>
      </c>
      <c r="G101" s="20" t="s">
        <v>33</v>
      </c>
      <c r="H101" s="15" t="s">
        <v>100</v>
      </c>
      <c r="L101" s="15" t="str">
        <f t="shared" ref="L101:L103" si="21">H101</f>
        <v>triple sec</v>
      </c>
    </row>
    <row r="102" spans="1:14" ht="15.75" customHeight="1" x14ac:dyDescent="0.2">
      <c r="A102" s="19" t="s">
        <v>227</v>
      </c>
      <c r="B102" s="19" t="s">
        <v>219</v>
      </c>
      <c r="C102" s="19" t="s">
        <v>178</v>
      </c>
      <c r="D102" s="19"/>
      <c r="E102" s="19" t="s">
        <v>33</v>
      </c>
      <c r="F102" s="19" t="s">
        <v>33</v>
      </c>
      <c r="G102" s="19" t="s">
        <v>33</v>
      </c>
      <c r="H102" s="15" t="s">
        <v>52</v>
      </c>
      <c r="L102" s="15" t="str">
        <f t="shared" si="21"/>
        <v>dry vermouth</v>
      </c>
    </row>
    <row r="103" spans="1:14" ht="15.75" customHeight="1" x14ac:dyDescent="0.2">
      <c r="A103" s="19" t="s">
        <v>228</v>
      </c>
      <c r="B103" s="19" t="s">
        <v>229</v>
      </c>
      <c r="C103" s="19" t="s">
        <v>48</v>
      </c>
      <c r="D103" s="19"/>
      <c r="E103" s="19" t="s">
        <v>66</v>
      </c>
      <c r="F103" s="19" t="s">
        <v>33</v>
      </c>
      <c r="G103" s="19" t="s">
        <v>33</v>
      </c>
      <c r="H103" s="15" t="s">
        <v>118</v>
      </c>
      <c r="L103" s="15" t="str">
        <f t="shared" si="21"/>
        <v>Dubonnet Rouge</v>
      </c>
    </row>
    <row r="104" spans="1:14" ht="15.75" customHeight="1" x14ac:dyDescent="0.2">
      <c r="A104" s="19" t="s">
        <v>230</v>
      </c>
      <c r="B104" s="19" t="s">
        <v>229</v>
      </c>
      <c r="C104" s="19" t="s">
        <v>48</v>
      </c>
      <c r="D104" s="19"/>
      <c r="E104" s="18" t="s">
        <v>104</v>
      </c>
      <c r="F104" s="18" t="s">
        <v>66</v>
      </c>
      <c r="G104" s="19" t="s">
        <v>33</v>
      </c>
      <c r="H104" s="15" t="s">
        <v>74</v>
      </c>
      <c r="J104" s="15" t="str">
        <f>H104</f>
        <v>orange bitters</v>
      </c>
    </row>
    <row r="105" spans="1:14" ht="15.75" customHeight="1" x14ac:dyDescent="0.2">
      <c r="A105" s="19" t="s">
        <v>231</v>
      </c>
      <c r="B105" s="19" t="s">
        <v>229</v>
      </c>
      <c r="C105" s="19" t="s">
        <v>48</v>
      </c>
      <c r="D105" s="19"/>
      <c r="E105" s="19" t="s">
        <v>139</v>
      </c>
      <c r="F105" s="19" t="s">
        <v>74</v>
      </c>
      <c r="G105" s="19" t="s">
        <v>33</v>
      </c>
      <c r="H105" s="15" t="s">
        <v>162</v>
      </c>
      <c r="K105" s="15" t="str">
        <f>H105</f>
        <v>raspberry syrup</v>
      </c>
    </row>
    <row r="106" spans="1:14" ht="15.75" customHeight="1" x14ac:dyDescent="0.2">
      <c r="A106" s="19" t="s">
        <v>232</v>
      </c>
      <c r="B106" s="19" t="s">
        <v>233</v>
      </c>
      <c r="C106" s="19" t="s">
        <v>100</v>
      </c>
      <c r="D106" s="19" t="s">
        <v>90</v>
      </c>
      <c r="E106" s="19" t="s">
        <v>48</v>
      </c>
      <c r="F106" s="19" t="s">
        <v>33</v>
      </c>
      <c r="G106" s="19" t="s">
        <v>33</v>
      </c>
      <c r="H106" s="15" t="s">
        <v>170</v>
      </c>
      <c r="L106" s="15" t="str">
        <f t="shared" ref="L106:L108" si="22">H106</f>
        <v>apple liqueur</v>
      </c>
    </row>
    <row r="107" spans="1:14" ht="15.75" customHeight="1" x14ac:dyDescent="0.2">
      <c r="A107" s="19" t="s">
        <v>234</v>
      </c>
      <c r="B107" s="19" t="s">
        <v>233</v>
      </c>
      <c r="C107" s="19" t="s">
        <v>57</v>
      </c>
      <c r="D107" s="19" t="s">
        <v>38</v>
      </c>
      <c r="E107" s="19" t="s">
        <v>33</v>
      </c>
      <c r="F107" s="19" t="s">
        <v>33</v>
      </c>
      <c r="G107" s="19" t="s">
        <v>33</v>
      </c>
      <c r="H107" s="15" t="s">
        <v>48</v>
      </c>
      <c r="L107" s="15" t="str">
        <f t="shared" si="22"/>
        <v>sweet vermouth</v>
      </c>
    </row>
    <row r="108" spans="1:14" ht="15.75" customHeight="1" x14ac:dyDescent="0.2">
      <c r="A108" s="19" t="s">
        <v>235</v>
      </c>
      <c r="B108" s="19" t="s">
        <v>236</v>
      </c>
      <c r="C108" s="19" t="s">
        <v>84</v>
      </c>
      <c r="D108" s="19"/>
      <c r="E108" s="19" t="s">
        <v>33</v>
      </c>
      <c r="F108" s="19" t="s">
        <v>33</v>
      </c>
      <c r="G108" s="19" t="s">
        <v>33</v>
      </c>
      <c r="H108" s="15" t="s">
        <v>213</v>
      </c>
      <c r="L108" s="15" t="str">
        <f t="shared" si="22"/>
        <v>Danziger goldwasser</v>
      </c>
    </row>
    <row r="109" spans="1:14" ht="15.75" customHeight="1" x14ac:dyDescent="0.2">
      <c r="A109" s="20" t="s">
        <v>237</v>
      </c>
      <c r="B109" s="20" t="s">
        <v>238</v>
      </c>
      <c r="C109" s="20" t="s">
        <v>62</v>
      </c>
      <c r="D109" s="20"/>
      <c r="E109" s="20" t="s">
        <v>239</v>
      </c>
      <c r="F109" s="20" t="s">
        <v>240</v>
      </c>
      <c r="G109" s="20" t="s">
        <v>241</v>
      </c>
      <c r="H109" s="15" t="s">
        <v>224</v>
      </c>
      <c r="N109" s="11" t="s">
        <v>394</v>
      </c>
    </row>
    <row r="110" spans="1:14" ht="15.75" customHeight="1" x14ac:dyDescent="0.2">
      <c r="A110" s="19" t="s">
        <v>243</v>
      </c>
      <c r="B110" s="19" t="s">
        <v>244</v>
      </c>
      <c r="C110" s="19"/>
      <c r="D110" s="19" t="s">
        <v>38</v>
      </c>
      <c r="E110" s="19" t="s">
        <v>86</v>
      </c>
      <c r="F110" s="19" t="s">
        <v>245</v>
      </c>
      <c r="G110" s="19" t="s">
        <v>33</v>
      </c>
      <c r="H110" s="15" t="s">
        <v>226</v>
      </c>
      <c r="J110" s="15" t="str">
        <f>H110</f>
        <v>olive brine</v>
      </c>
    </row>
    <row r="111" spans="1:14" ht="15.75" customHeight="1" x14ac:dyDescent="0.2">
      <c r="A111" s="19" t="s">
        <v>246</v>
      </c>
      <c r="B111" s="19" t="s">
        <v>244</v>
      </c>
      <c r="C111" s="19" t="s">
        <v>100</v>
      </c>
      <c r="D111" s="19" t="s">
        <v>90</v>
      </c>
      <c r="E111" s="19" t="s">
        <v>247</v>
      </c>
      <c r="F111" s="19" t="s">
        <v>45</v>
      </c>
      <c r="G111" s="19" t="s">
        <v>33</v>
      </c>
      <c r="H111" s="15" t="s">
        <v>239</v>
      </c>
      <c r="N111" s="15" t="str">
        <f>H111</f>
        <v>lime wedges</v>
      </c>
    </row>
    <row r="112" spans="1:14" ht="15.75" customHeight="1" x14ac:dyDescent="0.2">
      <c r="A112" s="19" t="s">
        <v>248</v>
      </c>
      <c r="B112" s="19" t="s">
        <v>249</v>
      </c>
      <c r="C112" s="19"/>
      <c r="D112" s="19" t="s">
        <v>38</v>
      </c>
      <c r="E112" s="19" t="s">
        <v>250</v>
      </c>
      <c r="F112" s="19" t="s">
        <v>33</v>
      </c>
      <c r="G112" s="19" t="s">
        <v>33</v>
      </c>
      <c r="H112" s="15" t="s">
        <v>247</v>
      </c>
      <c r="K112" s="15" t="str">
        <f>H112</f>
        <v>elderflower syrup</v>
      </c>
    </row>
    <row r="113" spans="1:15" ht="15.75" customHeight="1" x14ac:dyDescent="0.2">
      <c r="A113" s="19" t="s">
        <v>251</v>
      </c>
      <c r="B113" s="19" t="s">
        <v>252</v>
      </c>
      <c r="C113" s="19" t="s">
        <v>253</v>
      </c>
      <c r="D113" s="19"/>
      <c r="E113" s="19" t="s">
        <v>33</v>
      </c>
      <c r="F113" s="19" t="s">
        <v>33</v>
      </c>
      <c r="G113" s="19" t="s">
        <v>33</v>
      </c>
      <c r="H113" s="15" t="s">
        <v>250</v>
      </c>
      <c r="J113" s="15" t="str">
        <f t="shared" ref="J113:J114" si="23">H113</f>
        <v>sweet iced tea</v>
      </c>
    </row>
    <row r="114" spans="1:15" ht="15.75" customHeight="1" x14ac:dyDescent="0.2">
      <c r="A114" s="19" t="s">
        <v>254</v>
      </c>
      <c r="B114" s="19" t="s">
        <v>255</v>
      </c>
      <c r="C114" s="19" t="s">
        <v>256</v>
      </c>
      <c r="D114" s="19"/>
      <c r="E114" s="19" t="s">
        <v>33</v>
      </c>
      <c r="F114" s="19" t="s">
        <v>33</v>
      </c>
      <c r="G114" s="19" t="s">
        <v>33</v>
      </c>
      <c r="H114" s="15" t="s">
        <v>263</v>
      </c>
      <c r="J114" s="15" t="str">
        <f t="shared" si="23"/>
        <v>Peychaud's</v>
      </c>
    </row>
    <row r="115" spans="1:15" ht="15.75" customHeight="1" x14ac:dyDescent="0.2">
      <c r="A115" s="19" t="s">
        <v>257</v>
      </c>
      <c r="B115" s="19" t="s">
        <v>258</v>
      </c>
      <c r="C115" s="19"/>
      <c r="D115" s="19" t="s">
        <v>38</v>
      </c>
      <c r="E115" s="19" t="s">
        <v>86</v>
      </c>
      <c r="F115" s="19" t="s">
        <v>163</v>
      </c>
      <c r="G115" s="18" t="s">
        <v>66</v>
      </c>
      <c r="H115" s="15" t="s">
        <v>314</v>
      </c>
      <c r="J115" s="11" t="s">
        <v>66</v>
      </c>
    </row>
    <row r="116" spans="1:15" ht="15.75" customHeight="1" x14ac:dyDescent="0.2">
      <c r="A116" s="19" t="s">
        <v>259</v>
      </c>
      <c r="B116" s="19" t="s">
        <v>258</v>
      </c>
      <c r="C116" s="19" t="s">
        <v>100</v>
      </c>
      <c r="D116" s="19" t="s">
        <v>90</v>
      </c>
      <c r="E116" s="19" t="s">
        <v>33</v>
      </c>
      <c r="F116" s="19" t="s">
        <v>33</v>
      </c>
      <c r="G116" s="19" t="s">
        <v>33</v>
      </c>
      <c r="H116" s="15" t="s">
        <v>348</v>
      </c>
      <c r="N116" s="15" t="str">
        <f>H116</f>
        <v>salt-rimmed glass</v>
      </c>
    </row>
    <row r="117" spans="1:15" ht="15.75" customHeight="1" x14ac:dyDescent="0.2">
      <c r="A117" s="19" t="s">
        <v>260</v>
      </c>
      <c r="B117" s="19" t="s">
        <v>261</v>
      </c>
      <c r="C117" s="19" t="s">
        <v>139</v>
      </c>
      <c r="D117" s="19"/>
      <c r="E117" s="19" t="s">
        <v>33</v>
      </c>
      <c r="F117" s="19" t="s">
        <v>33</v>
      </c>
      <c r="G117" s="19" t="s">
        <v>33</v>
      </c>
      <c r="H117" s="15" t="s">
        <v>115</v>
      </c>
      <c r="K117" s="15" t="str">
        <f>H117</f>
        <v>tangerine juice</v>
      </c>
    </row>
    <row r="118" spans="1:15" ht="15.75" customHeight="1" x14ac:dyDescent="0.2">
      <c r="A118" s="19" t="s">
        <v>262</v>
      </c>
      <c r="B118" s="19" t="s">
        <v>261</v>
      </c>
      <c r="C118" s="19" t="s">
        <v>100</v>
      </c>
      <c r="D118" s="19" t="s">
        <v>90</v>
      </c>
      <c r="E118" s="19" t="s">
        <v>263</v>
      </c>
      <c r="F118" s="19" t="s">
        <v>33</v>
      </c>
      <c r="G118" s="19" t="s">
        <v>33</v>
      </c>
      <c r="H118" s="15" t="s">
        <v>383</v>
      </c>
      <c r="L118" s="15" t="str">
        <f>H118</f>
        <v>blue curacao</v>
      </c>
    </row>
    <row r="119" spans="1:15" ht="15.75" customHeight="1" x14ac:dyDescent="0.2">
      <c r="A119" s="19" t="s">
        <v>264</v>
      </c>
      <c r="B119" s="19" t="s">
        <v>265</v>
      </c>
      <c r="C119" s="19" t="s">
        <v>266</v>
      </c>
      <c r="D119" s="19"/>
      <c r="E119" s="19" t="s">
        <v>33</v>
      </c>
      <c r="F119" s="19" t="s">
        <v>33</v>
      </c>
      <c r="G119" s="19" t="s">
        <v>33</v>
      </c>
      <c r="H119" s="15" t="s">
        <v>71</v>
      </c>
      <c r="J119" s="11" t="s">
        <v>66</v>
      </c>
      <c r="L119" s="11" t="s">
        <v>104</v>
      </c>
    </row>
    <row r="120" spans="1:15" ht="15.75" customHeight="1" x14ac:dyDescent="0.2">
      <c r="A120" s="20" t="s">
        <v>267</v>
      </c>
      <c r="B120" s="20" t="s">
        <v>265</v>
      </c>
      <c r="C120" s="20" t="s">
        <v>268</v>
      </c>
      <c r="D120" s="20" t="s">
        <v>90</v>
      </c>
      <c r="E120" s="20" t="s">
        <v>33</v>
      </c>
      <c r="F120" s="20" t="s">
        <v>33</v>
      </c>
      <c r="G120" s="20" t="s">
        <v>33</v>
      </c>
      <c r="H120" s="15" t="s">
        <v>96</v>
      </c>
      <c r="N120" s="15" t="str">
        <f>H120</f>
        <v>Mint</v>
      </c>
    </row>
    <row r="121" spans="1:15" ht="15.75" customHeight="1" x14ac:dyDescent="0.2">
      <c r="A121" s="19" t="s">
        <v>269</v>
      </c>
      <c r="B121" s="19" t="s">
        <v>265</v>
      </c>
      <c r="C121" s="19" t="s">
        <v>270</v>
      </c>
      <c r="D121" s="19"/>
      <c r="E121" s="19" t="s">
        <v>33</v>
      </c>
      <c r="F121" s="19" t="s">
        <v>33</v>
      </c>
      <c r="G121" s="19" t="s">
        <v>33</v>
      </c>
      <c r="H121" s="15" t="s">
        <v>129</v>
      </c>
      <c r="K121" s="11" t="s">
        <v>45</v>
      </c>
      <c r="M121" s="11" t="s">
        <v>78</v>
      </c>
    </row>
    <row r="122" spans="1:15" ht="15.75" customHeight="1" x14ac:dyDescent="0.2">
      <c r="A122" s="19" t="s">
        <v>271</v>
      </c>
      <c r="B122" s="19" t="s">
        <v>265</v>
      </c>
      <c r="C122" s="19"/>
      <c r="D122" s="19" t="s">
        <v>134</v>
      </c>
      <c r="E122" s="19" t="s">
        <v>239</v>
      </c>
      <c r="F122" s="19" t="s">
        <v>33</v>
      </c>
      <c r="G122" s="19" t="s">
        <v>33</v>
      </c>
      <c r="H122" s="15" t="s">
        <v>163</v>
      </c>
      <c r="J122" s="15" t="str">
        <f>H122</f>
        <v>egg white</v>
      </c>
    </row>
    <row r="123" spans="1:15" ht="15.75" customHeight="1" x14ac:dyDescent="0.2">
      <c r="A123" s="19" t="s">
        <v>273</v>
      </c>
      <c r="B123" s="19" t="s">
        <v>265</v>
      </c>
      <c r="C123" s="19"/>
      <c r="D123" s="19" t="s">
        <v>45</v>
      </c>
      <c r="E123" s="19" t="s">
        <v>78</v>
      </c>
      <c r="F123" s="19" t="s">
        <v>33</v>
      </c>
      <c r="G123" s="19" t="s">
        <v>33</v>
      </c>
      <c r="H123" s="15" t="s">
        <v>182</v>
      </c>
      <c r="J123" s="11" t="s">
        <v>66</v>
      </c>
      <c r="O123" s="11" t="s">
        <v>74</v>
      </c>
    </row>
    <row r="124" spans="1:15" ht="15.75" customHeight="1" x14ac:dyDescent="0.2">
      <c r="A124" s="19" t="s">
        <v>275</v>
      </c>
      <c r="B124" s="19" t="s">
        <v>265</v>
      </c>
      <c r="C124" s="19"/>
      <c r="D124" s="19" t="s">
        <v>90</v>
      </c>
      <c r="E124" s="19" t="s">
        <v>86</v>
      </c>
      <c r="F124" s="19" t="s">
        <v>33</v>
      </c>
      <c r="G124" s="19" t="s">
        <v>33</v>
      </c>
      <c r="H124" s="15" t="s">
        <v>187</v>
      </c>
      <c r="J124" s="11" t="s">
        <v>66</v>
      </c>
    </row>
    <row r="125" spans="1:15" ht="15.75" customHeight="1" x14ac:dyDescent="0.2">
      <c r="A125" s="19" t="s">
        <v>276</v>
      </c>
      <c r="B125" s="19" t="s">
        <v>265</v>
      </c>
      <c r="C125" s="19"/>
      <c r="D125" s="18" t="s">
        <v>90</v>
      </c>
      <c r="E125" s="19" t="s">
        <v>55</v>
      </c>
      <c r="F125" s="18" t="s">
        <v>78</v>
      </c>
      <c r="G125" s="19" t="s">
        <v>33</v>
      </c>
      <c r="H125" s="15" t="s">
        <v>189</v>
      </c>
      <c r="J125" s="15" t="str">
        <f>H125</f>
        <v>cream, egg white, orange-flower water</v>
      </c>
    </row>
    <row r="126" spans="1:15" ht="15.75" customHeight="1" x14ac:dyDescent="0.2">
      <c r="A126" s="19" t="s">
        <v>277</v>
      </c>
      <c r="B126" s="19" t="s">
        <v>265</v>
      </c>
      <c r="C126" s="19"/>
      <c r="D126" s="18" t="s">
        <v>90</v>
      </c>
      <c r="E126" s="19" t="s">
        <v>55</v>
      </c>
      <c r="F126" s="18" t="s">
        <v>78</v>
      </c>
      <c r="G126" s="18" t="s">
        <v>66</v>
      </c>
      <c r="H126" s="15" t="s">
        <v>191</v>
      </c>
      <c r="J126" s="11" t="s">
        <v>66</v>
      </c>
      <c r="K126" s="11" t="s">
        <v>79</v>
      </c>
    </row>
    <row r="127" spans="1:15" ht="15.75" customHeight="1" x14ac:dyDescent="0.2">
      <c r="A127" s="19" t="s">
        <v>278</v>
      </c>
      <c r="B127" s="19" t="s">
        <v>265</v>
      </c>
      <c r="C127" s="19"/>
      <c r="D127" s="19" t="s">
        <v>90</v>
      </c>
      <c r="E127" s="19" t="s">
        <v>86</v>
      </c>
      <c r="F127" s="19" t="s">
        <v>45</v>
      </c>
      <c r="G127" s="19" t="s">
        <v>33</v>
      </c>
      <c r="H127" s="15" t="s">
        <v>201</v>
      </c>
      <c r="N127" s="15" t="str">
        <f>H127</f>
        <v>orange zest</v>
      </c>
    </row>
    <row r="128" spans="1:15" ht="15.75" customHeight="1" x14ac:dyDescent="0.2">
      <c r="A128" s="19" t="s">
        <v>279</v>
      </c>
      <c r="B128" s="19" t="s">
        <v>265</v>
      </c>
      <c r="C128" s="19" t="s">
        <v>30</v>
      </c>
      <c r="D128" s="19" t="s">
        <v>90</v>
      </c>
      <c r="E128" s="19" t="s">
        <v>280</v>
      </c>
      <c r="F128" s="19" t="s">
        <v>33</v>
      </c>
      <c r="G128" s="19" t="s">
        <v>33</v>
      </c>
      <c r="H128" s="15" t="s">
        <v>208</v>
      </c>
      <c r="I128" s="15" t="str">
        <f>H128</f>
        <v>Campari</v>
      </c>
    </row>
    <row r="129" spans="1:14" ht="15.75" customHeight="1" x14ac:dyDescent="0.2">
      <c r="A129" s="19" t="s">
        <v>281</v>
      </c>
      <c r="B129" s="19" t="s">
        <v>265</v>
      </c>
      <c r="C129" s="19" t="s">
        <v>60</v>
      </c>
      <c r="D129" s="19" t="s">
        <v>90</v>
      </c>
      <c r="E129" s="19" t="s">
        <v>282</v>
      </c>
      <c r="F129" s="19" t="s">
        <v>33</v>
      </c>
      <c r="G129" s="19" t="s">
        <v>33</v>
      </c>
      <c r="H129" s="15" t="s">
        <v>240</v>
      </c>
      <c r="N129" s="15" t="str">
        <f>H129</f>
        <v>sugar cube</v>
      </c>
    </row>
    <row r="130" spans="1:14" ht="15.75" customHeight="1" x14ac:dyDescent="0.2">
      <c r="A130" s="19" t="s">
        <v>283</v>
      </c>
      <c r="B130" s="19" t="s">
        <v>265</v>
      </c>
      <c r="C130" s="19" t="s">
        <v>60</v>
      </c>
      <c r="D130" s="19" t="s">
        <v>90</v>
      </c>
      <c r="E130" s="19" t="s">
        <v>66</v>
      </c>
      <c r="F130" s="19" t="s">
        <v>33</v>
      </c>
      <c r="G130" s="19" t="s">
        <v>33</v>
      </c>
      <c r="H130" s="15" t="s">
        <v>245</v>
      </c>
      <c r="K130" s="15" t="str">
        <f>H130</f>
        <v>peach puree</v>
      </c>
    </row>
    <row r="131" spans="1:14" ht="15.75" customHeight="1" x14ac:dyDescent="0.2">
      <c r="A131" s="19" t="s">
        <v>284</v>
      </c>
      <c r="B131" s="19" t="s">
        <v>265</v>
      </c>
      <c r="C131" s="19" t="s">
        <v>31</v>
      </c>
      <c r="D131" s="19" t="s">
        <v>90</v>
      </c>
      <c r="E131" s="19" t="s">
        <v>48</v>
      </c>
      <c r="F131" s="19" t="s">
        <v>55</v>
      </c>
      <c r="G131" s="19" t="s">
        <v>33</v>
      </c>
      <c r="H131" s="15" t="s">
        <v>296</v>
      </c>
      <c r="L131" s="15" t="str">
        <f t="shared" ref="L131:L132" si="24">H131</f>
        <v>peach brandy</v>
      </c>
    </row>
    <row r="132" spans="1:14" ht="15.75" customHeight="1" x14ac:dyDescent="0.2">
      <c r="A132" s="19" t="s">
        <v>285</v>
      </c>
      <c r="B132" s="19" t="s">
        <v>265</v>
      </c>
      <c r="C132" s="19" t="s">
        <v>120</v>
      </c>
      <c r="D132" s="19" t="s">
        <v>90</v>
      </c>
      <c r="E132" s="19" t="s">
        <v>86</v>
      </c>
      <c r="F132" s="19" t="s">
        <v>33</v>
      </c>
      <c r="G132" s="19" t="s">
        <v>33</v>
      </c>
      <c r="H132" s="15" t="s">
        <v>379</v>
      </c>
      <c r="L132" s="15" t="str">
        <f t="shared" si="24"/>
        <v>apple brandy</v>
      </c>
    </row>
    <row r="133" spans="1:14" ht="15.75" customHeight="1" x14ac:dyDescent="0.2">
      <c r="A133" s="19" t="s">
        <v>286</v>
      </c>
      <c r="B133" s="19" t="s">
        <v>265</v>
      </c>
      <c r="C133" s="19" t="s">
        <v>100</v>
      </c>
      <c r="D133" s="19" t="s">
        <v>90</v>
      </c>
      <c r="E133" s="19" t="s">
        <v>33</v>
      </c>
      <c r="F133" s="19" t="s">
        <v>33</v>
      </c>
      <c r="G133" s="19" t="s">
        <v>33</v>
      </c>
      <c r="H133" s="15" t="s">
        <v>3</v>
      </c>
      <c r="J133" s="15" t="str">
        <f>H133</f>
        <v>Juice</v>
      </c>
    </row>
    <row r="134" spans="1:14" ht="15.75" customHeight="1" x14ac:dyDescent="0.2">
      <c r="A134" s="19" t="s">
        <v>287</v>
      </c>
      <c r="B134" s="19" t="s">
        <v>265</v>
      </c>
      <c r="C134" s="19" t="s">
        <v>100</v>
      </c>
      <c r="D134" s="19" t="s">
        <v>38</v>
      </c>
      <c r="E134" s="19" t="s">
        <v>33</v>
      </c>
      <c r="F134" s="19" t="s">
        <v>33</v>
      </c>
      <c r="G134" s="19" t="s">
        <v>33</v>
      </c>
      <c r="H134" s="15" t="s">
        <v>183</v>
      </c>
      <c r="L134" s="15" t="str">
        <f>H134</f>
        <v>kirsch</v>
      </c>
    </row>
    <row r="135" spans="1:14" ht="15.75" customHeight="1" x14ac:dyDescent="0.2">
      <c r="A135" s="19" t="s">
        <v>288</v>
      </c>
      <c r="B135" s="19" t="s">
        <v>265</v>
      </c>
      <c r="C135" s="19" t="s">
        <v>100</v>
      </c>
      <c r="D135" s="19" t="s">
        <v>90</v>
      </c>
      <c r="E135" s="19" t="s">
        <v>120</v>
      </c>
      <c r="F135" s="19" t="s">
        <v>33</v>
      </c>
      <c r="G135" s="19" t="s">
        <v>33</v>
      </c>
      <c r="H135" s="15" t="s">
        <v>192</v>
      </c>
      <c r="K135" s="15" t="str">
        <f>H135</f>
        <v>mango nectar</v>
      </c>
    </row>
    <row r="136" spans="1:14" ht="15.75" customHeight="1" x14ac:dyDescent="0.2">
      <c r="A136" s="19" t="s">
        <v>289</v>
      </c>
      <c r="B136" s="19" t="s">
        <v>265</v>
      </c>
      <c r="C136" s="19" t="s">
        <v>282</v>
      </c>
      <c r="D136" s="19" t="s">
        <v>90</v>
      </c>
      <c r="E136" s="19" t="s">
        <v>62</v>
      </c>
      <c r="F136" s="19" t="s">
        <v>33</v>
      </c>
      <c r="G136" s="19" t="s">
        <v>33</v>
      </c>
      <c r="H136" s="15" t="s">
        <v>241</v>
      </c>
      <c r="N136" s="15" t="str">
        <f t="shared" ref="N136:N137" si="25">H136</f>
        <v>mint leaves</v>
      </c>
    </row>
    <row r="137" spans="1:14" ht="15.75" customHeight="1" x14ac:dyDescent="0.2">
      <c r="A137" s="19" t="s">
        <v>290</v>
      </c>
      <c r="B137" s="19" t="s">
        <v>265</v>
      </c>
      <c r="C137" s="19" t="s">
        <v>57</v>
      </c>
      <c r="D137" s="19" t="s">
        <v>38</v>
      </c>
      <c r="E137" s="19" t="s">
        <v>33</v>
      </c>
      <c r="F137" s="19" t="s">
        <v>33</v>
      </c>
      <c r="G137" s="19" t="s">
        <v>33</v>
      </c>
      <c r="H137" s="15" t="s">
        <v>315</v>
      </c>
      <c r="N137" s="15" t="str">
        <f t="shared" si="25"/>
        <v>lemon twist</v>
      </c>
    </row>
    <row r="138" spans="1:14" ht="15.75" customHeight="1" x14ac:dyDescent="0.2">
      <c r="A138" s="19" t="s">
        <v>291</v>
      </c>
      <c r="B138" s="19" t="s">
        <v>292</v>
      </c>
      <c r="C138" s="19"/>
      <c r="D138" s="19" t="s">
        <v>90</v>
      </c>
      <c r="E138" s="19" t="s">
        <v>55</v>
      </c>
      <c r="F138" s="19" t="s">
        <v>33</v>
      </c>
      <c r="G138" s="19" t="s">
        <v>33</v>
      </c>
      <c r="H138" s="11" t="s">
        <v>81</v>
      </c>
      <c r="J138" s="11" t="s">
        <v>81</v>
      </c>
    </row>
    <row r="139" spans="1:14" ht="15.75" customHeight="1" x14ac:dyDescent="0.2">
      <c r="A139" s="19" t="s">
        <v>293</v>
      </c>
      <c r="B139" s="19" t="s">
        <v>294</v>
      </c>
      <c r="C139" s="19"/>
      <c r="D139" s="19" t="s">
        <v>295</v>
      </c>
      <c r="E139" s="19" t="s">
        <v>86</v>
      </c>
      <c r="F139" s="19" t="s">
        <v>296</v>
      </c>
      <c r="G139" s="19" t="s">
        <v>33</v>
      </c>
      <c r="H139" s="11" t="s">
        <v>92</v>
      </c>
      <c r="L139" s="15" t="str">
        <f>H139</f>
        <v>Branca Menta</v>
      </c>
    </row>
    <row r="140" spans="1:14" ht="15.75" customHeight="1" x14ac:dyDescent="0.2">
      <c r="A140" s="19" t="s">
        <v>297</v>
      </c>
      <c r="B140" s="19" t="s">
        <v>294</v>
      </c>
      <c r="C140" s="19"/>
      <c r="D140" s="19" t="s">
        <v>90</v>
      </c>
      <c r="E140" s="19" t="s">
        <v>86</v>
      </c>
      <c r="F140" s="19" t="s">
        <v>126</v>
      </c>
      <c r="G140" s="19" t="s">
        <v>33</v>
      </c>
    </row>
    <row r="141" spans="1:14" ht="15.75" customHeight="1" x14ac:dyDescent="0.2">
      <c r="A141" s="19" t="s">
        <v>298</v>
      </c>
      <c r="B141" s="19" t="s">
        <v>294</v>
      </c>
      <c r="C141" s="19" t="s">
        <v>100</v>
      </c>
      <c r="D141" s="19" t="s">
        <v>38</v>
      </c>
      <c r="E141" s="19" t="s">
        <v>33</v>
      </c>
      <c r="F141" s="19" t="s">
        <v>33</v>
      </c>
      <c r="G141" s="19" t="s">
        <v>33</v>
      </c>
    </row>
    <row r="142" spans="1:14" ht="15.75" customHeight="1" x14ac:dyDescent="0.2">
      <c r="A142" s="19" t="s">
        <v>299</v>
      </c>
      <c r="B142" s="19" t="s">
        <v>300</v>
      </c>
      <c r="C142" s="19" t="s">
        <v>52</v>
      </c>
      <c r="D142" s="19" t="s">
        <v>78</v>
      </c>
      <c r="E142" s="19" t="s">
        <v>33</v>
      </c>
      <c r="F142" s="19" t="s">
        <v>33</v>
      </c>
      <c r="G142" s="19" t="s">
        <v>33</v>
      </c>
    </row>
    <row r="143" spans="1:14" ht="15.75" customHeight="1" x14ac:dyDescent="0.2">
      <c r="A143" s="19" t="s">
        <v>301</v>
      </c>
      <c r="B143" s="19" t="s">
        <v>300</v>
      </c>
      <c r="C143" s="19" t="s">
        <v>302</v>
      </c>
      <c r="D143" s="19"/>
      <c r="E143" s="19" t="s">
        <v>33</v>
      </c>
      <c r="F143" s="19" t="s">
        <v>33</v>
      </c>
      <c r="G143" s="19" t="s">
        <v>33</v>
      </c>
    </row>
    <row r="144" spans="1:14" ht="15.75" customHeight="1" x14ac:dyDescent="0.2">
      <c r="A144" s="19" t="s">
        <v>303</v>
      </c>
      <c r="B144" s="19" t="s">
        <v>300</v>
      </c>
      <c r="C144" s="19" t="s">
        <v>156</v>
      </c>
      <c r="D144" s="19"/>
      <c r="E144" s="19" t="s">
        <v>33</v>
      </c>
      <c r="F144" s="19" t="s">
        <v>33</v>
      </c>
      <c r="G144" s="19" t="s">
        <v>33</v>
      </c>
    </row>
    <row r="145" spans="1:7" ht="15.75" customHeight="1" x14ac:dyDescent="0.2">
      <c r="A145" s="19" t="s">
        <v>304</v>
      </c>
      <c r="B145" s="19" t="s">
        <v>300</v>
      </c>
      <c r="C145" s="19"/>
      <c r="D145" s="19" t="s">
        <v>38</v>
      </c>
      <c r="E145" s="19" t="s">
        <v>55</v>
      </c>
      <c r="F145" s="19" t="s">
        <v>126</v>
      </c>
      <c r="G145" s="19" t="s">
        <v>33</v>
      </c>
    </row>
    <row r="146" spans="1:7" ht="15.75" customHeight="1" x14ac:dyDescent="0.2">
      <c r="A146" s="19" t="s">
        <v>305</v>
      </c>
      <c r="B146" s="19" t="s">
        <v>300</v>
      </c>
      <c r="C146" s="19" t="s">
        <v>30</v>
      </c>
      <c r="D146" s="19" t="s">
        <v>38</v>
      </c>
      <c r="E146" s="19" t="s">
        <v>52</v>
      </c>
      <c r="F146" s="19" t="s">
        <v>33</v>
      </c>
      <c r="G146" s="19" t="s">
        <v>33</v>
      </c>
    </row>
    <row r="147" spans="1:7" ht="15.75" customHeight="1" x14ac:dyDescent="0.2">
      <c r="A147" s="19" t="s">
        <v>306</v>
      </c>
      <c r="B147" s="19" t="s">
        <v>300</v>
      </c>
      <c r="C147" s="19" t="s">
        <v>31</v>
      </c>
      <c r="D147" s="19" t="s">
        <v>38</v>
      </c>
      <c r="E147" s="19" t="s">
        <v>52</v>
      </c>
      <c r="F147" s="19" t="s">
        <v>33</v>
      </c>
      <c r="G147" s="19" t="s">
        <v>33</v>
      </c>
    </row>
    <row r="148" spans="1:7" ht="15.75" customHeight="1" x14ac:dyDescent="0.2">
      <c r="A148" s="19" t="s">
        <v>307</v>
      </c>
      <c r="B148" s="19" t="s">
        <v>300</v>
      </c>
      <c r="C148" s="19" t="s">
        <v>308</v>
      </c>
      <c r="D148" s="19" t="s">
        <v>38</v>
      </c>
      <c r="E148" s="19" t="s">
        <v>52</v>
      </c>
      <c r="F148" s="19" t="s">
        <v>33</v>
      </c>
      <c r="G148" s="19" t="s">
        <v>33</v>
      </c>
    </row>
    <row r="149" spans="1:7" ht="15.75" customHeight="1" x14ac:dyDescent="0.2">
      <c r="A149" s="19" t="s">
        <v>309</v>
      </c>
      <c r="B149" s="19" t="s">
        <v>300</v>
      </c>
      <c r="C149" s="19" t="s">
        <v>215</v>
      </c>
      <c r="D149" s="19" t="s">
        <v>38</v>
      </c>
      <c r="E149" s="19" t="s">
        <v>55</v>
      </c>
      <c r="F149" s="19" t="s">
        <v>33</v>
      </c>
      <c r="G149" s="19" t="s">
        <v>33</v>
      </c>
    </row>
    <row r="150" spans="1:7" ht="15.75" customHeight="1" x14ac:dyDescent="0.2">
      <c r="A150" s="19" t="s">
        <v>310</v>
      </c>
      <c r="B150" s="19" t="s">
        <v>300</v>
      </c>
      <c r="C150" s="19" t="s">
        <v>100</v>
      </c>
      <c r="D150" s="19" t="s">
        <v>38</v>
      </c>
      <c r="E150" s="19" t="s">
        <v>48</v>
      </c>
      <c r="F150" s="19" t="s">
        <v>33</v>
      </c>
      <c r="G150" s="19" t="s">
        <v>33</v>
      </c>
    </row>
    <row r="151" spans="1:7" ht="15.75" customHeight="1" x14ac:dyDescent="0.2">
      <c r="A151" s="19" t="s">
        <v>311</v>
      </c>
      <c r="B151" s="19" t="s">
        <v>300</v>
      </c>
      <c r="C151" s="19" t="s">
        <v>57</v>
      </c>
      <c r="D151" s="19" t="s">
        <v>38</v>
      </c>
      <c r="E151" s="19" t="s">
        <v>33</v>
      </c>
      <c r="F151" s="19" t="s">
        <v>33</v>
      </c>
      <c r="G151" s="19" t="s">
        <v>33</v>
      </c>
    </row>
    <row r="152" spans="1:7" ht="15.75" customHeight="1" x14ac:dyDescent="0.2">
      <c r="A152" s="20" t="s">
        <v>312</v>
      </c>
      <c r="B152" s="20" t="s">
        <v>313</v>
      </c>
      <c r="C152" s="20"/>
      <c r="D152" s="20"/>
      <c r="E152" s="20" t="s">
        <v>314</v>
      </c>
      <c r="F152" s="20" t="s">
        <v>240</v>
      </c>
      <c r="G152" s="20" t="s">
        <v>315</v>
      </c>
    </row>
    <row r="153" spans="1:7" ht="15.75" customHeight="1" x14ac:dyDescent="0.2">
      <c r="A153" s="19" t="s">
        <v>316</v>
      </c>
      <c r="B153" s="19" t="s">
        <v>317</v>
      </c>
      <c r="C153" s="19" t="s">
        <v>30</v>
      </c>
      <c r="D153" s="19"/>
      <c r="E153" s="19" t="s">
        <v>33</v>
      </c>
      <c r="F153" s="19" t="s">
        <v>33</v>
      </c>
      <c r="G153" s="19" t="s">
        <v>33</v>
      </c>
    </row>
    <row r="154" spans="1:7" ht="15.75" customHeight="1" x14ac:dyDescent="0.2">
      <c r="A154" s="19" t="s">
        <v>318</v>
      </c>
      <c r="B154" s="19" t="s">
        <v>317</v>
      </c>
      <c r="C154" s="19" t="s">
        <v>30</v>
      </c>
      <c r="D154" s="19"/>
      <c r="E154" s="19" t="s">
        <v>32</v>
      </c>
      <c r="F154" s="19" t="s">
        <v>33</v>
      </c>
      <c r="G154" s="19" t="s">
        <v>33</v>
      </c>
    </row>
    <row r="155" spans="1:7" ht="15.75" customHeight="1" x14ac:dyDescent="0.2">
      <c r="A155" s="19" t="s">
        <v>319</v>
      </c>
      <c r="B155" s="19" t="s">
        <v>317</v>
      </c>
      <c r="C155" s="19" t="s">
        <v>173</v>
      </c>
      <c r="D155" s="19"/>
      <c r="E155" s="19" t="s">
        <v>33</v>
      </c>
      <c r="F155" s="19" t="s">
        <v>33</v>
      </c>
      <c r="G155" s="19" t="s">
        <v>33</v>
      </c>
    </row>
    <row r="156" spans="1:7" ht="15.75" customHeight="1" x14ac:dyDescent="0.2">
      <c r="A156" s="19" t="s">
        <v>320</v>
      </c>
      <c r="B156" s="19" t="s">
        <v>317</v>
      </c>
      <c r="C156" s="19" t="s">
        <v>60</v>
      </c>
      <c r="D156" s="19"/>
      <c r="E156" s="19" t="s">
        <v>33</v>
      </c>
      <c r="F156" s="19" t="s">
        <v>33</v>
      </c>
      <c r="G156" s="19" t="s">
        <v>33</v>
      </c>
    </row>
    <row r="157" spans="1:7" ht="15.75" customHeight="1" x14ac:dyDescent="0.2">
      <c r="A157" s="19" t="s">
        <v>321</v>
      </c>
      <c r="B157" s="19" t="s">
        <v>317</v>
      </c>
      <c r="C157" s="19" t="s">
        <v>70</v>
      </c>
      <c r="D157" s="19"/>
      <c r="E157" s="19" t="s">
        <v>33</v>
      </c>
      <c r="F157" s="19" t="s">
        <v>33</v>
      </c>
      <c r="G157" s="19" t="s">
        <v>33</v>
      </c>
    </row>
    <row r="158" spans="1:7" ht="15.75" customHeight="1" x14ac:dyDescent="0.2">
      <c r="A158" s="19" t="s">
        <v>322</v>
      </c>
      <c r="B158" s="19" t="s">
        <v>317</v>
      </c>
      <c r="C158" s="19" t="s">
        <v>323</v>
      </c>
      <c r="D158" s="19"/>
      <c r="E158" s="19" t="s">
        <v>33</v>
      </c>
      <c r="F158" s="19" t="s">
        <v>33</v>
      </c>
      <c r="G158" s="19" t="s">
        <v>33</v>
      </c>
    </row>
    <row r="159" spans="1:7" ht="15.75" customHeight="1" x14ac:dyDescent="0.2">
      <c r="A159" s="19" t="s">
        <v>324</v>
      </c>
      <c r="B159" s="19" t="s">
        <v>317</v>
      </c>
      <c r="C159" s="19" t="s">
        <v>48</v>
      </c>
      <c r="D159" s="19"/>
      <c r="E159" s="19" t="s">
        <v>263</v>
      </c>
      <c r="F159" s="19" t="s">
        <v>33</v>
      </c>
      <c r="G159" s="19" t="s">
        <v>33</v>
      </c>
    </row>
    <row r="160" spans="1:7" ht="15.75" customHeight="1" x14ac:dyDescent="0.2">
      <c r="A160" s="19" t="s">
        <v>325</v>
      </c>
      <c r="B160" s="19" t="s">
        <v>317</v>
      </c>
      <c r="C160" s="19" t="s">
        <v>48</v>
      </c>
      <c r="D160" s="19"/>
      <c r="E160" s="19" t="s">
        <v>68</v>
      </c>
      <c r="F160" s="19" t="s">
        <v>33</v>
      </c>
      <c r="G160" s="19" t="s">
        <v>33</v>
      </c>
    </row>
    <row r="161" spans="1:7" ht="15.75" customHeight="1" x14ac:dyDescent="0.2">
      <c r="A161" s="19" t="s">
        <v>326</v>
      </c>
      <c r="B161" s="19" t="s">
        <v>317</v>
      </c>
      <c r="C161" s="19" t="s">
        <v>48</v>
      </c>
      <c r="D161" s="19" t="s">
        <v>126</v>
      </c>
      <c r="E161" s="19" t="s">
        <v>70</v>
      </c>
      <c r="F161" s="19" t="s">
        <v>33</v>
      </c>
      <c r="G161" s="19" t="s">
        <v>33</v>
      </c>
    </row>
    <row r="162" spans="1:7" ht="15.75" customHeight="1" x14ac:dyDescent="0.2">
      <c r="A162" s="19" t="s">
        <v>327</v>
      </c>
      <c r="B162" s="19" t="s">
        <v>317</v>
      </c>
      <c r="C162" s="19" t="s">
        <v>81</v>
      </c>
      <c r="D162" s="19"/>
      <c r="E162" s="19" t="s">
        <v>33</v>
      </c>
      <c r="F162" s="19" t="s">
        <v>33</v>
      </c>
      <c r="G162" s="19" t="s">
        <v>33</v>
      </c>
    </row>
    <row r="163" spans="1:7" ht="15.75" customHeight="1" x14ac:dyDescent="0.2">
      <c r="A163" s="19" t="s">
        <v>328</v>
      </c>
      <c r="B163" s="19" t="s">
        <v>317</v>
      </c>
      <c r="C163" s="19" t="s">
        <v>62</v>
      </c>
      <c r="D163" s="19"/>
      <c r="E163" s="19" t="s">
        <v>33</v>
      </c>
      <c r="F163" s="19" t="s">
        <v>33</v>
      </c>
      <c r="G163" s="19" t="s">
        <v>33</v>
      </c>
    </row>
    <row r="164" spans="1:7" ht="15.75" customHeight="1" x14ac:dyDescent="0.2">
      <c r="A164" s="19" t="s">
        <v>329</v>
      </c>
      <c r="B164" s="19" t="s">
        <v>317</v>
      </c>
      <c r="C164" s="19" t="s">
        <v>156</v>
      </c>
      <c r="D164" s="19"/>
      <c r="E164" s="19" t="s">
        <v>33</v>
      </c>
      <c r="F164" s="19" t="s">
        <v>33</v>
      </c>
      <c r="G164" s="19" t="s">
        <v>33</v>
      </c>
    </row>
    <row r="165" spans="1:7" ht="15.75" customHeight="1" x14ac:dyDescent="0.2">
      <c r="A165" s="19" t="s">
        <v>330</v>
      </c>
      <c r="B165" s="19" t="s">
        <v>317</v>
      </c>
      <c r="C165" s="19" t="s">
        <v>57</v>
      </c>
      <c r="D165" s="19" t="s">
        <v>38</v>
      </c>
      <c r="E165" s="19" t="s">
        <v>33</v>
      </c>
      <c r="F165" s="19" t="s">
        <v>33</v>
      </c>
      <c r="G165" s="19" t="s">
        <v>33</v>
      </c>
    </row>
    <row r="166" spans="1:7" ht="15.75" customHeight="1" x14ac:dyDescent="0.2">
      <c r="A166" s="19" t="s">
        <v>331</v>
      </c>
      <c r="B166" s="19" t="s">
        <v>332</v>
      </c>
      <c r="C166" s="19" t="s">
        <v>104</v>
      </c>
      <c r="D166" s="19" t="s">
        <v>38</v>
      </c>
      <c r="E166" s="19" t="s">
        <v>74</v>
      </c>
      <c r="F166" s="19" t="s">
        <v>33</v>
      </c>
      <c r="G166" s="19" t="s">
        <v>33</v>
      </c>
    </row>
    <row r="167" spans="1:7" ht="15.75" customHeight="1" x14ac:dyDescent="0.2">
      <c r="A167" s="19" t="s">
        <v>333</v>
      </c>
      <c r="B167" s="19" t="s">
        <v>334</v>
      </c>
      <c r="C167" s="19" t="s">
        <v>335</v>
      </c>
      <c r="D167" s="19"/>
      <c r="E167" s="19" t="s">
        <v>33</v>
      </c>
      <c r="F167" s="19" t="s">
        <v>33</v>
      </c>
      <c r="G167" s="19" t="s">
        <v>33</v>
      </c>
    </row>
    <row r="168" spans="1:7" ht="15.75" customHeight="1" x14ac:dyDescent="0.2">
      <c r="A168" s="19" t="s">
        <v>336</v>
      </c>
      <c r="B168" s="19" t="s">
        <v>282</v>
      </c>
      <c r="C168" s="19" t="s">
        <v>86</v>
      </c>
      <c r="D168" s="19" t="s">
        <v>38</v>
      </c>
      <c r="E168" s="19" t="s">
        <v>62</v>
      </c>
      <c r="F168" s="19" t="s">
        <v>33</v>
      </c>
      <c r="G168" s="19" t="s">
        <v>33</v>
      </c>
    </row>
    <row r="169" spans="1:7" ht="15.75" customHeight="1" x14ac:dyDescent="0.2">
      <c r="A169" s="19" t="s">
        <v>337</v>
      </c>
      <c r="B169" s="19" t="s">
        <v>280</v>
      </c>
      <c r="C169" s="19" t="s">
        <v>282</v>
      </c>
      <c r="D169" s="19" t="s">
        <v>126</v>
      </c>
      <c r="E169" s="19" t="s">
        <v>30</v>
      </c>
      <c r="F169" s="19" t="s">
        <v>33</v>
      </c>
      <c r="G169" s="19" t="s">
        <v>33</v>
      </c>
    </row>
    <row r="170" spans="1:7" ht="15.75" customHeight="1" x14ac:dyDescent="0.2">
      <c r="A170" s="19" t="s">
        <v>338</v>
      </c>
      <c r="B170" s="19" t="s">
        <v>339</v>
      </c>
      <c r="C170" s="19" t="s">
        <v>340</v>
      </c>
      <c r="D170" s="19" t="s">
        <v>341</v>
      </c>
      <c r="E170" s="19" t="s">
        <v>33</v>
      </c>
      <c r="F170" s="19" t="s">
        <v>33</v>
      </c>
      <c r="G170" s="19" t="s">
        <v>33</v>
      </c>
    </row>
    <row r="171" spans="1:7" ht="15.75" customHeight="1" x14ac:dyDescent="0.2">
      <c r="A171" s="19" t="s">
        <v>342</v>
      </c>
      <c r="B171" s="19" t="s">
        <v>343</v>
      </c>
      <c r="C171" s="19" t="s">
        <v>36</v>
      </c>
      <c r="D171" s="19"/>
      <c r="E171" s="19" t="s">
        <v>33</v>
      </c>
      <c r="F171" s="19" t="s">
        <v>33</v>
      </c>
      <c r="G171" s="19" t="s">
        <v>33</v>
      </c>
    </row>
    <row r="172" spans="1:7" ht="15.75" customHeight="1" x14ac:dyDescent="0.2">
      <c r="A172" s="19" t="s">
        <v>344</v>
      </c>
      <c r="B172" s="19" t="s">
        <v>343</v>
      </c>
      <c r="C172" s="19" t="s">
        <v>345</v>
      </c>
      <c r="D172" s="19" t="s">
        <v>126</v>
      </c>
      <c r="E172" s="19" t="s">
        <v>33</v>
      </c>
      <c r="F172" s="19" t="s">
        <v>33</v>
      </c>
      <c r="G172" s="19" t="s">
        <v>33</v>
      </c>
    </row>
    <row r="173" spans="1:7" ht="15.75" customHeight="1" x14ac:dyDescent="0.2">
      <c r="A173" s="19" t="s">
        <v>346</v>
      </c>
      <c r="B173" s="19" t="s">
        <v>343</v>
      </c>
      <c r="C173" s="19" t="s">
        <v>55</v>
      </c>
      <c r="D173" s="19" t="s">
        <v>126</v>
      </c>
      <c r="E173" s="19" t="s">
        <v>33</v>
      </c>
      <c r="F173" s="19" t="s">
        <v>33</v>
      </c>
      <c r="G173" s="19" t="s">
        <v>33</v>
      </c>
    </row>
    <row r="174" spans="1:7" ht="15.75" customHeight="1" x14ac:dyDescent="0.2">
      <c r="A174" s="19" t="s">
        <v>347</v>
      </c>
      <c r="B174" s="19" t="s">
        <v>343</v>
      </c>
      <c r="C174" s="19"/>
      <c r="D174" s="19" t="s">
        <v>134</v>
      </c>
      <c r="E174" s="19" t="s">
        <v>348</v>
      </c>
      <c r="F174" s="19" t="s">
        <v>33</v>
      </c>
      <c r="G174" s="19" t="s">
        <v>33</v>
      </c>
    </row>
    <row r="175" spans="1:7" ht="15.75" customHeight="1" x14ac:dyDescent="0.2">
      <c r="A175" s="19" t="s">
        <v>349</v>
      </c>
      <c r="B175" s="19" t="s">
        <v>343</v>
      </c>
      <c r="C175" s="19" t="s">
        <v>30</v>
      </c>
      <c r="D175" s="19" t="s">
        <v>90</v>
      </c>
      <c r="E175" s="19" t="s">
        <v>33</v>
      </c>
      <c r="F175" s="19" t="s">
        <v>33</v>
      </c>
      <c r="G175" s="19" t="s">
        <v>33</v>
      </c>
    </row>
    <row r="176" spans="1:7" ht="15.75" customHeight="1" x14ac:dyDescent="0.2">
      <c r="A176" s="19" t="s">
        <v>350</v>
      </c>
      <c r="B176" s="19" t="s">
        <v>343</v>
      </c>
      <c r="C176" s="19" t="s">
        <v>139</v>
      </c>
      <c r="D176" s="19" t="s">
        <v>90</v>
      </c>
      <c r="E176" s="19" t="s">
        <v>33</v>
      </c>
      <c r="F176" s="19" t="s">
        <v>33</v>
      </c>
      <c r="G176" s="19" t="s">
        <v>33</v>
      </c>
    </row>
    <row r="177" spans="1:7" ht="15.75" customHeight="1" x14ac:dyDescent="0.2">
      <c r="A177" s="19" t="s">
        <v>351</v>
      </c>
      <c r="B177" s="19" t="s">
        <v>343</v>
      </c>
      <c r="C177" s="19" t="s">
        <v>100</v>
      </c>
      <c r="D177" s="19" t="s">
        <v>90</v>
      </c>
      <c r="E177" s="19" t="s">
        <v>33</v>
      </c>
      <c r="F177" s="19" t="s">
        <v>33</v>
      </c>
      <c r="G177" s="19" t="s">
        <v>33</v>
      </c>
    </row>
    <row r="178" spans="1:7" ht="15.75" customHeight="1" x14ac:dyDescent="0.2">
      <c r="A178" s="19" t="s">
        <v>352</v>
      </c>
      <c r="B178" s="19" t="s">
        <v>343</v>
      </c>
      <c r="C178" s="19" t="s">
        <v>57</v>
      </c>
      <c r="D178" s="19" t="s">
        <v>90</v>
      </c>
      <c r="E178" s="19" t="s">
        <v>33</v>
      </c>
      <c r="F178" s="19" t="s">
        <v>33</v>
      </c>
      <c r="G178" s="19" t="s">
        <v>33</v>
      </c>
    </row>
    <row r="179" spans="1:7" ht="15.75" customHeight="1" x14ac:dyDescent="0.2">
      <c r="A179" s="19" t="s">
        <v>353</v>
      </c>
      <c r="B179" s="19" t="s">
        <v>354</v>
      </c>
      <c r="C179" s="19" t="s">
        <v>57</v>
      </c>
      <c r="D179" s="19" t="s">
        <v>38</v>
      </c>
      <c r="E179" s="19" t="s">
        <v>62</v>
      </c>
      <c r="F179" s="19" t="s">
        <v>33</v>
      </c>
      <c r="G179" s="19" t="s">
        <v>33</v>
      </c>
    </row>
    <row r="180" spans="1:7" ht="15.75" customHeight="1" x14ac:dyDescent="0.2">
      <c r="A180" s="19" t="s">
        <v>355</v>
      </c>
      <c r="B180" s="19" t="s">
        <v>354</v>
      </c>
      <c r="C180" s="19" t="s">
        <v>57</v>
      </c>
      <c r="D180" s="19" t="s">
        <v>38</v>
      </c>
      <c r="E180" s="19" t="s">
        <v>33</v>
      </c>
      <c r="F180" s="19" t="s">
        <v>33</v>
      </c>
      <c r="G180" s="19" t="s">
        <v>33</v>
      </c>
    </row>
    <row r="181" spans="1:7" ht="15.75" customHeight="1" x14ac:dyDescent="0.2">
      <c r="A181" s="19" t="s">
        <v>356</v>
      </c>
      <c r="B181" s="19" t="s">
        <v>357</v>
      </c>
      <c r="C181" s="19" t="s">
        <v>30</v>
      </c>
      <c r="D181" s="19"/>
      <c r="E181" s="19" t="s">
        <v>33</v>
      </c>
      <c r="F181" s="19" t="s">
        <v>33</v>
      </c>
      <c r="G181" s="19" t="s">
        <v>33</v>
      </c>
    </row>
    <row r="182" spans="1:7" ht="15.75" customHeight="1" x14ac:dyDescent="0.2">
      <c r="A182" s="19" t="s">
        <v>358</v>
      </c>
      <c r="B182" s="19" t="s">
        <v>357</v>
      </c>
      <c r="C182" s="19" t="s">
        <v>30</v>
      </c>
      <c r="D182" s="19"/>
      <c r="E182" s="19" t="s">
        <v>32</v>
      </c>
      <c r="F182" s="19" t="s">
        <v>33</v>
      </c>
      <c r="G182" s="19" t="s">
        <v>33</v>
      </c>
    </row>
    <row r="183" spans="1:7" ht="15.75" customHeight="1" x14ac:dyDescent="0.2">
      <c r="A183" s="19" t="s">
        <v>359</v>
      </c>
      <c r="B183" s="19" t="s">
        <v>357</v>
      </c>
      <c r="C183" s="19" t="s">
        <v>31</v>
      </c>
      <c r="D183" s="19"/>
      <c r="E183" s="19" t="s">
        <v>33</v>
      </c>
      <c r="F183" s="19" t="s">
        <v>33</v>
      </c>
      <c r="G183" s="19" t="s">
        <v>33</v>
      </c>
    </row>
    <row r="184" spans="1:7" ht="15.75" customHeight="1" x14ac:dyDescent="0.2">
      <c r="A184" s="19" t="s">
        <v>360</v>
      </c>
      <c r="B184" s="19" t="s">
        <v>357</v>
      </c>
      <c r="C184" s="19" t="s">
        <v>36</v>
      </c>
      <c r="D184" s="19"/>
      <c r="E184" s="19" t="s">
        <v>33</v>
      </c>
      <c r="F184" s="19" t="s">
        <v>33</v>
      </c>
      <c r="G184" s="19" t="s">
        <v>33</v>
      </c>
    </row>
    <row r="185" spans="1:7" ht="15.75" customHeight="1" x14ac:dyDescent="0.2">
      <c r="A185" s="19" t="s">
        <v>361</v>
      </c>
      <c r="B185" s="19" t="s">
        <v>357</v>
      </c>
      <c r="C185" s="19" t="s">
        <v>36</v>
      </c>
      <c r="D185" s="19"/>
      <c r="E185" s="19" t="s">
        <v>32</v>
      </c>
      <c r="F185" s="19" t="s">
        <v>33</v>
      </c>
      <c r="G185" s="19" t="s">
        <v>33</v>
      </c>
    </row>
    <row r="186" spans="1:7" ht="15.75" customHeight="1" x14ac:dyDescent="0.2">
      <c r="A186" s="19" t="s">
        <v>362</v>
      </c>
      <c r="B186" s="19" t="s">
        <v>357</v>
      </c>
      <c r="C186" s="19" t="s">
        <v>36</v>
      </c>
      <c r="D186" s="19"/>
      <c r="E186" s="19" t="s">
        <v>253</v>
      </c>
      <c r="F186" s="19" t="s">
        <v>33</v>
      </c>
      <c r="G186" s="19" t="s">
        <v>33</v>
      </c>
    </row>
    <row r="187" spans="1:7" ht="15.75" customHeight="1" x14ac:dyDescent="0.2">
      <c r="A187" s="19" t="s">
        <v>363</v>
      </c>
      <c r="B187" s="19" t="s">
        <v>357</v>
      </c>
      <c r="C187" s="19" t="s">
        <v>31</v>
      </c>
      <c r="D187" s="19"/>
      <c r="E187" s="19" t="s">
        <v>33</v>
      </c>
      <c r="F187" s="19" t="s">
        <v>33</v>
      </c>
      <c r="G187" s="19" t="s">
        <v>33</v>
      </c>
    </row>
    <row r="188" spans="1:7" ht="15.75" customHeight="1" x14ac:dyDescent="0.2">
      <c r="A188" s="20" t="s">
        <v>364</v>
      </c>
      <c r="B188" s="20" t="s">
        <v>357</v>
      </c>
      <c r="C188" s="20" t="s">
        <v>270</v>
      </c>
      <c r="D188" s="20"/>
      <c r="E188" s="20" t="s">
        <v>33</v>
      </c>
      <c r="F188" s="20" t="s">
        <v>33</v>
      </c>
      <c r="G188" s="20" t="s">
        <v>33</v>
      </c>
    </row>
    <row r="189" spans="1:7" ht="15.75" customHeight="1" x14ac:dyDescent="0.2">
      <c r="A189" s="19" t="s">
        <v>365</v>
      </c>
      <c r="B189" s="19" t="s">
        <v>357</v>
      </c>
      <c r="C189" s="19" t="s">
        <v>158</v>
      </c>
      <c r="D189" s="19"/>
      <c r="E189" s="19" t="s">
        <v>33</v>
      </c>
      <c r="F189" s="19" t="s">
        <v>33</v>
      </c>
      <c r="G189" s="19" t="s">
        <v>33</v>
      </c>
    </row>
    <row r="190" spans="1:7" ht="15.75" customHeight="1" x14ac:dyDescent="0.2">
      <c r="A190" s="19" t="s">
        <v>366</v>
      </c>
      <c r="B190" s="19" t="s">
        <v>357</v>
      </c>
      <c r="C190" s="19"/>
      <c r="D190" s="19" t="s">
        <v>126</v>
      </c>
      <c r="E190" s="19" t="s">
        <v>33</v>
      </c>
      <c r="F190" s="19" t="s">
        <v>33</v>
      </c>
      <c r="G190" s="19" t="s">
        <v>33</v>
      </c>
    </row>
    <row r="191" spans="1:7" ht="15.75" customHeight="1" x14ac:dyDescent="0.2">
      <c r="A191" s="19" t="s">
        <v>367</v>
      </c>
      <c r="B191" s="19" t="s">
        <v>357</v>
      </c>
      <c r="C191" s="19" t="s">
        <v>76</v>
      </c>
      <c r="D191" s="19" t="s">
        <v>126</v>
      </c>
      <c r="E191" s="19" t="s">
        <v>33</v>
      </c>
      <c r="F191" s="19" t="s">
        <v>33</v>
      </c>
      <c r="G191" s="19" t="s">
        <v>33</v>
      </c>
    </row>
    <row r="192" spans="1:7" ht="15.75" customHeight="1" x14ac:dyDescent="0.2">
      <c r="A192" s="19" t="s">
        <v>368</v>
      </c>
      <c r="B192" s="19" t="s">
        <v>357</v>
      </c>
      <c r="C192" s="19" t="s">
        <v>345</v>
      </c>
      <c r="D192" s="19" t="s">
        <v>126</v>
      </c>
      <c r="E192" s="19" t="s">
        <v>33</v>
      </c>
      <c r="F192" s="19" t="s">
        <v>33</v>
      </c>
      <c r="G192" s="19" t="s">
        <v>33</v>
      </c>
    </row>
    <row r="193" spans="1:7" ht="15.75" customHeight="1" x14ac:dyDescent="0.2">
      <c r="A193" s="19" t="s">
        <v>369</v>
      </c>
      <c r="B193" s="19" t="s">
        <v>357</v>
      </c>
      <c r="C193" s="19" t="s">
        <v>282</v>
      </c>
      <c r="D193" s="19" t="s">
        <v>126</v>
      </c>
      <c r="E193" s="19" t="s">
        <v>30</v>
      </c>
      <c r="F193" s="19" t="s">
        <v>33</v>
      </c>
      <c r="G193" s="19" t="s">
        <v>33</v>
      </c>
    </row>
    <row r="194" spans="1:7" ht="15.75" customHeight="1" x14ac:dyDescent="0.2">
      <c r="A194" s="19" t="s">
        <v>370</v>
      </c>
      <c r="B194" s="19" t="s">
        <v>357</v>
      </c>
      <c r="C194" s="19" t="s">
        <v>265</v>
      </c>
      <c r="D194" s="18" t="s">
        <v>126</v>
      </c>
      <c r="E194" s="19" t="s">
        <v>100</v>
      </c>
      <c r="F194" s="21" t="s">
        <v>78</v>
      </c>
      <c r="G194" s="19" t="s">
        <v>33</v>
      </c>
    </row>
    <row r="195" spans="1:7" ht="15.75" customHeight="1" x14ac:dyDescent="0.2">
      <c r="A195" s="19" t="s">
        <v>371</v>
      </c>
      <c r="B195" s="19" t="s">
        <v>357</v>
      </c>
      <c r="C195" s="19"/>
      <c r="D195" s="19" t="s">
        <v>134</v>
      </c>
      <c r="E195" s="19" t="s">
        <v>33</v>
      </c>
      <c r="F195" s="19" t="s">
        <v>33</v>
      </c>
      <c r="G195" s="19" t="s">
        <v>33</v>
      </c>
    </row>
    <row r="196" spans="1:7" ht="15.75" customHeight="1" x14ac:dyDescent="0.2">
      <c r="A196" s="19" t="s">
        <v>372</v>
      </c>
      <c r="B196" s="19" t="s">
        <v>357</v>
      </c>
      <c r="C196" s="19"/>
      <c r="D196" s="19" t="s">
        <v>134</v>
      </c>
      <c r="E196" s="19" t="s">
        <v>348</v>
      </c>
      <c r="F196" s="19" t="s">
        <v>33</v>
      </c>
      <c r="G196" s="19" t="s">
        <v>33</v>
      </c>
    </row>
    <row r="197" spans="1:7" ht="15.75" customHeight="1" x14ac:dyDescent="0.2">
      <c r="A197" s="19" t="s">
        <v>373</v>
      </c>
      <c r="B197" s="19" t="s">
        <v>357</v>
      </c>
      <c r="C197" s="19"/>
      <c r="D197" s="19" t="s">
        <v>45</v>
      </c>
      <c r="E197" s="19" t="s">
        <v>33</v>
      </c>
      <c r="F197" s="19" t="s">
        <v>33</v>
      </c>
      <c r="G197" s="19" t="s">
        <v>33</v>
      </c>
    </row>
    <row r="198" spans="1:7" ht="15.75" customHeight="1" x14ac:dyDescent="0.2">
      <c r="A198" s="19" t="s">
        <v>374</v>
      </c>
      <c r="B198" s="19" t="s">
        <v>357</v>
      </c>
      <c r="C198" s="19"/>
      <c r="D198" s="19" t="s">
        <v>45</v>
      </c>
      <c r="E198" s="19" t="s">
        <v>134</v>
      </c>
      <c r="F198" s="19" t="s">
        <v>33</v>
      </c>
      <c r="G198" s="19" t="s">
        <v>33</v>
      </c>
    </row>
    <row r="199" spans="1:7" ht="15.75" customHeight="1" x14ac:dyDescent="0.2">
      <c r="A199" s="19" t="s">
        <v>375</v>
      </c>
      <c r="B199" s="19" t="s">
        <v>357</v>
      </c>
      <c r="C199" s="19"/>
      <c r="D199" s="19" t="s">
        <v>45</v>
      </c>
      <c r="E199" s="19" t="s">
        <v>126</v>
      </c>
      <c r="F199" s="19" t="s">
        <v>33</v>
      </c>
      <c r="G199" s="19" t="s">
        <v>33</v>
      </c>
    </row>
    <row r="200" spans="1:7" ht="15.75" customHeight="1" x14ac:dyDescent="0.2">
      <c r="A200" s="19" t="s">
        <v>376</v>
      </c>
      <c r="B200" s="19" t="s">
        <v>357</v>
      </c>
      <c r="C200" s="19" t="s">
        <v>76</v>
      </c>
      <c r="D200" s="19" t="s">
        <v>45</v>
      </c>
      <c r="E200" s="19" t="s">
        <v>126</v>
      </c>
      <c r="F200" s="19" t="s">
        <v>33</v>
      </c>
      <c r="G200" s="19" t="s">
        <v>33</v>
      </c>
    </row>
    <row r="201" spans="1:7" ht="15.75" customHeight="1" x14ac:dyDescent="0.2">
      <c r="A201" s="19" t="s">
        <v>377</v>
      </c>
      <c r="B201" s="19" t="s">
        <v>357</v>
      </c>
      <c r="C201" s="19" t="s">
        <v>76</v>
      </c>
      <c r="D201" s="19" t="s">
        <v>45</v>
      </c>
      <c r="E201" s="19" t="s">
        <v>33</v>
      </c>
      <c r="F201" s="19" t="s">
        <v>33</v>
      </c>
      <c r="G201" s="19" t="s">
        <v>33</v>
      </c>
    </row>
    <row r="202" spans="1:7" ht="15.75" customHeight="1" x14ac:dyDescent="0.2">
      <c r="A202" s="19" t="s">
        <v>378</v>
      </c>
      <c r="B202" s="19" t="s">
        <v>357</v>
      </c>
      <c r="C202" s="19"/>
      <c r="D202" s="19" t="s">
        <v>38</v>
      </c>
      <c r="E202" s="19" t="s">
        <v>115</v>
      </c>
      <c r="F202" s="19" t="s">
        <v>379</v>
      </c>
      <c r="G202" s="19" t="s">
        <v>33</v>
      </c>
    </row>
    <row r="203" spans="1:7" ht="15.75" customHeight="1" x14ac:dyDescent="0.2">
      <c r="A203" s="19" t="s">
        <v>380</v>
      </c>
      <c r="B203" s="19" t="s">
        <v>357</v>
      </c>
      <c r="C203" s="19" t="s">
        <v>31</v>
      </c>
      <c r="D203" s="19" t="s">
        <v>38</v>
      </c>
      <c r="E203" s="19" t="s">
        <v>55</v>
      </c>
      <c r="F203" s="19" t="s">
        <v>33</v>
      </c>
      <c r="G203" s="19" t="s">
        <v>33</v>
      </c>
    </row>
    <row r="204" spans="1:7" ht="15.75" customHeight="1" x14ac:dyDescent="0.2">
      <c r="A204" s="19" t="s">
        <v>381</v>
      </c>
      <c r="B204" s="19" t="s">
        <v>357</v>
      </c>
      <c r="C204" s="19" t="s">
        <v>100</v>
      </c>
      <c r="D204" s="19" t="s">
        <v>90</v>
      </c>
      <c r="E204" s="19" t="s">
        <v>33</v>
      </c>
      <c r="F204" s="19" t="s">
        <v>33</v>
      </c>
      <c r="G204" s="19" t="s">
        <v>33</v>
      </c>
    </row>
    <row r="205" spans="1:7" ht="15.75" customHeight="1" x14ac:dyDescent="0.2">
      <c r="A205" s="19" t="s">
        <v>382</v>
      </c>
      <c r="B205" s="19" t="s">
        <v>357</v>
      </c>
      <c r="C205" s="19" t="s">
        <v>100</v>
      </c>
      <c r="D205" s="19" t="s">
        <v>90</v>
      </c>
      <c r="E205" s="19" t="s">
        <v>383</v>
      </c>
      <c r="F205" s="19" t="s">
        <v>76</v>
      </c>
      <c r="G205" s="19" t="s">
        <v>33</v>
      </c>
    </row>
    <row r="206" spans="1:7" ht="15.75" customHeight="1" x14ac:dyDescent="0.2">
      <c r="A206" s="19" t="s">
        <v>384</v>
      </c>
      <c r="B206" s="19" t="s">
        <v>357</v>
      </c>
      <c r="C206" s="19" t="s">
        <v>57</v>
      </c>
      <c r="D206" s="19" t="s">
        <v>90</v>
      </c>
      <c r="E206" s="19" t="s">
        <v>33</v>
      </c>
      <c r="F206" s="19" t="s">
        <v>33</v>
      </c>
      <c r="G206" s="19" t="s">
        <v>33</v>
      </c>
    </row>
    <row r="207" spans="1:7" ht="15.75" customHeight="1" x14ac:dyDescent="0.2">
      <c r="A207" s="19" t="s">
        <v>385</v>
      </c>
      <c r="B207" s="19" t="s">
        <v>386</v>
      </c>
      <c r="C207" s="19" t="s">
        <v>100</v>
      </c>
      <c r="D207" s="19" t="s">
        <v>38</v>
      </c>
      <c r="E207" s="19" t="s">
        <v>268</v>
      </c>
      <c r="F207" s="19" t="s">
        <v>33</v>
      </c>
      <c r="G207" s="19" t="s">
        <v>33</v>
      </c>
    </row>
    <row r="208" spans="1:7" ht="15.75" customHeight="1" x14ac:dyDescent="0.2">
      <c r="A208" s="19" t="s">
        <v>387</v>
      </c>
      <c r="B208" s="19" t="s">
        <v>31</v>
      </c>
      <c r="C208" s="19" t="s">
        <v>388</v>
      </c>
      <c r="D208" s="19"/>
      <c r="E208" s="19" t="s">
        <v>32</v>
      </c>
      <c r="F208" s="19" t="s">
        <v>33</v>
      </c>
      <c r="G208" s="19" t="s">
        <v>33</v>
      </c>
    </row>
    <row r="209" spans="1:7" ht="15.75" customHeight="1" x14ac:dyDescent="0.2">
      <c r="A209" s="19" t="s">
        <v>389</v>
      </c>
      <c r="B209" s="19"/>
      <c r="C209" s="19"/>
      <c r="D209" s="19" t="s">
        <v>126</v>
      </c>
      <c r="E209" s="19" t="s">
        <v>30</v>
      </c>
      <c r="F209" s="19" t="s">
        <v>33</v>
      </c>
      <c r="G209" s="19" t="s">
        <v>33</v>
      </c>
    </row>
    <row r="210" spans="1:7" ht="15.75" customHeight="1" x14ac:dyDescent="0.2">
      <c r="A210" s="19" t="s">
        <v>390</v>
      </c>
      <c r="B210" s="19"/>
      <c r="C210" s="19" t="s">
        <v>60</v>
      </c>
      <c r="D210" s="19" t="s">
        <v>90</v>
      </c>
      <c r="E210" s="19" t="s">
        <v>282</v>
      </c>
      <c r="F210" s="19" t="s">
        <v>33</v>
      </c>
      <c r="G210" s="19" t="s">
        <v>33</v>
      </c>
    </row>
    <row r="211" spans="1:7" ht="15.75" customHeight="1" x14ac:dyDescent="0.2"/>
    <row r="212" spans="1:7" ht="15.75" customHeight="1" x14ac:dyDescent="0.2"/>
    <row r="213" spans="1:7" ht="15.75" customHeight="1" x14ac:dyDescent="0.2"/>
    <row r="214" spans="1:7" ht="15.75" customHeight="1" x14ac:dyDescent="0.2"/>
    <row r="215" spans="1:7" ht="15.75" customHeight="1" x14ac:dyDescent="0.2"/>
    <row r="216" spans="1:7" ht="15.75" customHeight="1" x14ac:dyDescent="0.2"/>
    <row r="217" spans="1:7" ht="15.75" customHeight="1" x14ac:dyDescent="0.2"/>
    <row r="218" spans="1:7" ht="15.75" customHeight="1" x14ac:dyDescent="0.2"/>
    <row r="219" spans="1:7" ht="15.75" customHeight="1" x14ac:dyDescent="0.2"/>
    <row r="220" spans="1:7" ht="15.75" customHeight="1" x14ac:dyDescent="0.2"/>
    <row r="221" spans="1:7" ht="15.75" customHeight="1" x14ac:dyDescent="0.2"/>
    <row r="222" spans="1:7" ht="15.75" customHeight="1" x14ac:dyDescent="0.2"/>
    <row r="223" spans="1:7" ht="15.75" customHeight="1" x14ac:dyDescent="0.2"/>
    <row r="224" spans="1: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Cocktail Finder</vt:lpstr>
      <vt:lpstr>Data</vt:lpstr>
      <vt:lpstr>Data NEW</vt:lpstr>
      <vt:lpstr>Data v2</vt:lpstr>
      <vt:lpstr>Dropdown</vt:lpstr>
      <vt:lpstr>Brands</vt:lpstr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Carson Stones</cp:lastModifiedBy>
  <dcterms:modified xsi:type="dcterms:W3CDTF">2021-09-10T20:42:53Z</dcterms:modified>
</cp:coreProperties>
</file>