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8" windowWidth="19740" windowHeight="7308" activeTab="2"/>
  </bookViews>
  <sheets>
    <sheet name="Resposta" sheetId="2" r:id="rId1"/>
    <sheet name="Cálculos" sheetId="1" r:id="rId2"/>
    <sheet name="Cálculos (com fórmula da TIRM)" sheetId="3" r:id="rId3"/>
  </sheets>
  <definedNames>
    <definedName name="_xlnm._FilterDatabase" localSheetId="0" hidden="1">Resposta!$B$53:$E$60</definedName>
    <definedName name="_xlnm.Print_Area" localSheetId="0">Resposta!$B$1:$T$70</definedName>
  </definedNames>
  <calcPr calcId="145621"/>
</workbook>
</file>

<file path=xl/calcChain.xml><?xml version="1.0" encoding="utf-8"?>
<calcChain xmlns="http://schemas.openxmlformats.org/spreadsheetml/2006/main">
  <c r="J7" i="1" l="1"/>
  <c r="G10" i="1" l="1"/>
  <c r="F10" i="1"/>
  <c r="E10" i="1"/>
  <c r="D10" i="1"/>
  <c r="C9" i="1"/>
  <c r="C8" i="1"/>
  <c r="G7" i="1"/>
  <c r="F7" i="1"/>
  <c r="G8" i="1"/>
  <c r="F8" i="1"/>
  <c r="E7" i="1"/>
  <c r="D7" i="1"/>
  <c r="E8" i="1"/>
  <c r="G9" i="1"/>
  <c r="F9" i="1"/>
  <c r="E9" i="1"/>
  <c r="D9" i="1"/>
  <c r="D8" i="1"/>
  <c r="K13" i="3" l="1"/>
  <c r="K12" i="3"/>
  <c r="K11" i="3"/>
  <c r="K10" i="3"/>
  <c r="K9" i="3"/>
  <c r="K8" i="3"/>
  <c r="K7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N10" i="3" s="1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N13" i="3"/>
  <c r="M13" i="3"/>
  <c r="L13" i="3"/>
  <c r="J13" i="3"/>
  <c r="I13" i="3"/>
  <c r="M12" i="3"/>
  <c r="L12" i="3"/>
  <c r="J12" i="3"/>
  <c r="I12" i="3"/>
  <c r="M11" i="3"/>
  <c r="L11" i="3"/>
  <c r="J11" i="3"/>
  <c r="I11" i="3"/>
  <c r="M10" i="3"/>
  <c r="L10" i="3"/>
  <c r="J10" i="3"/>
  <c r="I10" i="3"/>
  <c r="N9" i="3"/>
  <c r="M9" i="3"/>
  <c r="L9" i="3"/>
  <c r="J9" i="3"/>
  <c r="I9" i="3"/>
  <c r="M8" i="3"/>
  <c r="L8" i="3"/>
  <c r="J8" i="3"/>
  <c r="I8" i="3"/>
  <c r="M7" i="3"/>
  <c r="L7" i="3"/>
  <c r="J7" i="3"/>
  <c r="I7" i="3"/>
  <c r="G18" i="1"/>
  <c r="C18" i="1"/>
  <c r="D29" i="1"/>
  <c r="N7" i="3" l="1"/>
  <c r="N8" i="3"/>
  <c r="N11" i="3"/>
  <c r="N12" i="3"/>
  <c r="K7" i="1"/>
  <c r="E38" i="2"/>
  <c r="L9" i="1"/>
  <c r="L8" i="1"/>
  <c r="G30" i="2"/>
  <c r="G29" i="2"/>
  <c r="G26" i="2"/>
  <c r="G28" i="2"/>
  <c r="G27" i="2"/>
  <c r="G24" i="2"/>
  <c r="G25" i="2"/>
  <c r="L10" i="1"/>
  <c r="L7" i="1"/>
  <c r="J9" i="1"/>
  <c r="I7" i="1"/>
  <c r="M7" i="1"/>
  <c r="I8" i="1"/>
  <c r="J8" i="1"/>
  <c r="M8" i="1"/>
  <c r="I9" i="1"/>
  <c r="M9" i="1"/>
  <c r="I10" i="1"/>
  <c r="J10" i="1"/>
  <c r="M10" i="1"/>
  <c r="C19" i="1"/>
  <c r="G19" i="1"/>
  <c r="C20" i="1"/>
  <c r="G20" i="1"/>
  <c r="C21" i="1"/>
  <c r="G21" i="1"/>
  <c r="C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K10" i="1" l="1"/>
  <c r="K9" i="1"/>
  <c r="K8" i="1"/>
  <c r="I21" i="1"/>
  <c r="I19" i="1"/>
  <c r="I20" i="1"/>
  <c r="I18" i="1"/>
  <c r="N9" i="1"/>
  <c r="N10" i="1"/>
  <c r="N7" i="1"/>
  <c r="N8" i="1"/>
</calcChain>
</file>

<file path=xl/sharedStrings.xml><?xml version="1.0" encoding="utf-8"?>
<sst xmlns="http://schemas.openxmlformats.org/spreadsheetml/2006/main" count="125" uniqueCount="64">
  <si>
    <t>Linha de Transmissão</t>
  </si>
  <si>
    <t>Usina Termoelétrica</t>
  </si>
  <si>
    <t>Rede Rural</t>
  </si>
  <si>
    <t>Rede Urbana</t>
  </si>
  <si>
    <t>Usina 2</t>
  </si>
  <si>
    <t>Usina 1</t>
  </si>
  <si>
    <t>Co-geração</t>
  </si>
  <si>
    <t>Projeto</t>
  </si>
  <si>
    <t>Fluxos de caixa projetados por ano (em $ milhões)</t>
  </si>
  <si>
    <t>Payback D.</t>
  </si>
  <si>
    <t>Payback</t>
  </si>
  <si>
    <t>ILL</t>
  </si>
  <si>
    <t>TIRM</t>
  </si>
  <si>
    <t>TIR</t>
  </si>
  <si>
    <t>VPL</t>
  </si>
  <si>
    <t>Prova</t>
  </si>
  <si>
    <t>Custo de oportunidade</t>
  </si>
  <si>
    <t>Fluxos de caixa polarizados (em $ milhões)</t>
  </si>
  <si>
    <t>VP dos fluxos de caixa projetados (em $ milhões)</t>
  </si>
  <si>
    <t>Análise financeira</t>
  </si>
  <si>
    <t>Todos os projetos apresentados possuem valor presente líquido superior a zero (VPL&gt;0). Neste sentido, dada a restrição orçamentária anual da empresa,</t>
  </si>
  <si>
    <t>todas as possíveis combinações de projetos resultariam na criação de valor a longo prazo.</t>
  </si>
  <si>
    <t>Todavia, como Gestores Financeiros, nosso papel não se limita a meramente criar valor, e sim MAXIMIZAR a criação de valor.</t>
  </si>
  <si>
    <t>Invest.</t>
  </si>
  <si>
    <t xml:space="preserve">Os projetos "Rede Urbana" e "Usina 2" possuem os maiores VPL dentre as opções de investimentos. </t>
  </si>
  <si>
    <t>Além disso, o investimento conjunto de ambos soma $ 30, o qual estaria dentro das disponibilidades</t>
  </si>
  <si>
    <t>orçamentárias da empresa.</t>
  </si>
  <si>
    <t>Com a escolha destes investimentos, o VPL total produzido seria de $ 65,3.</t>
  </si>
  <si>
    <t>Entretanto, a utilização do VPL como critério único de análise pode comprometer a decisão tomada. Neste sentido, faz-se necessário analisar outros critérios</t>
  </si>
  <si>
    <t>de cada projeto, como TIR, TIRM e ILL.</t>
  </si>
  <si>
    <t>de inversões nos sinais dos fluxos de caixa ao longo do horizonte do projeto.</t>
  </si>
  <si>
    <t>VPL =</t>
  </si>
  <si>
    <t xml:space="preserve">superior ao custo de oportunidade (fato que já poderia ser corroborado pela inexistência de </t>
  </si>
  <si>
    <t>VPL negativos.</t>
  </si>
  <si>
    <t>projeto "Usina 1", verifica-se que este projeto oferece, a valor presente, $ 5,07 para cada $ 1 investido no projeto.</t>
  </si>
  <si>
    <t>de Transmissão. Estes projetos fornecem um VPL de;</t>
  </si>
  <si>
    <t>Em outras palavras, esta carteira de projetos oferece retorno superior à primeira carteira selecionada com base na análise única do VPL de cada projeto.</t>
  </si>
  <si>
    <t>Esta carteira de projetos é aquela que maximiza o VPL da empresa e, consequentemente, dos proprietários. Desta forma, como Gestores Financeiros, esta seria nossa</t>
  </si>
  <si>
    <t>escolha ótima do ponto de vista de criação de valor a longo prazo.</t>
  </si>
  <si>
    <r>
      <t xml:space="preserve">Análise de risco e </t>
    </r>
    <r>
      <rPr>
        <b/>
        <i/>
        <u/>
        <sz val="11"/>
        <color theme="1"/>
        <rFont val="Georgia"/>
        <family val="1"/>
      </rPr>
      <t>payback</t>
    </r>
  </si>
  <si>
    <t>A conclusão acima é baseada em termos de fluxos de caixa PREVISTOS para cada projeto.</t>
  </si>
  <si>
    <r>
      <t xml:space="preserve">Uma análise do </t>
    </r>
    <r>
      <rPr>
        <i/>
        <sz val="11"/>
        <color theme="1"/>
        <rFont val="Georgia"/>
        <family val="1"/>
      </rPr>
      <t xml:space="preserve">payback </t>
    </r>
    <r>
      <rPr>
        <sz val="11"/>
        <color theme="1"/>
        <rFont val="Georgia"/>
        <family val="1"/>
      </rPr>
      <t>(simples e descontado) pode nos fornecer uma noção do risco associado a cada um destes fluxos de caixa. Quanto maior o horizonte de projeção dos</t>
    </r>
  </si>
  <si>
    <r>
      <t xml:space="preserve">fluxos de caixa, maior será o nível de incerteza associado a estes fluxos. Os </t>
    </r>
    <r>
      <rPr>
        <i/>
        <sz val="11"/>
        <color theme="1"/>
        <rFont val="Georgia"/>
        <family val="1"/>
      </rPr>
      <t xml:space="preserve">paybacks </t>
    </r>
    <r>
      <rPr>
        <sz val="11"/>
        <color theme="1"/>
        <rFont val="Georgia"/>
        <family val="1"/>
      </rPr>
      <t>dos projetos em questão estão apresentados a seguir:</t>
    </r>
  </si>
  <si>
    <t>Com base nestes indicadores, verifica-se que o projeto "Rede Urbana" é aquele que apresenta o retorno mais rápido do capital</t>
  </si>
  <si>
    <t>investido, ao passo que a "Usina Termoelétrica" é o projeto com maior prazo para retorno do investimento.</t>
  </si>
  <si>
    <r>
      <t xml:space="preserve">Urbana", que representa o maior VPL de todos os projetos, o menor </t>
    </r>
    <r>
      <rPr>
        <i/>
        <sz val="11"/>
        <color theme="1"/>
        <rFont val="Georgia"/>
        <family val="1"/>
      </rPr>
      <t>payback</t>
    </r>
    <r>
      <rPr>
        <sz val="11"/>
        <color theme="1"/>
        <rFont val="Georgia"/>
        <family val="1"/>
      </rPr>
      <t>, mas que não compõem a carteira que maximiza</t>
    </r>
  </si>
  <si>
    <t>o VPL da empresa.</t>
  </si>
  <si>
    <t>Neste contexto, cabe ao Gestor Financeiro, em conjunto com a Diretoria Executiva, realizar o opção entre as duas carteiras de projeto. Esta decisão deverá estar alinhada com a filosofia da</t>
  </si>
  <si>
    <t>Caso a Gestão seja mais conservadora, a escolha da primeira carteira (Rede Urbana e Usina 1) poderia ser mais atrativa, pois a perda de VPL seria compensada pela redução do risco atrelado</t>
  </si>
  <si>
    <t>à projeção dos fluxos de caixa futuros.</t>
  </si>
  <si>
    <t xml:space="preserve">Caso a Gestão adote uma postura mais arrojada, a segunda carteira de projetos (Usina 1, Usina 2 e Linha de Transmissão) poderia ser mais atrativa, pois maximiza o VPL da empresa, </t>
  </si>
  <si>
    <t>ao custo de um risco incremental assumido em relação ao prazo de retorno dos investimentos.</t>
  </si>
  <si>
    <t>Conforme tratado em sala de aula, a confiabilidade na TIR é comprometida quando da existência</t>
  </si>
  <si>
    <t>Neste sentido, a análise da TIRM nos demonstra que todos os projetos possuem uma rentabilidade</t>
  </si>
  <si>
    <t>O ILL nos fornece uma medida de quantos unidades monetárias ($) nós teríamos a VP para cada unidade monetária investida no projeto. Ao analisar, por exemplo, o</t>
  </si>
  <si>
    <t>Se selecionarmos os projetos de maior ILL, os quais sejam compatíveis com as restrições orçamentárias, teríamos a escolha lógica dos projetos: Usina 1, Usina 2 e Linha</t>
  </si>
  <si>
    <r>
      <t xml:space="preserve">Os projetos escolhidos durante a análise financeira apresentam os melhores indicadores de </t>
    </r>
    <r>
      <rPr>
        <i/>
        <sz val="11"/>
        <color theme="1"/>
        <rFont val="Georgia"/>
        <family val="1"/>
      </rPr>
      <t>payback</t>
    </r>
    <r>
      <rPr>
        <sz val="11"/>
        <color theme="1"/>
        <rFont val="Georgia"/>
        <family val="1"/>
      </rPr>
      <t>, com exceção da "Rede</t>
    </r>
  </si>
  <si>
    <t>Gestão e de seu apetite por risco.</t>
  </si>
  <si>
    <t>Se selecionássemos os investimentos a serem realizados com base unicamente em seu VPL, teríamos a seguinte situação:</t>
  </si>
  <si>
    <t>Sites Parceria</t>
  </si>
  <si>
    <t>Sites Vendas Diretas</t>
  </si>
  <si>
    <t>Sites Vendas Diretas Mensal</t>
  </si>
  <si>
    <t>Sindpublicos</t>
  </si>
  <si>
    <t>Fluxos de caixa projetados por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</si>
</sst>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\ #,##0.00_);[Red]\(&quot;R$&quot;\ #,##0.00\)"/>
    <numFmt numFmtId="165" formatCode="_(* #,##0.00_);_(* \(#,##0.00\);_(* &quot;-&quot;??_);_(@_)"/>
    <numFmt numFmtId="166" formatCode="_(* #,##0.0_);_(* \(#,##0.0\);_(* &quot;-&quot;?_);_(@_)"/>
    <numFmt numFmtId="167" formatCode="_(* #,##0.00_);_(* \(#,##0.00\);_(* &quot;-&quot;?_);_(@_)"/>
    <numFmt numFmtId="169" formatCode="_(* #,##0_);_(* \(#,##0\);_(* &quot;-&quot;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Georgia"/>
      <family val="1"/>
    </font>
    <font>
      <b/>
      <u/>
      <sz val="11"/>
      <color theme="1"/>
      <name val="Georgia"/>
      <family val="1"/>
    </font>
    <font>
      <b/>
      <sz val="11"/>
      <color theme="0"/>
      <name val="Georgia"/>
      <family val="1"/>
    </font>
    <font>
      <b/>
      <i/>
      <u/>
      <sz val="11"/>
      <color theme="1"/>
      <name val="Georgia"/>
      <family val="1"/>
    </font>
    <font>
      <i/>
      <sz val="11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lightUp"/>
    </fill>
    <fill>
      <patternFill patternType="solid">
        <fgColor theme="0" tint="-0.14999847407452621"/>
        <bgColor indexed="64"/>
      </patternFill>
    </fill>
    <fill>
      <patternFill patternType="lightUp"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6" fontId="2" fillId="0" borderId="1" xfId="0" applyNumberFormat="1" applyFont="1" applyBorder="1"/>
    <xf numFmtId="0" fontId="4" fillId="2" borderId="0" xfId="0" applyFont="1" applyFill="1"/>
    <xf numFmtId="9" fontId="2" fillId="0" borderId="1" xfId="0" applyNumberFormat="1" applyFont="1" applyBorder="1"/>
    <xf numFmtId="166" fontId="2" fillId="0" borderId="0" xfId="0" applyNumberFormat="1" applyFont="1"/>
    <xf numFmtId="9" fontId="2" fillId="0" borderId="1" xfId="1" applyFont="1" applyBorder="1"/>
    <xf numFmtId="165" fontId="2" fillId="0" borderId="1" xfId="1" applyNumberFormat="1" applyFont="1" applyBorder="1"/>
    <xf numFmtId="164" fontId="2" fillId="0" borderId="0" xfId="0" applyNumberFormat="1" applyFont="1"/>
    <xf numFmtId="9" fontId="2" fillId="0" borderId="0" xfId="0" applyNumberFormat="1" applyFont="1"/>
    <xf numFmtId="9" fontId="2" fillId="3" borderId="1" xfId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6" fontId="2" fillId="4" borderId="1" xfId="0" applyNumberFormat="1" applyFont="1" applyFill="1" applyBorder="1"/>
    <xf numFmtId="0" fontId="2" fillId="4" borderId="1" xfId="0" applyFont="1" applyFill="1" applyBorder="1"/>
    <xf numFmtId="9" fontId="2" fillId="5" borderId="1" xfId="1" applyFont="1" applyFill="1" applyBorder="1"/>
    <xf numFmtId="9" fontId="2" fillId="4" borderId="1" xfId="1" applyFont="1" applyFill="1" applyBorder="1"/>
    <xf numFmtId="165" fontId="2" fillId="4" borderId="1" xfId="1" applyNumberFormat="1" applyFont="1" applyFill="1" applyBorder="1"/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/>
    </xf>
    <xf numFmtId="10" fontId="2" fillId="0" borderId="1" xfId="1" applyNumberFormat="1" applyFont="1" applyBorder="1"/>
    <xf numFmtId="167" fontId="2" fillId="0" borderId="1" xfId="0" applyNumberFormat="1" applyFont="1" applyBorder="1"/>
    <xf numFmtId="10" fontId="2" fillId="0" borderId="0" xfId="0" applyNumberFormat="1" applyFont="1"/>
    <xf numFmtId="167" fontId="2" fillId="0" borderId="1" xfId="1" applyNumberFormat="1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169" fontId="2" fillId="0" borderId="1" xfId="0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2:I69"/>
  <sheetViews>
    <sheetView showGridLines="0" zoomScale="85" zoomScaleNormal="85" workbookViewId="0">
      <selection activeCell="D7" sqref="D7"/>
    </sheetView>
  </sheetViews>
  <sheetFormatPr defaultColWidth="9.109375" defaultRowHeight="13.8" x14ac:dyDescent="0.25"/>
  <cols>
    <col min="1" max="1" width="4.33203125" style="1" customWidth="1"/>
    <col min="2" max="2" width="24.109375" style="1" customWidth="1"/>
    <col min="3" max="3" width="1.109375" style="1" customWidth="1"/>
    <col min="4" max="4" width="14.33203125" style="1" customWidth="1"/>
    <col min="5" max="5" width="13.109375" style="1" customWidth="1"/>
    <col min="6" max="16384" width="9.109375" style="1"/>
  </cols>
  <sheetData>
    <row r="2" spans="2:7" x14ac:dyDescent="0.25">
      <c r="B2" s="2" t="s">
        <v>19</v>
      </c>
    </row>
    <row r="4" spans="2:7" x14ac:dyDescent="0.25">
      <c r="B4" s="1" t="s">
        <v>20</v>
      </c>
    </row>
    <row r="5" spans="2:7" x14ac:dyDescent="0.25">
      <c r="B5" s="1" t="s">
        <v>21</v>
      </c>
    </row>
    <row r="7" spans="2:7" x14ac:dyDescent="0.25">
      <c r="B7" s="1" t="s">
        <v>22</v>
      </c>
    </row>
    <row r="9" spans="2:7" x14ac:dyDescent="0.25">
      <c r="B9" s="1" t="s">
        <v>58</v>
      </c>
    </row>
    <row r="11" spans="2:7" x14ac:dyDescent="0.25">
      <c r="B11" s="13" t="s">
        <v>7</v>
      </c>
      <c r="D11" s="13" t="s">
        <v>23</v>
      </c>
      <c r="E11" s="13" t="s">
        <v>14</v>
      </c>
      <c r="G11" s="1" t="s">
        <v>24</v>
      </c>
    </row>
    <row r="12" spans="2:7" x14ac:dyDescent="0.25">
      <c r="B12" s="20" t="s">
        <v>3</v>
      </c>
      <c r="D12" s="19">
        <v>-20</v>
      </c>
      <c r="E12" s="19">
        <v>36.583885945960013</v>
      </c>
      <c r="G12" s="1" t="s">
        <v>25</v>
      </c>
    </row>
    <row r="13" spans="2:7" x14ac:dyDescent="0.25">
      <c r="B13" s="20" t="s">
        <v>4</v>
      </c>
      <c r="D13" s="19">
        <v>-10</v>
      </c>
      <c r="E13" s="19">
        <v>28.726743088817152</v>
      </c>
      <c r="G13" s="1" t="s">
        <v>26</v>
      </c>
    </row>
    <row r="14" spans="2:7" x14ac:dyDescent="0.25">
      <c r="B14" s="3" t="s">
        <v>0</v>
      </c>
      <c r="D14" s="4">
        <v>-15</v>
      </c>
      <c r="E14" s="4">
        <v>23.726743088817152</v>
      </c>
    </row>
    <row r="15" spans="2:7" ht="14.25" x14ac:dyDescent="0.2">
      <c r="B15" s="3" t="s">
        <v>5</v>
      </c>
      <c r="D15" s="4">
        <v>-5</v>
      </c>
      <c r="E15" s="4">
        <v>20.333885945960009</v>
      </c>
      <c r="G15" s="1" t="s">
        <v>27</v>
      </c>
    </row>
    <row r="16" spans="2:7" x14ac:dyDescent="0.25">
      <c r="B16" s="3" t="s">
        <v>6</v>
      </c>
      <c r="D16" s="4">
        <v>-10</v>
      </c>
      <c r="E16" s="4">
        <v>18.511476337984167</v>
      </c>
    </row>
    <row r="17" spans="2:9" x14ac:dyDescent="0.25">
      <c r="B17" s="3" t="s">
        <v>1</v>
      </c>
      <c r="D17" s="4">
        <v>-30</v>
      </c>
      <c r="E17" s="4">
        <v>13.112732975843386</v>
      </c>
    </row>
    <row r="18" spans="2:9" ht="14.25" x14ac:dyDescent="0.2">
      <c r="B18" s="3" t="s">
        <v>2</v>
      </c>
      <c r="D18" s="4">
        <v>-10</v>
      </c>
      <c r="E18" s="4">
        <v>10.869600231674298</v>
      </c>
    </row>
    <row r="20" spans="2:9" x14ac:dyDescent="0.25">
      <c r="B20" s="1" t="s">
        <v>28</v>
      </c>
    </row>
    <row r="21" spans="2:9" ht="14.25" x14ac:dyDescent="0.2">
      <c r="B21" s="1" t="s">
        <v>29</v>
      </c>
    </row>
    <row r="23" spans="2:9" ht="14.25" x14ac:dyDescent="0.2">
      <c r="B23" s="13" t="s">
        <v>7</v>
      </c>
      <c r="D23" s="13" t="s">
        <v>23</v>
      </c>
      <c r="E23" s="13" t="s">
        <v>13</v>
      </c>
      <c r="F23" s="13" t="s">
        <v>12</v>
      </c>
      <c r="G23" s="13" t="s">
        <v>11</v>
      </c>
    </row>
    <row r="24" spans="2:9" x14ac:dyDescent="0.25">
      <c r="B24" s="20" t="s">
        <v>5</v>
      </c>
      <c r="D24" s="19">
        <v>-5</v>
      </c>
      <c r="E24" s="21">
        <v>0.95820988123662842</v>
      </c>
      <c r="F24" s="22">
        <v>0.49191289071931155</v>
      </c>
      <c r="G24" s="23" t="e">
        <f>VLOOKUP(B24,Cálculos!$B$7:$L$13,11,FALSE)</f>
        <v>#N/A</v>
      </c>
      <c r="I24" s="1" t="s">
        <v>52</v>
      </c>
    </row>
    <row r="25" spans="2:9" x14ac:dyDescent="0.25">
      <c r="B25" s="20" t="s">
        <v>4</v>
      </c>
      <c r="D25" s="19">
        <v>-10</v>
      </c>
      <c r="E25" s="21">
        <v>1.2378511362819591</v>
      </c>
      <c r="F25" s="22">
        <v>0.57116127472678468</v>
      </c>
      <c r="G25" s="23" t="e">
        <f>VLOOKUP(B25,Cálculos!$B$7:$L$13,11,FALSE)</f>
        <v>#N/A</v>
      </c>
      <c r="I25" s="1" t="s">
        <v>30</v>
      </c>
    </row>
    <row r="26" spans="2:9" x14ac:dyDescent="0.25">
      <c r="B26" s="3" t="s">
        <v>6</v>
      </c>
      <c r="D26" s="4">
        <v>-10</v>
      </c>
      <c r="E26" s="12">
        <v>0.59332190894497105</v>
      </c>
      <c r="F26" s="8">
        <v>0.37623463990212036</v>
      </c>
      <c r="G26" s="9" t="e">
        <f>VLOOKUP(B26,Cálculos!$B$7:$L$13,11,FALSE)</f>
        <v>#N/A</v>
      </c>
    </row>
    <row r="27" spans="2:9" x14ac:dyDescent="0.25">
      <c r="B27" s="3" t="s">
        <v>3</v>
      </c>
      <c r="D27" s="4">
        <v>-20</v>
      </c>
      <c r="E27" s="12">
        <v>1.1517983445786895</v>
      </c>
      <c r="F27" s="8">
        <v>0.45255878123938764</v>
      </c>
      <c r="G27" s="9" t="e">
        <f>VLOOKUP(B27,Cálculos!$B$7:$L$13,11,FALSE)</f>
        <v>#N/A</v>
      </c>
      <c r="I27" s="1" t="s">
        <v>53</v>
      </c>
    </row>
    <row r="28" spans="2:9" x14ac:dyDescent="0.25">
      <c r="B28" s="20" t="s">
        <v>0</v>
      </c>
      <c r="D28" s="19">
        <v>-15</v>
      </c>
      <c r="E28" s="21">
        <v>0.78558456808287969</v>
      </c>
      <c r="F28" s="22">
        <v>0.41970447583965131</v>
      </c>
      <c r="G28" s="23" t="e">
        <f>VLOOKUP(B28,Cálculos!$B$7:$L$13,11,FALSE)</f>
        <v>#N/A</v>
      </c>
      <c r="I28" s="1" t="s">
        <v>32</v>
      </c>
    </row>
    <row r="29" spans="2:9" x14ac:dyDescent="0.25">
      <c r="B29" s="3" t="s">
        <v>2</v>
      </c>
      <c r="D29" s="4">
        <v>-10</v>
      </c>
      <c r="E29" s="12">
        <v>0.39321017672077807</v>
      </c>
      <c r="F29" s="8">
        <v>0.25454420167670122</v>
      </c>
      <c r="G29" s="9" t="e">
        <f>VLOOKUP(B29,Cálculos!$B$7:$L$13,11,FALSE)</f>
        <v>#N/A</v>
      </c>
      <c r="I29" s="1" t="s">
        <v>33</v>
      </c>
    </row>
    <row r="30" spans="2:9" x14ac:dyDescent="0.25">
      <c r="B30" s="3" t="s">
        <v>1</v>
      </c>
      <c r="D30" s="4">
        <v>-30</v>
      </c>
      <c r="E30" s="12">
        <v>0.23694089753403591</v>
      </c>
      <c r="F30" s="8">
        <v>0.20430904847640496</v>
      </c>
      <c r="G30" s="9" t="e">
        <f>VLOOKUP(B30,Cálculos!$B$7:$L$13,11,FALSE)</f>
        <v>#N/A</v>
      </c>
    </row>
    <row r="32" spans="2:9" x14ac:dyDescent="0.25">
      <c r="B32" s="1" t="s">
        <v>54</v>
      </c>
    </row>
    <row r="33" spans="2:5" x14ac:dyDescent="0.25">
      <c r="B33" s="1" t="s">
        <v>34</v>
      </c>
    </row>
    <row r="35" spans="2:5" x14ac:dyDescent="0.25">
      <c r="B35" s="1" t="s">
        <v>55</v>
      </c>
    </row>
    <row r="36" spans="2:5" x14ac:dyDescent="0.25">
      <c r="B36" s="1" t="s">
        <v>35</v>
      </c>
    </row>
    <row r="38" spans="2:5" x14ac:dyDescent="0.25">
      <c r="D38" s="24" t="s">
        <v>31</v>
      </c>
      <c r="E38" s="25">
        <f>E15+E13+E14</f>
        <v>72.787372123594309</v>
      </c>
    </row>
    <row r="40" spans="2:5" x14ac:dyDescent="0.25">
      <c r="B40" s="1" t="s">
        <v>36</v>
      </c>
    </row>
    <row r="42" spans="2:5" x14ac:dyDescent="0.25">
      <c r="B42" s="1" t="s">
        <v>37</v>
      </c>
    </row>
    <row r="43" spans="2:5" x14ac:dyDescent="0.25">
      <c r="B43" s="1" t="s">
        <v>38</v>
      </c>
    </row>
    <row r="45" spans="2:5" x14ac:dyDescent="0.25">
      <c r="B45" s="2" t="s">
        <v>39</v>
      </c>
    </row>
    <row r="47" spans="2:5" x14ac:dyDescent="0.25">
      <c r="B47" s="1" t="s">
        <v>40</v>
      </c>
    </row>
    <row r="49" spans="2:7" x14ac:dyDescent="0.25">
      <c r="B49" s="1" t="s">
        <v>41</v>
      </c>
    </row>
    <row r="50" spans="2:7" x14ac:dyDescent="0.25">
      <c r="B50" s="1" t="s">
        <v>42</v>
      </c>
    </row>
    <row r="53" spans="2:7" x14ac:dyDescent="0.25">
      <c r="B53" s="13" t="s">
        <v>7</v>
      </c>
      <c r="D53" s="17" t="s">
        <v>10</v>
      </c>
      <c r="E53" s="18" t="s">
        <v>9</v>
      </c>
    </row>
    <row r="54" spans="2:7" x14ac:dyDescent="0.25">
      <c r="B54" s="3" t="s">
        <v>3</v>
      </c>
      <c r="D54" s="9">
        <v>0.66666666666666663</v>
      </c>
      <c r="E54" s="9">
        <v>0.7466666666666667</v>
      </c>
      <c r="G54" s="1" t="s">
        <v>43</v>
      </c>
    </row>
    <row r="55" spans="2:7" x14ac:dyDescent="0.25">
      <c r="B55" s="3" t="s">
        <v>4</v>
      </c>
      <c r="D55" s="9">
        <v>1</v>
      </c>
      <c r="E55" s="9">
        <v>1.0672000000000001</v>
      </c>
      <c r="G55" s="1" t="s">
        <v>44</v>
      </c>
    </row>
    <row r="56" spans="2:7" x14ac:dyDescent="0.25">
      <c r="B56" s="3" t="s">
        <v>0</v>
      </c>
      <c r="D56" s="9">
        <v>1.25</v>
      </c>
      <c r="E56" s="9">
        <v>1.3808000000000002</v>
      </c>
    </row>
    <row r="57" spans="2:7" x14ac:dyDescent="0.25">
      <c r="B57" s="3" t="s">
        <v>5</v>
      </c>
      <c r="D57" s="9">
        <v>1.5</v>
      </c>
      <c r="E57" s="9">
        <v>1.5935999999999999</v>
      </c>
      <c r="G57" s="1" t="s">
        <v>56</v>
      </c>
    </row>
    <row r="58" spans="2:7" x14ac:dyDescent="0.25">
      <c r="B58" s="3" t="s">
        <v>6</v>
      </c>
      <c r="D58" s="9">
        <v>1.75</v>
      </c>
      <c r="E58" s="9">
        <v>1.9072</v>
      </c>
      <c r="G58" s="1" t="s">
        <v>45</v>
      </c>
    </row>
    <row r="59" spans="2:7" x14ac:dyDescent="0.25">
      <c r="B59" s="3" t="s">
        <v>2</v>
      </c>
      <c r="D59" s="9">
        <v>2</v>
      </c>
      <c r="E59" s="9">
        <v>2.2795520000000002</v>
      </c>
      <c r="G59" s="1" t="s">
        <v>46</v>
      </c>
    </row>
    <row r="60" spans="2:7" x14ac:dyDescent="0.25">
      <c r="B60" s="3" t="s">
        <v>1</v>
      </c>
      <c r="D60" s="9">
        <v>3.125</v>
      </c>
      <c r="E60" s="9">
        <v>3.4841715200000003</v>
      </c>
    </row>
    <row r="62" spans="2:7" x14ac:dyDescent="0.25">
      <c r="B62" s="1" t="s">
        <v>47</v>
      </c>
    </row>
    <row r="63" spans="2:7" x14ac:dyDescent="0.25">
      <c r="B63" s="1" t="s">
        <v>57</v>
      </c>
    </row>
    <row r="65" spans="2:2" x14ac:dyDescent="0.25">
      <c r="B65" s="1" t="s">
        <v>48</v>
      </c>
    </row>
    <row r="66" spans="2:2" x14ac:dyDescent="0.25">
      <c r="B66" s="1" t="s">
        <v>49</v>
      </c>
    </row>
    <row r="68" spans="2:2" x14ac:dyDescent="0.25">
      <c r="B68" s="1" t="s">
        <v>50</v>
      </c>
    </row>
    <row r="69" spans="2:2" x14ac:dyDescent="0.25">
      <c r="B69" s="1" t="s">
        <v>51</v>
      </c>
    </row>
  </sheetData>
  <pageMargins left="0.51181102362204722" right="0.51181102362204722" top="0.78740157480314965" bottom="0.78740157480314965" header="0.31496062992125984" footer="0.31496062992125984"/>
  <pageSetup paperSize="9" scale="72" fitToHeight="2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3:N35"/>
  <sheetViews>
    <sheetView zoomScale="85" zoomScaleNormal="85" workbookViewId="0">
      <selection activeCell="K7" sqref="K7"/>
    </sheetView>
  </sheetViews>
  <sheetFormatPr defaultColWidth="9.109375" defaultRowHeight="13.8" x14ac:dyDescent="0.25"/>
  <cols>
    <col min="1" max="1" width="2.6640625" style="1" customWidth="1"/>
    <col min="2" max="2" width="30.5546875" style="1" customWidth="1"/>
    <col min="3" max="7" width="15" style="1" customWidth="1"/>
    <col min="8" max="8" width="2.109375" style="1" customWidth="1"/>
    <col min="9" max="9" width="15" style="1" customWidth="1"/>
    <col min="10" max="10" width="19.33203125" style="1" customWidth="1"/>
    <col min="11" max="14" width="15" style="1" customWidth="1"/>
    <col min="15" max="16384" width="9.109375" style="1"/>
  </cols>
  <sheetData>
    <row r="3" spans="2:14" ht="14.25" x14ac:dyDescent="0.2">
      <c r="B3" s="5" t="s">
        <v>16</v>
      </c>
      <c r="C3" s="6">
        <v>0.12</v>
      </c>
      <c r="I3" s="7"/>
      <c r="K3" s="7"/>
      <c r="L3" s="7"/>
      <c r="M3" s="7"/>
      <c r="N3" s="7"/>
    </row>
    <row r="5" spans="2:14" x14ac:dyDescent="0.25">
      <c r="B5" s="32" t="s">
        <v>7</v>
      </c>
      <c r="C5" s="30" t="s">
        <v>63</v>
      </c>
      <c r="D5" s="30"/>
      <c r="E5" s="30"/>
      <c r="F5" s="30"/>
      <c r="G5" s="31"/>
    </row>
    <row r="6" spans="2:14" x14ac:dyDescent="0.25">
      <c r="B6" s="33"/>
      <c r="C6" s="14">
        <v>0</v>
      </c>
      <c r="D6" s="14">
        <v>1</v>
      </c>
      <c r="E6" s="14">
        <v>2</v>
      </c>
      <c r="F6" s="14">
        <v>3</v>
      </c>
      <c r="G6" s="15">
        <v>4</v>
      </c>
      <c r="I6" s="16" t="s">
        <v>14</v>
      </c>
      <c r="J6" s="17" t="s">
        <v>13</v>
      </c>
      <c r="K6" s="17" t="s">
        <v>12</v>
      </c>
      <c r="L6" s="17" t="s">
        <v>11</v>
      </c>
      <c r="M6" s="17" t="s">
        <v>10</v>
      </c>
      <c r="N6" s="18" t="s">
        <v>9</v>
      </c>
    </row>
    <row r="7" spans="2:14" x14ac:dyDescent="0.25">
      <c r="B7" s="3" t="s">
        <v>59</v>
      </c>
      <c r="C7" s="37">
        <v>600</v>
      </c>
      <c r="D7" s="37">
        <f>1500*2*12</f>
        <v>36000</v>
      </c>
      <c r="E7" s="37">
        <f>1500*4*12</f>
        <v>72000</v>
      </c>
      <c r="F7" s="37">
        <f>1500*8*12</f>
        <v>144000</v>
      </c>
      <c r="G7" s="37">
        <f>1500*10*12</f>
        <v>180000</v>
      </c>
      <c r="I7" s="27">
        <f t="shared" ref="I7:I13" si="0">NPV($C$3,D7:G7)+C7</f>
        <v>307030.42612453137</v>
      </c>
      <c r="J7" s="26" t="e">
        <f>IRR(C7:G7)</f>
        <v>#NUM!</v>
      </c>
      <c r="K7" s="26" t="e">
        <f t="shared" ref="K7:K13" si="1">IRR(C18:G18)</f>
        <v>#NUM!</v>
      </c>
      <c r="L7" s="29">
        <f>NPV($C$3,D7:G7)/-C7</f>
        <v>-510.71737687421893</v>
      </c>
      <c r="M7" s="29">
        <f>(-SUM(C7:D7)/(-SUM(C7:D7)+SUM(C7:E7)))*($E$6-$D$6)+$D$6</f>
        <v>0.4916666666666667</v>
      </c>
      <c r="N7" s="29">
        <f>(-SUM(C29:D29)/(-SUM(C29:D29)+SUM(C29:E29)))*($E$6-$D$6)+$D$6</f>
        <v>0.42954666666666663</v>
      </c>
    </row>
    <row r="8" spans="2:14" ht="14.25" x14ac:dyDescent="0.2">
      <c r="B8" s="3" t="s">
        <v>60</v>
      </c>
      <c r="C8" s="37">
        <f>600*12</f>
        <v>7200</v>
      </c>
      <c r="D8" s="4">
        <f>2000*12</f>
        <v>24000</v>
      </c>
      <c r="E8" s="4">
        <f>2000*2*12</f>
        <v>48000</v>
      </c>
      <c r="F8" s="4">
        <f>2000*3*12</f>
        <v>72000</v>
      </c>
      <c r="G8" s="4">
        <f>2000*4*12</f>
        <v>96000</v>
      </c>
      <c r="I8" s="27">
        <f t="shared" si="0"/>
        <v>179151.79092044977</v>
      </c>
      <c r="J8" s="26" t="e">
        <f t="shared" ref="J7:J13" si="2">IRR(C8:G8)</f>
        <v>#NUM!</v>
      </c>
      <c r="K8" s="26" t="e">
        <f t="shared" si="1"/>
        <v>#NUM!</v>
      </c>
      <c r="L8" s="29">
        <f>NPV($C$3,D8:G8)/-C8</f>
        <v>-23.882193183395803</v>
      </c>
      <c r="M8" s="29">
        <f>(-SUM(C8:D8)/(-SUM(C8:D8)+SUM(C8:E8)))*($E$6-$D$6)+$D$6</f>
        <v>0.35</v>
      </c>
      <c r="N8" s="29">
        <f>(-SUM(C30:D30)/(-SUM(C30:D30)+SUM(C30:E30)))*($E$6-$D$6)+$D$6</f>
        <v>0.25183999999999984</v>
      </c>
    </row>
    <row r="9" spans="2:14" ht="14.25" x14ac:dyDescent="0.2">
      <c r="B9" s="3" t="s">
        <v>61</v>
      </c>
      <c r="C9" s="37">
        <f>600*12</f>
        <v>7200</v>
      </c>
      <c r="D9" s="4">
        <f>200*12</f>
        <v>2400</v>
      </c>
      <c r="E9" s="4">
        <f>400*12+D9</f>
        <v>7200</v>
      </c>
      <c r="F9" s="4">
        <f>800*12+E9</f>
        <v>16800</v>
      </c>
      <c r="G9" s="4">
        <f>1000*12+F9</f>
        <v>28800</v>
      </c>
      <c r="I9" s="27">
        <f t="shared" si="0"/>
        <v>45343.481882548927</v>
      </c>
      <c r="J9" s="26" t="e">
        <f t="shared" si="2"/>
        <v>#NUM!</v>
      </c>
      <c r="K9" s="26" t="e">
        <f t="shared" si="1"/>
        <v>#NUM!</v>
      </c>
      <c r="L9" s="29">
        <f>NPV($C$3,D9:G9)/-C9</f>
        <v>-5.2977058170206845</v>
      </c>
      <c r="M9" s="29">
        <f>(-SUM(C9)/(-SUM(C9)+SUM(C9:D9)))*($D$6-$C$6)+$C$6</f>
        <v>-3</v>
      </c>
      <c r="N9" s="29">
        <f>(-SUM(C31:D31)/(-SUM(C31:D31)+SUM(C31:E31)))*($E$6-$D$6)+$D$6</f>
        <v>-0.62773333333333348</v>
      </c>
    </row>
    <row r="10" spans="2:14" ht="14.25" x14ac:dyDescent="0.2">
      <c r="B10" s="3" t="s">
        <v>62</v>
      </c>
      <c r="C10" s="37">
        <v>-9000</v>
      </c>
      <c r="D10" s="4">
        <f>600*2*12-(-C10)</f>
        <v>5400</v>
      </c>
      <c r="E10" s="4">
        <f>3*600*12+D10</f>
        <v>27000</v>
      </c>
      <c r="F10" s="4">
        <f>4*600*12+E10</f>
        <v>55800</v>
      </c>
      <c r="G10" s="4">
        <f>(5*600*12)+F10</f>
        <v>91800</v>
      </c>
      <c r="I10" s="27">
        <f t="shared" si="0"/>
        <v>115403.56069085794</v>
      </c>
      <c r="J10" s="26">
        <f t="shared" si="2"/>
        <v>1.8527737238113544</v>
      </c>
      <c r="K10" s="26">
        <f t="shared" si="1"/>
        <v>1.159561607650534</v>
      </c>
      <c r="L10" s="29">
        <f t="shared" ref="L10:L13" si="3">NPV($C$3,D10:G10)/-C10</f>
        <v>13.82261785453977</v>
      </c>
      <c r="M10" s="29">
        <f>(-SUM(C10)/(-SUM(C10)+SUM(C10:D10)))*($D$6-$C$6)+$C$6</f>
        <v>1.6666666666666667</v>
      </c>
      <c r="N10" s="29">
        <f>(-SUM(C32)/(-SUM(C32)+SUM(C32:D32)))*($D$6-$C$6)+$C$6</f>
        <v>1.8666666666666669</v>
      </c>
    </row>
    <row r="11" spans="2:14" ht="14.25" x14ac:dyDescent="0.2">
      <c r="B11" s="3"/>
      <c r="C11" s="37"/>
      <c r="D11" s="4"/>
      <c r="E11" s="4"/>
      <c r="F11" s="4"/>
      <c r="G11" s="4"/>
      <c r="I11" s="27"/>
      <c r="J11" s="26"/>
      <c r="K11" s="26"/>
      <c r="L11" s="29"/>
      <c r="M11" s="29"/>
      <c r="N11" s="29"/>
    </row>
    <row r="12" spans="2:14" x14ac:dyDescent="0.25">
      <c r="B12" s="3"/>
      <c r="C12" s="4"/>
      <c r="D12" s="4"/>
      <c r="E12" s="4"/>
      <c r="F12" s="4"/>
      <c r="G12" s="4"/>
      <c r="I12" s="27"/>
      <c r="J12" s="26"/>
      <c r="K12" s="26"/>
      <c r="L12" s="29"/>
      <c r="M12" s="29"/>
      <c r="N12" s="29"/>
    </row>
    <row r="13" spans="2:14" x14ac:dyDescent="0.25">
      <c r="B13" s="3"/>
      <c r="C13" s="4"/>
      <c r="D13" s="4"/>
      <c r="E13" s="4"/>
      <c r="F13" s="4"/>
      <c r="G13" s="4"/>
      <c r="I13" s="27"/>
      <c r="J13" s="26"/>
      <c r="K13" s="26"/>
      <c r="L13" s="29"/>
      <c r="M13" s="29"/>
      <c r="N13" s="29"/>
    </row>
    <row r="15" spans="2:14" ht="14.25" x14ac:dyDescent="0.2">
      <c r="L15" s="10"/>
    </row>
    <row r="16" spans="2:14" x14ac:dyDescent="0.25">
      <c r="B16" s="32" t="s">
        <v>7</v>
      </c>
      <c r="C16" s="30" t="s">
        <v>17</v>
      </c>
      <c r="D16" s="30"/>
      <c r="E16" s="30"/>
      <c r="F16" s="30"/>
      <c r="G16" s="31"/>
      <c r="L16" s="10"/>
    </row>
    <row r="17" spans="2:14" x14ac:dyDescent="0.25">
      <c r="B17" s="33"/>
      <c r="C17" s="14">
        <v>0</v>
      </c>
      <c r="D17" s="14">
        <v>1</v>
      </c>
      <c r="E17" s="14">
        <v>2</v>
      </c>
      <c r="F17" s="14">
        <v>3</v>
      </c>
      <c r="G17" s="15">
        <v>4</v>
      </c>
      <c r="I17" s="13" t="s">
        <v>15</v>
      </c>
      <c r="L17" s="10"/>
    </row>
    <row r="18" spans="2:14" x14ac:dyDescent="0.25">
      <c r="B18" s="3" t="s">
        <v>59</v>
      </c>
      <c r="C18" s="4">
        <f>C7+D7/((1+$C$3)^$D$6)</f>
        <v>32742.857142857141</v>
      </c>
      <c r="D18" s="4">
        <v>0</v>
      </c>
      <c r="E18" s="4">
        <v>0</v>
      </c>
      <c r="F18" s="4">
        <v>0</v>
      </c>
      <c r="G18" s="4">
        <f>G7-FV($C$3,$G$6-F$6,,F7)-FV($C$3,$G$6-E6,,E7)</f>
        <v>431596.80000000005</v>
      </c>
      <c r="I18" s="4">
        <f t="shared" ref="I18:I24" si="4">NPV($C$3,D18:G18)+C18-I7</f>
        <v>0</v>
      </c>
      <c r="K18" s="11"/>
      <c r="L18" s="10"/>
      <c r="N18" s="10"/>
    </row>
    <row r="19" spans="2:14" x14ac:dyDescent="0.25">
      <c r="B19" s="3" t="s">
        <v>60</v>
      </c>
      <c r="C19" s="4">
        <f>C8+D8/((1+$C$3)^$D$6)</f>
        <v>28628.571428571428</v>
      </c>
      <c r="D19" s="4">
        <v>0</v>
      </c>
      <c r="E19" s="4">
        <v>0</v>
      </c>
      <c r="F19" s="4">
        <v>0</v>
      </c>
      <c r="G19" s="4">
        <f>G8-FV($C$3,$G$6-F$6,,F8)-FV($C$3,$G$6-E6,,E8)</f>
        <v>236851.20000000001</v>
      </c>
      <c r="I19" s="4">
        <f t="shared" si="4"/>
        <v>0</v>
      </c>
      <c r="K19" s="28"/>
      <c r="L19" s="10"/>
      <c r="N19" s="10"/>
    </row>
    <row r="20" spans="2:14" x14ac:dyDescent="0.25">
      <c r="B20" s="3" t="s">
        <v>61</v>
      </c>
      <c r="C20" s="4">
        <f>C9</f>
        <v>7200</v>
      </c>
      <c r="D20" s="4">
        <v>0</v>
      </c>
      <c r="E20" s="4">
        <v>0</v>
      </c>
      <c r="F20" s="4">
        <v>0</v>
      </c>
      <c r="G20" s="4">
        <f>G9-FV($C$3,$G$6-F$6,,F9)-FV($C$3,$G$6-E6,,E9)-FV($C$3,$G$6-D6,,D9)</f>
        <v>60019.5072</v>
      </c>
      <c r="I20" s="4">
        <f t="shared" si="4"/>
        <v>0</v>
      </c>
      <c r="K20" s="34"/>
      <c r="L20" s="10"/>
      <c r="N20" s="10"/>
    </row>
    <row r="21" spans="2:14" x14ac:dyDescent="0.25">
      <c r="B21" s="3" t="s">
        <v>62</v>
      </c>
      <c r="C21" s="4">
        <f>C10</f>
        <v>-9000</v>
      </c>
      <c r="D21" s="4">
        <v>0</v>
      </c>
      <c r="E21" s="4">
        <v>0</v>
      </c>
      <c r="F21" s="4">
        <v>0</v>
      </c>
      <c r="G21" s="4">
        <f>G10-FV($C$3,$G$6-F$6,,F10)-FV($C$3,$G$6-E6,,E10)-FV($C$3,$G$6-D6,,D10)</f>
        <v>195751.4112</v>
      </c>
      <c r="I21" s="4">
        <f t="shared" si="4"/>
        <v>0</v>
      </c>
      <c r="K21" s="35"/>
      <c r="L21" s="10"/>
      <c r="M21" s="7"/>
      <c r="N21" s="10"/>
    </row>
    <row r="22" spans="2:14" x14ac:dyDescent="0.25">
      <c r="B22" s="3"/>
      <c r="C22" s="4"/>
      <c r="D22" s="4"/>
      <c r="E22" s="4"/>
      <c r="F22" s="4"/>
      <c r="G22" s="4"/>
      <c r="I22" s="4"/>
      <c r="K22" s="36"/>
      <c r="L22" s="10"/>
      <c r="M22" s="11"/>
    </row>
    <row r="23" spans="2:14" x14ac:dyDescent="0.25">
      <c r="B23" s="3"/>
      <c r="C23" s="4"/>
      <c r="D23" s="4"/>
      <c r="E23" s="4"/>
      <c r="F23" s="4"/>
      <c r="G23" s="4"/>
      <c r="I23" s="4"/>
      <c r="K23" s="36"/>
    </row>
    <row r="24" spans="2:14" x14ac:dyDescent="0.25">
      <c r="B24" s="3"/>
      <c r="C24" s="4"/>
      <c r="D24" s="4"/>
      <c r="E24" s="4"/>
      <c r="F24" s="4"/>
      <c r="G24" s="4"/>
      <c r="I24" s="4"/>
    </row>
    <row r="25" spans="2:14" ht="14.25" x14ac:dyDescent="0.2">
      <c r="C25" s="10"/>
      <c r="D25" s="10"/>
      <c r="E25" s="10"/>
    </row>
    <row r="27" spans="2:14" x14ac:dyDescent="0.25">
      <c r="B27" s="32" t="s">
        <v>7</v>
      </c>
      <c r="C27" s="30" t="s">
        <v>18</v>
      </c>
      <c r="D27" s="30"/>
      <c r="E27" s="30"/>
      <c r="F27" s="30"/>
      <c r="G27" s="31"/>
    </row>
    <row r="28" spans="2:14" x14ac:dyDescent="0.25">
      <c r="B28" s="33"/>
      <c r="C28" s="14">
        <v>0</v>
      </c>
      <c r="D28" s="14">
        <v>1</v>
      </c>
      <c r="E28" s="14">
        <v>2</v>
      </c>
      <c r="F28" s="14">
        <v>3</v>
      </c>
      <c r="G28" s="15">
        <v>4</v>
      </c>
    </row>
    <row r="29" spans="2:14" x14ac:dyDescent="0.25">
      <c r="B29" s="3" t="s">
        <v>6</v>
      </c>
      <c r="C29" s="27">
        <f t="shared" ref="C29:G35" si="5">C7/((1+$C$3)^C$28)</f>
        <v>600</v>
      </c>
      <c r="D29" s="27">
        <f>D7/((1+$C$3)^D$28)</f>
        <v>32142.857142857141</v>
      </c>
      <c r="E29" s="27">
        <f t="shared" si="5"/>
        <v>57397.959183673462</v>
      </c>
      <c r="F29" s="27">
        <f t="shared" si="5"/>
        <v>102496.35568513117</v>
      </c>
      <c r="G29" s="27">
        <f t="shared" si="5"/>
        <v>114393.25411286962</v>
      </c>
    </row>
    <row r="30" spans="2:14" x14ac:dyDescent="0.25">
      <c r="B30" s="3" t="s">
        <v>5</v>
      </c>
      <c r="C30" s="4">
        <f t="shared" si="5"/>
        <v>7200</v>
      </c>
      <c r="D30" s="4">
        <f t="shared" si="5"/>
        <v>21428.571428571428</v>
      </c>
      <c r="E30" s="4">
        <f t="shared" si="5"/>
        <v>38265.306122448972</v>
      </c>
      <c r="F30" s="4">
        <f t="shared" si="5"/>
        <v>51248.177842565587</v>
      </c>
      <c r="G30" s="4">
        <f t="shared" si="5"/>
        <v>61009.735526863791</v>
      </c>
    </row>
    <row r="31" spans="2:14" x14ac:dyDescent="0.25">
      <c r="B31" s="3" t="s">
        <v>4</v>
      </c>
      <c r="C31" s="4">
        <f t="shared" si="5"/>
        <v>7200</v>
      </c>
      <c r="D31" s="4">
        <f t="shared" si="5"/>
        <v>2142.8571428571427</v>
      </c>
      <c r="E31" s="4">
        <f t="shared" si="5"/>
        <v>5739.7959183673465</v>
      </c>
      <c r="F31" s="4">
        <f t="shared" si="5"/>
        <v>11957.908163265303</v>
      </c>
      <c r="G31" s="4">
        <f t="shared" si="5"/>
        <v>18302.920658059138</v>
      </c>
    </row>
    <row r="32" spans="2:14" x14ac:dyDescent="0.25">
      <c r="B32" s="3" t="s">
        <v>3</v>
      </c>
      <c r="C32" s="4">
        <f t="shared" si="5"/>
        <v>-9000</v>
      </c>
      <c r="D32" s="4">
        <f t="shared" si="5"/>
        <v>4821.4285714285706</v>
      </c>
      <c r="E32" s="4">
        <f t="shared" si="5"/>
        <v>21524.234693877548</v>
      </c>
      <c r="F32" s="4">
        <f t="shared" si="5"/>
        <v>39717.337827988325</v>
      </c>
      <c r="G32" s="4">
        <f t="shared" si="5"/>
        <v>58340.559597563501</v>
      </c>
    </row>
    <row r="33" spans="2:7" x14ac:dyDescent="0.25">
      <c r="B33" s="3" t="s">
        <v>2</v>
      </c>
      <c r="C33" s="4">
        <f t="shared" si="5"/>
        <v>0</v>
      </c>
      <c r="D33" s="4">
        <f t="shared" si="5"/>
        <v>0</v>
      </c>
      <c r="E33" s="4">
        <f t="shared" si="5"/>
        <v>0</v>
      </c>
      <c r="F33" s="4">
        <f t="shared" si="5"/>
        <v>0</v>
      </c>
      <c r="G33" s="4">
        <f t="shared" si="5"/>
        <v>0</v>
      </c>
    </row>
    <row r="34" spans="2:7" x14ac:dyDescent="0.25">
      <c r="B34" s="3" t="s">
        <v>1</v>
      </c>
      <c r="C34" s="4">
        <f t="shared" si="5"/>
        <v>0</v>
      </c>
      <c r="D34" s="4">
        <f t="shared" si="5"/>
        <v>0</v>
      </c>
      <c r="E34" s="4">
        <f t="shared" si="5"/>
        <v>0</v>
      </c>
      <c r="F34" s="4">
        <f t="shared" si="5"/>
        <v>0</v>
      </c>
      <c r="G34" s="4">
        <f t="shared" si="5"/>
        <v>0</v>
      </c>
    </row>
    <row r="35" spans="2:7" x14ac:dyDescent="0.25">
      <c r="B35" s="3" t="s">
        <v>0</v>
      </c>
      <c r="C35" s="4">
        <f t="shared" si="5"/>
        <v>0</v>
      </c>
      <c r="D35" s="4">
        <f t="shared" si="5"/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</row>
  </sheetData>
  <mergeCells count="6">
    <mergeCell ref="C5:G5"/>
    <mergeCell ref="C16:G16"/>
    <mergeCell ref="C27:G27"/>
    <mergeCell ref="B5:B6"/>
    <mergeCell ref="B16:B17"/>
    <mergeCell ref="B27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3:N25"/>
  <sheetViews>
    <sheetView tabSelected="1" zoomScale="85" zoomScaleNormal="85" workbookViewId="0">
      <selection activeCell="D8" sqref="D8"/>
    </sheetView>
  </sheetViews>
  <sheetFormatPr defaultColWidth="9.109375" defaultRowHeight="13.8" x14ac:dyDescent="0.25"/>
  <cols>
    <col min="1" max="1" width="2.6640625" style="1" customWidth="1"/>
    <col min="2" max="2" width="30.5546875" style="1" customWidth="1"/>
    <col min="3" max="7" width="15" style="1" customWidth="1"/>
    <col min="8" max="8" width="2.109375" style="1" customWidth="1"/>
    <col min="9" max="14" width="15" style="1" customWidth="1"/>
    <col min="15" max="16384" width="9.109375" style="1"/>
  </cols>
  <sheetData>
    <row r="3" spans="2:14" ht="14.25" x14ac:dyDescent="0.2">
      <c r="B3" s="5" t="s">
        <v>16</v>
      </c>
      <c r="C3" s="6">
        <v>0.12</v>
      </c>
      <c r="I3" s="7"/>
      <c r="K3" s="7"/>
      <c r="L3" s="7"/>
      <c r="M3" s="7"/>
      <c r="N3" s="7"/>
    </row>
    <row r="5" spans="2:14" x14ac:dyDescent="0.25">
      <c r="B5" s="32" t="s">
        <v>7</v>
      </c>
      <c r="C5" s="30" t="s">
        <v>8</v>
      </c>
      <c r="D5" s="30"/>
      <c r="E5" s="30"/>
      <c r="F5" s="30"/>
      <c r="G5" s="31"/>
    </row>
    <row r="6" spans="2:14" x14ac:dyDescent="0.25">
      <c r="B6" s="33"/>
      <c r="C6" s="14">
        <v>0</v>
      </c>
      <c r="D6" s="14">
        <v>1</v>
      </c>
      <c r="E6" s="14">
        <v>2</v>
      </c>
      <c r="F6" s="14">
        <v>3</v>
      </c>
      <c r="G6" s="15">
        <v>4</v>
      </c>
      <c r="I6" s="16" t="s">
        <v>14</v>
      </c>
      <c r="J6" s="17" t="s">
        <v>13</v>
      </c>
      <c r="K6" s="17" t="s">
        <v>12</v>
      </c>
      <c r="L6" s="17" t="s">
        <v>11</v>
      </c>
      <c r="M6" s="17" t="s">
        <v>10</v>
      </c>
      <c r="N6" s="18" t="s">
        <v>9</v>
      </c>
    </row>
    <row r="7" spans="2:14" x14ac:dyDescent="0.25">
      <c r="B7" s="3" t="s">
        <v>6</v>
      </c>
      <c r="C7" s="4">
        <v>-10</v>
      </c>
      <c r="D7" s="4">
        <v>-5</v>
      </c>
      <c r="E7" s="4">
        <v>20</v>
      </c>
      <c r="F7" s="4">
        <v>15</v>
      </c>
      <c r="G7" s="4">
        <v>10</v>
      </c>
      <c r="I7" s="27">
        <f t="shared" ref="I7:I13" si="0">NPV($C$3,D7:G7)+C7</f>
        <v>18.511476337984167</v>
      </c>
      <c r="J7" s="26">
        <f t="shared" ref="J7:J13" si="1">IRR(C7:G7)</f>
        <v>0.59332190894497105</v>
      </c>
      <c r="K7" s="26">
        <f>MIRR(C7:G7,$C$3,$C$3)</f>
        <v>0.37623463990212036</v>
      </c>
      <c r="L7" s="29">
        <f>NPV($C$3,D7:G7)/-C7</f>
        <v>2.8511476337984165</v>
      </c>
      <c r="M7" s="29">
        <f>(-SUM(C7:D7)/(-SUM(C7:D7)+SUM(C7:E7)))*($E$6-$D$6)+$D$6</f>
        <v>1.75</v>
      </c>
      <c r="N7" s="29">
        <f>(-SUM(C19:D19)/(-SUM(C19:D19)+SUM(C19:E19)))*($E$6-$D$6)+$D$6</f>
        <v>1.9072</v>
      </c>
    </row>
    <row r="8" spans="2:14" ht="14.25" x14ac:dyDescent="0.2">
      <c r="B8" s="3" t="s">
        <v>5</v>
      </c>
      <c r="C8" s="4">
        <v>-5</v>
      </c>
      <c r="D8" s="4">
        <v>-5</v>
      </c>
      <c r="E8" s="4">
        <v>20</v>
      </c>
      <c r="F8" s="4">
        <v>15</v>
      </c>
      <c r="G8" s="4">
        <v>5</v>
      </c>
      <c r="I8" s="27">
        <f t="shared" si="0"/>
        <v>20.333885945960009</v>
      </c>
      <c r="J8" s="26">
        <f t="shared" si="1"/>
        <v>0.95820988123662842</v>
      </c>
      <c r="K8" s="26">
        <f t="shared" ref="K8:K13" si="2">MIRR(C8:G8,$C$3,$C$3)</f>
        <v>0.49191289071934241</v>
      </c>
      <c r="L8" s="29">
        <f>NPV($C$3,D8:G8)/-C8</f>
        <v>5.0667771891920017</v>
      </c>
      <c r="M8" s="29">
        <f>(-SUM(C8:D8)/(-SUM(C8:D8)+SUM(C8:E8)))*($E$6-$D$6)+$D$6</f>
        <v>1.5</v>
      </c>
      <c r="N8" s="29">
        <f>(-SUM(C20:D20)/(-SUM(C20:D20)+SUM(C20:E20)))*($E$6-$D$6)+$D$6</f>
        <v>1.5935999999999999</v>
      </c>
    </row>
    <row r="9" spans="2:14" ht="14.25" x14ac:dyDescent="0.2">
      <c r="B9" s="3" t="s">
        <v>4</v>
      </c>
      <c r="C9" s="4">
        <v>-10</v>
      </c>
      <c r="D9" s="4">
        <v>10</v>
      </c>
      <c r="E9" s="4">
        <v>20</v>
      </c>
      <c r="F9" s="4">
        <v>15</v>
      </c>
      <c r="G9" s="4">
        <v>5</v>
      </c>
      <c r="I9" s="27">
        <f t="shared" si="0"/>
        <v>28.726743088817152</v>
      </c>
      <c r="J9" s="26">
        <f t="shared" si="1"/>
        <v>1.2378511362819591</v>
      </c>
      <c r="K9" s="26">
        <f t="shared" si="2"/>
        <v>0.57116127472936418</v>
      </c>
      <c r="L9" s="29">
        <f>NPV($C$3,D9:G9)/-C9</f>
        <v>3.8726743088817153</v>
      </c>
      <c r="M9" s="29">
        <f>(-SUM(C9)/(-SUM(C9)+SUM(C9:D9)))*($D$6-$C$6)+$C$6</f>
        <v>1</v>
      </c>
      <c r="N9" s="29">
        <f>(-SUM(C21:D21)/(-SUM(C21:D21)+SUM(C21:E21)))*($E$6-$D$6)+$D$6</f>
        <v>1.0672000000000001</v>
      </c>
    </row>
    <row r="10" spans="2:14" ht="14.25" x14ac:dyDescent="0.2">
      <c r="B10" s="3" t="s">
        <v>3</v>
      </c>
      <c r="C10" s="4">
        <v>-20</v>
      </c>
      <c r="D10" s="4">
        <v>30</v>
      </c>
      <c r="E10" s="4">
        <v>20</v>
      </c>
      <c r="F10" s="4">
        <v>15</v>
      </c>
      <c r="G10" s="4">
        <v>5</v>
      </c>
      <c r="I10" s="27">
        <f t="shared" si="0"/>
        <v>36.583885945960013</v>
      </c>
      <c r="J10" s="26">
        <f t="shared" si="1"/>
        <v>1.1517983445786895</v>
      </c>
      <c r="K10" s="26">
        <f t="shared" si="2"/>
        <v>0.45255878123938986</v>
      </c>
      <c r="L10" s="29">
        <f t="shared" ref="L10:L13" si="3">NPV($C$3,D10:G10)/-C10</f>
        <v>2.8291942972980006</v>
      </c>
      <c r="M10" s="29">
        <f>(-SUM(C10)/(-SUM(C10)+SUM(C10:D10)))*($D$6-$C$6)+$C$6</f>
        <v>0.66666666666666663</v>
      </c>
      <c r="N10" s="29">
        <f>(-SUM(C22)/(-SUM(C22)+SUM(C22:D22)))*($D$6-$C$6)+$C$6</f>
        <v>0.7466666666666667</v>
      </c>
    </row>
    <row r="11" spans="2:14" ht="14.25" x14ac:dyDescent="0.2">
      <c r="B11" s="3" t="s">
        <v>2</v>
      </c>
      <c r="C11" s="4">
        <v>-10</v>
      </c>
      <c r="D11" s="4">
        <v>-10</v>
      </c>
      <c r="E11" s="4">
        <v>20</v>
      </c>
      <c r="F11" s="4">
        <v>15</v>
      </c>
      <c r="G11" s="4">
        <v>5</v>
      </c>
      <c r="I11" s="27">
        <f t="shared" si="0"/>
        <v>10.869600231674298</v>
      </c>
      <c r="J11" s="26">
        <f t="shared" si="1"/>
        <v>0.39321017672077807</v>
      </c>
      <c r="K11" s="26">
        <f t="shared" si="2"/>
        <v>0.25454420167670166</v>
      </c>
      <c r="L11" s="29">
        <f t="shared" si="3"/>
        <v>2.0869600231674297</v>
      </c>
      <c r="M11" s="29">
        <f>(-SUM(C11:D11)/(-SUM(C11:D11)+SUM(C11:E11)))*($E$6-$D$6)+$D$6</f>
        <v>2</v>
      </c>
      <c r="N11" s="29">
        <f>(-SUM(C23:E23)/(-SUM(C23:E23)+SUM(C23:F23)))*($F$6-$E$6)+$E$6</f>
        <v>2.2795520000000002</v>
      </c>
    </row>
    <row r="12" spans="2:14" x14ac:dyDescent="0.25">
      <c r="B12" s="3" t="s">
        <v>1</v>
      </c>
      <c r="C12" s="4">
        <v>-30</v>
      </c>
      <c r="D12" s="4">
        <v>-10</v>
      </c>
      <c r="E12" s="4">
        <v>20</v>
      </c>
      <c r="F12" s="4">
        <v>15</v>
      </c>
      <c r="G12" s="4">
        <v>40</v>
      </c>
      <c r="I12" s="27">
        <f t="shared" si="0"/>
        <v>13.112732975843386</v>
      </c>
      <c r="J12" s="26">
        <f t="shared" si="1"/>
        <v>0.23694089753403591</v>
      </c>
      <c r="K12" s="26">
        <f t="shared" si="2"/>
        <v>0.2043090484794805</v>
      </c>
      <c r="L12" s="29">
        <f t="shared" si="3"/>
        <v>1.4370910991947796</v>
      </c>
      <c r="M12" s="29">
        <f>(-SUM(C12:F12)/(-SUM(C12:F12)+SUM(C12:G12)))*($G$6-$F$6)+$F$6</f>
        <v>3.125</v>
      </c>
      <c r="N12" s="29">
        <f>(-SUM(C24:F24)/(-SUM(C24:F24)+SUM(C24:G24)))*($G$6-$F$6)+$F$6</f>
        <v>3.4841715200000003</v>
      </c>
    </row>
    <row r="13" spans="2:14" x14ac:dyDescent="0.25">
      <c r="B13" s="3" t="s">
        <v>0</v>
      </c>
      <c r="C13" s="4">
        <v>-15</v>
      </c>
      <c r="D13" s="4">
        <v>10</v>
      </c>
      <c r="E13" s="4">
        <v>20</v>
      </c>
      <c r="F13" s="4">
        <v>15</v>
      </c>
      <c r="G13" s="4">
        <v>5</v>
      </c>
      <c r="I13" s="27">
        <f t="shared" si="0"/>
        <v>23.726743088817152</v>
      </c>
      <c r="J13" s="26">
        <f t="shared" si="1"/>
        <v>0.78558456808287969</v>
      </c>
      <c r="K13" s="26">
        <f t="shared" si="2"/>
        <v>0.41970447583965131</v>
      </c>
      <c r="L13" s="29">
        <f t="shared" si="3"/>
        <v>2.58178287258781</v>
      </c>
      <c r="M13" s="29">
        <f>(-SUM(C13:D13)/(-SUM(C13:D13)+SUM(C13:E13)))*($E$6-$D$6)+$D$6</f>
        <v>1.25</v>
      </c>
      <c r="N13" s="29">
        <f>(-SUM(C25:D25)/(-SUM(C25:D25)+SUM(C25:E25)))*($E$6-$D$6)+$D$6</f>
        <v>1.3808000000000002</v>
      </c>
    </row>
    <row r="15" spans="2:14" ht="14.25" x14ac:dyDescent="0.2">
      <c r="L15" s="10"/>
    </row>
    <row r="16" spans="2:14" ht="14.25" x14ac:dyDescent="0.2">
      <c r="K16" s="28"/>
    </row>
    <row r="17" spans="2:11" x14ac:dyDescent="0.25">
      <c r="B17" s="32" t="s">
        <v>7</v>
      </c>
      <c r="C17" s="30" t="s">
        <v>18</v>
      </c>
      <c r="D17" s="30"/>
      <c r="E17" s="30"/>
      <c r="F17" s="30"/>
      <c r="G17" s="31"/>
      <c r="K17" s="28"/>
    </row>
    <row r="18" spans="2:11" x14ac:dyDescent="0.25">
      <c r="B18" s="33"/>
      <c r="C18" s="14">
        <v>0</v>
      </c>
      <c r="D18" s="14">
        <v>1</v>
      </c>
      <c r="E18" s="14">
        <v>2</v>
      </c>
      <c r="F18" s="14">
        <v>3</v>
      </c>
      <c r="G18" s="15">
        <v>4</v>
      </c>
      <c r="K18" s="28"/>
    </row>
    <row r="19" spans="2:11" x14ac:dyDescent="0.25">
      <c r="B19" s="3" t="s">
        <v>6</v>
      </c>
      <c r="C19" s="27">
        <f t="shared" ref="C19:G25" si="4">C7/((1+$C$3)^C$18)</f>
        <v>-10</v>
      </c>
      <c r="D19" s="27">
        <f t="shared" si="4"/>
        <v>-4.4642857142857135</v>
      </c>
      <c r="E19" s="27">
        <f t="shared" si="4"/>
        <v>15.943877551020407</v>
      </c>
      <c r="F19" s="27">
        <f t="shared" si="4"/>
        <v>10.676703717201162</v>
      </c>
      <c r="G19" s="27">
        <f t="shared" si="4"/>
        <v>6.3551807840483114</v>
      </c>
      <c r="K19" s="28"/>
    </row>
    <row r="20" spans="2:11" ht="14.25" x14ac:dyDescent="0.2">
      <c r="B20" s="3" t="s">
        <v>5</v>
      </c>
      <c r="C20" s="4">
        <f t="shared" si="4"/>
        <v>-5</v>
      </c>
      <c r="D20" s="4">
        <f t="shared" si="4"/>
        <v>-4.4642857142857135</v>
      </c>
      <c r="E20" s="4">
        <f t="shared" si="4"/>
        <v>15.943877551020407</v>
      </c>
      <c r="F20" s="4">
        <f t="shared" si="4"/>
        <v>10.676703717201162</v>
      </c>
      <c r="G20" s="4">
        <f t="shared" si="4"/>
        <v>3.1775903920241557</v>
      </c>
      <c r="K20" s="28"/>
    </row>
    <row r="21" spans="2:11" ht="14.25" x14ac:dyDescent="0.2">
      <c r="B21" s="3" t="s">
        <v>4</v>
      </c>
      <c r="C21" s="4">
        <f t="shared" si="4"/>
        <v>-10</v>
      </c>
      <c r="D21" s="4">
        <f t="shared" si="4"/>
        <v>8.928571428571427</v>
      </c>
      <c r="E21" s="4">
        <f t="shared" si="4"/>
        <v>15.943877551020407</v>
      </c>
      <c r="F21" s="4">
        <f t="shared" si="4"/>
        <v>10.676703717201162</v>
      </c>
      <c r="G21" s="4">
        <f t="shared" si="4"/>
        <v>3.1775903920241557</v>
      </c>
      <c r="K21" s="28"/>
    </row>
    <row r="22" spans="2:11" ht="14.25" x14ac:dyDescent="0.2">
      <c r="B22" s="3" t="s">
        <v>3</v>
      </c>
      <c r="C22" s="4">
        <f t="shared" si="4"/>
        <v>-20</v>
      </c>
      <c r="D22" s="4">
        <f t="shared" si="4"/>
        <v>26.785714285714285</v>
      </c>
      <c r="E22" s="4">
        <f t="shared" si="4"/>
        <v>15.943877551020407</v>
      </c>
      <c r="F22" s="4">
        <f t="shared" si="4"/>
        <v>10.676703717201162</v>
      </c>
      <c r="G22" s="4">
        <f t="shared" si="4"/>
        <v>3.1775903920241557</v>
      </c>
      <c r="K22" s="28"/>
    </row>
    <row r="23" spans="2:11" ht="14.25" x14ac:dyDescent="0.2">
      <c r="B23" s="3" t="s">
        <v>2</v>
      </c>
      <c r="C23" s="4">
        <f t="shared" si="4"/>
        <v>-10</v>
      </c>
      <c r="D23" s="4">
        <f t="shared" si="4"/>
        <v>-8.928571428571427</v>
      </c>
      <c r="E23" s="4">
        <f t="shared" si="4"/>
        <v>15.943877551020407</v>
      </c>
      <c r="F23" s="4">
        <f t="shared" si="4"/>
        <v>10.676703717201162</v>
      </c>
      <c r="G23" s="4">
        <f t="shared" si="4"/>
        <v>3.1775903920241557</v>
      </c>
      <c r="K23" s="28"/>
    </row>
    <row r="24" spans="2:11" x14ac:dyDescent="0.25">
      <c r="B24" s="3" t="s">
        <v>1</v>
      </c>
      <c r="C24" s="4">
        <f t="shared" si="4"/>
        <v>-30</v>
      </c>
      <c r="D24" s="4">
        <f t="shared" si="4"/>
        <v>-8.928571428571427</v>
      </c>
      <c r="E24" s="4">
        <f t="shared" si="4"/>
        <v>15.943877551020407</v>
      </c>
      <c r="F24" s="4">
        <f t="shared" si="4"/>
        <v>10.676703717201162</v>
      </c>
      <c r="G24" s="4">
        <f t="shared" si="4"/>
        <v>25.420723136193246</v>
      </c>
      <c r="K24" s="28"/>
    </row>
    <row r="25" spans="2:11" x14ac:dyDescent="0.25">
      <c r="B25" s="3" t="s">
        <v>0</v>
      </c>
      <c r="C25" s="4">
        <f t="shared" si="4"/>
        <v>-15</v>
      </c>
      <c r="D25" s="4">
        <f t="shared" si="4"/>
        <v>8.928571428571427</v>
      </c>
      <c r="E25" s="4">
        <f t="shared" si="4"/>
        <v>15.943877551020407</v>
      </c>
      <c r="F25" s="4">
        <f t="shared" si="4"/>
        <v>10.676703717201162</v>
      </c>
      <c r="G25" s="4">
        <f t="shared" si="4"/>
        <v>3.1775903920241557</v>
      </c>
    </row>
  </sheetData>
  <mergeCells count="4">
    <mergeCell ref="B5:B6"/>
    <mergeCell ref="C5:G5"/>
    <mergeCell ref="B17:B18"/>
    <mergeCell ref="C17:G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Resposta</vt:lpstr>
      <vt:lpstr>Cálculos</vt:lpstr>
      <vt:lpstr>Cálculos (com fórmula da TIRM)</vt:lpstr>
      <vt:lpstr>Resposta!Area_de_impressao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Assunção</dc:creator>
  <cp:lastModifiedBy>Andre Felipe Carneiro Pereira</cp:lastModifiedBy>
  <cp:lastPrinted>2015-09-03T15:30:41Z</cp:lastPrinted>
  <dcterms:created xsi:type="dcterms:W3CDTF">2015-09-03T12:43:53Z</dcterms:created>
  <dcterms:modified xsi:type="dcterms:W3CDTF">2015-10-29T16:58:44Z</dcterms:modified>
</cp:coreProperties>
</file>