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7d3\AC\Temp\"/>
    </mc:Choice>
  </mc:AlternateContent>
  <xr:revisionPtr revIDLastSave="0" documentId="8_{7DCE5905-CD64-41BD-AF33-C9E8C65DCEB9}" xr6:coauthVersionLast="47" xr6:coauthVersionMax="47" xr10:uidLastSave="{00000000-0000-0000-0000-000000000000}"/>
  <bookViews>
    <workbookView xWindow="-60" yWindow="-60" windowWidth="15480" windowHeight="11640" tabRatio="919" xr2:uid="{00000000-000D-0000-FFFF-FFFF00000000}"/>
  </bookViews>
  <sheets>
    <sheet name="Anexo 1 Rec" sheetId="1" r:id="rId1"/>
    <sheet name="Anexo 1 Rec Intra" sheetId="2" r:id="rId2"/>
    <sheet name="Anexo 1 Desp" sheetId="3" r:id="rId3"/>
    <sheet name="Elaboração RECEITA" sheetId="46" r:id="rId4"/>
    <sheet name="Elaboração DESPESA" sheetId="49" r:id="rId5"/>
    <sheet name="Anexo 1 -Até o Mês " sheetId="47" r:id="rId6"/>
    <sheet name="Critério SIAFI Oper." sheetId="50" r:id="rId7"/>
    <sheet name="SIAFI Oper." sheetId="51" r:id="rId8"/>
    <sheet name="Elaboração SICONFI" sheetId="53" r:id="rId9"/>
    <sheet name="Para SICONFI" sheetId="52" r:id="rId10"/>
    <sheet name="SICONFI vinculada" sheetId="55" r:id="rId11"/>
  </sheets>
  <externalReferences>
    <externalReference r:id="rId12"/>
  </externalReferences>
  <definedNames>
    <definedName name="_xlnm._FilterDatabase" localSheetId="2" hidden="1">'Anexo 1 Desp'!$M$11:$M$199</definedName>
    <definedName name="_xlnm._FilterDatabase" localSheetId="0" hidden="1">'Anexo 1 Rec'!$L$10:$L$213</definedName>
    <definedName name="_xlnm._FilterDatabase" localSheetId="1" hidden="1">'Anexo 1 Rec Intra'!$L$11:$L$200</definedName>
    <definedName name="ajustes">'Anexo 1 Rec Intra'!$A$62:$H$62</definedName>
    <definedName name="amort_externa">'Anexo 1 Desp'!$A$42:$K$44</definedName>
    <definedName name="amort_interna">'Anexo 1 Desp'!$A$39:$K$41</definedName>
    <definedName name="bal_ante_anterior">'SIAFI Oper.'!$C$40:$D$71</definedName>
    <definedName name="deficit">'Anexo 1 Rec Intra'!$A$63:$H$63</definedName>
    <definedName name="desp_emp__subtotal">'Anexo 1 Desp'!$D$37</definedName>
    <definedName name="desp_emp_bim_subtotal">'Anexo 1 Desp'!$D$37</definedName>
    <definedName name="desp_emp_intra">'SICONFI vinculada'!$I$143</definedName>
    <definedName name="desp_emp_intra_bim">'SICONFI vinculada'!$H$143</definedName>
    <definedName name="desp_emp_subtotal">'Anexo 1 Desp'!$E$37</definedName>
    <definedName name="desp_insc_rpnp_subtotal">'Anexo 1 Desp'!$K$37</definedName>
    <definedName name="desp_intra">'Anexo 1 Desp'!$A$25:$K$34</definedName>
    <definedName name="desp_liq_bim_intra">'SICONFI vinculada'!$K$143</definedName>
    <definedName name="desp_liq_intra">'SICONFI vinculada'!$L$143</definedName>
    <definedName name="desp_liq_subtotal">'Anexo 1 Desp'!$H$37</definedName>
    <definedName name="desp_RPNP_intra">'SICONFI vinculada'!$O$143</definedName>
    <definedName name="despesas">'Anexo 1 Desp'!$A$12:$K$24</definedName>
    <definedName name="detalhamento_prev">'Anexo 1 Rec Intra'!$A$65:$H$68</definedName>
    <definedName name="dot_atual_subtotal">'Anexo 1 Desp'!$C$37</definedName>
    <definedName name="dot_atualizada_intra">'SICONFI vinculada'!$G$143</definedName>
    <definedName name="dot_intra">'SICONFI vinculada'!$F$143</definedName>
    <definedName name="dot_subtotal">'Anexo 1 Desp'!$B$37</definedName>
    <definedName name="Filtro_ocultar_desp">'Anexo 1 Desp'!$M$12:$M$199</definedName>
    <definedName name="Filtro_ocultar_rec">'Anexo 1 Rec'!$L$10:$L$213</definedName>
    <definedName name="Filtro_ocultar_rec_intra">'Anexo 1 Rec Intra'!$L$12:$L$200</definedName>
    <definedName name="HTML_CodePage" hidden="1">1252</definedName>
    <definedName name="HTML_Description" hidden="1">""</definedName>
    <definedName name="HTML_Email" hidden="1">""</definedName>
    <definedName name="HTML_Header" hidden="1">"Tabela"</definedName>
    <definedName name="HTML_LastUpdate" hidden="1">"16/03/98"</definedName>
    <definedName name="HTML_LineAfter" hidden="1">FALSE</definedName>
    <definedName name="HTML_LineBefore" hidden="1">FALSE</definedName>
    <definedName name="HTML_Name" hidden="1">"Rede Integrada"</definedName>
    <definedName name="HTML_OBDlg2" hidden="1">TRUE</definedName>
    <definedName name="HTML_OBDlg4" hidden="1">TRUE</definedName>
    <definedName name="HTML_OS" hidden="1">0</definedName>
    <definedName name="HTML_PathFile" hidden="1">"C:\internetemp\balpep1.htm"</definedName>
    <definedName name="HTML_Title" hidden="1">"Balpep11"</definedName>
    <definedName name="mes_referencia">'Anexo 1 Rec'!$A$5</definedName>
    <definedName name="mob_externa">'Anexo 1 Rec Intra'!$A$59:$H$60</definedName>
    <definedName name="mob_interna">'Anexo 1 Rec Intra'!$A$57:$H$58</definedName>
    <definedName name="op_cred_refin_prev_atual">'Anexo 1 Rec Intra'!$C$56</definedName>
    <definedName name="rec_intra">'Anexo 1 Rec Intra'!$A$12:$H$54</definedName>
    <definedName name="rec_op_cred">'Anexo 1 Rec'!$F$65</definedName>
    <definedName name="rec_op_cred_intra">'Anexo 1 Rec Intra'!$F$40</definedName>
    <definedName name="rec_op_cred_intra_prev_atual">'Anexo 1 Rec Intra'!$C$40</definedName>
    <definedName name="rec_op_cred_prev_atual">'Anexo 1 Rec'!$C$65</definedName>
    <definedName name="rec_op_cred_refin">'Anexo 1 Rec Intra'!$F$56</definedName>
    <definedName name="receitas_capital">'Anexo 1 Rec'!$A$64:$H$88</definedName>
    <definedName name="receitas_correntes">'Anexo 1 Rec'!$A$12:$H$50</definedName>
    <definedName name="siconfi_desp">'Elaboração SICONFI'!$B$132:$E$144</definedName>
    <definedName name="siconfi_desp_intra">'Elaboração SICONFI'!$B$146:$E$156</definedName>
    <definedName name="siconfi_desp_ref_mob_ext">'Elaboração SICONFI'!$B$164:$E$168</definedName>
    <definedName name="siconfi_desp_ref_mob_int">'Elaboração SICONFI'!$B$158:$E$162</definedName>
    <definedName name="siconfi_rec_capital">'Elaboração SICONFI'!$B$45:$D$69</definedName>
    <definedName name="siconfi_rec_correntes">'Elaboração SICONFI'!$B$3:$D$43</definedName>
    <definedName name="siconfi_rec_intra">'Elaboração SICONFI'!$B$71:$D$115</definedName>
    <definedName name="siconfi_rec_ref_mob_externa">'Elaboração SICONFI'!$B$123:$D$126</definedName>
    <definedName name="siconfi_rec_ref_mob_interna">'Elaboração SICONFI'!$B$117:$D$120</definedName>
    <definedName name="total_desp_dot_atualizada">'Anexo 1 Desp'!$C$45</definedName>
    <definedName name="total_desp_dot_inicial">'Anexo 1 Desp'!$B$45</definedName>
    <definedName name="total_desp_emp_no_mes">'Anexo 1 Desp'!$D$45</definedName>
    <definedName name="total_desp_empenhada">'Anexo 1 Desp'!$E$45</definedName>
    <definedName name="total_desp_liq">'Anexo 1 Desp'!$H$45</definedName>
    <definedName name="total_desp_liq_mes">'Anexo 1 Desp'!$G$45</definedName>
    <definedName name="total_desp_paga">'Anexo 1 Desp'!$J$45</definedName>
    <definedName name="total_desp_RPNP">'Anexo 1 Desp'!$K$45</definedName>
    <definedName name="transf_capital">'Anexo 1 Rec'!$A$73:$H$81</definedName>
    <definedName name="verificacao_despesa">'Elaboração DESPESA'!$J$3</definedName>
    <definedName name="verificacao_receita">'Elaboração RECEITA'!$F$3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O31" i="49" l="1"/>
  <c r="N31" i="49"/>
  <c r="C9" i="52" l="1"/>
  <c r="D9" i="52"/>
  <c r="C10" i="52"/>
  <c r="D10" i="52"/>
  <c r="C11" i="52"/>
  <c r="D11" i="52"/>
  <c r="C12" i="52"/>
  <c r="D12" i="52"/>
  <c r="C13" i="52"/>
  <c r="D13" i="52"/>
  <c r="C14" i="52"/>
  <c r="D14" i="52"/>
  <c r="C15" i="52"/>
  <c r="D15" i="52"/>
  <c r="C16" i="52"/>
  <c r="D16" i="52"/>
  <c r="C17" i="52"/>
  <c r="D17" i="52"/>
  <c r="C18" i="52"/>
  <c r="D18" i="52"/>
  <c r="C19" i="52"/>
  <c r="D19" i="52"/>
  <c r="C20" i="52"/>
  <c r="D20" i="52"/>
  <c r="C21" i="52"/>
  <c r="D21" i="52"/>
  <c r="C22" i="52"/>
  <c r="D22" i="52"/>
  <c r="C23" i="52"/>
  <c r="D23" i="52"/>
  <c r="C24" i="52"/>
  <c r="D24" i="52"/>
  <c r="C25" i="52"/>
  <c r="D25" i="52"/>
  <c r="C26" i="52"/>
  <c r="D26" i="52"/>
  <c r="C27" i="52"/>
  <c r="D27" i="52"/>
  <c r="C28" i="52"/>
  <c r="D28" i="52"/>
  <c r="C29" i="52"/>
  <c r="D29" i="52"/>
  <c r="C30" i="52"/>
  <c r="D30" i="52"/>
  <c r="C31" i="52"/>
  <c r="D31" i="52"/>
  <c r="C32" i="52"/>
  <c r="D32" i="52"/>
  <c r="C33" i="52"/>
  <c r="D33" i="52"/>
  <c r="C34" i="52"/>
  <c r="D34" i="52"/>
  <c r="C35" i="52"/>
  <c r="D35" i="52"/>
  <c r="C36" i="52"/>
  <c r="D36" i="52"/>
  <c r="C37" i="52"/>
  <c r="D37" i="52"/>
  <c r="C38" i="52"/>
  <c r="D38" i="52"/>
  <c r="C39" i="52"/>
  <c r="D39" i="52"/>
  <c r="C40" i="52"/>
  <c r="D40" i="52"/>
  <c r="C41" i="52"/>
  <c r="D41" i="52"/>
  <c r="C42" i="52"/>
  <c r="D42" i="52"/>
  <c r="C43" i="52"/>
  <c r="D43" i="52"/>
  <c r="C44" i="52"/>
  <c r="D44" i="52"/>
  <c r="C45" i="52"/>
  <c r="D45" i="52"/>
  <c r="C46" i="52"/>
  <c r="D46" i="52"/>
  <c r="C47" i="52"/>
  <c r="D47" i="52"/>
  <c r="C48" i="52"/>
  <c r="D48" i="52"/>
  <c r="C49" i="52"/>
  <c r="D49" i="52"/>
  <c r="C50" i="52"/>
  <c r="D50" i="52"/>
  <c r="C51" i="52"/>
  <c r="D51" i="52"/>
  <c r="C52" i="52"/>
  <c r="D52" i="52"/>
  <c r="C53" i="52"/>
  <c r="D53" i="52"/>
  <c r="C54" i="52"/>
  <c r="D54" i="52"/>
  <c r="C55" i="52"/>
  <c r="D55" i="52"/>
  <c r="C56" i="52"/>
  <c r="D56" i="52"/>
  <c r="C57" i="52"/>
  <c r="D57" i="52"/>
  <c r="C58" i="52"/>
  <c r="D58" i="52"/>
  <c r="C59" i="52"/>
  <c r="D59" i="52"/>
  <c r="C60" i="52"/>
  <c r="D60" i="52"/>
  <c r="C61" i="52"/>
  <c r="D61" i="52"/>
  <c r="C62" i="52"/>
  <c r="D62" i="52"/>
  <c r="C63" i="52"/>
  <c r="D63" i="52"/>
  <c r="C64" i="52"/>
  <c r="D64" i="52"/>
  <c r="C65" i="52"/>
  <c r="D65" i="52"/>
  <c r="C66" i="52"/>
  <c r="D66" i="52"/>
  <c r="C67" i="52"/>
  <c r="D67" i="52"/>
  <c r="C68" i="52"/>
  <c r="D68" i="52"/>
  <c r="C69" i="52"/>
  <c r="D69" i="52"/>
  <c r="C70" i="52"/>
  <c r="D70" i="52"/>
  <c r="C71" i="52"/>
  <c r="D71" i="52"/>
  <c r="C72" i="52"/>
  <c r="D72" i="52"/>
  <c r="C73" i="52"/>
  <c r="D73" i="52"/>
  <c r="C74" i="52"/>
  <c r="D74" i="52"/>
  <c r="C75" i="52"/>
  <c r="D75" i="52"/>
  <c r="C76" i="52"/>
  <c r="D76" i="52"/>
  <c r="C77" i="52"/>
  <c r="D77" i="52"/>
  <c r="C78" i="52"/>
  <c r="D78" i="52"/>
  <c r="C79" i="52"/>
  <c r="D79" i="52"/>
  <c r="C80" i="52"/>
  <c r="D80" i="52"/>
  <c r="C81" i="52"/>
  <c r="D81" i="52"/>
  <c r="C82" i="52"/>
  <c r="D82" i="52"/>
  <c r="C83" i="52"/>
  <c r="D83" i="52"/>
  <c r="C84" i="52"/>
  <c r="D84" i="52"/>
  <c r="C85" i="52"/>
  <c r="D85" i="52"/>
  <c r="C86" i="52"/>
  <c r="D86" i="52"/>
  <c r="C87" i="52"/>
  <c r="D87" i="52"/>
  <c r="C88" i="52"/>
  <c r="D88" i="52"/>
  <c r="C89" i="52"/>
  <c r="D89" i="52"/>
  <c r="C90" i="52"/>
  <c r="D90" i="52"/>
  <c r="C91" i="52"/>
  <c r="D91" i="52"/>
  <c r="C92" i="52"/>
  <c r="D92" i="52"/>
  <c r="C93" i="52"/>
  <c r="D93" i="52"/>
  <c r="C94" i="52"/>
  <c r="D94" i="52"/>
  <c r="C95" i="52"/>
  <c r="D95" i="52"/>
  <c r="C96" i="52"/>
  <c r="D96" i="52"/>
  <c r="C97" i="52"/>
  <c r="D97" i="52"/>
  <c r="C98" i="52"/>
  <c r="D98" i="52"/>
  <c r="C99" i="52"/>
  <c r="D99" i="52"/>
  <c r="C100" i="52"/>
  <c r="D100" i="52"/>
  <c r="C101" i="52"/>
  <c r="D101" i="52"/>
  <c r="C102" i="52"/>
  <c r="D102" i="52"/>
  <c r="C103" i="52"/>
  <c r="D103" i="52"/>
  <c r="C104" i="52"/>
  <c r="D104" i="52"/>
  <c r="C105" i="52"/>
  <c r="D105" i="52"/>
  <c r="C106" i="52"/>
  <c r="D106" i="52"/>
  <c r="C107" i="52"/>
  <c r="D107" i="52"/>
  <c r="C108" i="52"/>
  <c r="D108" i="52"/>
  <c r="C109" i="52"/>
  <c r="D109" i="52"/>
  <c r="C110" i="52"/>
  <c r="D110" i="52"/>
  <c r="C111" i="52"/>
  <c r="D111" i="52"/>
  <c r="C112" i="52"/>
  <c r="D112" i="52"/>
  <c r="C113" i="52"/>
  <c r="D113" i="52"/>
  <c r="C114" i="52"/>
  <c r="D114" i="52"/>
  <c r="C115" i="52"/>
  <c r="D115" i="52"/>
  <c r="C116" i="52"/>
  <c r="D116" i="52"/>
  <c r="C117" i="52"/>
  <c r="D117" i="52"/>
  <c r="C118" i="52"/>
  <c r="D118" i="52"/>
  <c r="C119" i="52"/>
  <c r="D119" i="52"/>
  <c r="C120" i="52"/>
  <c r="D120" i="52"/>
  <c r="C121" i="52"/>
  <c r="D121" i="52"/>
  <c r="C122" i="52"/>
  <c r="D122" i="52"/>
  <c r="C123" i="52"/>
  <c r="D123" i="52"/>
  <c r="C124" i="52"/>
  <c r="D124" i="52"/>
  <c r="C125" i="52"/>
  <c r="D125" i="52"/>
  <c r="C126" i="52"/>
  <c r="D126" i="52"/>
  <c r="C127" i="52"/>
  <c r="D127" i="52"/>
  <c r="C128" i="52"/>
  <c r="D128" i="52"/>
  <c r="C129" i="52"/>
  <c r="D129" i="52"/>
  <c r="C130" i="52"/>
  <c r="D130" i="52"/>
  <c r="C131" i="52"/>
  <c r="D131" i="52"/>
  <c r="C132" i="52"/>
  <c r="D132" i="52"/>
  <c r="C133" i="52"/>
  <c r="D133" i="52"/>
  <c r="C134" i="52"/>
  <c r="D134" i="52"/>
  <c r="C135" i="52"/>
  <c r="D135" i="52"/>
  <c r="C136" i="52"/>
  <c r="D136" i="52"/>
  <c r="C137" i="52"/>
  <c r="D137" i="52"/>
  <c r="C138" i="52"/>
  <c r="D138" i="52"/>
  <c r="C139" i="52"/>
  <c r="D139" i="52"/>
  <c r="C140" i="52"/>
  <c r="D140" i="52"/>
  <c r="C141" i="52"/>
  <c r="D141" i="52"/>
  <c r="C142" i="52"/>
  <c r="D142" i="52"/>
  <c r="C143" i="52"/>
  <c r="D143" i="52"/>
  <c r="C144" i="52"/>
  <c r="D144" i="52"/>
  <c r="C145" i="52"/>
  <c r="D145" i="52"/>
  <c r="C146" i="52"/>
  <c r="D146" i="52"/>
  <c r="C147" i="52"/>
  <c r="D147" i="52"/>
  <c r="C148" i="52"/>
  <c r="D148" i="52"/>
  <c r="C149" i="52"/>
  <c r="D149" i="52"/>
  <c r="C150" i="52"/>
  <c r="D150" i="52"/>
  <c r="C151" i="52"/>
  <c r="D151" i="52"/>
  <c r="C152" i="52"/>
  <c r="D152" i="52"/>
  <c r="C153" i="52"/>
  <c r="D153" i="52"/>
  <c r="C154" i="52"/>
  <c r="D154" i="52"/>
  <c r="C155" i="52"/>
  <c r="D155" i="52"/>
  <c r="C156" i="52"/>
  <c r="D156" i="52"/>
  <c r="C157" i="52"/>
  <c r="D157" i="52"/>
  <c r="C158" i="52"/>
  <c r="D158" i="52"/>
  <c r="C159" i="52"/>
  <c r="D159" i="52"/>
  <c r="C160" i="52"/>
  <c r="D160" i="52"/>
  <c r="C161" i="52"/>
  <c r="D161" i="52"/>
  <c r="C162" i="52"/>
  <c r="D162" i="52"/>
  <c r="C163" i="52"/>
  <c r="D163" i="52"/>
  <c r="C164" i="52"/>
  <c r="D164" i="52"/>
  <c r="C165" i="52"/>
  <c r="D165" i="52"/>
  <c r="C166" i="52"/>
  <c r="D166" i="52"/>
  <c r="C167" i="52"/>
  <c r="D167" i="52"/>
  <c r="C168" i="52"/>
  <c r="D168" i="52"/>
  <c r="C169" i="52"/>
  <c r="D169" i="52"/>
  <c r="C170" i="52"/>
  <c r="D170" i="52"/>
  <c r="C171" i="52"/>
  <c r="D171" i="52"/>
  <c r="C172" i="52"/>
  <c r="D172" i="52"/>
  <c r="C173" i="52"/>
  <c r="D173" i="52"/>
  <c r="C174" i="52"/>
  <c r="D174" i="52"/>
  <c r="C175" i="52"/>
  <c r="D175" i="52"/>
  <c r="C176" i="52"/>
  <c r="D176" i="52"/>
  <c r="C177" i="52"/>
  <c r="D177" i="52"/>
  <c r="C178" i="52"/>
  <c r="D178" i="52"/>
  <c r="C179" i="52"/>
  <c r="D179" i="52"/>
  <c r="B10" i="52"/>
  <c r="D4" i="53" s="1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D45" i="53" s="1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B122" i="52"/>
  <c r="B123" i="52"/>
  <c r="B124" i="52"/>
  <c r="B125" i="52"/>
  <c r="B126" i="52"/>
  <c r="B127" i="52"/>
  <c r="B128" i="52"/>
  <c r="B129" i="52"/>
  <c r="B130" i="52"/>
  <c r="B131" i="52"/>
  <c r="B132" i="52"/>
  <c r="B133" i="52"/>
  <c r="B134" i="52"/>
  <c r="B135" i="52"/>
  <c r="B136" i="52"/>
  <c r="B137" i="52"/>
  <c r="B138" i="52"/>
  <c r="B139" i="52"/>
  <c r="B140" i="52"/>
  <c r="B141" i="52"/>
  <c r="B142" i="52"/>
  <c r="B143" i="52"/>
  <c r="B144" i="52"/>
  <c r="B145" i="52"/>
  <c r="B146" i="52"/>
  <c r="B147" i="52"/>
  <c r="B148" i="52"/>
  <c r="B149" i="52"/>
  <c r="B150" i="52"/>
  <c r="B151" i="52"/>
  <c r="B152" i="52"/>
  <c r="B153" i="52"/>
  <c r="B154" i="52"/>
  <c r="B155" i="52"/>
  <c r="B156" i="52"/>
  <c r="B157" i="52"/>
  <c r="B158" i="52"/>
  <c r="B159" i="52"/>
  <c r="B160" i="52"/>
  <c r="B161" i="52"/>
  <c r="B162" i="52"/>
  <c r="B163" i="52"/>
  <c r="B164" i="52"/>
  <c r="B165" i="52"/>
  <c r="B166" i="52"/>
  <c r="B167" i="52"/>
  <c r="B168" i="52"/>
  <c r="B169" i="52"/>
  <c r="B170" i="52"/>
  <c r="B171" i="52"/>
  <c r="B172" i="52"/>
  <c r="B173" i="52"/>
  <c r="B174" i="52"/>
  <c r="B175" i="52"/>
  <c r="B176" i="52"/>
  <c r="B177" i="52"/>
  <c r="B178" i="52"/>
  <c r="B179" i="52"/>
  <c r="B9" i="52"/>
  <c r="D3" i="53"/>
  <c r="C147" i="46" l="1"/>
  <c r="C146" i="46"/>
  <c r="C145" i="46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F36" i="49"/>
  <c r="F37" i="49"/>
  <c r="F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6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30" i="49"/>
  <c r="N18" i="49" s="1"/>
  <c r="C31" i="49"/>
  <c r="C32" i="49"/>
  <c r="C33" i="49"/>
  <c r="C34" i="49"/>
  <c r="C35" i="49"/>
  <c r="C36" i="49"/>
  <c r="C37" i="49"/>
  <c r="C6" i="49"/>
  <c r="F138" i="46"/>
  <c r="F137" i="46"/>
  <c r="F136" i="46"/>
  <c r="F135" i="46"/>
  <c r="F134" i="46"/>
  <c r="F133" i="46"/>
  <c r="F132" i="46"/>
  <c r="F131" i="46"/>
  <c r="F130" i="46"/>
  <c r="F129" i="46"/>
  <c r="F128" i="46"/>
  <c r="F127" i="46"/>
  <c r="F126" i="46"/>
  <c r="F117" i="46"/>
  <c r="F116" i="46"/>
  <c r="F115" i="46"/>
  <c r="F114" i="46"/>
  <c r="F113" i="46"/>
  <c r="F112" i="46"/>
  <c r="F111" i="46"/>
  <c r="F110" i="46"/>
  <c r="F109" i="46"/>
  <c r="F108" i="46"/>
  <c r="F107" i="46"/>
  <c r="F106" i="46"/>
  <c r="F105" i="46"/>
  <c r="F104" i="46"/>
  <c r="F103" i="46"/>
  <c r="F102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6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6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6" i="46"/>
  <c r="C138" i="46"/>
  <c r="C137" i="46"/>
  <c r="C136" i="46"/>
  <c r="C135" i="46"/>
  <c r="C134" i="46"/>
  <c r="C133" i="46"/>
  <c r="C132" i="46"/>
  <c r="C131" i="46"/>
  <c r="C130" i="46"/>
  <c r="C129" i="46"/>
  <c r="C128" i="46"/>
  <c r="C127" i="46"/>
  <c r="C126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6" i="46"/>
  <c r="D32" i="51" l="1"/>
  <c r="C84" i="51" l="1"/>
  <c r="C85" i="51"/>
  <c r="D85" i="51"/>
  <c r="C86" i="51"/>
  <c r="H11" i="51" s="1"/>
  <c r="D86" i="51"/>
  <c r="J11" i="51" s="1"/>
  <c r="C87" i="51"/>
  <c r="D87" i="51"/>
  <c r="C88" i="51"/>
  <c r="D88" i="51"/>
  <c r="C89" i="51"/>
  <c r="D89" i="51"/>
  <c r="D84" i="51"/>
  <c r="J9" i="51" s="1"/>
  <c r="D35" i="53" l="1"/>
  <c r="H199" i="55"/>
  <c r="H198" i="55"/>
  <c r="H197" i="55"/>
  <c r="H196" i="55"/>
  <c r="H195" i="55"/>
  <c r="H193" i="55"/>
  <c r="H192" i="55"/>
  <c r="J14" i="51" l="1"/>
  <c r="H109" i="55" l="1"/>
  <c r="B124" i="53"/>
  <c r="B123" i="53"/>
  <c r="H103" i="55"/>
  <c r="H102" i="55"/>
  <c r="H98" i="55"/>
  <c r="H96" i="55"/>
  <c r="H95" i="55"/>
  <c r="H70" i="55"/>
  <c r="H47" i="55"/>
  <c r="H112" i="55" l="1"/>
  <c r="D38" i="55"/>
  <c r="D60" i="53"/>
  <c r="H94" i="55" s="1"/>
  <c r="D59" i="53"/>
  <c r="H93" i="55" s="1"/>
  <c r="D135" i="55" l="1"/>
  <c r="H14" i="51" l="1"/>
  <c r="H13" i="51"/>
  <c r="J13" i="51"/>
  <c r="J12" i="51" l="1"/>
  <c r="H12" i="51"/>
  <c r="J10" i="51"/>
  <c r="D83" i="51"/>
  <c r="C83" i="51"/>
  <c r="D82" i="51"/>
  <c r="C82" i="51"/>
  <c r="I12" i="51" l="1"/>
  <c r="L20" i="2"/>
  <c r="D113" i="51"/>
  <c r="C113" i="51"/>
  <c r="D112" i="51"/>
  <c r="C112" i="51"/>
  <c r="D111" i="51"/>
  <c r="C111" i="51"/>
  <c r="D110" i="51"/>
  <c r="C110" i="51"/>
  <c r="D109" i="51"/>
  <c r="C109" i="51"/>
  <c r="D108" i="51"/>
  <c r="C108" i="51"/>
  <c r="C57" i="51"/>
  <c r="D61" i="51"/>
  <c r="C61" i="51"/>
  <c r="D60" i="51"/>
  <c r="C60" i="51"/>
  <c r="D59" i="51"/>
  <c r="C59" i="51"/>
  <c r="D58" i="51"/>
  <c r="C58" i="51"/>
  <c r="D57" i="51"/>
  <c r="D248" i="55" l="1"/>
  <c r="D247" i="55"/>
  <c r="D246" i="55"/>
  <c r="D245" i="55"/>
  <c r="D244" i="55"/>
  <c r="D243" i="55"/>
  <c r="D242" i="55"/>
  <c r="D241" i="55"/>
  <c r="D240" i="55"/>
  <c r="D239" i="55"/>
  <c r="D230" i="55"/>
  <c r="D229" i="55"/>
  <c r="D228" i="55"/>
  <c r="D227" i="55"/>
  <c r="D226" i="55"/>
  <c r="D225" i="55"/>
  <c r="D224" i="55"/>
  <c r="D223" i="55"/>
  <c r="D222" i="55"/>
  <c r="D221" i="55"/>
  <c r="D220" i="55"/>
  <c r="D219" i="55"/>
  <c r="D218" i="55"/>
  <c r="D217" i="55"/>
  <c r="D216" i="55"/>
  <c r="D215" i="55"/>
  <c r="D214" i="55"/>
  <c r="D213" i="55"/>
  <c r="D212" i="55"/>
  <c r="D211" i="55"/>
  <c r="D210" i="55"/>
  <c r="D209" i="55"/>
  <c r="D208" i="55"/>
  <c r="D207" i="55"/>
  <c r="D206" i="55"/>
  <c r="D205" i="55"/>
  <c r="D204" i="55"/>
  <c r="D203" i="55"/>
  <c r="D202" i="55"/>
  <c r="D201" i="55"/>
  <c r="D200" i="55"/>
  <c r="D199" i="55"/>
  <c r="D198" i="55"/>
  <c r="D197" i="55"/>
  <c r="D196" i="55"/>
  <c r="D195" i="55"/>
  <c r="D194" i="55"/>
  <c r="D193" i="55"/>
  <c r="D192" i="55"/>
  <c r="D191" i="55"/>
  <c r="D190" i="55"/>
  <c r="D189" i="55"/>
  <c r="D188" i="55"/>
  <c r="D187" i="55"/>
  <c r="D186" i="55"/>
  <c r="D185" i="55"/>
  <c r="D184" i="55"/>
  <c r="D183" i="55"/>
  <c r="D182" i="55"/>
  <c r="D181" i="55"/>
  <c r="D180" i="55"/>
  <c r="D179" i="55"/>
  <c r="D178" i="55"/>
  <c r="D177" i="55"/>
  <c r="D176" i="55"/>
  <c r="D175" i="55"/>
  <c r="D174" i="55"/>
  <c r="D173" i="55"/>
  <c r="D172" i="55"/>
  <c r="D171" i="55"/>
  <c r="D170" i="55"/>
  <c r="D169" i="55"/>
  <c r="D168" i="55"/>
  <c r="D167" i="55"/>
  <c r="D166" i="55"/>
  <c r="D165" i="55"/>
  <c r="G199" i="55"/>
  <c r="G197" i="55"/>
  <c r="G222" i="55"/>
  <c r="J217" i="55"/>
  <c r="J222" i="55"/>
  <c r="G209" i="55"/>
  <c r="G180" i="55"/>
  <c r="G195" i="55"/>
  <c r="G198" i="55"/>
  <c r="G247" i="55"/>
  <c r="J219" i="55"/>
  <c r="F209" i="55"/>
  <c r="F216" i="55"/>
  <c r="J230" i="55"/>
  <c r="J194" i="55"/>
  <c r="L242" i="55"/>
  <c r="F195" i="55"/>
  <c r="J198" i="55"/>
  <c r="G170" i="55"/>
  <c r="G223" i="55"/>
  <c r="F182" i="55"/>
  <c r="F192" i="55"/>
  <c r="J193" i="55"/>
  <c r="J218" i="55"/>
  <c r="J182" i="55"/>
  <c r="G248" i="55"/>
  <c r="O247" i="55"/>
  <c r="F230" i="55"/>
  <c r="F222" i="55"/>
  <c r="F223" i="55"/>
  <c r="G219" i="55"/>
  <c r="G179" i="55"/>
  <c r="F248" i="55"/>
  <c r="F199" i="55"/>
  <c r="F180" i="55"/>
  <c r="G194" i="55"/>
  <c r="J179" i="55"/>
  <c r="J195" i="55"/>
  <c r="G192" i="55"/>
  <c r="F194" i="55"/>
  <c r="G208" i="55"/>
  <c r="F174" i="55"/>
  <c r="J197" i="55"/>
  <c r="G196" i="55"/>
  <c r="J192" i="55"/>
  <c r="F193" i="55"/>
  <c r="J199" i="55"/>
  <c r="F197" i="55"/>
  <c r="G216" i="55"/>
  <c r="J209" i="55"/>
  <c r="G205" i="55"/>
  <c r="G220" i="55"/>
  <c r="G181" i="55"/>
  <c r="F170" i="55"/>
  <c r="F219" i="55"/>
  <c r="F247" i="55"/>
  <c r="N247" i="55"/>
  <c r="G182" i="55"/>
  <c r="F205" i="55"/>
  <c r="G217" i="55"/>
  <c r="J220" i="55"/>
  <c r="J223" i="55"/>
  <c r="L247" i="55"/>
  <c r="G230" i="55"/>
  <c r="F181" i="55"/>
  <c r="F217" i="55"/>
  <c r="F220" i="55"/>
  <c r="F208" i="55"/>
  <c r="F196" i="55"/>
  <c r="F198" i="55"/>
  <c r="J181" i="55"/>
  <c r="G193" i="55"/>
  <c r="J221" i="55"/>
  <c r="G221" i="55"/>
  <c r="F218" i="55"/>
  <c r="J208" i="55"/>
  <c r="J216" i="55"/>
  <c r="F221" i="55"/>
  <c r="G218" i="55"/>
  <c r="J196" i="55"/>
  <c r="G174" i="55"/>
  <c r="J170" i="55"/>
  <c r="J174" i="55"/>
  <c r="J205" i="55"/>
  <c r="I247" i="55"/>
  <c r="F179" i="55"/>
  <c r="J180" i="55"/>
  <c r="K179" i="55" l="1"/>
  <c r="K221" i="55"/>
  <c r="K174" i="55"/>
  <c r="K192" i="55"/>
  <c r="K197" i="55"/>
  <c r="K217" i="55"/>
  <c r="K199" i="55"/>
  <c r="K208" i="55"/>
  <c r="K170" i="55"/>
  <c r="K195" i="55"/>
  <c r="K196" i="55"/>
  <c r="K223" i="55"/>
  <c r="K182" i="55"/>
  <c r="K181" i="55"/>
  <c r="K216" i="55"/>
  <c r="K194" i="55"/>
  <c r="K222" i="55"/>
  <c r="K218" i="55"/>
  <c r="K230" i="55"/>
  <c r="K180" i="55"/>
  <c r="K219" i="55"/>
  <c r="K220" i="55"/>
  <c r="K205" i="55"/>
  <c r="K198" i="55"/>
  <c r="K193" i="55"/>
  <c r="K209" i="55"/>
  <c r="I218" i="55"/>
  <c r="I199" i="55"/>
  <c r="I208" i="55"/>
  <c r="I195" i="55"/>
  <c r="I223" i="55"/>
  <c r="I193" i="55"/>
  <c r="I205" i="55"/>
  <c r="I179" i="55"/>
  <c r="I196" i="55"/>
  <c r="I221" i="55"/>
  <c r="I170" i="55"/>
  <c r="I181" i="55"/>
  <c r="I198" i="55"/>
  <c r="I209" i="55"/>
  <c r="I222" i="55"/>
  <c r="I197" i="55"/>
  <c r="I220" i="55"/>
  <c r="I194" i="55"/>
  <c r="I219" i="55"/>
  <c r="I180" i="55"/>
  <c r="I217" i="55"/>
  <c r="I182" i="55"/>
  <c r="I216" i="55"/>
  <c r="I230" i="55"/>
  <c r="M247" i="55"/>
  <c r="M248" i="55"/>
  <c r="J247" i="55"/>
  <c r="J248" i="55"/>
  <c r="L170" i="55"/>
  <c r="L174" i="55"/>
  <c r="L179" i="55"/>
  <c r="L181" i="55"/>
  <c r="L180" i="55"/>
  <c r="L182" i="55"/>
  <c r="L193" i="55"/>
  <c r="L195" i="55"/>
  <c r="L197" i="55"/>
  <c r="L192" i="55"/>
  <c r="L194" i="55"/>
  <c r="L196" i="55"/>
  <c r="L198" i="55"/>
  <c r="L199" i="55"/>
  <c r="L205" i="55"/>
  <c r="L208" i="55"/>
  <c r="L209" i="55"/>
  <c r="L217" i="55"/>
  <c r="L219" i="55"/>
  <c r="L221" i="55"/>
  <c r="L216" i="55"/>
  <c r="L218" i="55"/>
  <c r="L220" i="55"/>
  <c r="L222" i="55"/>
  <c r="L223" i="55"/>
  <c r="L230" i="55"/>
  <c r="J191" i="55"/>
  <c r="J207" i="55"/>
  <c r="J215" i="55"/>
  <c r="D131" i="55"/>
  <c r="D132" i="55"/>
  <c r="D133" i="55"/>
  <c r="D134" i="55"/>
  <c r="D136" i="55"/>
  <c r="D137" i="55"/>
  <c r="D138" i="55"/>
  <c r="D139" i="55"/>
  <c r="D140" i="55"/>
  <c r="D141" i="55"/>
  <c r="D142" i="55"/>
  <c r="D143" i="55"/>
  <c r="D144" i="55"/>
  <c r="D145" i="55"/>
  <c r="D146" i="55"/>
  <c r="D147" i="55"/>
  <c r="D148" i="55"/>
  <c r="D149" i="55"/>
  <c r="D150" i="55"/>
  <c r="D151" i="55"/>
  <c r="D130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100" i="55"/>
  <c r="D101" i="55"/>
  <c r="D102" i="55"/>
  <c r="D103" i="55"/>
  <c r="D104" i="55"/>
  <c r="D105" i="55"/>
  <c r="D106" i="55"/>
  <c r="D107" i="55"/>
  <c r="D108" i="55"/>
  <c r="D109" i="55"/>
  <c r="D110" i="55"/>
  <c r="D111" i="55"/>
  <c r="D112" i="55"/>
  <c r="D113" i="55"/>
  <c r="D114" i="55"/>
  <c r="D115" i="55"/>
  <c r="D116" i="55"/>
  <c r="D117" i="55"/>
  <c r="D118" i="55"/>
  <c r="D119" i="55"/>
  <c r="D120" i="55"/>
  <c r="F43" i="55"/>
  <c r="H224" i="55" l="1"/>
  <c r="H215" i="55"/>
  <c r="G215" i="55"/>
  <c r="F215" i="55"/>
  <c r="H210" i="55"/>
  <c r="H207" i="55"/>
  <c r="G207" i="55"/>
  <c r="F207" i="55"/>
  <c r="F257" i="55"/>
  <c r="H203" i="55"/>
  <c r="I192" i="55"/>
  <c r="F191" i="55"/>
  <c r="H189" i="55"/>
  <c r="H187" i="55"/>
  <c r="H183" i="55"/>
  <c r="H174" i="55"/>
  <c r="I174" i="55" s="1"/>
  <c r="G112" i="55"/>
  <c r="J109" i="55"/>
  <c r="J112" i="55"/>
  <c r="F109" i="55"/>
  <c r="F112" i="55"/>
  <c r="G43" i="55"/>
  <c r="G109" i="55"/>
  <c r="J43" i="55"/>
  <c r="I207" i="55" l="1"/>
  <c r="I215" i="55"/>
  <c r="K207" i="55"/>
  <c r="K215" i="55"/>
  <c r="L207" i="55"/>
  <c r="L215" i="55"/>
  <c r="K112" i="55"/>
  <c r="K109" i="55"/>
  <c r="K43" i="55"/>
  <c r="I112" i="55"/>
  <c r="I43" i="55"/>
  <c r="I109" i="55"/>
  <c r="H206" i="55"/>
  <c r="H191" i="55"/>
  <c r="L109" i="55"/>
  <c r="L112" i="55"/>
  <c r="L43" i="55"/>
  <c r="G191" i="55"/>
  <c r="I191" i="55" l="1"/>
  <c r="K191" i="55"/>
  <c r="L191" i="55"/>
  <c r="A58" i="1" l="1"/>
  <c r="A6" i="3" l="1"/>
  <c r="M48" i="3" l="1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L69" i="2" l="1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M14" i="46" l="1"/>
  <c r="D55" i="53"/>
  <c r="D56" i="53"/>
  <c r="D57" i="53"/>
  <c r="D58" i="53"/>
  <c r="D30" i="53"/>
  <c r="D31" i="53"/>
  <c r="D32" i="53"/>
  <c r="D33" i="53"/>
  <c r="D34" i="53"/>
  <c r="D36" i="53"/>
  <c r="D37" i="53"/>
  <c r="B74" i="1"/>
  <c r="C74" i="1"/>
  <c r="D74" i="1"/>
  <c r="F74" i="1"/>
  <c r="B75" i="1"/>
  <c r="C75" i="1"/>
  <c r="D75" i="1"/>
  <c r="F75" i="1"/>
  <c r="B76" i="1"/>
  <c r="C76" i="1"/>
  <c r="D76" i="1"/>
  <c r="F76" i="1"/>
  <c r="B77" i="1"/>
  <c r="C77" i="1"/>
  <c r="D77" i="1"/>
  <c r="F77" i="1"/>
  <c r="B78" i="1"/>
  <c r="C78" i="1"/>
  <c r="D78" i="1"/>
  <c r="F78" i="1"/>
  <c r="B79" i="1"/>
  <c r="C79" i="1"/>
  <c r="D79" i="1"/>
  <c r="F79" i="1"/>
  <c r="B80" i="1"/>
  <c r="C80" i="1"/>
  <c r="D80" i="1"/>
  <c r="F80" i="1"/>
  <c r="B81" i="1"/>
  <c r="C81" i="1"/>
  <c r="D81" i="1"/>
  <c r="F81" i="1"/>
  <c r="B44" i="1"/>
  <c r="B37" i="1"/>
  <c r="C37" i="1"/>
  <c r="D37" i="1"/>
  <c r="F37" i="1"/>
  <c r="B38" i="1"/>
  <c r="C38" i="1"/>
  <c r="D38" i="1"/>
  <c r="F38" i="1"/>
  <c r="B39" i="1"/>
  <c r="C39" i="1"/>
  <c r="D39" i="1"/>
  <c r="F39" i="1"/>
  <c r="B40" i="1"/>
  <c r="C40" i="1"/>
  <c r="D40" i="1"/>
  <c r="F40" i="1"/>
  <c r="B41" i="1"/>
  <c r="C41" i="1"/>
  <c r="D41" i="1"/>
  <c r="F41" i="1"/>
  <c r="B42" i="1"/>
  <c r="C42" i="1"/>
  <c r="D42" i="1"/>
  <c r="F42" i="1"/>
  <c r="B43" i="1"/>
  <c r="C43" i="1"/>
  <c r="D43" i="1"/>
  <c r="F43" i="1"/>
  <c r="C44" i="1"/>
  <c r="D44" i="1"/>
  <c r="F44" i="1"/>
  <c r="D66" i="53"/>
  <c r="D126" i="53"/>
  <c r="J6" i="46"/>
  <c r="B14" i="1"/>
  <c r="B15" i="1"/>
  <c r="B17" i="1"/>
  <c r="B18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46" i="1"/>
  <c r="B47" i="1"/>
  <c r="B48" i="1"/>
  <c r="B49" i="1"/>
  <c r="B50" i="1"/>
  <c r="B66" i="1"/>
  <c r="B67" i="1"/>
  <c r="B69" i="1"/>
  <c r="B70" i="1"/>
  <c r="B71" i="1"/>
  <c r="B72" i="1"/>
  <c r="B83" i="1"/>
  <c r="B84" i="1"/>
  <c r="B85" i="1"/>
  <c r="B86" i="1"/>
  <c r="B87" i="1"/>
  <c r="K6" i="46"/>
  <c r="C14" i="1"/>
  <c r="C15" i="1"/>
  <c r="C17" i="1"/>
  <c r="C18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46" i="1"/>
  <c r="C47" i="1"/>
  <c r="C48" i="1"/>
  <c r="C49" i="1"/>
  <c r="C50" i="1"/>
  <c r="C66" i="1"/>
  <c r="C67" i="1"/>
  <c r="C69" i="1"/>
  <c r="C70" i="1"/>
  <c r="C71" i="1"/>
  <c r="C72" i="1"/>
  <c r="C83" i="1"/>
  <c r="C84" i="1"/>
  <c r="C85" i="1"/>
  <c r="C86" i="1"/>
  <c r="C87" i="1"/>
  <c r="L6" i="46"/>
  <c r="D14" i="1"/>
  <c r="D15" i="1"/>
  <c r="D17" i="1"/>
  <c r="D18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46" i="1"/>
  <c r="D47" i="1"/>
  <c r="D48" i="1"/>
  <c r="D49" i="1"/>
  <c r="D50" i="1"/>
  <c r="D66" i="1"/>
  <c r="D67" i="1"/>
  <c r="D69" i="1"/>
  <c r="D70" i="1"/>
  <c r="D71" i="1"/>
  <c r="D72" i="1"/>
  <c r="D83" i="1"/>
  <c r="D84" i="1"/>
  <c r="D85" i="1"/>
  <c r="D86" i="1"/>
  <c r="D87" i="1"/>
  <c r="M6" i="46"/>
  <c r="F14" i="1"/>
  <c r="F15" i="1"/>
  <c r="F17" i="1"/>
  <c r="F18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46" i="1"/>
  <c r="F47" i="1"/>
  <c r="F48" i="1"/>
  <c r="F49" i="1"/>
  <c r="F50" i="1"/>
  <c r="F66" i="1"/>
  <c r="F67" i="1"/>
  <c r="F69" i="1"/>
  <c r="F70" i="1"/>
  <c r="F71" i="1"/>
  <c r="F72" i="1"/>
  <c r="F83" i="1"/>
  <c r="F84" i="1"/>
  <c r="F85" i="1"/>
  <c r="F86" i="1"/>
  <c r="F87" i="1"/>
  <c r="J10" i="46"/>
  <c r="B15" i="2"/>
  <c r="B16" i="2"/>
  <c r="B18" i="2"/>
  <c r="B19" i="2"/>
  <c r="B22" i="2"/>
  <c r="B23" i="2"/>
  <c r="B24" i="2"/>
  <c r="B25" i="2"/>
  <c r="B26" i="2"/>
  <c r="B28" i="2"/>
  <c r="B29" i="2"/>
  <c r="B30" i="2"/>
  <c r="B31" i="2"/>
  <c r="B32" i="2"/>
  <c r="B33" i="2"/>
  <c r="B35" i="2"/>
  <c r="B36" i="2"/>
  <c r="B37" i="2"/>
  <c r="B38" i="2"/>
  <c r="B41" i="2"/>
  <c r="B42" i="2"/>
  <c r="B44" i="2"/>
  <c r="B45" i="2"/>
  <c r="B47" i="2"/>
  <c r="B48" i="2"/>
  <c r="B50" i="2"/>
  <c r="B51" i="2"/>
  <c r="B52" i="2"/>
  <c r="B53" i="2"/>
  <c r="B54" i="2"/>
  <c r="K10" i="46"/>
  <c r="C15" i="2"/>
  <c r="C16" i="2"/>
  <c r="C18" i="2"/>
  <c r="C19" i="2"/>
  <c r="C22" i="2"/>
  <c r="C23" i="2"/>
  <c r="C24" i="2"/>
  <c r="C25" i="2"/>
  <c r="C26" i="2"/>
  <c r="C28" i="2"/>
  <c r="C29" i="2"/>
  <c r="C30" i="2"/>
  <c r="C31" i="2"/>
  <c r="C32" i="2"/>
  <c r="C33" i="2"/>
  <c r="G33" i="2" s="1"/>
  <c r="C35" i="2"/>
  <c r="C36" i="2"/>
  <c r="C37" i="2"/>
  <c r="C38" i="2"/>
  <c r="C41" i="2"/>
  <c r="E41" i="2" s="1"/>
  <c r="C42" i="2"/>
  <c r="E42" i="2" s="1"/>
  <c r="C44" i="2"/>
  <c r="C45" i="2"/>
  <c r="C47" i="2"/>
  <c r="C48" i="2"/>
  <c r="E48" i="2" s="1"/>
  <c r="C50" i="2"/>
  <c r="C51" i="2"/>
  <c r="C52" i="2"/>
  <c r="C53" i="2"/>
  <c r="C54" i="2"/>
  <c r="G54" i="2" s="1"/>
  <c r="L10" i="46"/>
  <c r="D15" i="2"/>
  <c r="D16" i="2"/>
  <c r="D18" i="2"/>
  <c r="D19" i="2"/>
  <c r="D22" i="2"/>
  <c r="D23" i="2"/>
  <c r="D24" i="2"/>
  <c r="D25" i="2"/>
  <c r="D26" i="2"/>
  <c r="D28" i="2"/>
  <c r="D29" i="2"/>
  <c r="D30" i="2"/>
  <c r="D31" i="2"/>
  <c r="D32" i="2"/>
  <c r="D33" i="2"/>
  <c r="D35" i="2"/>
  <c r="D36" i="2"/>
  <c r="D37" i="2"/>
  <c r="D38" i="2"/>
  <c r="D41" i="2"/>
  <c r="D42" i="2"/>
  <c r="D44" i="2"/>
  <c r="D45" i="2"/>
  <c r="D47" i="2"/>
  <c r="D48" i="2"/>
  <c r="D50" i="2"/>
  <c r="D51" i="2"/>
  <c r="D52" i="2"/>
  <c r="D53" i="2"/>
  <c r="D54" i="2"/>
  <c r="M10" i="46"/>
  <c r="F15" i="2"/>
  <c r="F16" i="2"/>
  <c r="F18" i="2"/>
  <c r="F19" i="2"/>
  <c r="F22" i="2"/>
  <c r="F23" i="2"/>
  <c r="F24" i="2"/>
  <c r="F25" i="2"/>
  <c r="F26" i="2"/>
  <c r="F28" i="2"/>
  <c r="F29" i="2"/>
  <c r="F30" i="2"/>
  <c r="F31" i="2"/>
  <c r="F32" i="2"/>
  <c r="F33" i="2"/>
  <c r="F35" i="2"/>
  <c r="F36" i="2"/>
  <c r="F37" i="2"/>
  <c r="F38" i="2"/>
  <c r="F41" i="2"/>
  <c r="F42" i="2"/>
  <c r="F44" i="2"/>
  <c r="F45" i="2"/>
  <c r="J14" i="46"/>
  <c r="K14" i="46"/>
  <c r="L14" i="46"/>
  <c r="J18" i="46"/>
  <c r="B58" i="2"/>
  <c r="B60" i="2"/>
  <c r="K18" i="46"/>
  <c r="C58" i="2"/>
  <c r="C60" i="2"/>
  <c r="L18" i="46"/>
  <c r="D58" i="2"/>
  <c r="D57" i="2" s="1"/>
  <c r="D60" i="2"/>
  <c r="D59" i="2" s="1"/>
  <c r="M18" i="46"/>
  <c r="F58" i="2"/>
  <c r="F60" i="2"/>
  <c r="J22" i="46"/>
  <c r="K22" i="46"/>
  <c r="L22" i="46"/>
  <c r="M22" i="46"/>
  <c r="D112" i="53"/>
  <c r="D113" i="53"/>
  <c r="D114" i="53"/>
  <c r="K14" i="3"/>
  <c r="K15" i="3"/>
  <c r="K17" i="3"/>
  <c r="K18" i="3"/>
  <c r="K19" i="3"/>
  <c r="K21" i="3"/>
  <c r="K22" i="3"/>
  <c r="K23" i="3"/>
  <c r="K24" i="3"/>
  <c r="U10" i="49"/>
  <c r="K27" i="3"/>
  <c r="K28" i="3"/>
  <c r="K29" i="3"/>
  <c r="K33" i="3"/>
  <c r="K34" i="3"/>
  <c r="K35" i="3"/>
  <c r="K36" i="3"/>
  <c r="U14" i="49"/>
  <c r="U18" i="49"/>
  <c r="K40" i="3"/>
  <c r="K41" i="3"/>
  <c r="K43" i="3"/>
  <c r="K44" i="3"/>
  <c r="U22" i="49"/>
  <c r="U6" i="49"/>
  <c r="J14" i="3"/>
  <c r="J15" i="3"/>
  <c r="J17" i="3"/>
  <c r="J18" i="3"/>
  <c r="J19" i="3"/>
  <c r="J21" i="3"/>
  <c r="J22" i="3"/>
  <c r="J23" i="3"/>
  <c r="J24" i="3"/>
  <c r="T10" i="49"/>
  <c r="J27" i="3"/>
  <c r="J28" i="3"/>
  <c r="J29" i="3"/>
  <c r="J33" i="3"/>
  <c r="J34" i="3"/>
  <c r="J35" i="3"/>
  <c r="J36" i="3"/>
  <c r="T14" i="49"/>
  <c r="T18" i="49"/>
  <c r="J40" i="3"/>
  <c r="J41" i="3"/>
  <c r="J43" i="3"/>
  <c r="J44" i="3"/>
  <c r="T22" i="49"/>
  <c r="T6" i="49"/>
  <c r="D68" i="53"/>
  <c r="I13" i="51"/>
  <c r="S22" i="49"/>
  <c r="K11" i="51"/>
  <c r="Q26" i="49" s="1"/>
  <c r="Q22" i="49"/>
  <c r="K10" i="51"/>
  <c r="O26" i="49" s="1"/>
  <c r="O22" i="49"/>
  <c r="D123" i="53"/>
  <c r="D124" i="53"/>
  <c r="H111" i="55" s="1"/>
  <c r="D84" i="53"/>
  <c r="H178" i="55" s="1"/>
  <c r="D83" i="53"/>
  <c r="H177" i="55" s="1"/>
  <c r="F48" i="2"/>
  <c r="F51" i="2"/>
  <c r="F52" i="2"/>
  <c r="F53" i="2"/>
  <c r="F54" i="2"/>
  <c r="F50" i="2"/>
  <c r="F47" i="2"/>
  <c r="F46" i="2"/>
  <c r="D46" i="2"/>
  <c r="C46" i="2"/>
  <c r="B46" i="2"/>
  <c r="F19" i="1"/>
  <c r="C19" i="1"/>
  <c r="D19" i="1"/>
  <c r="B19" i="1"/>
  <c r="I14" i="51"/>
  <c r="K9" i="51"/>
  <c r="N26" i="49" s="1"/>
  <c r="N22" i="49"/>
  <c r="P22" i="49"/>
  <c r="R22" i="49"/>
  <c r="C33" i="51"/>
  <c r="D33" i="51"/>
  <c r="C34" i="51"/>
  <c r="D34" i="51"/>
  <c r="C35" i="51"/>
  <c r="D35" i="51"/>
  <c r="C36" i="51"/>
  <c r="D36" i="51"/>
  <c r="C37" i="51"/>
  <c r="D37" i="51"/>
  <c r="C38" i="51"/>
  <c r="D38" i="51"/>
  <c r="C32" i="51"/>
  <c r="D8" i="51"/>
  <c r="D9" i="51"/>
  <c r="D10" i="51"/>
  <c r="D11" i="51"/>
  <c r="D12" i="51"/>
  <c r="D14" i="51"/>
  <c r="D15" i="51"/>
  <c r="D17" i="51"/>
  <c r="D18" i="51"/>
  <c r="D19" i="51"/>
  <c r="D20" i="51"/>
  <c r="D21" i="51"/>
  <c r="D13" i="51"/>
  <c r="C68" i="2"/>
  <c r="C67" i="2"/>
  <c r="C66" i="2"/>
  <c r="E133" i="53"/>
  <c r="E134" i="53"/>
  <c r="K132" i="55" s="1"/>
  <c r="E135" i="53"/>
  <c r="K133" i="55" s="1"/>
  <c r="E136" i="53"/>
  <c r="E137" i="53"/>
  <c r="K135" i="55" s="1"/>
  <c r="E138" i="53"/>
  <c r="K136" i="55" s="1"/>
  <c r="E139" i="53"/>
  <c r="K137" i="55" s="1"/>
  <c r="E140" i="53"/>
  <c r="E141" i="53"/>
  <c r="K139" i="55" s="1"/>
  <c r="E142" i="53"/>
  <c r="K140" i="55" s="1"/>
  <c r="E143" i="53"/>
  <c r="K141" i="55" s="1"/>
  <c r="E144" i="53"/>
  <c r="E146" i="53"/>
  <c r="E147" i="53"/>
  <c r="E148" i="53"/>
  <c r="K241" i="55" s="1"/>
  <c r="E149" i="53"/>
  <c r="K242" i="55" s="1"/>
  <c r="E150" i="53"/>
  <c r="K243" i="55" s="1"/>
  <c r="E151" i="53"/>
  <c r="E152" i="53"/>
  <c r="K245" i="55" s="1"/>
  <c r="E153" i="53"/>
  <c r="K246" i="55" s="1"/>
  <c r="E154" i="53"/>
  <c r="K247" i="55" s="1"/>
  <c r="E155" i="53"/>
  <c r="E156" i="53"/>
  <c r="E158" i="53"/>
  <c r="E159" i="53"/>
  <c r="E160" i="53"/>
  <c r="K147" i="55" s="1"/>
  <c r="E161" i="53"/>
  <c r="K148" i="55" s="1"/>
  <c r="E164" i="53"/>
  <c r="E165" i="53"/>
  <c r="K150" i="55" s="1"/>
  <c r="E166" i="53"/>
  <c r="K151" i="55" s="1"/>
  <c r="E167" i="53"/>
  <c r="E132" i="53"/>
  <c r="D133" i="53"/>
  <c r="D134" i="53"/>
  <c r="H132" i="55" s="1"/>
  <c r="D135" i="53"/>
  <c r="H133" i="55" s="1"/>
  <c r="D136" i="53"/>
  <c r="D137" i="53"/>
  <c r="H135" i="55" s="1"/>
  <c r="D138" i="53"/>
  <c r="H136" i="55" s="1"/>
  <c r="D139" i="53"/>
  <c r="H137" i="55" s="1"/>
  <c r="D140" i="53"/>
  <c r="D141" i="53"/>
  <c r="H139" i="55" s="1"/>
  <c r="D142" i="53"/>
  <c r="H140" i="55" s="1"/>
  <c r="D143" i="53"/>
  <c r="H141" i="55" s="1"/>
  <c r="D144" i="53"/>
  <c r="D146" i="53"/>
  <c r="D147" i="53"/>
  <c r="D148" i="53"/>
  <c r="H241" i="55" s="1"/>
  <c r="D149" i="53"/>
  <c r="H242" i="55" s="1"/>
  <c r="D150" i="53"/>
  <c r="H243" i="55" s="1"/>
  <c r="D151" i="53"/>
  <c r="D152" i="53"/>
  <c r="H245" i="55" s="1"/>
  <c r="D153" i="53"/>
  <c r="H246" i="55" s="1"/>
  <c r="D154" i="53"/>
  <c r="H247" i="55" s="1"/>
  <c r="D155" i="53"/>
  <c r="D156" i="53"/>
  <c r="D158" i="53"/>
  <c r="D159" i="53"/>
  <c r="D160" i="53"/>
  <c r="H147" i="55" s="1"/>
  <c r="D161" i="53"/>
  <c r="H148" i="55" s="1"/>
  <c r="D164" i="53"/>
  <c r="D165" i="53"/>
  <c r="H150" i="55" s="1"/>
  <c r="D166" i="53"/>
  <c r="H151" i="55" s="1"/>
  <c r="D167" i="53"/>
  <c r="D132" i="53"/>
  <c r="D5" i="53"/>
  <c r="D6" i="53"/>
  <c r="H41" i="55" s="1"/>
  <c r="D7" i="53"/>
  <c r="D9" i="53"/>
  <c r="D10" i="53"/>
  <c r="D11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8" i="53"/>
  <c r="D39" i="53"/>
  <c r="D40" i="53"/>
  <c r="D41" i="53"/>
  <c r="D42" i="53"/>
  <c r="D43" i="53"/>
  <c r="D46" i="53"/>
  <c r="D47" i="53"/>
  <c r="D48" i="53"/>
  <c r="D49" i="53"/>
  <c r="D50" i="53"/>
  <c r="D51" i="53"/>
  <c r="D52" i="53"/>
  <c r="D53" i="53"/>
  <c r="D54" i="53"/>
  <c r="D64" i="53"/>
  <c r="D67" i="53"/>
  <c r="D71" i="53"/>
  <c r="D72" i="53"/>
  <c r="D73" i="53"/>
  <c r="D74" i="53"/>
  <c r="H168" i="55" s="1"/>
  <c r="D75" i="53"/>
  <c r="H169" i="55" s="1"/>
  <c r="D77" i="53"/>
  <c r="D78" i="53"/>
  <c r="H172" i="55" s="1"/>
  <c r="D79" i="53"/>
  <c r="H173" i="55" s="1"/>
  <c r="D81" i="53"/>
  <c r="D82" i="53"/>
  <c r="H176" i="55" s="1"/>
  <c r="D90" i="53"/>
  <c r="H184" i="55" s="1"/>
  <c r="D91" i="53"/>
  <c r="D92" i="53"/>
  <c r="H186" i="55" s="1"/>
  <c r="D94" i="53"/>
  <c r="H188" i="55" s="1"/>
  <c r="D96" i="53"/>
  <c r="H190" i="55" s="1"/>
  <c r="D106" i="53"/>
  <c r="D107" i="53"/>
  <c r="H201" i="55" s="1"/>
  <c r="D108" i="53"/>
  <c r="H202" i="55" s="1"/>
  <c r="D110" i="53"/>
  <c r="H204" i="55" s="1"/>
  <c r="D115" i="53"/>
  <c r="D117" i="53"/>
  <c r="D118" i="53"/>
  <c r="D119" i="53"/>
  <c r="H108" i="55" s="1"/>
  <c r="G14" i="3"/>
  <c r="G15" i="3"/>
  <c r="G17" i="3"/>
  <c r="G18" i="3"/>
  <c r="G19" i="3"/>
  <c r="G21" i="3"/>
  <c r="G22" i="3"/>
  <c r="G23" i="3"/>
  <c r="G24" i="3"/>
  <c r="R10" i="49"/>
  <c r="G27" i="3"/>
  <c r="G29" i="3"/>
  <c r="G31" i="3" s="1"/>
  <c r="G33" i="3"/>
  <c r="G34" i="3"/>
  <c r="G35" i="3"/>
  <c r="G36" i="3"/>
  <c r="R14" i="49"/>
  <c r="R18" i="49"/>
  <c r="G40" i="3"/>
  <c r="G41" i="3"/>
  <c r="G43" i="3"/>
  <c r="G44" i="3"/>
  <c r="R6" i="49"/>
  <c r="D14" i="3"/>
  <c r="D15" i="3"/>
  <c r="D17" i="3"/>
  <c r="D18" i="3"/>
  <c r="D19" i="3"/>
  <c r="D21" i="3"/>
  <c r="D22" i="3"/>
  <c r="D23" i="3"/>
  <c r="D24" i="3"/>
  <c r="P10" i="49"/>
  <c r="D27" i="3"/>
  <c r="D28" i="3"/>
  <c r="D29" i="3"/>
  <c r="D31" i="3" s="1"/>
  <c r="D33" i="3"/>
  <c r="D34" i="3"/>
  <c r="D35" i="3"/>
  <c r="D36" i="3"/>
  <c r="P14" i="49"/>
  <c r="P18" i="49"/>
  <c r="D40" i="3"/>
  <c r="D41" i="3"/>
  <c r="D43" i="3"/>
  <c r="D44" i="3"/>
  <c r="P6" i="49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Q6" i="49"/>
  <c r="H14" i="3"/>
  <c r="C14" i="3"/>
  <c r="H15" i="3"/>
  <c r="H17" i="3"/>
  <c r="H18" i="3"/>
  <c r="H19" i="3"/>
  <c r="H21" i="3"/>
  <c r="H22" i="3"/>
  <c r="H23" i="3"/>
  <c r="H24" i="3"/>
  <c r="S10" i="49"/>
  <c r="H27" i="3"/>
  <c r="H29" i="3"/>
  <c r="H33" i="3"/>
  <c r="H34" i="3"/>
  <c r="H35" i="3"/>
  <c r="H36" i="3"/>
  <c r="S14" i="49"/>
  <c r="S18" i="49"/>
  <c r="H40" i="3"/>
  <c r="H41" i="3"/>
  <c r="H43" i="3"/>
  <c r="H44" i="3"/>
  <c r="S6" i="49"/>
  <c r="E14" i="3"/>
  <c r="E15" i="3"/>
  <c r="E17" i="3"/>
  <c r="E18" i="3"/>
  <c r="E19" i="3"/>
  <c r="E21" i="3"/>
  <c r="E22" i="3"/>
  <c r="E23" i="3"/>
  <c r="E24" i="3"/>
  <c r="Q10" i="49"/>
  <c r="E27" i="3"/>
  <c r="E28" i="3"/>
  <c r="E29" i="3"/>
  <c r="E33" i="3"/>
  <c r="E34" i="3"/>
  <c r="E35" i="3"/>
  <c r="E36" i="3"/>
  <c r="Q14" i="49"/>
  <c r="Q18" i="49"/>
  <c r="E40" i="3"/>
  <c r="E41" i="3"/>
  <c r="E43" i="3"/>
  <c r="E44" i="3"/>
  <c r="C15" i="3"/>
  <c r="C17" i="3"/>
  <c r="C18" i="3"/>
  <c r="C19" i="3"/>
  <c r="C21" i="3"/>
  <c r="C22" i="3"/>
  <c r="C23" i="3"/>
  <c r="C24" i="3"/>
  <c r="O10" i="49"/>
  <c r="C27" i="3"/>
  <c r="C28" i="3"/>
  <c r="C29" i="3"/>
  <c r="C33" i="3"/>
  <c r="C34" i="3"/>
  <c r="C35" i="3"/>
  <c r="C36" i="3"/>
  <c r="O14" i="49"/>
  <c r="O18" i="49"/>
  <c r="C40" i="3"/>
  <c r="C41" i="3"/>
  <c r="C43" i="3"/>
  <c r="C44" i="3"/>
  <c r="O6" i="49"/>
  <c r="B14" i="3"/>
  <c r="B15" i="3"/>
  <c r="B17" i="3"/>
  <c r="B18" i="3"/>
  <c r="B19" i="3"/>
  <c r="B21" i="3"/>
  <c r="B22" i="3"/>
  <c r="B23" i="3"/>
  <c r="B24" i="3"/>
  <c r="N10" i="49"/>
  <c r="B27" i="3"/>
  <c r="B28" i="3"/>
  <c r="B29" i="3"/>
  <c r="B33" i="3"/>
  <c r="B34" i="3"/>
  <c r="B35" i="3"/>
  <c r="B36" i="3"/>
  <c r="N14" i="49"/>
  <c r="B40" i="3"/>
  <c r="B41" i="3"/>
  <c r="B43" i="3"/>
  <c r="B44" i="3"/>
  <c r="N6" i="49"/>
  <c r="D88" i="1"/>
  <c r="F88" i="1"/>
  <c r="C88" i="1"/>
  <c r="E88" i="1" s="1"/>
  <c r="B88" i="1"/>
  <c r="A2" i="3"/>
  <c r="A3" i="3"/>
  <c r="A4" i="3"/>
  <c r="A5" i="3"/>
  <c r="F30" i="3"/>
  <c r="I30" i="3"/>
  <c r="K14" i="51"/>
  <c r="U26" i="49" s="1"/>
  <c r="G81" i="1"/>
  <c r="A6" i="2"/>
  <c r="O140" i="55"/>
  <c r="J103" i="55"/>
  <c r="O137" i="55"/>
  <c r="O243" i="55"/>
  <c r="O136" i="55"/>
  <c r="J227" i="55"/>
  <c r="J226" i="55"/>
  <c r="O133" i="55"/>
  <c r="O139" i="55"/>
  <c r="O141" i="55"/>
  <c r="J214" i="55"/>
  <c r="O245" i="55"/>
  <c r="J228" i="55"/>
  <c r="O135" i="55"/>
  <c r="O241" i="55"/>
  <c r="O147" i="55"/>
  <c r="O242" i="55"/>
  <c r="G103" i="55"/>
  <c r="O246" i="55"/>
  <c r="O151" i="55"/>
  <c r="F103" i="55"/>
  <c r="O150" i="55"/>
  <c r="O132" i="55"/>
  <c r="J229" i="55"/>
  <c r="J225" i="55"/>
  <c r="O148" i="55"/>
  <c r="J8" i="51" l="1"/>
  <c r="O244" i="55"/>
  <c r="O146" i="55"/>
  <c r="O240" i="55"/>
  <c r="O149" i="55"/>
  <c r="O138" i="55"/>
  <c r="O134" i="55"/>
  <c r="O131" i="55" s="1"/>
  <c r="K31" i="3"/>
  <c r="H138" i="55"/>
  <c r="H134" i="55"/>
  <c r="H131" i="55" s="1"/>
  <c r="H87" i="55"/>
  <c r="H75" i="55"/>
  <c r="H63" i="55"/>
  <c r="H59" i="55"/>
  <c r="H55" i="55"/>
  <c r="H51" i="55"/>
  <c r="H46" i="55"/>
  <c r="H99" i="55"/>
  <c r="H69" i="55"/>
  <c r="H65" i="55"/>
  <c r="H91" i="55"/>
  <c r="H100" i="55"/>
  <c r="H86" i="55"/>
  <c r="H82" i="55"/>
  <c r="H78" i="55"/>
  <c r="H74" i="55"/>
  <c r="H62" i="55"/>
  <c r="H54" i="55"/>
  <c r="H50" i="55"/>
  <c r="H45" i="55"/>
  <c r="H68" i="55"/>
  <c r="H90" i="55"/>
  <c r="H85" i="55"/>
  <c r="H81" i="55"/>
  <c r="H77" i="55"/>
  <c r="H61" i="55"/>
  <c r="H57" i="55"/>
  <c r="H53" i="55"/>
  <c r="H49" i="55"/>
  <c r="H72" i="55"/>
  <c r="H67" i="55"/>
  <c r="H89" i="55"/>
  <c r="H84" i="55"/>
  <c r="H76" i="55"/>
  <c r="H60" i="55"/>
  <c r="H56" i="55"/>
  <c r="H52" i="55"/>
  <c r="H42" i="55"/>
  <c r="H101" i="55"/>
  <c r="H71" i="55"/>
  <c r="H66" i="55"/>
  <c r="H92" i="55"/>
  <c r="H175" i="55"/>
  <c r="H107" i="55"/>
  <c r="H110" i="55"/>
  <c r="J224" i="55"/>
  <c r="H167" i="55"/>
  <c r="H146" i="55"/>
  <c r="K146" i="55"/>
  <c r="L103" i="55"/>
  <c r="I103" i="55"/>
  <c r="K103" i="55"/>
  <c r="H88" i="1"/>
  <c r="L88" i="1" s="1"/>
  <c r="H200" i="55"/>
  <c r="H185" i="55"/>
  <c r="H244" i="55"/>
  <c r="H240" i="55"/>
  <c r="K244" i="55"/>
  <c r="K240" i="55"/>
  <c r="H171" i="55"/>
  <c r="H149" i="55"/>
  <c r="K149" i="55"/>
  <c r="K138" i="55"/>
  <c r="K134" i="55"/>
  <c r="K131" i="55" s="1"/>
  <c r="K12" i="51"/>
  <c r="S26" i="49" s="1"/>
  <c r="S27" i="49" s="1"/>
  <c r="R26" i="49"/>
  <c r="R27" i="49" s="1"/>
  <c r="L12" i="51"/>
  <c r="L66" i="2"/>
  <c r="L67" i="2"/>
  <c r="L68" i="2"/>
  <c r="D40" i="2"/>
  <c r="I22" i="3"/>
  <c r="F57" i="2"/>
  <c r="B59" i="2"/>
  <c r="H15" i="2"/>
  <c r="L15" i="2" s="1"/>
  <c r="G51" i="2"/>
  <c r="G29" i="2"/>
  <c r="E71" i="1"/>
  <c r="C31" i="3"/>
  <c r="I21" i="3"/>
  <c r="G46" i="2"/>
  <c r="B57" i="2"/>
  <c r="E54" i="2"/>
  <c r="G44" i="2"/>
  <c r="E37" i="2"/>
  <c r="G32" i="2"/>
  <c r="E23" i="2"/>
  <c r="E83" i="1"/>
  <c r="E50" i="1"/>
  <c r="G77" i="1"/>
  <c r="B31" i="3"/>
  <c r="C57" i="2"/>
  <c r="E53" i="2"/>
  <c r="G86" i="1"/>
  <c r="G42" i="1"/>
  <c r="E41" i="1"/>
  <c r="I28" i="3"/>
  <c r="E31" i="3"/>
  <c r="H31" i="3"/>
  <c r="G19" i="1"/>
  <c r="I15" i="3"/>
  <c r="J31" i="3"/>
  <c r="G52" i="2"/>
  <c r="G47" i="2"/>
  <c r="E25" i="2"/>
  <c r="E81" i="1"/>
  <c r="G80" i="1"/>
  <c r="E78" i="1"/>
  <c r="F49" i="2"/>
  <c r="E19" i="2"/>
  <c r="G47" i="1"/>
  <c r="B16" i="3"/>
  <c r="E26" i="2"/>
  <c r="E22" i="2"/>
  <c r="G30" i="2"/>
  <c r="G48" i="1"/>
  <c r="G26" i="1"/>
  <c r="E87" i="1"/>
  <c r="E33" i="1"/>
  <c r="E28" i="1"/>
  <c r="E24" i="1"/>
  <c r="H42" i="1"/>
  <c r="H51" i="2"/>
  <c r="L51" i="2" s="1"/>
  <c r="G25" i="2"/>
  <c r="G75" i="1"/>
  <c r="Q27" i="49"/>
  <c r="E38" i="2"/>
  <c r="E24" i="2"/>
  <c r="E18" i="2"/>
  <c r="E84" i="1"/>
  <c r="E47" i="1"/>
  <c r="E34" i="1"/>
  <c r="E29" i="1"/>
  <c r="E49" i="1"/>
  <c r="E32" i="1"/>
  <c r="E30" i="2"/>
  <c r="E85" i="1"/>
  <c r="E72" i="1"/>
  <c r="E67" i="1"/>
  <c r="E35" i="1"/>
  <c r="E22" i="1"/>
  <c r="E44" i="1"/>
  <c r="E77" i="1"/>
  <c r="E76" i="1"/>
  <c r="E74" i="1"/>
  <c r="G66" i="1"/>
  <c r="G16" i="2"/>
  <c r="G70" i="1"/>
  <c r="G46" i="1"/>
  <c r="G36" i="2"/>
  <c r="G43" i="1"/>
  <c r="G40" i="1"/>
  <c r="G37" i="1"/>
  <c r="G35" i="2"/>
  <c r="G19" i="2"/>
  <c r="B73" i="1"/>
  <c r="H54" i="2"/>
  <c r="L54" i="2" s="1"/>
  <c r="M30" i="3"/>
  <c r="G84" i="1"/>
  <c r="B65" i="1"/>
  <c r="E33" i="2"/>
  <c r="H45" i="2"/>
  <c r="L45" i="2" s="1"/>
  <c r="H38" i="2"/>
  <c r="L38" i="2" s="1"/>
  <c r="H29" i="2"/>
  <c r="H24" i="2"/>
  <c r="E29" i="2"/>
  <c r="E51" i="2"/>
  <c r="B43" i="2"/>
  <c r="F33" i="3"/>
  <c r="H77" i="1"/>
  <c r="H47" i="2"/>
  <c r="L47" i="2" s="1"/>
  <c r="G16" i="3"/>
  <c r="D42" i="3"/>
  <c r="D14" i="2"/>
  <c r="G39" i="3"/>
  <c r="D43" i="2"/>
  <c r="D34" i="2"/>
  <c r="D27" i="2"/>
  <c r="H28" i="1"/>
  <c r="H35" i="2"/>
  <c r="H25" i="2"/>
  <c r="H19" i="2"/>
  <c r="B14" i="2"/>
  <c r="E47" i="2"/>
  <c r="E35" i="2"/>
  <c r="G26" i="2"/>
  <c r="C39" i="3"/>
  <c r="H83" i="1"/>
  <c r="H70" i="1"/>
  <c r="H50" i="1"/>
  <c r="H46" i="1"/>
  <c r="H39" i="1"/>
  <c r="H38" i="1"/>
  <c r="E52" i="2"/>
  <c r="J39" i="3"/>
  <c r="H29" i="1"/>
  <c r="G83" i="1"/>
  <c r="E46" i="1"/>
  <c r="E36" i="2"/>
  <c r="E42" i="3"/>
  <c r="G22" i="2"/>
  <c r="F14" i="2"/>
  <c r="H48" i="2"/>
  <c r="L48" i="2" s="1"/>
  <c r="G72" i="1"/>
  <c r="H23" i="2"/>
  <c r="I43" i="3"/>
  <c r="I35" i="3"/>
  <c r="C20" i="3"/>
  <c r="H32" i="3"/>
  <c r="I27" i="3"/>
  <c r="J32" i="3"/>
  <c r="K16" i="3"/>
  <c r="K13" i="3" s="1"/>
  <c r="H84" i="1"/>
  <c r="H87" i="1"/>
  <c r="H35" i="1"/>
  <c r="G48" i="2"/>
  <c r="K42" i="3"/>
  <c r="H58" i="2"/>
  <c r="L58" i="2" s="1"/>
  <c r="I34" i="3"/>
  <c r="I18" i="3"/>
  <c r="F15" i="3"/>
  <c r="H46" i="2"/>
  <c r="L46" i="2" s="1"/>
  <c r="J42" i="3"/>
  <c r="K39" i="3"/>
  <c r="G18" i="1"/>
  <c r="H18" i="1"/>
  <c r="H22" i="1"/>
  <c r="F28" i="3"/>
  <c r="H37" i="2"/>
  <c r="F13" i="1"/>
  <c r="B45" i="1"/>
  <c r="I19" i="3"/>
  <c r="H53" i="2"/>
  <c r="L53" i="2" s="1"/>
  <c r="G34" i="1"/>
  <c r="G37" i="2"/>
  <c r="G50" i="1"/>
  <c r="F43" i="2"/>
  <c r="H32" i="2"/>
  <c r="L32" i="2" s="1"/>
  <c r="G15" i="2"/>
  <c r="C68" i="1"/>
  <c r="H36" i="2"/>
  <c r="E15" i="2"/>
  <c r="K32" i="3"/>
  <c r="K26" i="3"/>
  <c r="K20" i="3"/>
  <c r="H42" i="2"/>
  <c r="L42" i="2" s="1"/>
  <c r="H26" i="2"/>
  <c r="G67" i="1"/>
  <c r="G32" i="1"/>
  <c r="H78" i="1"/>
  <c r="E58" i="2"/>
  <c r="G29" i="1"/>
  <c r="G58" i="2"/>
  <c r="E70" i="1"/>
  <c r="B68" i="1"/>
  <c r="E16" i="2"/>
  <c r="G42" i="2"/>
  <c r="G87" i="1"/>
  <c r="E26" i="3"/>
  <c r="F17" i="2"/>
  <c r="C14" i="2"/>
  <c r="C26" i="3"/>
  <c r="F22" i="3"/>
  <c r="J20" i="3"/>
  <c r="J16" i="3"/>
  <c r="F40" i="2"/>
  <c r="H30" i="2"/>
  <c r="C43" i="2"/>
  <c r="E43" i="2" s="1"/>
  <c r="G24" i="2"/>
  <c r="B17" i="2"/>
  <c r="H34" i="1"/>
  <c r="G31" i="1"/>
  <c r="E14" i="1"/>
  <c r="H14" i="1"/>
  <c r="G14" i="1"/>
  <c r="F27" i="2"/>
  <c r="H31" i="2"/>
  <c r="L31" i="2" s="1"/>
  <c r="G31" i="2"/>
  <c r="E31" i="2"/>
  <c r="G17" i="1"/>
  <c r="E17" i="1"/>
  <c r="G21" i="1"/>
  <c r="H21" i="1"/>
  <c r="E21" i="1"/>
  <c r="C20" i="1"/>
  <c r="F21" i="2"/>
  <c r="H22" i="2"/>
  <c r="H28" i="2"/>
  <c r="C27" i="2"/>
  <c r="G28" i="2"/>
  <c r="E28" i="2"/>
  <c r="E25" i="1"/>
  <c r="H25" i="1"/>
  <c r="G60" i="2"/>
  <c r="E60" i="2"/>
  <c r="C59" i="2"/>
  <c r="E50" i="2"/>
  <c r="C49" i="2"/>
  <c r="E49" i="2" s="1"/>
  <c r="H50" i="2"/>
  <c r="L50" i="2" s="1"/>
  <c r="G50" i="2"/>
  <c r="E23" i="1"/>
  <c r="G23" i="1"/>
  <c r="B32" i="3"/>
  <c r="C34" i="2"/>
  <c r="G45" i="2"/>
  <c r="F34" i="2"/>
  <c r="E46" i="2"/>
  <c r="G53" i="2"/>
  <c r="G41" i="1"/>
  <c r="I23" i="3"/>
  <c r="H42" i="3"/>
  <c r="H20" i="3"/>
  <c r="H23" i="1"/>
  <c r="C13" i="1"/>
  <c r="F29" i="3"/>
  <c r="F35" i="3"/>
  <c r="H17" i="1"/>
  <c r="F44" i="3"/>
  <c r="E45" i="2"/>
  <c r="C21" i="2"/>
  <c r="H16" i="3"/>
  <c r="G23" i="2"/>
  <c r="H16" i="2"/>
  <c r="G33" i="1"/>
  <c r="I44" i="3"/>
  <c r="E38" i="1"/>
  <c r="H60" i="2"/>
  <c r="B49" i="2"/>
  <c r="B40" i="2"/>
  <c r="B34" i="2"/>
  <c r="B27" i="2"/>
  <c r="B21" i="2"/>
  <c r="G69" i="1"/>
  <c r="H33" i="1"/>
  <c r="G28" i="1"/>
  <c r="H43" i="1"/>
  <c r="E42" i="1"/>
  <c r="H37" i="1"/>
  <c r="G38" i="1"/>
  <c r="H19" i="1"/>
  <c r="H86" i="1"/>
  <c r="H69" i="1"/>
  <c r="H49" i="1"/>
  <c r="F30" i="1"/>
  <c r="F20" i="1"/>
  <c r="D68" i="1"/>
  <c r="C45" i="1"/>
  <c r="H27" i="1"/>
  <c r="B82" i="1"/>
  <c r="B16" i="1"/>
  <c r="G88" i="1"/>
  <c r="E69" i="1"/>
  <c r="G49" i="1"/>
  <c r="E39" i="1"/>
  <c r="E40" i="1"/>
  <c r="H41" i="1"/>
  <c r="G39" i="1"/>
  <c r="E86" i="1"/>
  <c r="E37" i="1"/>
  <c r="D65" i="1"/>
  <c r="D16" i="1"/>
  <c r="C36" i="1"/>
  <c r="G85" i="1"/>
  <c r="C82" i="1"/>
  <c r="G27" i="1"/>
  <c r="F68" i="1"/>
  <c r="G35" i="1"/>
  <c r="C16" i="1"/>
  <c r="H15" i="1"/>
  <c r="H24" i="1"/>
  <c r="E18" i="1"/>
  <c r="E75" i="1"/>
  <c r="E48" i="1"/>
  <c r="H75" i="1"/>
  <c r="F82" i="1"/>
  <c r="H72" i="1"/>
  <c r="H67" i="1"/>
  <c r="H48" i="1"/>
  <c r="H71" i="1"/>
  <c r="C65" i="1"/>
  <c r="B30" i="1"/>
  <c r="B20" i="1"/>
  <c r="B13" i="1"/>
  <c r="F36" i="1"/>
  <c r="H44" i="1"/>
  <c r="B36" i="1"/>
  <c r="C73" i="1"/>
  <c r="G74" i="1"/>
  <c r="F16" i="1"/>
  <c r="G24" i="1"/>
  <c r="H32" i="1"/>
  <c r="G15" i="1"/>
  <c r="E27" i="1"/>
  <c r="H80" i="1"/>
  <c r="E80" i="1"/>
  <c r="H74" i="1"/>
  <c r="H76" i="1"/>
  <c r="E15" i="1"/>
  <c r="G78" i="1"/>
  <c r="G76" i="1"/>
  <c r="G32" i="3"/>
  <c r="D82" i="1"/>
  <c r="D17" i="2"/>
  <c r="D30" i="1"/>
  <c r="I29" i="46"/>
  <c r="D39" i="3"/>
  <c r="D16" i="3"/>
  <c r="G20" i="3"/>
  <c r="D45" i="1"/>
  <c r="D21" i="2"/>
  <c r="K13" i="51"/>
  <c r="T26" i="49" s="1"/>
  <c r="T27" i="49" s="1"/>
  <c r="N27" i="49"/>
  <c r="O27" i="49"/>
  <c r="C65" i="2"/>
  <c r="L65" i="2" s="1"/>
  <c r="C62" i="2"/>
  <c r="D36" i="1"/>
  <c r="D26" i="3"/>
  <c r="D56" i="2"/>
  <c r="D20" i="1"/>
  <c r="D73" i="1"/>
  <c r="D32" i="3"/>
  <c r="D20" i="3"/>
  <c r="G26" i="3"/>
  <c r="U27" i="49"/>
  <c r="G42" i="3"/>
  <c r="D13" i="1"/>
  <c r="I24" i="3"/>
  <c r="F24" i="3"/>
  <c r="F36" i="3"/>
  <c r="I36" i="3"/>
  <c r="E31" i="1"/>
  <c r="C32" i="3"/>
  <c r="F73" i="1"/>
  <c r="H41" i="2"/>
  <c r="L41" i="2" s="1"/>
  <c r="F45" i="1"/>
  <c r="I29" i="3"/>
  <c r="I33" i="3"/>
  <c r="H31" i="1"/>
  <c r="F65" i="1"/>
  <c r="E43" i="1"/>
  <c r="H79" i="1"/>
  <c r="H85" i="1"/>
  <c r="H66" i="1"/>
  <c r="B26" i="3"/>
  <c r="G44" i="1"/>
  <c r="G18" i="2"/>
  <c r="G71" i="1"/>
  <c r="G41" i="2"/>
  <c r="H26" i="3"/>
  <c r="C42" i="3"/>
  <c r="B42" i="3"/>
  <c r="E32" i="3"/>
  <c r="H18" i="2"/>
  <c r="F27" i="3"/>
  <c r="C30" i="1"/>
  <c r="F59" i="2"/>
  <c r="F43" i="3"/>
  <c r="J26" i="3"/>
  <c r="C17" i="2"/>
  <c r="E79" i="1"/>
  <c r="G79" i="1"/>
  <c r="C40" i="2"/>
  <c r="F34" i="3"/>
  <c r="E66" i="1"/>
  <c r="E39" i="3"/>
  <c r="E16" i="3"/>
  <c r="H39" i="3"/>
  <c r="I14" i="3"/>
  <c r="H47" i="1"/>
  <c r="H81" i="1"/>
  <c r="I17" i="3"/>
  <c r="E20" i="3"/>
  <c r="F14" i="3"/>
  <c r="I40" i="3"/>
  <c r="F17" i="3"/>
  <c r="F18" i="3"/>
  <c r="F19" i="3"/>
  <c r="F40" i="3"/>
  <c r="B20" i="3"/>
  <c r="F23" i="3"/>
  <c r="B39" i="3"/>
  <c r="F41" i="3"/>
  <c r="I41" i="3"/>
  <c r="C16" i="3"/>
  <c r="F21" i="3"/>
  <c r="E19" i="1"/>
  <c r="H26" i="1"/>
  <c r="E26" i="1"/>
  <c r="D49" i="2"/>
  <c r="H44" i="2"/>
  <c r="L44" i="2" s="1"/>
  <c r="E44" i="2"/>
  <c r="E32" i="2"/>
  <c r="G25" i="1"/>
  <c r="G38" i="2"/>
  <c r="H40" i="1"/>
  <c r="H52" i="2"/>
  <c r="H33" i="2"/>
  <c r="L33" i="2" s="1"/>
  <c r="G22" i="1"/>
  <c r="K8" i="51" l="1"/>
  <c r="H8" i="51"/>
  <c r="I8" i="51" s="1"/>
  <c r="L25" i="46" s="1"/>
  <c r="L8" i="51"/>
  <c r="M8" i="51" s="1"/>
  <c r="H13" i="3"/>
  <c r="H12" i="3" s="1"/>
  <c r="C13" i="3"/>
  <c r="C12" i="3" s="1"/>
  <c r="G13" i="3"/>
  <c r="G12" i="3" s="1"/>
  <c r="J13" i="3"/>
  <c r="J12" i="3" s="1"/>
  <c r="D13" i="3"/>
  <c r="D12" i="3" s="1"/>
  <c r="E13" i="3"/>
  <c r="E12" i="3" s="1"/>
  <c r="O239" i="55"/>
  <c r="O143" i="55" s="1"/>
  <c r="O130" i="55"/>
  <c r="O145" i="55"/>
  <c r="G40" i="2"/>
  <c r="B56" i="2"/>
  <c r="J19" i="46" s="1"/>
  <c r="J20" i="46" s="1"/>
  <c r="H44" i="55"/>
  <c r="K145" i="55"/>
  <c r="H73" i="55"/>
  <c r="H97" i="55"/>
  <c r="H88" i="55"/>
  <c r="H48" i="55"/>
  <c r="H64" i="55"/>
  <c r="H83" i="55"/>
  <c r="H80" i="55"/>
  <c r="H58" i="55"/>
  <c r="K130" i="55"/>
  <c r="H106" i="55"/>
  <c r="H40" i="55"/>
  <c r="L19" i="46"/>
  <c r="L20" i="46" s="1"/>
  <c r="H166" i="55"/>
  <c r="H165" i="55" s="1"/>
  <c r="H104" i="55" s="1"/>
  <c r="H145" i="55"/>
  <c r="F31" i="3"/>
  <c r="H57" i="2"/>
  <c r="L57" i="2" s="1"/>
  <c r="I31" i="3"/>
  <c r="E57" i="2"/>
  <c r="L66" i="1"/>
  <c r="L74" i="1"/>
  <c r="L69" i="1"/>
  <c r="L37" i="1"/>
  <c r="L31" i="1"/>
  <c r="L42" i="1"/>
  <c r="L46" i="1"/>
  <c r="L21" i="1"/>
  <c r="L83" i="1"/>
  <c r="L17" i="1"/>
  <c r="H130" i="55"/>
  <c r="H239" i="55"/>
  <c r="H143" i="55" s="1"/>
  <c r="K239" i="55"/>
  <c r="K143" i="55" s="1"/>
  <c r="L62" i="2"/>
  <c r="G57" i="2"/>
  <c r="M12" i="51"/>
  <c r="B26" i="55"/>
  <c r="L11" i="51"/>
  <c r="I11" i="51"/>
  <c r="P26" i="49" s="1"/>
  <c r="P27" i="49" s="1"/>
  <c r="M25" i="46"/>
  <c r="M21" i="3"/>
  <c r="M22" i="3"/>
  <c r="I20" i="3"/>
  <c r="M17" i="3"/>
  <c r="M40" i="3"/>
  <c r="M28" i="3"/>
  <c r="M15" i="3"/>
  <c r="L16" i="2"/>
  <c r="L25" i="2"/>
  <c r="L24" i="2"/>
  <c r="L22" i="2"/>
  <c r="L30" i="2"/>
  <c r="L26" i="2"/>
  <c r="L36" i="2"/>
  <c r="L37" i="2"/>
  <c r="L35" i="2"/>
  <c r="L29" i="2"/>
  <c r="L60" i="2"/>
  <c r="L19" i="2"/>
  <c r="L28" i="2"/>
  <c r="L23" i="2"/>
  <c r="L48" i="1"/>
  <c r="L24" i="1"/>
  <c r="L33" i="1"/>
  <c r="L70" i="1"/>
  <c r="L15" i="1"/>
  <c r="L79" i="1"/>
  <c r="L32" i="1"/>
  <c r="L72" i="1"/>
  <c r="L41" i="1"/>
  <c r="L27" i="1"/>
  <c r="L19" i="1"/>
  <c r="L43" i="1"/>
  <c r="L14" i="1"/>
  <c r="L78" i="1"/>
  <c r="L18" i="1"/>
  <c r="L35" i="1"/>
  <c r="L81" i="1"/>
  <c r="L75" i="1"/>
  <c r="L84" i="1"/>
  <c r="L38" i="1"/>
  <c r="L28" i="1"/>
  <c r="L47" i="1"/>
  <c r="L85" i="1"/>
  <c r="L44" i="1"/>
  <c r="L67" i="1"/>
  <c r="L86" i="1"/>
  <c r="L34" i="1"/>
  <c r="L22" i="1"/>
  <c r="L29" i="1"/>
  <c r="L39" i="1"/>
  <c r="L77" i="1"/>
  <c r="L40" i="1"/>
  <c r="L26" i="1"/>
  <c r="L76" i="1"/>
  <c r="L80" i="1"/>
  <c r="L71" i="1"/>
  <c r="L49" i="1"/>
  <c r="L23" i="1"/>
  <c r="L25" i="1"/>
  <c r="L87" i="1"/>
  <c r="L50" i="1"/>
  <c r="E27" i="2"/>
  <c r="G30" i="1"/>
  <c r="G17" i="2"/>
  <c r="E36" i="1"/>
  <c r="G82" i="1"/>
  <c r="E73" i="1"/>
  <c r="E21" i="2"/>
  <c r="E20" i="1"/>
  <c r="E68" i="1"/>
  <c r="G13" i="1"/>
  <c r="G59" i="2"/>
  <c r="M23" i="3"/>
  <c r="M27" i="3"/>
  <c r="M19" i="3"/>
  <c r="E59" i="2"/>
  <c r="M14" i="3"/>
  <c r="M43" i="3"/>
  <c r="M36" i="3"/>
  <c r="M18" i="3"/>
  <c r="M41" i="3"/>
  <c r="B13" i="3"/>
  <c r="M44" i="3"/>
  <c r="M29" i="3"/>
  <c r="M34" i="3"/>
  <c r="M33" i="3"/>
  <c r="M24" i="3"/>
  <c r="M35" i="3"/>
  <c r="F20" i="3"/>
  <c r="D39" i="2"/>
  <c r="I32" i="3"/>
  <c r="C56" i="2"/>
  <c r="K19" i="46" s="1"/>
  <c r="K20" i="46" s="1"/>
  <c r="G20" i="1"/>
  <c r="H16" i="1"/>
  <c r="L16" i="1" s="1"/>
  <c r="E38" i="3"/>
  <c r="J25" i="3"/>
  <c r="D38" i="3"/>
  <c r="P19" i="49" s="1"/>
  <c r="P20" i="49" s="1"/>
  <c r="K38" i="3"/>
  <c r="U19" i="49" s="1"/>
  <c r="U20" i="49" s="1"/>
  <c r="G38" i="3"/>
  <c r="R19" i="49" s="1"/>
  <c r="R20" i="49" s="1"/>
  <c r="I39" i="3"/>
  <c r="H25" i="3"/>
  <c r="G49" i="2"/>
  <c r="J38" i="3"/>
  <c r="T19" i="49" s="1"/>
  <c r="T20" i="49" s="1"/>
  <c r="H43" i="2"/>
  <c r="L43" i="2" s="1"/>
  <c r="K12" i="3"/>
  <c r="H13" i="1"/>
  <c r="L13" i="1" s="1"/>
  <c r="F39" i="2"/>
  <c r="H34" i="2"/>
  <c r="L34" i="2" s="1"/>
  <c r="G68" i="1"/>
  <c r="H59" i="2"/>
  <c r="F42" i="3"/>
  <c r="H73" i="1"/>
  <c r="G43" i="2"/>
  <c r="B64" i="1"/>
  <c r="K25" i="3"/>
  <c r="U11" i="49" s="1"/>
  <c r="U12" i="49" s="1"/>
  <c r="H68" i="1"/>
  <c r="F13" i="2"/>
  <c r="B13" i="2"/>
  <c r="F26" i="3"/>
  <c r="I26" i="3"/>
  <c r="H21" i="2"/>
  <c r="L21" i="2" s="1"/>
  <c r="B39" i="2"/>
  <c r="G16" i="1"/>
  <c r="H14" i="2"/>
  <c r="L14" i="2" s="1"/>
  <c r="G14" i="2"/>
  <c r="E14" i="2"/>
  <c r="G45" i="1"/>
  <c r="G21" i="2"/>
  <c r="G27" i="2"/>
  <c r="H27" i="2"/>
  <c r="L27" i="2" s="1"/>
  <c r="E25" i="3"/>
  <c r="E13" i="1"/>
  <c r="E34" i="2"/>
  <c r="G34" i="2"/>
  <c r="G73" i="1"/>
  <c r="F32" i="3"/>
  <c r="G25" i="3"/>
  <c r="E17" i="2"/>
  <c r="E16" i="1"/>
  <c r="B25" i="3"/>
  <c r="B38" i="3"/>
  <c r="C25" i="3"/>
  <c r="I42" i="3"/>
  <c r="H38" i="3"/>
  <c r="S19" i="49" s="1"/>
  <c r="S20" i="49" s="1"/>
  <c r="F56" i="2"/>
  <c r="M19" i="46" s="1"/>
  <c r="M20" i="46" s="1"/>
  <c r="D13" i="2"/>
  <c r="C13" i="2"/>
  <c r="H49" i="2"/>
  <c r="L49" i="2" s="1"/>
  <c r="L52" i="2"/>
  <c r="H17" i="2"/>
  <c r="L18" i="2"/>
  <c r="C64" i="1"/>
  <c r="E82" i="1"/>
  <c r="E45" i="1"/>
  <c r="G65" i="1"/>
  <c r="H65" i="1"/>
  <c r="L65" i="1" s="1"/>
  <c r="F12" i="1"/>
  <c r="G36" i="1"/>
  <c r="E65" i="1"/>
  <c r="B12" i="1"/>
  <c r="H36" i="1"/>
  <c r="H82" i="1"/>
  <c r="H45" i="1"/>
  <c r="H20" i="1"/>
  <c r="D64" i="1"/>
  <c r="D12" i="1"/>
  <c r="D25" i="3"/>
  <c r="F39" i="3"/>
  <c r="F64" i="1"/>
  <c r="C39" i="2"/>
  <c r="E40" i="2"/>
  <c r="H40" i="2"/>
  <c r="L40" i="2" s="1"/>
  <c r="H30" i="1"/>
  <c r="C12" i="1"/>
  <c r="E30" i="1"/>
  <c r="C38" i="3"/>
  <c r="F16" i="3"/>
  <c r="I16" i="3"/>
  <c r="I13" i="3" s="1"/>
  <c r="F13" i="3" l="1"/>
  <c r="Q19" i="49"/>
  <c r="Q20" i="49" s="1"/>
  <c r="B10" i="55"/>
  <c r="M32" i="3"/>
  <c r="D12" i="2"/>
  <c r="L11" i="46" s="1"/>
  <c r="L12" i="46" s="1"/>
  <c r="S11" i="49"/>
  <c r="S12" i="49" s="1"/>
  <c r="P11" i="49"/>
  <c r="P12" i="49" s="1"/>
  <c r="P7" i="49"/>
  <c r="P8" i="49" s="1"/>
  <c r="R11" i="49"/>
  <c r="R12" i="49" s="1"/>
  <c r="Q11" i="49"/>
  <c r="Q12" i="49" s="1"/>
  <c r="T11" i="49"/>
  <c r="T12" i="49" s="1"/>
  <c r="B12" i="3"/>
  <c r="B37" i="3" s="1"/>
  <c r="R7" i="49"/>
  <c r="R8" i="49" s="1"/>
  <c r="O144" i="55"/>
  <c r="O152" i="55" s="1"/>
  <c r="C17" i="55"/>
  <c r="I12" i="3"/>
  <c r="H79" i="55"/>
  <c r="M31" i="3"/>
  <c r="H39" i="55"/>
  <c r="H56" i="2"/>
  <c r="L56" i="2" s="1"/>
  <c r="K144" i="55"/>
  <c r="K152" i="55" s="1"/>
  <c r="K154" i="55" s="1"/>
  <c r="M20" i="3"/>
  <c r="H144" i="55"/>
  <c r="H152" i="55" s="1"/>
  <c r="B25" i="55"/>
  <c r="M11" i="51"/>
  <c r="B13" i="55"/>
  <c r="C37" i="3"/>
  <c r="U7" i="49"/>
  <c r="U8" i="49" s="1"/>
  <c r="B17" i="55"/>
  <c r="T7" i="49"/>
  <c r="T8" i="49" s="1"/>
  <c r="B16" i="55"/>
  <c r="Q7" i="49"/>
  <c r="Q8" i="49" s="1"/>
  <c r="B14" i="55"/>
  <c r="S7" i="49"/>
  <c r="S8" i="49" s="1"/>
  <c r="B15" i="55"/>
  <c r="L30" i="1"/>
  <c r="L82" i="1"/>
  <c r="L36" i="1"/>
  <c r="L45" i="1"/>
  <c r="L20" i="1"/>
  <c r="L68" i="1"/>
  <c r="L73" i="1"/>
  <c r="G13" i="2"/>
  <c r="M39" i="3"/>
  <c r="E56" i="2"/>
  <c r="M42" i="3"/>
  <c r="M26" i="3"/>
  <c r="M16" i="3"/>
  <c r="H37" i="3"/>
  <c r="M13" i="3"/>
  <c r="I25" i="3"/>
  <c r="G56" i="2"/>
  <c r="F12" i="2"/>
  <c r="I38" i="3"/>
  <c r="J37" i="3"/>
  <c r="J45" i="3" s="1"/>
  <c r="B12" i="2"/>
  <c r="B11" i="1"/>
  <c r="B3" i="55" s="1"/>
  <c r="L59" i="2"/>
  <c r="F25" i="3"/>
  <c r="K37" i="3"/>
  <c r="E37" i="3"/>
  <c r="G64" i="1"/>
  <c r="H13" i="2"/>
  <c r="L13" i="2" s="1"/>
  <c r="O11" i="49"/>
  <c r="O12" i="49" s="1"/>
  <c r="E13" i="2"/>
  <c r="G37" i="3"/>
  <c r="E64" i="1"/>
  <c r="N19" i="49"/>
  <c r="N20" i="49" s="1"/>
  <c r="N11" i="49"/>
  <c r="N12" i="49" s="1"/>
  <c r="C11" i="1"/>
  <c r="B4" i="55" s="1"/>
  <c r="D37" i="3"/>
  <c r="C12" i="2"/>
  <c r="B8" i="55" s="1"/>
  <c r="L17" i="2"/>
  <c r="F11" i="1"/>
  <c r="D11" i="1"/>
  <c r="H12" i="1"/>
  <c r="L12" i="1" s="1"/>
  <c r="H64" i="1"/>
  <c r="G12" i="1"/>
  <c r="E12" i="1"/>
  <c r="H39" i="2"/>
  <c r="E39" i="2"/>
  <c r="G39" i="2"/>
  <c r="O19" i="49"/>
  <c r="O20" i="49" s="1"/>
  <c r="F38" i="3"/>
  <c r="O7" i="49"/>
  <c r="O8" i="49" s="1"/>
  <c r="F12" i="3"/>
  <c r="N7" i="49" l="1"/>
  <c r="N8" i="49" s="1"/>
  <c r="M12" i="3"/>
  <c r="I37" i="3"/>
  <c r="I45" i="3" s="1"/>
  <c r="I47" i="3" s="1"/>
  <c r="G45" i="3"/>
  <c r="G47" i="3" s="1"/>
  <c r="P15" i="49"/>
  <c r="P16" i="49" s="1"/>
  <c r="B12" i="55"/>
  <c r="D17" i="55"/>
  <c r="C24" i="55"/>
  <c r="O154" i="55"/>
  <c r="C26" i="55"/>
  <c r="D26" i="55" s="1"/>
  <c r="M38" i="3"/>
  <c r="H38" i="55"/>
  <c r="H105" i="55" s="1"/>
  <c r="L7" i="46"/>
  <c r="L8" i="46" s="1"/>
  <c r="Q15" i="49"/>
  <c r="Q16" i="49" s="1"/>
  <c r="S15" i="49"/>
  <c r="S16" i="49" s="1"/>
  <c r="H154" i="55"/>
  <c r="C25" i="55"/>
  <c r="D25" i="55" s="1"/>
  <c r="T23" i="49"/>
  <c r="T24" i="49" s="1"/>
  <c r="B23" i="55"/>
  <c r="J11" i="46"/>
  <c r="J12" i="46" s="1"/>
  <c r="B7" i="55"/>
  <c r="M11" i="46"/>
  <c r="M12" i="46" s="1"/>
  <c r="B9" i="55"/>
  <c r="M7" i="46"/>
  <c r="M8" i="46" s="1"/>
  <c r="B5" i="55"/>
  <c r="L64" i="1"/>
  <c r="M25" i="3"/>
  <c r="H45" i="3"/>
  <c r="B45" i="3"/>
  <c r="E45" i="3"/>
  <c r="H12" i="2"/>
  <c r="L12" i="2" s="1"/>
  <c r="B55" i="2"/>
  <c r="J15" i="46" s="1"/>
  <c r="J16" i="46" s="1"/>
  <c r="J47" i="3"/>
  <c r="T15" i="49"/>
  <c r="T16" i="49" s="1"/>
  <c r="J7" i="46"/>
  <c r="J8" i="46" s="1"/>
  <c r="U15" i="49"/>
  <c r="U16" i="49" s="1"/>
  <c r="K45" i="3"/>
  <c r="B24" i="55" s="1"/>
  <c r="N15" i="49"/>
  <c r="N16" i="49" s="1"/>
  <c r="D45" i="3"/>
  <c r="P23" i="49" s="1"/>
  <c r="P24" i="49" s="1"/>
  <c r="R15" i="49"/>
  <c r="R16" i="49" s="1"/>
  <c r="E11" i="1"/>
  <c r="K7" i="46"/>
  <c r="K8" i="46" s="1"/>
  <c r="G11" i="1"/>
  <c r="C55" i="2"/>
  <c r="K11" i="46"/>
  <c r="K12" i="46" s="1"/>
  <c r="G12" i="2"/>
  <c r="E12" i="2"/>
  <c r="L39" i="2"/>
  <c r="F55" i="2"/>
  <c r="F61" i="2" s="1"/>
  <c r="D55" i="2"/>
  <c r="H11" i="1"/>
  <c r="L11" i="1" s="1"/>
  <c r="O15" i="49"/>
  <c r="O16" i="49" s="1"/>
  <c r="C45" i="3"/>
  <c r="F37" i="3"/>
  <c r="M37" i="3" s="1"/>
  <c r="R23" i="49" l="1"/>
  <c r="R24" i="49" s="1"/>
  <c r="B20" i="55"/>
  <c r="D24" i="55"/>
  <c r="D61" i="2"/>
  <c r="D64" i="2" s="1"/>
  <c r="H113" i="55"/>
  <c r="E47" i="3"/>
  <c r="B21" i="55"/>
  <c r="B19" i="55"/>
  <c r="S23" i="49"/>
  <c r="S24" i="49" s="1"/>
  <c r="B22" i="55"/>
  <c r="N23" i="49"/>
  <c r="N24" i="49" s="1"/>
  <c r="Q23" i="49"/>
  <c r="Q24" i="49" s="1"/>
  <c r="B61" i="2"/>
  <c r="D47" i="3"/>
  <c r="K47" i="3"/>
  <c r="U23" i="49"/>
  <c r="U24" i="49" s="1"/>
  <c r="G55" i="2"/>
  <c r="K15" i="46"/>
  <c r="K16" i="46" s="1"/>
  <c r="E55" i="2"/>
  <c r="C61" i="2"/>
  <c r="M15" i="46"/>
  <c r="M16" i="46" s="1"/>
  <c r="L15" i="46"/>
  <c r="L16" i="46" s="1"/>
  <c r="H55" i="2"/>
  <c r="H61" i="2" s="1"/>
  <c r="H46" i="3"/>
  <c r="F63" i="2"/>
  <c r="M23" i="46"/>
  <c r="M26" i="46" s="1"/>
  <c r="O23" i="49"/>
  <c r="O24" i="49" s="1"/>
  <c r="F45" i="3"/>
  <c r="M45" i="3" s="1"/>
  <c r="I148" i="55"/>
  <c r="F203" i="55"/>
  <c r="J74" i="55"/>
  <c r="J81" i="55"/>
  <c r="F45" i="55"/>
  <c r="J77" i="55"/>
  <c r="J41" i="55"/>
  <c r="G241" i="55"/>
  <c r="J45" i="55"/>
  <c r="G190" i="55"/>
  <c r="L150" i="55"/>
  <c r="G70" i="55"/>
  <c r="J47" i="55"/>
  <c r="G42" i="55"/>
  <c r="F178" i="55"/>
  <c r="G52" i="55"/>
  <c r="G49" i="55"/>
  <c r="J108" i="55"/>
  <c r="F242" i="55"/>
  <c r="G101" i="55"/>
  <c r="F241" i="55"/>
  <c r="J76" i="55"/>
  <c r="F52" i="55"/>
  <c r="G77" i="55"/>
  <c r="G76" i="55"/>
  <c r="F46" i="55"/>
  <c r="J57" i="55"/>
  <c r="J89" i="55"/>
  <c r="L132" i="55"/>
  <c r="F176" i="55"/>
  <c r="F55" i="55"/>
  <c r="L148" i="55"/>
  <c r="I151" i="55"/>
  <c r="I136" i="55"/>
  <c r="G57" i="55"/>
  <c r="F85" i="55"/>
  <c r="F141" i="55"/>
  <c r="N243" i="55"/>
  <c r="J49" i="55"/>
  <c r="L246" i="55"/>
  <c r="F214" i="55"/>
  <c r="I133" i="55"/>
  <c r="J53" i="55"/>
  <c r="N140" i="55"/>
  <c r="J55" i="55"/>
  <c r="F243" i="55"/>
  <c r="I241" i="55"/>
  <c r="J56" i="55"/>
  <c r="F98" i="55"/>
  <c r="J90" i="55"/>
  <c r="G147" i="55"/>
  <c r="F150" i="55"/>
  <c r="F87" i="55"/>
  <c r="N150" i="55"/>
  <c r="L139" i="55"/>
  <c r="G87" i="55"/>
  <c r="G61" i="55"/>
  <c r="F183" i="55"/>
  <c r="G108" i="55"/>
  <c r="F62" i="55"/>
  <c r="J99" i="55"/>
  <c r="F93" i="55"/>
  <c r="F135" i="55"/>
  <c r="F228" i="55"/>
  <c r="G78" i="55"/>
  <c r="G81" i="55"/>
  <c r="J213" i="55"/>
  <c r="N242" i="55"/>
  <c r="G102" i="55"/>
  <c r="I140" i="55"/>
  <c r="G177" i="55"/>
  <c r="F147" i="55"/>
  <c r="G225" i="55"/>
  <c r="J72" i="55"/>
  <c r="G99" i="55"/>
  <c r="J168" i="55"/>
  <c r="L245" i="55"/>
  <c r="F71" i="55"/>
  <c r="F201" i="55"/>
  <c r="F148" i="55"/>
  <c r="G71" i="55"/>
  <c r="N132" i="55"/>
  <c r="F140" i="55"/>
  <c r="I135" i="55"/>
  <c r="J96" i="55"/>
  <c r="F137" i="55"/>
  <c r="J203" i="55"/>
  <c r="F86" i="55"/>
  <c r="J61" i="55"/>
  <c r="G150" i="55"/>
  <c r="G213" i="55"/>
  <c r="N139" i="55"/>
  <c r="J46" i="55"/>
  <c r="G93" i="55"/>
  <c r="F188" i="55"/>
  <c r="J52" i="55"/>
  <c r="F212" i="55"/>
  <c r="J98" i="55"/>
  <c r="J86" i="55"/>
  <c r="J65" i="55"/>
  <c r="J102" i="55"/>
  <c r="G132" i="55"/>
  <c r="G119" i="55"/>
  <c r="F95" i="55"/>
  <c r="G69" i="55"/>
  <c r="J115" i="55"/>
  <c r="J201" i="55"/>
  <c r="G214" i="55"/>
  <c r="G243" i="55"/>
  <c r="J95" i="55"/>
  <c r="J50" i="55"/>
  <c r="G173" i="55"/>
  <c r="G176" i="55"/>
  <c r="F82" i="55"/>
  <c r="G67" i="55"/>
  <c r="G172" i="55"/>
  <c r="F54" i="55"/>
  <c r="J202" i="55"/>
  <c r="J60" i="55"/>
  <c r="F101" i="55"/>
  <c r="G86" i="55"/>
  <c r="G139" i="55"/>
  <c r="G168" i="55"/>
  <c r="I245" i="55"/>
  <c r="J82" i="55"/>
  <c r="F69" i="55"/>
  <c r="F77" i="55"/>
  <c r="L151" i="55"/>
  <c r="G55" i="55"/>
  <c r="G118" i="55"/>
  <c r="G148" i="55"/>
  <c r="F213" i="55"/>
  <c r="F186" i="55"/>
  <c r="N148" i="55"/>
  <c r="J59" i="55"/>
  <c r="F142" i="55"/>
  <c r="F81" i="55"/>
  <c r="L137" i="55"/>
  <c r="G56" i="55"/>
  <c r="J187" i="55"/>
  <c r="F76" i="55"/>
  <c r="G186" i="55"/>
  <c r="G228" i="55"/>
  <c r="L147" i="55"/>
  <c r="J78" i="55"/>
  <c r="F177" i="55"/>
  <c r="F225" i="55"/>
  <c r="J75" i="55"/>
  <c r="N137" i="55"/>
  <c r="G120" i="55"/>
  <c r="G100" i="55"/>
  <c r="J84" i="55"/>
  <c r="N147" i="55"/>
  <c r="F49" i="55"/>
  <c r="F84" i="55"/>
  <c r="N135" i="55"/>
  <c r="F66" i="55"/>
  <c r="G54" i="55"/>
  <c r="J169" i="55"/>
  <c r="J211" i="55"/>
  <c r="G245" i="55"/>
  <c r="J186" i="55"/>
  <c r="F53" i="55"/>
  <c r="L133" i="55"/>
  <c r="G151" i="55"/>
  <c r="J54" i="55"/>
  <c r="F47" i="55"/>
  <c r="G189" i="55"/>
  <c r="J63" i="55"/>
  <c r="F99" i="55"/>
  <c r="G204" i="55"/>
  <c r="G135" i="55"/>
  <c r="F226" i="55"/>
  <c r="F204" i="55"/>
  <c r="J177" i="55"/>
  <c r="J87" i="55"/>
  <c r="G111" i="55"/>
  <c r="G59" i="55"/>
  <c r="G47" i="55"/>
  <c r="J71" i="55"/>
  <c r="F202" i="55"/>
  <c r="F56" i="55"/>
  <c r="N246" i="55"/>
  <c r="J189" i="55"/>
  <c r="F61" i="55"/>
  <c r="G242" i="55"/>
  <c r="F75" i="55"/>
  <c r="I150" i="55"/>
  <c r="F42" i="55"/>
  <c r="G89" i="55"/>
  <c r="F74" i="55"/>
  <c r="J92" i="55"/>
  <c r="J100" i="55"/>
  <c r="I147" i="55"/>
  <c r="F190" i="55"/>
  <c r="F133" i="55"/>
  <c r="F187" i="55"/>
  <c r="N133" i="55"/>
  <c r="F246" i="55"/>
  <c r="G95" i="55"/>
  <c r="F68" i="55"/>
  <c r="F108" i="55"/>
  <c r="G202" i="55"/>
  <c r="G133" i="55"/>
  <c r="F111" i="55"/>
  <c r="G84" i="55"/>
  <c r="G66" i="55"/>
  <c r="N151" i="55"/>
  <c r="G184" i="55"/>
  <c r="F100" i="55"/>
  <c r="F173" i="55"/>
  <c r="J184" i="55"/>
  <c r="F92" i="55"/>
  <c r="G226" i="55"/>
  <c r="G140" i="55"/>
  <c r="G229" i="55"/>
  <c r="F90" i="55"/>
  <c r="N136" i="55"/>
  <c r="F60" i="55"/>
  <c r="J212" i="55"/>
  <c r="F229" i="55"/>
  <c r="L140" i="55"/>
  <c r="I246" i="55"/>
  <c r="L141" i="55"/>
  <c r="F168" i="55"/>
  <c r="F169" i="55"/>
  <c r="G72" i="55"/>
  <c r="G96" i="55"/>
  <c r="J42" i="55"/>
  <c r="J85" i="55"/>
  <c r="F184" i="55"/>
  <c r="L243" i="55"/>
  <c r="F41" i="55"/>
  <c r="G82" i="55"/>
  <c r="G91" i="55"/>
  <c r="G45" i="55"/>
  <c r="G98" i="55"/>
  <c r="I242" i="55"/>
  <c r="F211" i="55"/>
  <c r="G60" i="55"/>
  <c r="G183" i="55"/>
  <c r="F50" i="55"/>
  <c r="F94" i="55"/>
  <c r="F172" i="55"/>
  <c r="F72" i="55"/>
  <c r="G74" i="55"/>
  <c r="J66" i="55"/>
  <c r="G178" i="55"/>
  <c r="J51" i="55"/>
  <c r="G169" i="55"/>
  <c r="G53" i="55"/>
  <c r="G187" i="55"/>
  <c r="I137" i="55"/>
  <c r="F96" i="55"/>
  <c r="N241" i="55"/>
  <c r="I139" i="55"/>
  <c r="J68" i="55"/>
  <c r="F70" i="55"/>
  <c r="J190" i="55"/>
  <c r="G246" i="55"/>
  <c r="F51" i="55"/>
  <c r="J176" i="55"/>
  <c r="J91" i="55"/>
  <c r="G62" i="55"/>
  <c r="F57" i="55"/>
  <c r="F59" i="55"/>
  <c r="G92" i="55"/>
  <c r="J67" i="55"/>
  <c r="I243" i="55"/>
  <c r="G85" i="55"/>
  <c r="L136" i="55"/>
  <c r="G94" i="55"/>
  <c r="J111" i="55"/>
  <c r="J178" i="55"/>
  <c r="F245" i="55"/>
  <c r="L135" i="55"/>
  <c r="G141" i="55"/>
  <c r="G51" i="55"/>
  <c r="F132" i="55"/>
  <c r="N245" i="55"/>
  <c r="N141" i="55"/>
  <c r="F63" i="55"/>
  <c r="G227" i="55"/>
  <c r="F189" i="55"/>
  <c r="J172" i="55"/>
  <c r="J183" i="55"/>
  <c r="G137" i="55"/>
  <c r="J173" i="55"/>
  <c r="F151" i="55"/>
  <c r="J69" i="55"/>
  <c r="G90" i="55"/>
  <c r="J101" i="55"/>
  <c r="F139" i="55"/>
  <c r="F136" i="55"/>
  <c r="L241" i="55"/>
  <c r="I141" i="55"/>
  <c r="J94" i="55"/>
  <c r="F102" i="55"/>
  <c r="J62" i="55"/>
  <c r="G75" i="55"/>
  <c r="G41" i="55"/>
  <c r="G68" i="55"/>
  <c r="F67" i="55"/>
  <c r="G46" i="55"/>
  <c r="G50" i="55"/>
  <c r="G212" i="55"/>
  <c r="I132" i="55"/>
  <c r="G65" i="55"/>
  <c r="F91" i="55"/>
  <c r="G136" i="55"/>
  <c r="J188" i="55"/>
  <c r="J70" i="55"/>
  <c r="J204" i="55"/>
  <c r="G63" i="55"/>
  <c r="F227" i="55"/>
  <c r="J93" i="55"/>
  <c r="G142" i="55"/>
  <c r="F89" i="55"/>
  <c r="G203" i="55"/>
  <c r="G188" i="55"/>
  <c r="F65" i="55"/>
  <c r="F78" i="55"/>
  <c r="G211" i="55"/>
  <c r="G201" i="55"/>
  <c r="B64" i="2" l="1"/>
  <c r="B47" i="3"/>
  <c r="C47" i="3"/>
  <c r="K69" i="55"/>
  <c r="J242" i="55"/>
  <c r="M242" i="55"/>
  <c r="K90" i="55"/>
  <c r="L134" i="55"/>
  <c r="L131" i="55" s="1"/>
  <c r="L101" i="55"/>
  <c r="I101" i="55"/>
  <c r="I173" i="55"/>
  <c r="L173" i="55"/>
  <c r="K75" i="55"/>
  <c r="K56" i="55"/>
  <c r="K86" i="55"/>
  <c r="K59" i="55"/>
  <c r="J58" i="55"/>
  <c r="G244" i="55"/>
  <c r="J245" i="55"/>
  <c r="M245" i="55"/>
  <c r="J200" i="55"/>
  <c r="K201" i="55"/>
  <c r="I47" i="55"/>
  <c r="L47" i="55"/>
  <c r="L108" i="55"/>
  <c r="G107" i="55"/>
  <c r="I107" i="55" s="1"/>
  <c r="I108" i="55"/>
  <c r="K188" i="55"/>
  <c r="J175" i="55"/>
  <c r="K176" i="55"/>
  <c r="I70" i="55"/>
  <c r="L70" i="55"/>
  <c r="K212" i="55"/>
  <c r="L87" i="55"/>
  <c r="I87" i="55"/>
  <c r="K50" i="55"/>
  <c r="K61" i="55"/>
  <c r="J110" i="55"/>
  <c r="K111" i="55"/>
  <c r="F185" i="55"/>
  <c r="I213" i="55"/>
  <c r="L213" i="55"/>
  <c r="K66" i="55"/>
  <c r="K204" i="55"/>
  <c r="L81" i="55"/>
  <c r="I81" i="55"/>
  <c r="G80" i="55"/>
  <c r="I80" i="55" s="1"/>
  <c r="L95" i="55"/>
  <c r="I95" i="55"/>
  <c r="K81" i="55"/>
  <c r="J80" i="55"/>
  <c r="F175" i="55"/>
  <c r="L204" i="55"/>
  <c r="I204" i="55"/>
  <c r="M243" i="55"/>
  <c r="J243" i="55"/>
  <c r="I93" i="55"/>
  <c r="L93" i="55"/>
  <c r="N149" i="55"/>
  <c r="L71" i="55"/>
  <c r="I71" i="55"/>
  <c r="G117" i="55"/>
  <c r="G114" i="55" s="1"/>
  <c r="I65" i="55"/>
  <c r="L65" i="55"/>
  <c r="G64" i="55"/>
  <c r="I64" i="55" s="1"/>
  <c r="J150" i="55"/>
  <c r="M150" i="55"/>
  <c r="G149" i="55"/>
  <c r="M133" i="55"/>
  <c r="J133" i="55"/>
  <c r="K51" i="55"/>
  <c r="I227" i="55"/>
  <c r="L227" i="55"/>
  <c r="K227" i="55"/>
  <c r="I169" i="55"/>
  <c r="L169" i="55"/>
  <c r="K78" i="55"/>
  <c r="L55" i="55"/>
  <c r="I55" i="55"/>
  <c r="K108" i="55"/>
  <c r="J107" i="55"/>
  <c r="M137" i="55"/>
  <c r="J137" i="55"/>
  <c r="L69" i="55"/>
  <c r="I69" i="55"/>
  <c r="F88" i="55"/>
  <c r="L67" i="55"/>
  <c r="I67" i="55"/>
  <c r="I78" i="55"/>
  <c r="L78" i="55"/>
  <c r="L168" i="55"/>
  <c r="G167" i="55"/>
  <c r="I167" i="55" s="1"/>
  <c r="I168" i="55"/>
  <c r="K74" i="55"/>
  <c r="J73" i="55"/>
  <c r="M141" i="55"/>
  <c r="J141" i="55"/>
  <c r="K54" i="55"/>
  <c r="G146" i="55"/>
  <c r="J147" i="55"/>
  <c r="M147" i="55"/>
  <c r="K169" i="55"/>
  <c r="K177" i="55"/>
  <c r="N138" i="55"/>
  <c r="K102" i="55"/>
  <c r="F58" i="55"/>
  <c r="K94" i="55"/>
  <c r="G185" i="55"/>
  <c r="I185" i="55" s="1"/>
  <c r="I186" i="55"/>
  <c r="L186" i="55"/>
  <c r="I84" i="55"/>
  <c r="L84" i="55"/>
  <c r="G83" i="55"/>
  <c r="I83" i="55" s="1"/>
  <c r="L188" i="55"/>
  <c r="I188" i="55"/>
  <c r="K95" i="55"/>
  <c r="L82" i="55"/>
  <c r="I82" i="55"/>
  <c r="K203" i="55"/>
  <c r="M148" i="55"/>
  <c r="J148" i="55"/>
  <c r="G40" i="55"/>
  <c r="I40" i="55" s="1"/>
  <c r="I41" i="55"/>
  <c r="L41" i="55"/>
  <c r="F73" i="55"/>
  <c r="M241" i="55"/>
  <c r="J241" i="55"/>
  <c r="G240" i="55"/>
  <c r="F97" i="55"/>
  <c r="L76" i="55"/>
  <c r="I76" i="55"/>
  <c r="G88" i="55"/>
  <c r="I88" i="55" s="1"/>
  <c r="I89" i="55"/>
  <c r="L89" i="55"/>
  <c r="K85" i="55"/>
  <c r="I42" i="55"/>
  <c r="L42" i="55"/>
  <c r="J97" i="55"/>
  <c r="K98" i="55"/>
  <c r="K72" i="55"/>
  <c r="K57" i="55"/>
  <c r="L66" i="55"/>
  <c r="I66" i="55"/>
  <c r="F244" i="55"/>
  <c r="L72" i="55"/>
  <c r="I72" i="55"/>
  <c r="I74" i="55"/>
  <c r="G73" i="55"/>
  <c r="I73" i="55" s="1"/>
  <c r="L74" i="55"/>
  <c r="L85" i="55"/>
  <c r="I85" i="55"/>
  <c r="L212" i="55"/>
  <c r="I212" i="55"/>
  <c r="K202" i="55"/>
  <c r="N240" i="55"/>
  <c r="K187" i="55"/>
  <c r="L57" i="55"/>
  <c r="I57" i="55"/>
  <c r="I98" i="55"/>
  <c r="L98" i="55"/>
  <c r="G97" i="55"/>
  <c r="I97" i="55" s="1"/>
  <c r="I99" i="55"/>
  <c r="L99" i="55"/>
  <c r="I49" i="55"/>
  <c r="L49" i="55"/>
  <c r="G48" i="55"/>
  <c r="I48" i="55" s="1"/>
  <c r="I244" i="55"/>
  <c r="L53" i="55"/>
  <c r="I53" i="55"/>
  <c r="L90" i="55"/>
  <c r="I90" i="55"/>
  <c r="K47" i="55"/>
  <c r="L77" i="55"/>
  <c r="I77" i="55"/>
  <c r="I60" i="55"/>
  <c r="L60" i="55"/>
  <c r="L96" i="55"/>
  <c r="I96" i="55"/>
  <c r="L63" i="55"/>
  <c r="I63" i="55"/>
  <c r="L61" i="55"/>
  <c r="I61" i="55"/>
  <c r="F149" i="55"/>
  <c r="J151" i="55"/>
  <c r="M151" i="55"/>
  <c r="L75" i="55"/>
  <c r="I75" i="55"/>
  <c r="K67" i="55"/>
  <c r="L86" i="55"/>
  <c r="I86" i="55"/>
  <c r="G171" i="55"/>
  <c r="I171" i="55" s="1"/>
  <c r="L172" i="55"/>
  <c r="I172" i="55"/>
  <c r="K77" i="55"/>
  <c r="F224" i="55"/>
  <c r="K226" i="55"/>
  <c r="L226" i="55"/>
  <c r="I226" i="55"/>
  <c r="L214" i="55"/>
  <c r="K214" i="55"/>
  <c r="I214" i="55"/>
  <c r="K190" i="55"/>
  <c r="N244" i="55"/>
  <c r="L111" i="55"/>
  <c r="G110" i="55"/>
  <c r="I110" i="55" s="1"/>
  <c r="I111" i="55"/>
  <c r="I102" i="55"/>
  <c r="L102" i="55"/>
  <c r="L190" i="55"/>
  <c r="I190" i="55"/>
  <c r="K42" i="55"/>
  <c r="K82" i="55"/>
  <c r="K178" i="55"/>
  <c r="F167" i="55"/>
  <c r="I201" i="55"/>
  <c r="G200" i="55"/>
  <c r="I200" i="55" s="1"/>
  <c r="L201" i="55"/>
  <c r="K68" i="55"/>
  <c r="L94" i="55"/>
  <c r="I94" i="55"/>
  <c r="K186" i="55"/>
  <c r="J185" i="55"/>
  <c r="F48" i="55"/>
  <c r="K92" i="55"/>
  <c r="I100" i="55"/>
  <c r="L100" i="55"/>
  <c r="G210" i="55"/>
  <c r="I210" i="55" s="1"/>
  <c r="L211" i="55"/>
  <c r="I211" i="55"/>
  <c r="F171" i="55"/>
  <c r="L146" i="55"/>
  <c r="K96" i="55"/>
  <c r="L189" i="55"/>
  <c r="I189" i="55"/>
  <c r="K213" i="55"/>
  <c r="I134" i="55"/>
  <c r="I131" i="55" s="1"/>
  <c r="I149" i="55"/>
  <c r="J246" i="55"/>
  <c r="M246" i="55"/>
  <c r="K91" i="55"/>
  <c r="I184" i="55"/>
  <c r="L184" i="55"/>
  <c r="K87" i="55"/>
  <c r="K100" i="55"/>
  <c r="K189" i="55"/>
  <c r="K46" i="55"/>
  <c r="K99" i="55"/>
  <c r="F40" i="55"/>
  <c r="L177" i="55"/>
  <c r="I177" i="55"/>
  <c r="K45" i="55"/>
  <c r="J44" i="55"/>
  <c r="J140" i="55"/>
  <c r="M140" i="55"/>
  <c r="I202" i="55"/>
  <c r="L202" i="55"/>
  <c r="N134" i="55"/>
  <c r="N131" i="55" s="1"/>
  <c r="M135" i="55"/>
  <c r="G134" i="55"/>
  <c r="G131" i="55" s="1"/>
  <c r="J135" i="55"/>
  <c r="K183" i="55"/>
  <c r="L149" i="55"/>
  <c r="I51" i="55"/>
  <c r="L51" i="55"/>
  <c r="K52" i="55"/>
  <c r="F64" i="55"/>
  <c r="K60" i="55"/>
  <c r="J136" i="55"/>
  <c r="M136" i="55"/>
  <c r="K229" i="55"/>
  <c r="L229" i="55"/>
  <c r="I229" i="55"/>
  <c r="K225" i="55"/>
  <c r="L225" i="55"/>
  <c r="G224" i="55"/>
  <c r="K224" i="55" s="1"/>
  <c r="I225" i="55"/>
  <c r="J142" i="55"/>
  <c r="M142" i="55"/>
  <c r="L68" i="55"/>
  <c r="I68" i="55"/>
  <c r="K49" i="55"/>
  <c r="J48" i="55"/>
  <c r="K101" i="55"/>
  <c r="K70" i="55"/>
  <c r="I146" i="55"/>
  <c r="N146" i="55"/>
  <c r="J210" i="55"/>
  <c r="J206" i="55" s="1"/>
  <c r="K211" i="55"/>
  <c r="K173" i="55"/>
  <c r="L54" i="55"/>
  <c r="I54" i="55"/>
  <c r="L56" i="55"/>
  <c r="I56" i="55"/>
  <c r="J171" i="55"/>
  <c r="K172" i="55"/>
  <c r="L176" i="55"/>
  <c r="I176" i="55"/>
  <c r="G175" i="55"/>
  <c r="I175" i="55" s="1"/>
  <c r="F83" i="55"/>
  <c r="K62" i="55"/>
  <c r="L187" i="55"/>
  <c r="I187" i="55"/>
  <c r="I138" i="55"/>
  <c r="L178" i="55"/>
  <c r="I178" i="55"/>
  <c r="I183" i="55"/>
  <c r="L183" i="55"/>
  <c r="F240" i="55"/>
  <c r="F107" i="55"/>
  <c r="J139" i="55"/>
  <c r="M139" i="55"/>
  <c r="G138" i="55"/>
  <c r="M132" i="55"/>
  <c r="J132" i="55"/>
  <c r="L240" i="55"/>
  <c r="I240" i="55"/>
  <c r="G58" i="55"/>
  <c r="I58" i="55" s="1"/>
  <c r="I59" i="55"/>
  <c r="L59" i="55"/>
  <c r="I46" i="55"/>
  <c r="L46" i="55"/>
  <c r="F210" i="55"/>
  <c r="F200" i="55"/>
  <c r="J167" i="55"/>
  <c r="K168" i="55"/>
  <c r="K93" i="55"/>
  <c r="K76" i="55"/>
  <c r="F80" i="55"/>
  <c r="K89" i="55"/>
  <c r="J88" i="55"/>
  <c r="F146" i="55"/>
  <c r="K84" i="55"/>
  <c r="J83" i="55"/>
  <c r="F110" i="55"/>
  <c r="K184" i="55"/>
  <c r="L92" i="55"/>
  <c r="I92" i="55"/>
  <c r="K55" i="55"/>
  <c r="F134" i="55"/>
  <c r="F131" i="55" s="1"/>
  <c r="K71" i="55"/>
  <c r="K41" i="55"/>
  <c r="J40" i="55"/>
  <c r="L203" i="55"/>
  <c r="I203" i="55"/>
  <c r="K63" i="55"/>
  <c r="L244" i="55"/>
  <c r="I62" i="55"/>
  <c r="L62" i="55"/>
  <c r="L138" i="55"/>
  <c r="G44" i="55"/>
  <c r="I44" i="55" s="1"/>
  <c r="I45" i="55"/>
  <c r="L45" i="55"/>
  <c r="K228" i="55"/>
  <c r="I228" i="55"/>
  <c r="L228" i="55"/>
  <c r="I91" i="55"/>
  <c r="L91" i="55"/>
  <c r="J64" i="55"/>
  <c r="K65" i="55"/>
  <c r="I52" i="55"/>
  <c r="L52" i="55"/>
  <c r="L50" i="55"/>
  <c r="I50" i="55"/>
  <c r="K53" i="55"/>
  <c r="F138" i="55"/>
  <c r="F44" i="55"/>
  <c r="L23" i="46"/>
  <c r="L26" i="46" s="1"/>
  <c r="H116" i="55"/>
  <c r="C64" i="2"/>
  <c r="O30" i="49" s="1"/>
  <c r="M46" i="3"/>
  <c r="L153" i="55"/>
  <c r="L63" i="2"/>
  <c r="J23" i="46"/>
  <c r="J24" i="46" s="1"/>
  <c r="E61" i="2"/>
  <c r="G61" i="2"/>
  <c r="L61" i="2"/>
  <c r="K23" i="46"/>
  <c r="K24" i="46" s="1"/>
  <c r="H47" i="3"/>
  <c r="L55" i="2"/>
  <c r="F64" i="2"/>
  <c r="M24" i="46"/>
  <c r="F47" i="3" l="1"/>
  <c r="N32" i="49"/>
  <c r="N30" i="49"/>
  <c r="M244" i="55"/>
  <c r="I145" i="55"/>
  <c r="K83" i="55"/>
  <c r="L167" i="55"/>
  <c r="K40" i="55"/>
  <c r="F145" i="55"/>
  <c r="K48" i="55"/>
  <c r="J240" i="55"/>
  <c r="O32" i="49"/>
  <c r="O33" i="49" s="1"/>
  <c r="K64" i="55"/>
  <c r="J106" i="55"/>
  <c r="K80" i="55"/>
  <c r="F239" i="55"/>
  <c r="F143" i="55" s="1"/>
  <c r="J244" i="55"/>
  <c r="K97" i="55"/>
  <c r="G106" i="55"/>
  <c r="I106" i="55" s="1"/>
  <c r="L97" i="55"/>
  <c r="K107" i="55"/>
  <c r="L107" i="55"/>
  <c r="G239" i="55"/>
  <c r="G143" i="55" s="1"/>
  <c r="L73" i="55"/>
  <c r="N239" i="55"/>
  <c r="N143" i="55" s="1"/>
  <c r="M146" i="55"/>
  <c r="L210" i="55"/>
  <c r="L58" i="55"/>
  <c r="F106" i="55"/>
  <c r="N145" i="55"/>
  <c r="L145" i="55"/>
  <c r="L185" i="55"/>
  <c r="F166" i="55"/>
  <c r="G166" i="55"/>
  <c r="I166" i="55" s="1"/>
  <c r="L224" i="55"/>
  <c r="F79" i="55"/>
  <c r="G130" i="55"/>
  <c r="L175" i="55"/>
  <c r="L40" i="55"/>
  <c r="L48" i="55"/>
  <c r="K175" i="55"/>
  <c r="F206" i="55"/>
  <c r="G145" i="55"/>
  <c r="L64" i="55"/>
  <c r="L44" i="55"/>
  <c r="F39" i="55"/>
  <c r="I130" i="55"/>
  <c r="C14" i="55" s="1"/>
  <c r="D14" i="55" s="1"/>
  <c r="N130" i="55"/>
  <c r="C16" i="55" s="1"/>
  <c r="D16" i="55" s="1"/>
  <c r="J149" i="55"/>
  <c r="M131" i="55"/>
  <c r="M149" i="55"/>
  <c r="G79" i="55"/>
  <c r="I79" i="55" s="1"/>
  <c r="L88" i="55"/>
  <c r="L130" i="55"/>
  <c r="C15" i="55" s="1"/>
  <c r="D15" i="55" s="1"/>
  <c r="K210" i="55"/>
  <c r="M134" i="55"/>
  <c r="J134" i="55"/>
  <c r="G206" i="55"/>
  <c r="K206" i="55" s="1"/>
  <c r="L239" i="55"/>
  <c r="L143" i="55" s="1"/>
  <c r="K88" i="55"/>
  <c r="M240" i="55"/>
  <c r="L80" i="55"/>
  <c r="I224" i="55"/>
  <c r="J166" i="55"/>
  <c r="J165" i="55" s="1"/>
  <c r="J104" i="55" s="1"/>
  <c r="C9" i="55" s="1"/>
  <c r="D9" i="55" s="1"/>
  <c r="K171" i="55"/>
  <c r="L171" i="55"/>
  <c r="F130" i="55"/>
  <c r="C12" i="55" s="1"/>
  <c r="D12" i="55" s="1"/>
  <c r="J39" i="55"/>
  <c r="G39" i="55"/>
  <c r="I39" i="55" s="1"/>
  <c r="K44" i="55"/>
  <c r="J79" i="55"/>
  <c r="J131" i="55"/>
  <c r="K73" i="55"/>
  <c r="K110" i="55"/>
  <c r="L110" i="55"/>
  <c r="J146" i="55"/>
  <c r="M138" i="55"/>
  <c r="L83" i="55"/>
  <c r="J138" i="55"/>
  <c r="L200" i="55"/>
  <c r="I239" i="55"/>
  <c r="I143" i="55" s="1"/>
  <c r="K58" i="55"/>
  <c r="K185" i="55"/>
  <c r="K167" i="55"/>
  <c r="K200" i="55"/>
  <c r="L24" i="46"/>
  <c r="F3" i="46" s="1"/>
  <c r="C10" i="55"/>
  <c r="D10" i="55" s="1"/>
  <c r="G64" i="2"/>
  <c r="E64" i="2"/>
  <c r="M47" i="3"/>
  <c r="H64" i="2"/>
  <c r="L64" i="2" s="1"/>
  <c r="N33" i="49" l="1"/>
  <c r="M145" i="55"/>
  <c r="K106" i="55"/>
  <c r="L106" i="55"/>
  <c r="M143" i="55"/>
  <c r="J143" i="55"/>
  <c r="G144" i="55"/>
  <c r="G152" i="55" s="1"/>
  <c r="C20" i="55" s="1"/>
  <c r="D20" i="55" s="1"/>
  <c r="C13" i="55"/>
  <c r="D13" i="55" s="1"/>
  <c r="F165" i="55"/>
  <c r="F104" i="55" s="1"/>
  <c r="C7" i="55" s="1"/>
  <c r="D7" i="55" s="1"/>
  <c r="J239" i="55"/>
  <c r="N144" i="55"/>
  <c r="N152" i="55" s="1"/>
  <c r="N154" i="55" s="1"/>
  <c r="L206" i="55"/>
  <c r="K79" i="55"/>
  <c r="K166" i="55"/>
  <c r="F38" i="55"/>
  <c r="C3" i="55" s="1"/>
  <c r="D3" i="55" s="1"/>
  <c r="J145" i="55"/>
  <c r="F144" i="55"/>
  <c r="F152" i="55" s="1"/>
  <c r="F154" i="55" s="1"/>
  <c r="L144" i="55"/>
  <c r="L152" i="55" s="1"/>
  <c r="C22" i="55" s="1"/>
  <c r="D22" i="55" s="1"/>
  <c r="J130" i="55"/>
  <c r="I144" i="55"/>
  <c r="I152" i="55" s="1"/>
  <c r="C21" i="55" s="1"/>
  <c r="G38" i="55"/>
  <c r="I38" i="55" s="1"/>
  <c r="M130" i="55"/>
  <c r="L79" i="55"/>
  <c r="I206" i="55"/>
  <c r="K39" i="55"/>
  <c r="G165" i="55"/>
  <c r="L165" i="55" s="1"/>
  <c r="M239" i="55"/>
  <c r="L39" i="55"/>
  <c r="L166" i="55"/>
  <c r="J38" i="55"/>
  <c r="C5" i="55" s="1"/>
  <c r="D5" i="55" s="1"/>
  <c r="F2" i="46"/>
  <c r="J144" i="55" l="1"/>
  <c r="F105" i="55"/>
  <c r="F113" i="55" s="1"/>
  <c r="F116" i="55" s="1"/>
  <c r="I154" i="55"/>
  <c r="C19" i="55"/>
  <c r="D19" i="55" s="1"/>
  <c r="C23" i="55"/>
  <c r="D23" i="55" s="1"/>
  <c r="M152" i="55"/>
  <c r="C4" i="55"/>
  <c r="D4" i="55" s="1"/>
  <c r="G154" i="55"/>
  <c r="L154" i="55"/>
  <c r="M144" i="55"/>
  <c r="J152" i="55"/>
  <c r="G104" i="55"/>
  <c r="L104" i="55" s="1"/>
  <c r="I165" i="55"/>
  <c r="K165" i="55"/>
  <c r="K38" i="55"/>
  <c r="L38" i="55"/>
  <c r="J105" i="55"/>
  <c r="J113" i="55" s="1"/>
  <c r="J116" i="55" s="1"/>
  <c r="D21" i="55"/>
  <c r="C8" i="55" l="1"/>
  <c r="D8" i="55" s="1"/>
  <c r="K104" i="55"/>
  <c r="G105" i="55"/>
  <c r="I105" i="55" s="1"/>
  <c r="I104" i="55"/>
  <c r="G113" i="55" l="1"/>
  <c r="I113" i="55" s="1"/>
  <c r="L105" i="55"/>
  <c r="K105" i="55"/>
  <c r="L113" i="55" l="1"/>
  <c r="G116" i="55"/>
  <c r="I116" i="55" s="1"/>
  <c r="K113" i="55"/>
  <c r="L116" i="55" l="1"/>
  <c r="K116" i="55"/>
  <c r="J3" i="49" l="1"/>
  <c r="J2" i="4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tc={0FD7631F-5350-469B-959E-BE0033500F3E}</author>
  </authors>
  <commentList>
    <comment ref="L1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Executa macro ao salvar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tc={EA4FC7FD-E6E5-4FBC-BD34-54DC6BE3F108}</author>
  </authors>
  <commentList>
    <comment ref="L1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Executa macro ao salvar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tc={F858EF23-5A7F-4CF3-A6B5-EADE288AB756}</author>
  </authors>
  <commentList>
    <comment ref="M1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Executa macro ao salvar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Josi</author>
  </authors>
  <commentList>
    <comment ref="B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Detalhar em Benefícios Previdenciários e Demais Despesas Correntes?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Henriques</author>
  </authors>
  <commentList>
    <comment ref="J116" authorId="0" shapeId="0" xr:uid="{2C4D1191-B560-4023-84AA-05E41AB93635}">
      <text>
        <r>
          <rPr>
            <sz val="9"/>
            <color indexed="81"/>
            <rFont val="Segoe UI"/>
            <family val="2"/>
          </rPr>
          <t>'RREO-Anexo 01'!F99=+'RREO-Anexo 01'!F96+'RREO-Anexo 01'!F98+'RREO-Anexo 01'!F97</t>
        </r>
      </text>
    </comment>
  </commentList>
</comments>
</file>

<file path=xl/sharedStrings.xml><?xml version="1.0" encoding="utf-8"?>
<sst xmlns="http://schemas.openxmlformats.org/spreadsheetml/2006/main" count="2070" uniqueCount="651">
  <si>
    <t>GOVERNO FEDERAL</t>
  </si>
  <si>
    <t>RELATÓRIO RESUMIDO DA EXECUÇÃO ORÇAMENTÁRIA</t>
  </si>
  <si>
    <t>BALANÇO ORÇAMENTÁRIO</t>
  </si>
  <si>
    <t>ORÇAMENTOS FISCAL E DA SEGURIDADE SOCIAL</t>
  </si>
  <si>
    <t>RREO - Anexo 1 (LRF, art. 52, inciso I, alíneas "a" e "b" do inciso II e § 1º)</t>
  </si>
  <si>
    <t>R$ milhares</t>
  </si>
  <si>
    <t xml:space="preserve">PREVISÃO </t>
  </si>
  <si>
    <t>PREVISÃO</t>
  </si>
  <si>
    <t>RECEITAS REALIZADAS</t>
  </si>
  <si>
    <t>SALDO A</t>
  </si>
  <si>
    <t>RECEITAS</t>
  </si>
  <si>
    <t>INICIAL</t>
  </si>
  <si>
    <t>ATUALIZADA</t>
  </si>
  <si>
    <t>No Mês</t>
  </si>
  <si>
    <t>%</t>
  </si>
  <si>
    <t>Até o Mês</t>
  </si>
  <si>
    <t>REALIZAR</t>
  </si>
  <si>
    <t>(a)</t>
  </si>
  <si>
    <t>(b)</t>
  </si>
  <si>
    <t>(b/a)</t>
  </si>
  <si>
    <t>(c)</t>
  </si>
  <si>
    <t>(c/a)</t>
  </si>
  <si>
    <t>(a-c)</t>
  </si>
  <si>
    <t>Filtro para ocultar linhas zeradas</t>
  </si>
  <si>
    <t>RECEITAS (Exceto Intra-Orçamentárias) (I)</t>
  </si>
  <si>
    <t xml:space="preserve"> RECEITAS CORRENTES</t>
  </si>
  <si>
    <t xml:space="preserve">    IMPOSTOS, TAXAS E CONTRIBUIÇÕES DE MELHORIA</t>
  </si>
  <si>
    <t xml:space="preserve">        Impostos</t>
  </si>
  <si>
    <t xml:space="preserve">        Taxas</t>
  </si>
  <si>
    <t xml:space="preserve">    CONTRIBUIÇÕES</t>
  </si>
  <si>
    <t xml:space="preserve">        Contribuições Sociais</t>
  </si>
  <si>
    <t xml:space="preserve">        Contribuições Econômicas</t>
  </si>
  <si>
    <t xml:space="preserve">        Contribuições para Entidades Privadas de Serviço Social e de Formação 
        Profissional </t>
  </si>
  <si>
    <t xml:space="preserve">    RECEITA PATRIMONIAL</t>
  </si>
  <si>
    <t xml:space="preserve">         Exploração do Patrimônio Imobiliário do Estado</t>
  </si>
  <si>
    <t xml:space="preserve">         Valores Mobiliários</t>
  </si>
  <si>
    <t xml:space="preserve">         Delegação de Serviços Públicos Mediante Concessão, Permissão, Autorização ou Licença</t>
  </si>
  <si>
    <t xml:space="preserve">         Exploração de Recursos Naturais</t>
  </si>
  <si>
    <t xml:space="preserve">         Exploração do Patrimônio Intangível</t>
  </si>
  <si>
    <t xml:space="preserve">         Cessão de Direitos</t>
  </si>
  <si>
    <t xml:space="preserve">         Demais Receitas Patrimoniais</t>
  </si>
  <si>
    <t xml:space="preserve">    RECEITA AGROPECUÁRIA</t>
  </si>
  <si>
    <t xml:space="preserve">    RECEITA INDUSTRIAL</t>
  </si>
  <si>
    <t xml:space="preserve">    RECEITA DE SERVIÇOS</t>
  </si>
  <si>
    <t xml:space="preserve">         Serviços Administrativos e Comerciais Gerais</t>
  </si>
  <si>
    <t xml:space="preserve">         Serviços e Atividades Referentes à Navegação e ao Transporte</t>
  </si>
  <si>
    <t xml:space="preserve">         Serviços e Atividades referentes à Saúde</t>
  </si>
  <si>
    <t xml:space="preserve">         Serviços e Atividades Financeiras</t>
  </si>
  <si>
    <t xml:space="preserve">         Outros Serviços</t>
  </si>
  <si>
    <t xml:space="preserve">    TRANSFERÊNCIAS CORRENTES</t>
  </si>
  <si>
    <t xml:space="preserve">         Transferências da União e de suas Entidades</t>
  </si>
  <si>
    <t xml:space="preserve">         Transferências dos Estados e do Distrito Federal e de suas Entidades</t>
  </si>
  <si>
    <t xml:space="preserve">         Transferências dos Municípios e de suas Entidades</t>
  </si>
  <si>
    <t xml:space="preserve">         Transferências de Instituições Privadas</t>
  </si>
  <si>
    <t xml:space="preserve">         Transferências de Outras Instituições Públicas</t>
  </si>
  <si>
    <t xml:space="preserve">         Transferências do Exterior</t>
  </si>
  <si>
    <t xml:space="preserve">         Transferências de Pessoas Físicas</t>
  </si>
  <si>
    <t xml:space="preserve">         Transferências Provenientes de Depósitos Não Identificados</t>
  </si>
  <si>
    <t xml:space="preserve">    OUTRAS RECEITAS CORRENTES</t>
  </si>
  <si>
    <t xml:space="preserve">         Multas Administrativas, Contratuais e Judiciais</t>
  </si>
  <si>
    <t xml:space="preserve">         Indenizações, Restituições e Ressarcimentos</t>
  </si>
  <si>
    <t xml:space="preserve">         Bens, Direitos e Valores Incorporados ao Patrimônio Público</t>
  </si>
  <si>
    <t xml:space="preserve">         Demais Receitas Correntes</t>
  </si>
  <si>
    <t xml:space="preserve">    RECEITAS CORRENTES A CLASSIFICAR</t>
  </si>
  <si>
    <t>FONTE: SIAFI - STN/CCONT/GEINF</t>
  </si>
  <si>
    <t>Continua (1/4)</t>
  </si>
  <si>
    <t xml:space="preserve"> RECEITAS DE CAPITAL</t>
  </si>
  <si>
    <t xml:space="preserve">    OPERAÇÕES DE CRÉDITO</t>
  </si>
  <si>
    <t xml:space="preserve">        Operações de Crédito - Mercado Interno </t>
  </si>
  <si>
    <t xml:space="preserve">        Operações de Crédito - Mercado Externo </t>
  </si>
  <si>
    <t xml:space="preserve">    ALIENAÇÃO DE BENS</t>
  </si>
  <si>
    <t xml:space="preserve">        Alienação de Bens Móveis</t>
  </si>
  <si>
    <t xml:space="preserve">        Alienação de Bens Imóveis</t>
  </si>
  <si>
    <t xml:space="preserve">        Alienação de Bens Intangíveis</t>
  </si>
  <si>
    <t xml:space="preserve">    AMORTIZAÇÕES DE EMPRÉSTIMOS</t>
  </si>
  <si>
    <t xml:space="preserve">    TRANSFERÊNCIAS DE CAPITAL</t>
  </si>
  <si>
    <t xml:space="preserve">    OUTRAS RECEITAS DE CAPITAL</t>
  </si>
  <si>
    <t xml:space="preserve">         Integralização do Capital Social</t>
  </si>
  <si>
    <t xml:space="preserve">         Resultado do Banco Central</t>
  </si>
  <si>
    <t xml:space="preserve">         Remuneração das Disponibilidades do Tesouro</t>
  </si>
  <si>
    <t xml:space="preserve">         Resgate de Títulos do Tesouro       </t>
  </si>
  <si>
    <t xml:space="preserve">         Demais receitas de Capital</t>
  </si>
  <si>
    <t xml:space="preserve">    RECEITAS DE CAPITAL A CLASSIFICAR</t>
  </si>
  <si>
    <t>Continua (1/3)</t>
  </si>
  <si>
    <t>Continuação</t>
  </si>
  <si>
    <t>RECEITAS (Intra-Orçamentárias) (II)</t>
  </si>
  <si>
    <t xml:space="preserve">        Operações de Crédito - Mercado Interno</t>
  </si>
  <si>
    <t xml:space="preserve">        Operações de Crédito - Mercado Externo</t>
  </si>
  <si>
    <t xml:space="preserve">    TRANSFERENCIAS DE CAPITAL</t>
  </si>
  <si>
    <t>SUBTOTAL DAS RECEITAS (III) = (I + II)</t>
  </si>
  <si>
    <t>OPERAÇÕES DE CRÉDITO - REFINANCIAMENTO (IV)</t>
  </si>
  <si>
    <t xml:space="preserve">    Operações de Crédito - Mercado Interno </t>
  </si>
  <si>
    <t xml:space="preserve">        Mobiliária</t>
  </si>
  <si>
    <t xml:space="preserve">    Operações de Crédito - Mercado Externo </t>
  </si>
  <si>
    <t>TOTAL DAS RECEITAS (V) = (III + IV)</t>
  </si>
  <si>
    <t>AJUSTES NA PREVISÃO ATUALIZADA (VI)</t>
  </si>
  <si>
    <t>DÉFICIT (VII)</t>
  </si>
  <si>
    <t>-</t>
  </si>
  <si>
    <t>TOTAL COM DÉFICIT (VIII) = (V + VI + VII)</t>
  </si>
  <si>
    <t>DETALHAMENTO DOS AJUSTES NA PREVISÃO ATUALIZADA</t>
  </si>
  <si>
    <t xml:space="preserve">    Créditos adicionais abertos com Superávit Financeiro</t>
  </si>
  <si>
    <t xml:space="preserve">    Créditos adicionais abertos com Excesso de Arrecadação</t>
  </si>
  <si>
    <t xml:space="preserve">    Créditos cancelados líquidos</t>
  </si>
  <si>
    <t>RECURSOS ARRECADADOS EM EXERCÍCIOS ANTERIORES</t>
  </si>
  <si>
    <t>Continua (2/3)</t>
  </si>
  <si>
    <t>DOTAÇÃO</t>
  </si>
  <si>
    <t>DESPESAS EMPENHADAS</t>
  </si>
  <si>
    <t>SALDO</t>
  </si>
  <si>
    <t>DESPESAS LIQUIDADAS</t>
  </si>
  <si>
    <t>DESPESAS PAGAS</t>
  </si>
  <si>
    <t>INSCRITAS EM RESTOS A PAGAR NÃO PROCESSADOS</t>
  </si>
  <si>
    <t>DESPESAS</t>
  </si>
  <si>
    <t>Até o Mês (h)</t>
  </si>
  <si>
    <t>Até o Mês (j)</t>
  </si>
  <si>
    <t>(d)</t>
  </si>
  <si>
    <t>(e)</t>
  </si>
  <si>
    <t>Até o Mês (f)</t>
  </si>
  <si>
    <t>(g) = (e - f)</t>
  </si>
  <si>
    <t>(i) = (e - h)</t>
  </si>
  <si>
    <t>(k)</t>
  </si>
  <si>
    <t>DESPESAS (Exceto Intra-Orçamentárias) (IX)</t>
  </si>
  <si>
    <t xml:space="preserve"> DESPESAS CORRENTES</t>
  </si>
  <si>
    <t xml:space="preserve">    PESSOAL E ENCARGOS SOCIAIS</t>
  </si>
  <si>
    <t xml:space="preserve">    JUROS E ENCARGOS DA DÍVIDA</t>
  </si>
  <si>
    <t xml:space="preserve">    OUTRAS DESPESAS CORRENTES</t>
  </si>
  <si>
    <t xml:space="preserve">        Transferência a Estados, DF e Municípios</t>
  </si>
  <si>
    <t xml:space="preserve">        Benefícios Previdenciários</t>
  </si>
  <si>
    <t xml:space="preserve">        Demais Despesas Correntes</t>
  </si>
  <si>
    <t xml:space="preserve"> DESPESAS DE CAPITAL</t>
  </si>
  <si>
    <t xml:space="preserve">    INVESTIMENTOS</t>
  </si>
  <si>
    <t xml:space="preserve">    INVERSÕES FINANCEIRAS</t>
  </si>
  <si>
    <t xml:space="preserve">    AMORTIZAÇÃO DA DÍVIDA</t>
  </si>
  <si>
    <t xml:space="preserve"> RESERVA DE CONTINGÊNCIA</t>
  </si>
  <si>
    <t>DESPESAS (Intra-Orçamentárias) (X)</t>
  </si>
  <si>
    <t>SUBTOTAL DAS DESPESAS (XI) = (IX + X)</t>
  </si>
  <si>
    <t>AMORTIZAÇÃO DA DÍVIDA - REFINANCIAMENTO (XII)</t>
  </si>
  <si>
    <t xml:space="preserve">    Amortização da Dívida Interna</t>
  </si>
  <si>
    <t xml:space="preserve">        Dívida Mobiliária</t>
  </si>
  <si>
    <t xml:space="preserve">        Outras Dívidas</t>
  </si>
  <si>
    <t xml:space="preserve">    Amortização da Dívida Externa</t>
  </si>
  <si>
    <t>TOTAL DAS DESPESAS (XIII) = (XI + XII)</t>
  </si>
  <si>
    <t>SUPERÁVIT (XIV)</t>
  </si>
  <si>
    <t>TOTAL COM SUPERÁVIT (XV) = (XIII + XIV)</t>
  </si>
  <si>
    <t>RESERVA DO RPPS</t>
  </si>
  <si>
    <t>(4/4)</t>
  </si>
  <si>
    <t>Nota: 
1) Durante o exercício, somente as despesas liquidadas são consideradas executadas. No encerramento do exercício, as despesas não liquidadas inscritas em restos a pagar não processados são também consideradas.
2) A diferença entre a dotação e a previsão da receita se deve a vetos na Lei Orçamentária Anual, no valor de R$ 19,8 bilhões.</t>
  </si>
  <si>
    <t>LUCIANO MOURA CASTRO DO NASCIMENTO</t>
  </si>
  <si>
    <t>Coordenador-Geral de Contabilidade da União</t>
  </si>
  <si>
    <t>Contador - CRC-DF 27.493/O</t>
  </si>
  <si>
    <t>VERIFICAÇÃO RECEITAS</t>
  </si>
  <si>
    <t>Previsão Inicial da Receita</t>
  </si>
  <si>
    <t>Previsão Atualizada da Receita</t>
  </si>
  <si>
    <t>Receita Orçamentária Líquida no mês</t>
  </si>
  <si>
    <t>Receita Orçamentária Líquida até o mês</t>
  </si>
  <si>
    <t>Prev Inicial</t>
  </si>
  <si>
    <t>Prev Atual.</t>
  </si>
  <si>
    <t>Receita no Mês</t>
  </si>
  <si>
    <t>Receita até o Mês</t>
  </si>
  <si>
    <t>Elaboração</t>
  </si>
  <si>
    <t>RECEITAS CORRENTES</t>
  </si>
  <si>
    <t>Anexo</t>
  </si>
  <si>
    <t>IMPOSTOS, TAXAS E CONTRIBUIÇÕES DE MELHORIA</t>
  </si>
  <si>
    <t>Diferença</t>
  </si>
  <si>
    <t>Impostos</t>
  </si>
  <si>
    <t>Taxas</t>
  </si>
  <si>
    <t>Contribuição de Melhoria</t>
  </si>
  <si>
    <t>CONTRIBUIÇÕES</t>
  </si>
  <si>
    <t>Contribuições Sociais</t>
  </si>
  <si>
    <t>Contribuições de Intervenção no Domímio Econômico</t>
  </si>
  <si>
    <t>Contribuições para Entidades Privadas de Serviço Social e de Formação Profissional</t>
  </si>
  <si>
    <t>RECEITA PATRIMONIAL</t>
  </si>
  <si>
    <t>Exploração do Patrimônio Imobiliário do Estado</t>
  </si>
  <si>
    <t>Valores Mobiliários</t>
  </si>
  <si>
    <t>Delegação de Serviços Públicos Mediante Concessão, Permissão, Autorização ou Licença</t>
  </si>
  <si>
    <t>Exploração de Recursos Naturais</t>
  </si>
  <si>
    <t>Exploração do Patrimônio Intangível</t>
  </si>
  <si>
    <t>Cessão de Direitos</t>
  </si>
  <si>
    <t>SUBTOTAL COM REFINANCIAMENTO (V) = (III + IV)</t>
  </si>
  <si>
    <t>Demais Receitas Patrimoniais</t>
  </si>
  <si>
    <t>RECEITA AGROPECUÁRIA</t>
  </si>
  <si>
    <t>RECEITA INDUSTRIAL</t>
  </si>
  <si>
    <t>SIAFI Operacional</t>
  </si>
  <si>
    <t>Receita total</t>
  </si>
  <si>
    <t>RECEITAS DE SERVIÇOS</t>
  </si>
  <si>
    <t>Serviços Administrativos e Comerciais Gerais</t>
  </si>
  <si>
    <t>Serviços e Atividades Referentes à Navegação e ao Transporte</t>
  </si>
  <si>
    <t>Serviços e Atividades Referentes à Sáude</t>
  </si>
  <si>
    <t>Serviços e Atividades Financeiras</t>
  </si>
  <si>
    <t>Outros Serviços</t>
  </si>
  <si>
    <t>TRANSFERÊNCIAS CORRENTES</t>
  </si>
  <si>
    <t>Transferências da União e de suas Entidades</t>
  </si>
  <si>
    <t>Transferências dos Estados e do Distrito Federal e de suas Entidades</t>
  </si>
  <si>
    <t>Transferências dos Municípios e de suas Entidades</t>
  </si>
  <si>
    <t>Transferências de Instituições Privadas</t>
  </si>
  <si>
    <t>Transferências de Outras Instituições Públicas</t>
  </si>
  <si>
    <t>Transferências do Exterior</t>
  </si>
  <si>
    <t>Transferências de Pessoas Físicas</t>
  </si>
  <si>
    <t>Transferências Provenientes de Depósitos Não Identificados</t>
  </si>
  <si>
    <t>RECEITAS CORRENTES A CLASSIFICAR</t>
  </si>
  <si>
    <t>OUTRAS RECEITAS CORRENTES</t>
  </si>
  <si>
    <t>Multas Administrativas, Contratuais e Judiciais</t>
  </si>
  <si>
    <t>Indenizações, Restituições e Ressarcimentos</t>
  </si>
  <si>
    <t>Bens, Direitos e Valores Incorporados ao Patrimônio Público</t>
  </si>
  <si>
    <t>Demais Receitas Correntes</t>
  </si>
  <si>
    <t>RECEITAS DE CAPITAL</t>
  </si>
  <si>
    <t>OPERAÇÕES DE CRÉDITO</t>
  </si>
  <si>
    <t>Operações de Crédito Internas</t>
  </si>
  <si>
    <t>Operações de Crédito Externas</t>
  </si>
  <si>
    <t>ALIENAÇÃO DE BENS</t>
  </si>
  <si>
    <t>Alienação de Bens Móveis</t>
  </si>
  <si>
    <t>Alienação de Bens Imóveis</t>
  </si>
  <si>
    <t>Alienação de Bens Intangíveis</t>
  </si>
  <si>
    <t>AMORTIZAÇÕES DE EMPRÉSTIMOS</t>
  </si>
  <si>
    <t>TRANSFERÊNCIAS DE CAPITAL</t>
  </si>
  <si>
    <t>Transferências da União e de suas Entidades (Capital)</t>
  </si>
  <si>
    <t>Transferências dos Estados e do Distrito Federal e de suas Entidades (Capital)</t>
  </si>
  <si>
    <t>Transferências dos Municípios e de suas Entidades (Capital)</t>
  </si>
  <si>
    <t>Transferências de Instituições Privadas (Capital)</t>
  </si>
  <si>
    <t>Transferências de Outras Instituições Públicas (Capital)</t>
  </si>
  <si>
    <t>Transferências do Exterior (Capital)</t>
  </si>
  <si>
    <t>Transferências Pessoas Físicas (Capital)</t>
  </si>
  <si>
    <t>Transferências Provenientes de Depósitos Não Identificados (Capital)</t>
  </si>
  <si>
    <t>OUTRAS RECEITA DE CAPITAL</t>
  </si>
  <si>
    <t>Integralização do Capital Social</t>
  </si>
  <si>
    <t>Resultado do Banco Central do Brasil</t>
  </si>
  <si>
    <t>Remuneração das Disponibilidades do Tesouro</t>
  </si>
  <si>
    <t>Resgate de Títulos do Tesouro</t>
  </si>
  <si>
    <t>Receitas de Capital Diversas²</t>
  </si>
  <si>
    <t>RECEITAS DE CAPITAL A CLASSIFICAR</t>
  </si>
  <si>
    <t>RECEITAS CORRENTES (INTRA)</t>
  </si>
  <si>
    <t>IMPOSTOS, TAXAS E CONTRIBUIÇÕES DE MELHORIA (INTRA)</t>
  </si>
  <si>
    <t>Impostos (INTRA)</t>
  </si>
  <si>
    <t>Taxas (INTRA)</t>
  </si>
  <si>
    <t>CONTRIBUIÇÕES (INTRA)</t>
  </si>
  <si>
    <t>Contribuições Sociais (INTRA)</t>
  </si>
  <si>
    <t>Contribuições Econômicas (INTRA)</t>
  </si>
  <si>
    <t>Contribuições para Entidades Privadas de Serviço Social e de Formação Profissional (INTRA)</t>
  </si>
  <si>
    <t>RECEITA PATRIMONIAL (INTRA)</t>
  </si>
  <si>
    <t>Exploração do Patrimônio Imobiliário do Estado(INTRA)</t>
  </si>
  <si>
    <t>Valores Mobiliários (INTRA)</t>
  </si>
  <si>
    <t>Delegação de Serviços Públicos Mediante Concessão, Permissão, Autorização ou Licença (INTRA)</t>
  </si>
  <si>
    <t>RECEITA AGROPECUÁRIA (INTRA)</t>
  </si>
  <si>
    <t>RECEITA INDUSTRIAL (INTRA)</t>
  </si>
  <si>
    <t>RECEITA DE SERVIÇOS (INTRA)</t>
  </si>
  <si>
    <t>Serviços Administrativos e Comerciais Gerais (INTRA)</t>
  </si>
  <si>
    <t>Serviços e Atividades Referentes à Navegação e ao Transporte (INTRA)</t>
  </si>
  <si>
    <t>Serviços e Atividades referentes à Saúde (INTRA)</t>
  </si>
  <si>
    <t>Serviços e Atividades Financeiras (INTRA)</t>
  </si>
  <si>
    <t>Outros Serviços (INTRA)</t>
  </si>
  <si>
    <t>TRANSFERÊNCIAS CORRENTES (INTRA)</t>
  </si>
  <si>
    <t>OUTRAS RECEITAS CORRENTES (INTRA)</t>
  </si>
  <si>
    <t>Multas Administrativas, Contratuais e Judiciais (INTRA)</t>
  </si>
  <si>
    <t>Indenizações, Restituições e Ressarcimentos (INTRA)</t>
  </si>
  <si>
    <t>Bens, Direitos e Valores Incorporados ao Patrimônio Público (INTRA)</t>
  </si>
  <si>
    <t>Demais Receitas Correntes (INTRA)</t>
  </si>
  <si>
    <t>RECEITAS DE CAPITAL (INTRA)</t>
  </si>
  <si>
    <t>RECEITAS DE OPERÇÕES DE CRÉDITO (INTRA)</t>
  </si>
  <si>
    <t>Operações de Crédito Internas (INTRA)</t>
  </si>
  <si>
    <t>Operações de Crédito Externas (INTRA)</t>
  </si>
  <si>
    <t>ALIENAÇÃO DE BENS (INTRA)</t>
  </si>
  <si>
    <t>Alienação de Bens Móveis (INTRA)</t>
  </si>
  <si>
    <t>Alienação de Bens Imóveis (INTRA)</t>
  </si>
  <si>
    <t>Alienação de Bens Intangíveis (INTRA)</t>
  </si>
  <si>
    <t>AMORTIZAÇÃO DE EMPRÉSTIMOS (INTRA)</t>
  </si>
  <si>
    <t>Amortização de Empréstimos (INTRA)</t>
  </si>
  <si>
    <t>TRANSFERÊNCIAS DE CAPITAL (INTRA)</t>
  </si>
  <si>
    <t>OUTRAS RECEITAS DE CAPITAL (INTRA)</t>
  </si>
  <si>
    <t>Integralização do Capital Social (INTRA)</t>
  </si>
  <si>
    <t>Resultado do Banco Central do Brasil (INTRA)</t>
  </si>
  <si>
    <t>Remuneração das Disponibilidades do Tesouro(INTRA)</t>
  </si>
  <si>
    <t>Resgate de Títulos do Tesouro (INTRA)</t>
  </si>
  <si>
    <t>Receitas de Capital Diversas² (INTRA)</t>
  </si>
  <si>
    <t>Operações de Crédito Internas - Refinanciamento</t>
  </si>
  <si>
    <t>Mobiliária - Refinanciamento (Crédito Interno)</t>
  </si>
  <si>
    <t>Operações de Crédito Externas - Refinanciamento</t>
  </si>
  <si>
    <t>Mobiliária - Refinanciamento (Crédito Externo)</t>
  </si>
  <si>
    <t>Detalhamento da Previsão Atualizada</t>
  </si>
  <si>
    <t>Ajustes na Previsão - Superavit Financeiro</t>
  </si>
  <si>
    <t>Ajustes na Previsão - Excesso de Arrecadação</t>
  </si>
  <si>
    <t>Ajustes na Previsão - Créditos Cancelados Líquidos</t>
  </si>
  <si>
    <t>VERIFICAÇÃO DESPESAS</t>
  </si>
  <si>
    <t>Dotação Inicial</t>
  </si>
  <si>
    <t>Dotação Atualizada</t>
  </si>
  <si>
    <t>Despesas Empenhadas no mês</t>
  </si>
  <si>
    <t>Despesas Empenhadas até o mês</t>
  </si>
  <si>
    <t>Despesas Liquidadas no mês</t>
  </si>
  <si>
    <t>Despesas Liquidadas até o mês</t>
  </si>
  <si>
    <t>Despesas Pagas</t>
  </si>
  <si>
    <t>Despesas Inscritas em RPNP</t>
  </si>
  <si>
    <t>Dot Inicial</t>
  </si>
  <si>
    <t>Dot Atual.</t>
  </si>
  <si>
    <t>Desp. Emp. No Mês</t>
  </si>
  <si>
    <t>Desp. Emp. Até o Mês</t>
  </si>
  <si>
    <t>Desp. Liquidadas no Mês</t>
  </si>
  <si>
    <t>Despesas Liquidadas até o Mês</t>
  </si>
  <si>
    <t>Desp. Pagas</t>
  </si>
  <si>
    <t>Desp. Inscritas em RPNP</t>
  </si>
  <si>
    <t>DESPESAS CORRENTES</t>
  </si>
  <si>
    <t>PESSOAL E ENCARGOS SOCIAIS</t>
  </si>
  <si>
    <t>JUROS E ENCARGOS DA DÍVIDA</t>
  </si>
  <si>
    <t>OUTRAS DESPESA CORRENTES</t>
  </si>
  <si>
    <t>Transferência a Estados, DF e Municípios</t>
  </si>
  <si>
    <t>Benefícios Previdenciários</t>
  </si>
  <si>
    <t>Demais Despesas Correntes</t>
  </si>
  <si>
    <t>DESPESAS DE CAPITAL</t>
  </si>
  <si>
    <t>SUBTOTAL DAS DESPESAS (XI) = ( IX + X)</t>
  </si>
  <si>
    <t>INVESTIMENTOS</t>
  </si>
  <si>
    <t>INVERSÕES FINANCEIRAS</t>
  </si>
  <si>
    <t>AMORTIZAÇÃO DA DÍVIDA</t>
  </si>
  <si>
    <t>RESERVA DE CONTINGÊNCIA</t>
  </si>
  <si>
    <t>DESPESAS CORRENTES (INTRA)</t>
  </si>
  <si>
    <t>PESSOAL E ENCARGOS SOCIAIS (INTRA)</t>
  </si>
  <si>
    <t>JUROS E ENCARGOS DA DÍVIDA (INTRA)</t>
  </si>
  <si>
    <t>SUBTOTAL COM REFINANCIAMENTO (XIII) = (XI + XII)</t>
  </si>
  <si>
    <t>OUTRAS DESPESAS CORRENTES (INTRA)</t>
  </si>
  <si>
    <t>DESPESAS DE CAPITAL (INTRA)</t>
  </si>
  <si>
    <t>INVESTIMENTOS (INTRA)</t>
  </si>
  <si>
    <t>INVERSÕES FINANCEIRAS (INTRA)</t>
  </si>
  <si>
    <t>Total SIAFI</t>
  </si>
  <si>
    <t>AMORTIZAÇÃO DA DÍVIDA (INTRA)</t>
  </si>
  <si>
    <t>RESERVA DE CONTINGÊNCIA (INTRA)</t>
  </si>
  <si>
    <t>AJUSTES NA PREVISÃO ATUALIZADA</t>
  </si>
  <si>
    <t>Amortização da Dívida Interna</t>
  </si>
  <si>
    <t>Veto presidencial</t>
  </si>
  <si>
    <t>Dìvida Mobiliária</t>
  </si>
  <si>
    <t>Outras Dívidas</t>
  </si>
  <si>
    <t>https://www.camara.leg.br/internet/comissao/index/mista/orca/orcamento/OR2021/notas_tecnicas/Informativo_Conjunto_Vetos.pdf</t>
  </si>
  <si>
    <t>Amortização da Dívida Externa</t>
  </si>
  <si>
    <t>Veto presidencial = R$ 19.767.619.840</t>
  </si>
  <si>
    <t>Dívida Mobiliária (Externa)</t>
  </si>
  <si>
    <t>Outras Dívidas (Externa)</t>
  </si>
  <si>
    <t>Anexo 1 - Até o Mês - 2021</t>
  </si>
  <si>
    <t>Filtro do relatório:</t>
  </si>
  <si>
    <t>({Órgão UGE - Orçam. Fiscal S/N} = PERTENCE) E ({Ano Lançamento} ({Número Ano}) = 2021)</t>
  </si>
  <si>
    <t>Anexo 1 - Linhas - 2021</t>
  </si>
  <si>
    <t>Previsão Inicial da Receita (R$ milhares)</t>
  </si>
  <si>
    <t>Previsão Atualizada da Receita (R$ milhares)</t>
  </si>
  <si>
    <t>MOVIMENTO - Receita no mês (R$ milhares)</t>
  </si>
  <si>
    <t>Receita Orçamentária (R$ milhares)</t>
  </si>
  <si>
    <t>Dotação Inicial (R$ milhares)</t>
  </si>
  <si>
    <t>Dotação Atualizada (R$ milhares)</t>
  </si>
  <si>
    <t>MOVIMENTO - Empenhos no mês (R$ milhares)</t>
  </si>
  <si>
    <t>Despesas Empenhadas (R$ milhares)</t>
  </si>
  <si>
    <t>MOVIMENTO - Liquidações no mês (R$ milhares)</t>
  </si>
  <si>
    <t>Despesas Liquidadas (R$ milhares)</t>
  </si>
  <si>
    <t>Despesas Pagas (R$ milhares)</t>
  </si>
  <si>
    <t>Despesas Inscritas em RPNP (R$ milhares)</t>
  </si>
  <si>
    <t>Ajustes na Previsão Atualizada (R$ milhares)</t>
  </si>
  <si>
    <t>SICONFI - Receitas no bimestre</t>
  </si>
  <si>
    <t>SICONFI - Empenhos no bimestre</t>
  </si>
  <si>
    <t>SICONFI - Liquidações no bimestre</t>
  </si>
  <si>
    <t>Receita Orçamentária Mês Anterior (R$ milhares)</t>
  </si>
  <si>
    <t>Receita Orçamentária até o bimestre anterior - R$</t>
  </si>
  <si>
    <t>Transferências dos Estados e do Distrito Federal e de suas Entidades (capital)</t>
  </si>
  <si>
    <t>Integralização de Capital Social</t>
  </si>
  <si>
    <t>Exploração de Recursos Naturais(INTRA)</t>
  </si>
  <si>
    <t>Exploração do Patrimônio Intangível (INTRA)</t>
  </si>
  <si>
    <t>Cessão de Direitos (INTRA)</t>
  </si>
  <si>
    <t>Demais Receitas Patrimoniais (INTRA)</t>
  </si>
  <si>
    <t>Serviços e Atividades Referentes à Saúde (INTRA)</t>
  </si>
  <si>
    <t>Transferências da União e de suas Entidades (INTRA)</t>
  </si>
  <si>
    <t>Transferências dos Estados e do Distrito Federal e de suas Entidades (INTRA)</t>
  </si>
  <si>
    <t>Transferências de Municípios e de suas Entidades (INTRA)</t>
  </si>
  <si>
    <t>Transferências de Instituições Privadas (INTRA)</t>
  </si>
  <si>
    <t>Transferências de Outras Instituições Públicas (INTRA)</t>
  </si>
  <si>
    <t>Transferências do Exterior (INTRA)</t>
  </si>
  <si>
    <t>Transferências de Pessoas Físicas (INTRA)</t>
  </si>
  <si>
    <t>Transferências Provenientes de Depósitos Não Identificados (INTRA)</t>
  </si>
  <si>
    <t>Alienação de bens Imóveis (INTRA)</t>
  </si>
  <si>
    <t>Transferências da União e de suas Entidades (INTRA) (Capital)</t>
  </si>
  <si>
    <t>Transferências dos Estados e do Distrito Federal e de suas Entidades (INTRA) (Capital)</t>
  </si>
  <si>
    <t>Transferências dos Municípios e de suas Entidades (INTRA) (Capital)</t>
  </si>
  <si>
    <t>Transferências de Instituições Privadas (INTRA) (Capital)</t>
  </si>
  <si>
    <t>Transferências de Outras Instituições Públicas (INTRA) (Capital)</t>
  </si>
  <si>
    <t>Transferências do Exterior (INTRA) (Capital)</t>
  </si>
  <si>
    <t>Transferências de Pessoas Físicas (INTRA) (Capital)</t>
  </si>
  <si>
    <t>Transferências Provenientes de Depósitos Não Identificados (INTRA) (Capital)</t>
  </si>
  <si>
    <t>Remuneração das Disponibilidades do Tesouro (INTRA)</t>
  </si>
  <si>
    <t>Operações de Crédito Internas - Refinancimento</t>
  </si>
  <si>
    <t>17/9/2021</t>
  </si>
  <si>
    <r>
      <t xml:space="preserve">  __ SIAFI2015-CONTABIL-DEMONSTRA-BALANCETE (</t>
    </r>
    <r>
      <rPr>
        <b/>
        <sz val="8"/>
        <color indexed="10"/>
        <rFont val="Courier New"/>
        <family val="3"/>
      </rPr>
      <t>BALANCETE</t>
    </r>
    <r>
      <rPr>
        <sz val="8"/>
        <rFont val="Courier New"/>
        <family val="3"/>
      </rPr>
      <t xml:space="preserve"> CONTABIL)________________</t>
    </r>
  </si>
  <si>
    <t xml:space="preserve">  23/02/2015   14:21                                    USUARIO: MATEUS</t>
  </si>
  <si>
    <t xml:space="preserve"> ORGAO                : _____         SUPERIOR(S/N) _</t>
  </si>
  <si>
    <r>
      <t xml:space="preserve"> SUBORGAO             : ____          ORCAMENTO FISCAL E DA SEG. SOCIAL(S/N) </t>
    </r>
    <r>
      <rPr>
        <sz val="8"/>
        <color indexed="10"/>
        <rFont val="Courier New"/>
        <family val="3"/>
      </rPr>
      <t>S</t>
    </r>
  </si>
  <si>
    <t xml:space="preserve"> TIPO DE ADMINISTRACAO: __            GOVERNO CENTRAL(S/N): N</t>
  </si>
  <si>
    <t xml:space="preserve"> UNIDADE GESTORA      : ______       ( _ ) COMO SETORIAL CONTABIL</t>
  </si>
  <si>
    <t xml:space="preserve"> GESTAO               : _____</t>
  </si>
  <si>
    <t xml:space="preserve"> TOTAIS POR CLASSE    : N</t>
  </si>
  <si>
    <r>
      <t xml:space="preserve"> MES                  : </t>
    </r>
    <r>
      <rPr>
        <sz val="8"/>
        <color indexed="10"/>
        <rFont val="Courier New"/>
        <family val="3"/>
      </rPr>
      <t>Mês</t>
    </r>
  </si>
  <si>
    <r>
      <t xml:space="preserve"> CONTA CONTABIL       : </t>
    </r>
    <r>
      <rPr>
        <sz val="8"/>
        <color indexed="10"/>
        <rFont val="Courier New"/>
        <family val="3"/>
      </rPr>
      <t>621</t>
    </r>
    <r>
      <rPr>
        <sz val="8"/>
        <rFont val="Courier New"/>
        <family val="3"/>
      </rPr>
      <t xml:space="preserve">          NIVEL DE DESDOBRAMENTO: _   ESCRITURACAO: </t>
    </r>
    <r>
      <rPr>
        <sz val="8"/>
        <color indexed="10"/>
        <rFont val="Courier New"/>
        <family val="3"/>
      </rPr>
      <t>N</t>
    </r>
  </si>
  <si>
    <t xml:space="preserve"> CONTA CORRENTE       :</t>
  </si>
  <si>
    <t xml:space="preserve">  ______________________________________________________________________________</t>
  </si>
  <si>
    <t xml:space="preserve"> ISF                  : _</t>
  </si>
  <si>
    <t xml:space="preserve"> AMPLITUDE            : 4</t>
  </si>
  <si>
    <t xml:space="preserve"> DEMONSTRACAO</t>
  </si>
  <si>
    <t xml:space="preserve"> ( 1 )      1.POR CONTA CONTABIL     2.POR CONTA CORRENTE</t>
  </si>
  <si>
    <t xml:space="preserve"> ( 1 )      1.ATE O MES              2.NO MES</t>
  </si>
  <si>
    <r>
      <t xml:space="preserve"> ( </t>
    </r>
    <r>
      <rPr>
        <sz val="8"/>
        <color indexed="10"/>
        <rFont val="Courier New"/>
        <family val="3"/>
      </rPr>
      <t>2</t>
    </r>
    <r>
      <rPr>
        <sz val="8"/>
        <rFont val="Courier New"/>
        <family val="3"/>
      </rPr>
      <t xml:space="preserve"> )      1.SALDO E MOVIMENTO      2.SOMENTE SALDOS</t>
    </r>
  </si>
  <si>
    <t xml:space="preserve"> MOSTRAR SALDOS</t>
  </si>
  <si>
    <r>
      <t xml:space="preserve"> ( </t>
    </r>
    <r>
      <rPr>
        <sz val="8"/>
        <color indexed="10"/>
        <rFont val="Courier New"/>
        <family val="3"/>
      </rPr>
      <t>3</t>
    </r>
    <r>
      <rPr>
        <sz val="8"/>
        <rFont val="Courier New"/>
        <family val="3"/>
      </rPr>
      <t xml:space="preserve"> )      1.DIFERENTE DE ZERO      2.SOMENTE OS INVERTIDOS     3.TODOS</t>
    </r>
  </si>
  <si>
    <t xml:space="preserve">  PF1=AJUDA  PF2=DETALHA  PF3=SAI  PF10=E-MAIL</t>
  </si>
  <si>
    <t xml:space="preserve">  __ SIAFI2015-CONTABIL-DEMONSTRA-BALANCETE (BALANCETE CONTABIL)________________</t>
  </si>
  <si>
    <t xml:space="preserve">  11/01/2016   14:44                                    USUARIO: MATEUS</t>
  </si>
  <si>
    <t xml:space="preserve"> SUBORGAO             : ____          ORCAMENTO FISCAL E DA SEG. SOCIAL(S/N) S</t>
  </si>
  <si>
    <r>
      <t xml:space="preserve"> MES                  : </t>
    </r>
    <r>
      <rPr>
        <sz val="8"/>
        <color indexed="10"/>
        <rFont val="Courier New"/>
        <family val="3"/>
      </rPr>
      <t>Mês Anterior</t>
    </r>
  </si>
  <si>
    <r>
      <t xml:space="preserve"> CONTA CONTABIL       : </t>
    </r>
    <r>
      <rPr>
        <sz val="8"/>
        <color indexed="10"/>
        <rFont val="Courier New"/>
        <family val="3"/>
      </rPr>
      <t>621</t>
    </r>
    <r>
      <rPr>
        <sz val="8"/>
        <rFont val="Courier New"/>
        <family val="3"/>
      </rPr>
      <t xml:space="preserve">  NIVEL DE DESDOBRAMENTO:    ESCRITURACAO: n</t>
    </r>
  </si>
  <si>
    <r>
      <t xml:space="preserve"> (</t>
    </r>
    <r>
      <rPr>
        <sz val="8"/>
        <color indexed="10"/>
        <rFont val="Courier New"/>
        <family val="3"/>
      </rPr>
      <t xml:space="preserve"> 2</t>
    </r>
    <r>
      <rPr>
        <sz val="8"/>
        <rFont val="Courier New"/>
        <family val="3"/>
      </rPr>
      <t xml:space="preserve"> )      1.SALDO E MOVIMENTO      2.SOMENTE SALDOS</t>
    </r>
  </si>
  <si>
    <t xml:space="preserve"> ( 3 )      1.DIFERENTE DE ZERO      2.SOMENTE OS INVERTIDOS     3.TODOS</t>
  </si>
  <si>
    <r>
      <t xml:space="preserve"> MES                  : </t>
    </r>
    <r>
      <rPr>
        <sz val="8"/>
        <color indexed="10"/>
        <rFont val="Courier New"/>
        <family val="3"/>
      </rPr>
      <t>Mês Ante Anterior</t>
    </r>
  </si>
  <si>
    <t xml:space="preserve">  __ SIAFI2015-ORCFIN-SINTETICOS-CONOR (CONSULTA ORCAMENTARIA COMPLETA)_________</t>
  </si>
  <si>
    <t xml:space="preserve">  21/05/15  15:52                                      USUARIO : MATEUS</t>
  </si>
  <si>
    <r>
      <t xml:space="preserve">  ITEM DE CONSULTA : DESPESA COMPLETA____                MES DE REFERENCIA : </t>
    </r>
    <r>
      <rPr>
        <sz val="8"/>
        <color indexed="10"/>
        <rFont val="Courier New"/>
        <family val="3"/>
      </rPr>
      <t>Mês</t>
    </r>
  </si>
  <si>
    <t xml:space="preserve">  AMPLITUDE : 4                                   ABRANGENCIA ORCAMENTARIA : 1</t>
  </si>
  <si>
    <t xml:space="preserve">  TIPO DE VALOR :</t>
  </si>
  <si>
    <r>
      <t xml:space="preserve">     ( </t>
    </r>
    <r>
      <rPr>
        <sz val="8"/>
        <color indexed="10"/>
        <rFont val="Courier New"/>
        <family val="3"/>
      </rPr>
      <t>X</t>
    </r>
    <r>
      <rPr>
        <sz val="8"/>
        <rFont val="Courier New"/>
        <family val="3"/>
      </rPr>
      <t xml:space="preserve"> ) SALDO ATUAL              (   ) MOVIMENTO DEVEDOR ACUMULADO</t>
    </r>
  </si>
  <si>
    <t xml:space="preserve">     (   ) SALDO DO MES ANTERIOR    (   ) MOVIMENTO CREDOR ACUMULADO</t>
  </si>
  <si>
    <t xml:space="preserve">     (   ) MOVIMENTO DEVEDOR DO MES (   ) MOVIMENTO LIQUIDO ACUMULADO</t>
  </si>
  <si>
    <t xml:space="preserve">     (   ) MOVIMENTO CREDOR DO MES  (   ) SALDO INICIAL</t>
  </si>
  <si>
    <r>
      <t xml:space="preserve">     (</t>
    </r>
    <r>
      <rPr>
        <sz val="8"/>
        <color indexed="10"/>
        <rFont val="Courier New"/>
        <family val="3"/>
      </rPr>
      <t xml:space="preserve"> X</t>
    </r>
    <r>
      <rPr>
        <sz val="8"/>
        <rFont val="Courier New"/>
        <family val="3"/>
      </rPr>
      <t xml:space="preserve"> ) MOVIMENTO LIQUIDO DO MES</t>
    </r>
  </si>
  <si>
    <t xml:space="preserve">  FILTRO DE SELECAO :</t>
  </si>
  <si>
    <t xml:space="preserve">  PARAMETROS                   OPER   CODIGO OU COMBINACAO</t>
  </si>
  <si>
    <t xml:space="preserve">  CAT. ECONOMICA DA DESPESA_    OU    3,4,9_____________________________________</t>
  </si>
  <si>
    <t xml:space="preserve">  __________________________    __    __________________________________________</t>
  </si>
  <si>
    <t xml:space="preserve">  PF1=AJUDA PF2=CONTINUA PF3=SAI PF4=TITULO PF6=LIMPA PF8=AVANCA</t>
  </si>
  <si>
    <r>
      <t xml:space="preserve">  ITEM DE CONSULTA : DESPESA COMPLETA____                MES DE REFERENCIA : </t>
    </r>
    <r>
      <rPr>
        <sz val="8"/>
        <color rgb="FFFF0000"/>
        <rFont val="Courier New"/>
        <family val="3"/>
      </rPr>
      <t>Mês Anterior</t>
    </r>
  </si>
  <si>
    <t xml:space="preserve">  __ SIAFI2021-CONTABIL-DEMONSTRA-BALANCETE (BALANCETE CONTABIL)________________</t>
  </si>
  <si>
    <t xml:space="preserve">  15/09/2021  17.26                                   USUARIO: HENRIQUE         </t>
  </si>
  <si>
    <t xml:space="preserve">                      ***  BALANCETE GERAL DA UNIAO  ***               TELA: 001</t>
  </si>
  <si>
    <t xml:space="preserve">  ORCAMENTOS FISCAL E DA SEG. SOCIAL                                            </t>
  </si>
  <si>
    <t xml:space="preserve">  AGOSTO DE 2021  -  FECHADO               POSICAO ATE O MES                    </t>
  </si>
  <si>
    <t xml:space="preserve">                                                               SALDO ATUAL  R$  </t>
  </si>
  <si>
    <t>No Bimestre</t>
  </si>
  <si>
    <t xml:space="preserve">  --------------------------------------------GLOBAL(REAL+OUTRAS MOEDAS) EM REAL</t>
  </si>
  <si>
    <t>Itens a partir do SIAFI Operacional</t>
  </si>
  <si>
    <t>R$</t>
  </si>
  <si>
    <t xml:space="preserve">    6.2.1.0.0.00.00  EXECUCAO DA RECEITA                  4.181.004.169.000,00 C</t>
  </si>
  <si>
    <t>Receita Orçamentária até o mês</t>
  </si>
  <si>
    <t xml:space="preserve">    6.2.1.1.0.00.00  RECEITA A REALIZAR                   1.360.404.963.927,48 C</t>
  </si>
  <si>
    <t xml:space="preserve">    6.2.1.2.0.00.00  RECEITA REALIZADA                    2.882.064.509.476,84 C</t>
  </si>
  <si>
    <t xml:space="preserve">    6.2.1.3.0.00.00  DEDUCOES DA RECEITA ORCAMENTARIA        61.465.304.404,32 D</t>
  </si>
  <si>
    <t>Despesas Empenhadas</t>
  </si>
  <si>
    <t xml:space="preserve">    6.2.1.8.0.00.00  CORRECAO DE DIFERENCAS REF VARIACA                   0,00  </t>
  </si>
  <si>
    <t>Despesas Liquidadas</t>
  </si>
  <si>
    <t xml:space="preserve">    6.2.1.9.0.00.00  AJUSTE DE RECEITA REALIZADA- PORT/                   0,00  </t>
  </si>
  <si>
    <t xml:space="preserve">                                                                                </t>
  </si>
  <si>
    <t>Despesas inscritas em RPNP</t>
  </si>
  <si>
    <t xml:space="preserve">  PF1=AJUDA PF2=DETALHA PF3=SAI PF6=REST.CONT PF7=RECUA PF8=AVANCA PF12=RETORNA </t>
  </si>
  <si>
    <t xml:space="preserve">  JULHO DE 2021  -  FECHADO                POSICAO ATE O MES                    </t>
  </si>
  <si>
    <t xml:space="preserve">    6.2.1.1.0.00.00  RECEITA A REALIZAR                   1.605.791.314.420,38 C</t>
  </si>
  <si>
    <t xml:space="preserve">    6.2.1.2.0.00.00  RECEITA REALIZADA                    2.621.878.618.931,50 C</t>
  </si>
  <si>
    <t xml:space="preserve">    6.2.1.3.0.00.00  DEDUCOES DA RECEITA ORCAMENTARIA        46.665.764.351,88 D</t>
  </si>
  <si>
    <t xml:space="preserve">  JUNHO DE 2021  -  FECHADO                POSICAO ATE O MES                    </t>
  </si>
  <si>
    <t xml:space="preserve">    6.2.1.1.0.00.00  RECEITA A REALIZAR                   1.983.189.159.461,81 C</t>
  </si>
  <si>
    <t xml:space="preserve">    6.2.1.2.0.00.00  RECEITA REALIZADA                    2.234.209.600.868,32 C</t>
  </si>
  <si>
    <t xml:space="preserve">    6.2.1.3.0.00.00  DEDUCOES DA RECEITA ORCAMENTARIA        36.394.591.330,13 D</t>
  </si>
  <si>
    <t xml:space="preserve"> __ SIAFI2021-ORCFIN-SINTETICOS-CONOR (CONSULTA ORCAMENTARIA COMPLETA)_________ </t>
  </si>
  <si>
    <t xml:space="preserve"> DATA : 15/09/21            HORA : 17:29:10            USUARIO : HENRIQUE       </t>
  </si>
  <si>
    <t xml:space="preserve"> REFERENCIA : AGO        AMPLITUDE : GLOBAL(REAL+OUTRAS MOEDAS) EM R TELA:    1 </t>
  </si>
  <si>
    <t xml:space="preserve"> ORCAMENTO FISCAL E DE SEGURIDADE SOCIAL DADOS REFERENTES A: 15/09/21 AS: 00:03 </t>
  </si>
  <si>
    <t xml:space="preserve"> ------------------------------------------------------------------------------ </t>
  </si>
  <si>
    <t xml:space="preserve"> DESCRICAO                           MOVIMENTO LIQUIDO              SALDO ATUAL </t>
  </si>
  <si>
    <t xml:space="preserve"> DOTACAO INICIAL                                 0,60-    4.161.236.549.154,06  </t>
  </si>
  <si>
    <t xml:space="preserve"> DOT ATUALIZADA                     11.421.900.731,40     4.309.536.806.739,06  </t>
  </si>
  <si>
    <t xml:space="preserve"> CREDITO EMPENHADO                 480.595.057.399,05     3.222.637.358.818,02  </t>
  </si>
  <si>
    <t xml:space="preserve"> CREDITO LIQUIDADO                 198.811.842.519,11     2.508.322.110.543,88  </t>
  </si>
  <si>
    <t xml:space="preserve"> VALORES PAGOS                     198.511.801.568,60     2.438.988.362.487,43  </t>
  </si>
  <si>
    <t xml:space="preserve"> CRED EXEC POR INSCRICAO DE R                    0,00                     0,00  </t>
  </si>
  <si>
    <t xml:space="preserve"> F1=AJUDA F3=SAI        F5=IMP                                F11=EMAIL PF12=RET</t>
  </si>
  <si>
    <t xml:space="preserve"> DATA : 15/09/21            HORA : 17:29:40            USUARIO : HENRIQUE       </t>
  </si>
  <si>
    <t xml:space="preserve"> REFERENCIA : JUL        AMPLITUDE : GLOBAL(REAL+OUTRAS MOEDAS) EM R TELA:    1 </t>
  </si>
  <si>
    <t xml:space="preserve"> DOTACAO INICIAL                                 0,87-    4.161.236.549.154,66  </t>
  </si>
  <si>
    <t xml:space="preserve"> DOT ATUALIZADA                     20.317.445.484,13     4.298.114.906.007,66  </t>
  </si>
  <si>
    <t xml:space="preserve"> CREDITO EMPENHADO                 298.216.819.766,92     2.742.042.301.418,97  </t>
  </si>
  <si>
    <t xml:space="preserve"> CREDITO LIQUIDADO                 345.051.949.676,47     2.309.510.268.024,77  </t>
  </si>
  <si>
    <t xml:space="preserve"> VALORES PAGOS                     366.599.888.440,33     2.240.476.560.918,83  </t>
  </si>
  <si>
    <t>Receita Orçamentária Líquida no Bimestre</t>
  </si>
  <si>
    <t>siconfi_rec_correntes</t>
  </si>
  <si>
    <t>siconfi_rec_capital</t>
  </si>
  <si>
    <t>siconfi_rec_intra</t>
  </si>
  <si>
    <t xml:space="preserve">  CONTRIBUIÇÕES</t>
  </si>
  <si>
    <t>siconfi_ref_mob_interna</t>
  </si>
  <si>
    <t xml:space="preserve">        Contratual</t>
  </si>
  <si>
    <t>siconfi_ref_mob_externa</t>
  </si>
  <si>
    <t>Despesas Empenhadas no Bimestre</t>
  </si>
  <si>
    <t>Despesas Liquidadas no Bimestre</t>
  </si>
  <si>
    <t>siconfi_desp</t>
  </si>
  <si>
    <t>siconfi_desp_intra</t>
  </si>
  <si>
    <t>siconfi_desp_ref_mob_int</t>
  </si>
  <si>
    <t>siconfi_desp_ref_mob_ext</t>
  </si>
  <si>
    <t>Descrição do Relatório:</t>
  </si>
  <si>
    <t>RREO</t>
  </si>
  <si>
    <t>SICONFI</t>
  </si>
  <si>
    <t>Diferenças RREO (-) SICONFI</t>
  </si>
  <si>
    <t>Receita (Exceto Intra)</t>
  </si>
  <si>
    <t>Previsão Incial</t>
  </si>
  <si>
    <t>Previsão Atualizada</t>
  </si>
  <si>
    <t>Receitas até o bimestre</t>
  </si>
  <si>
    <t>Receita Intra</t>
  </si>
  <si>
    <t>Receitas no bimestre (exceto intra + intra)</t>
  </si>
  <si>
    <t>Despesas (Exceto Intra)</t>
  </si>
  <si>
    <t>Despesas Empenhadas até o bimestre</t>
  </si>
  <si>
    <t>Despesas Liquidadas até o bimestre</t>
  </si>
  <si>
    <t>Despesas Intra</t>
  </si>
  <si>
    <t>Despesas Empenhadas no bimestre</t>
  </si>
  <si>
    <t>Despesas Liquidadas no bimestre</t>
  </si>
  <si>
    <t xml:space="preserve">Grupo: Tabela 1.2 - Balanço Orçamentário - União </t>
  </si>
  <si>
    <t xml:space="preserve">Quadro: Receitas Orçamentárias </t>
  </si>
  <si>
    <t xml:space="preserve">Rótulo: Padrão </t>
  </si>
  <si>
    <t>Rótulo SICONFI</t>
  </si>
  <si>
    <t xml:space="preserve">Estágios da Receita Orçamentária </t>
  </si>
  <si>
    <t>Rótulo do RREO</t>
  </si>
  <si>
    <t xml:space="preserve">PREVISÃO INICIAL </t>
  </si>
  <si>
    <t xml:space="preserve">PREVISÃO ATUALIZADA (a) </t>
  </si>
  <si>
    <t xml:space="preserve">RECEITAS REALIZADAS </t>
  </si>
  <si>
    <t xml:space="preserve">SALDO (a-c) </t>
  </si>
  <si>
    <t>ENDEREÇO NA TABELA DO RREO</t>
  </si>
  <si>
    <t xml:space="preserve">No Bimestre (b) </t>
  </si>
  <si>
    <t xml:space="preserve">% (b/a) </t>
  </si>
  <si>
    <t xml:space="preserve">Até o Bimestre (c) </t>
  </si>
  <si>
    <t xml:space="preserve">% (c/a) </t>
  </si>
  <si>
    <t xml:space="preserve">Receitas Orçamentárias </t>
  </si>
  <si>
    <t>receitas_correntes</t>
  </si>
  <si>
    <t xml:space="preserve">  RECEITAS (EXCETO INTRA-ORÇAMENTÁRIAS) (I) </t>
  </si>
  <si>
    <t xml:space="preserve">    RECEITAS CORRENTES </t>
  </si>
  <si>
    <t xml:space="preserve">      IMPOSTOS, TAXAS E CONTRIBUIÇÕES DE MELHORIA </t>
  </si>
  <si>
    <t xml:space="preserve">        Impostos </t>
  </si>
  <si>
    <t xml:space="preserve">        Taxas </t>
  </si>
  <si>
    <t xml:space="preserve">        Contribuição de Melhoria </t>
  </si>
  <si>
    <t xml:space="preserve">      CONTRIBUIÇÕES </t>
  </si>
  <si>
    <t xml:space="preserve">        Contribuições Sociais </t>
  </si>
  <si>
    <t xml:space="preserve">        Contribuição Econômicas </t>
  </si>
  <si>
    <t xml:space="preserve">      RECEITA PATRIMONIAL </t>
  </si>
  <si>
    <t xml:space="preserve">        Exploração do Patrimônio Imobiliário do Estado </t>
  </si>
  <si>
    <t xml:space="preserve">        Valores Mobiliários </t>
  </si>
  <si>
    <t xml:space="preserve">        Delegação de Serviços Públicos Mediante Concessão, Permissão, Autorização ou Licença </t>
  </si>
  <si>
    <t xml:space="preserve">        Exploração de Recursos Naturais </t>
  </si>
  <si>
    <t xml:space="preserve">        Exploração do Patrimônio Intangível </t>
  </si>
  <si>
    <t xml:space="preserve">        Cessão de Direitos </t>
  </si>
  <si>
    <t xml:space="preserve">        Demais Receitas Patrimoniais </t>
  </si>
  <si>
    <t xml:space="preserve">      RECEITA AGROPECUÁRIA </t>
  </si>
  <si>
    <t xml:space="preserve">      RECEITA INDUSTRIAL </t>
  </si>
  <si>
    <t xml:space="preserve">      RECEITA DE SERVIÇOS </t>
  </si>
  <si>
    <t xml:space="preserve">        Serviços Administrativos e Comerciais Gerais </t>
  </si>
  <si>
    <t xml:space="preserve">        Serviços e Atividades Referentes à Navegação e ao Transporte </t>
  </si>
  <si>
    <t xml:space="preserve">        Serviços e Atividades Referentes à Saúde </t>
  </si>
  <si>
    <t xml:space="preserve">        Serviços e Atividades Financeiras </t>
  </si>
  <si>
    <t xml:space="preserve">        Outros Serviços </t>
  </si>
  <si>
    <t xml:space="preserve">      TRANSFERÊNCIAS CORRENTES </t>
  </si>
  <si>
    <t xml:space="preserve">        Transferências da União e de suas Entidades </t>
  </si>
  <si>
    <t xml:space="preserve">        Transferências dos Estados e do Distrito Federal e de suas Entidades </t>
  </si>
  <si>
    <t xml:space="preserve">        Transferências dos Municípios e de suas Entidades </t>
  </si>
  <si>
    <t xml:space="preserve">        Transferências de Instituições Privadas </t>
  </si>
  <si>
    <t xml:space="preserve">        Transferências de Outras Instituições Públicas </t>
  </si>
  <si>
    <t xml:space="preserve">        Transferências do Exterior </t>
  </si>
  <si>
    <t xml:space="preserve">        Transferências de Pessoas Físicas </t>
  </si>
  <si>
    <t xml:space="preserve">        Transferências Provenientes de Depósitos Não Identificados </t>
  </si>
  <si>
    <t xml:space="preserve">      OUTRAS RECEITAS CORRENTES </t>
  </si>
  <si>
    <t xml:space="preserve">        Multas Administrativas, Contratuais e Judiciais </t>
  </si>
  <si>
    <t xml:space="preserve">        Indenizações, Restituições e Ressarcimentos </t>
  </si>
  <si>
    <t xml:space="preserve">        Bens, Direitos e Valores Incorporados ao Patrimônio Público </t>
  </si>
  <si>
    <t xml:space="preserve">        Demais Receitas Correntes </t>
  </si>
  <si>
    <t xml:space="preserve">      RECEITAS CORRENTES A CLASSIFICAR </t>
  </si>
  <si>
    <t>receitas_capital</t>
  </si>
  <si>
    <t xml:space="preserve">    RECEITAS DE CAPITAL </t>
  </si>
  <si>
    <t xml:space="preserve">      OPERAÇÕES DE CRÉDITO </t>
  </si>
  <si>
    <t xml:space="preserve">      ALIENAÇÃO DE BENS </t>
  </si>
  <si>
    <t xml:space="preserve">        Alienação de Bens Móveis </t>
  </si>
  <si>
    <t xml:space="preserve">        Alienação de Bens Imóveis </t>
  </si>
  <si>
    <t xml:space="preserve">        Alienação de Bens Intangíveis </t>
  </si>
  <si>
    <t xml:space="preserve">      AMORTIZAÇÕES DE EMPRÉSTIMOS </t>
  </si>
  <si>
    <t xml:space="preserve">      TRANSFERÊNCIAS DE CAPITAL </t>
  </si>
  <si>
    <t xml:space="preserve">      OUTRAS RECEITAS DE CAPITAL </t>
  </si>
  <si>
    <t xml:space="preserve">        Integralização do Capital Social </t>
  </si>
  <si>
    <t xml:space="preserve">        Resultado do Banco Central </t>
  </si>
  <si>
    <t xml:space="preserve">        Remuneração das Disponibilidades do Tesouro </t>
  </si>
  <si>
    <t xml:space="preserve">        Resgate de Títulos do Tesouro </t>
  </si>
  <si>
    <t xml:space="preserve">        Demais Receitas de Capital </t>
  </si>
  <si>
    <t xml:space="preserve">      RECEITAS DE CAPITAL A CLASSIFICAR </t>
  </si>
  <si>
    <t xml:space="preserve">  RECEITAS (INTRA-ORÇAMENTÁRIAS) (II) </t>
  </si>
  <si>
    <t xml:space="preserve">  SUBTOTAL DAS RECEITAS (III) = (I + II) </t>
  </si>
  <si>
    <t xml:space="preserve">  OPERAÇÕES DE CRÉDITO/REFINANCIAMENTO (IV) </t>
  </si>
  <si>
    <t>mob_interna</t>
  </si>
  <si>
    <t xml:space="preserve">      Mobiliária </t>
  </si>
  <si>
    <t xml:space="preserve">      Contratual </t>
  </si>
  <si>
    <t>mob_externa</t>
  </si>
  <si>
    <t xml:space="preserve">  SUBTOTAL COM REFINANCIAMENTO (V) = (III + IV) </t>
  </si>
  <si>
    <t xml:space="preserve">  AJUSTES NA PREVISÃO ATUALIZADA (VI) </t>
  </si>
  <si>
    <t>deficit</t>
  </si>
  <si>
    <t xml:space="preserve">  DÉFICIT (VII) </t>
  </si>
  <si>
    <t>TOTAL (VIII) = (V + VI + VII)</t>
  </si>
  <si>
    <t xml:space="preserve">  TOTAL (VIII) = (V + VI + VII) </t>
  </si>
  <si>
    <t xml:space="preserve">  DETALHAMENTO DOS AJUSTES NA PREVISÃO ATUALIZADA </t>
  </si>
  <si>
    <t>detalhamento_prev</t>
  </si>
  <si>
    <t xml:space="preserve">    Créditos Adicionais Abertos com Superávit Financeiro </t>
  </si>
  <si>
    <t xml:space="preserve">    Créditos Adicionais Abertos com Excesso de Arrecadação </t>
  </si>
  <si>
    <t xml:space="preserve">    Créditos Cancelados Líquidos </t>
  </si>
  <si>
    <t xml:space="preserve">  RECURSOS ARRECADADOS EM EXERCÍCIOS ANTERIORES - RPPS </t>
  </si>
  <si>
    <t xml:space="preserve">Quadro: Despesas Orçamentárias </t>
  </si>
  <si>
    <t xml:space="preserve">Despesas Orçamentárias </t>
  </si>
  <si>
    <t xml:space="preserve">Estágios da Despesa Orçamentária </t>
  </si>
  <si>
    <t xml:space="preserve">DOTAÇÃO INICIAL (d) </t>
  </si>
  <si>
    <t xml:space="preserve">DOTAÇÃO ATUALIZADA (e) </t>
  </si>
  <si>
    <t xml:space="preserve">DESPESAS EMPENHADAS NO BIMESTRE </t>
  </si>
  <si>
    <t xml:space="preserve">DESPESAS EMPENHADAS ATÉ O BIMESTRE (f) </t>
  </si>
  <si>
    <t xml:space="preserve">SALDO (g) = (e-f) </t>
  </si>
  <si>
    <t xml:space="preserve">DESPESAS LIQUIDADAS NO BIMESTRE </t>
  </si>
  <si>
    <t xml:space="preserve">DESPESAS LIQUIDADAS ATÉ O BIMESTRE (h) </t>
  </si>
  <si>
    <t xml:space="preserve">SALDO (i) = (e-h) </t>
  </si>
  <si>
    <t xml:space="preserve">DESPESAS PAGAS ATÉ O BIMESTRE (j) </t>
  </si>
  <si>
    <t xml:space="preserve">INSCRITAS EM RESTOS A PAGAR NÃO PROCESSADOS (k) </t>
  </si>
  <si>
    <t>despesas</t>
  </si>
  <si>
    <t xml:space="preserve">  DESPESAS (EXCETO INTRA-ORÇAMENTÁRIAS) (IX) </t>
  </si>
  <si>
    <t xml:space="preserve">    DESPESAS CORRENTES </t>
  </si>
  <si>
    <t xml:space="preserve">      PESSOAL E ENCARGOS SOCIAIS </t>
  </si>
  <si>
    <t xml:space="preserve">      JUROS E ENCARGOS DA DÍVIDA </t>
  </si>
  <si>
    <t xml:space="preserve">      OUTRAS DESPESAS CORRENTES </t>
  </si>
  <si>
    <t xml:space="preserve">        Transferências a Estados, Distrito Federal e Municípios </t>
  </si>
  <si>
    <t xml:space="preserve">        Benefícios Previdenciários </t>
  </si>
  <si>
    <t xml:space="preserve">        Demais Despesas Correntes </t>
  </si>
  <si>
    <t xml:space="preserve">    DESPESAS DE CAPITAL </t>
  </si>
  <si>
    <t xml:space="preserve">      INVESTIMENTOS </t>
  </si>
  <si>
    <t xml:space="preserve">      INVERSÕES FINANCEIRAS </t>
  </si>
  <si>
    <t xml:space="preserve">      AMORTIZAÇÃO DA DÍVIDA </t>
  </si>
  <si>
    <t xml:space="preserve">    RESERVA DE CONTINGÊNCIA </t>
  </si>
  <si>
    <t xml:space="preserve">  DESPESAS (INTRA-ORÇAMENTÁRIAS) (X) </t>
  </si>
  <si>
    <t xml:space="preserve">  SUBTOTAL DAS DESPESAS (XI) = (IX + X) </t>
  </si>
  <si>
    <t xml:space="preserve">  AMORTIZAÇÃO DA DÍVIDA/REFINANCIAMENTO (XII) </t>
  </si>
  <si>
    <t xml:space="preserve">    Amortização da Dívida Interna </t>
  </si>
  <si>
    <t>amort_interna</t>
  </si>
  <si>
    <t xml:space="preserve">      Dívida Mobiliária </t>
  </si>
  <si>
    <t xml:space="preserve">      Outras Dívidas </t>
  </si>
  <si>
    <t xml:space="preserve">    Amortização da Dívida Externa </t>
  </si>
  <si>
    <t>amort_externa</t>
  </si>
  <si>
    <t xml:space="preserve">  SUBTOTAL COM REFINANCIAMENTO (XIII) = (XI + XII) </t>
  </si>
  <si>
    <t xml:space="preserve">  SUPERÁVIT (XIV) </t>
  </si>
  <si>
    <t xml:space="preserve">  TOTAL (XV) = (XIII + XIV) </t>
  </si>
  <si>
    <t xml:space="preserve">  RESERVA DO RPPS </t>
  </si>
  <si>
    <t xml:space="preserve">Quadro: Receitas Intra Orçamentárias </t>
  </si>
  <si>
    <t xml:space="preserve">Receitas Intra Orçamentárias </t>
  </si>
  <si>
    <t xml:space="preserve">Estágios da Receita Intra-Orçamentária </t>
  </si>
  <si>
    <t>rec_intra</t>
  </si>
  <si>
    <t xml:space="preserve">        Contribuições Econômicas </t>
  </si>
  <si>
    <t xml:space="preserve">Quadro: Despesas Intra Orçamentárias </t>
  </si>
  <si>
    <t xml:space="preserve">Despesas Intra Orçamentárias </t>
  </si>
  <si>
    <t xml:space="preserve">Estágios da Despesa Intra-Orçamentária </t>
  </si>
  <si>
    <t>desp_intra</t>
  </si>
  <si>
    <t xml:space="preserve">Quadro: Notas Explicativas </t>
  </si>
  <si>
    <t xml:space="preserve">Notas Explicativas </t>
  </si>
  <si>
    <t xml:space="preserve">Valores </t>
  </si>
  <si>
    <t xml:space="preserve">28/02/2019 </t>
  </si>
  <si>
    <t xml:space="preserve">  Notas Explicativas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</si>
</sst>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_);\(#,##0.0\)"/>
    <numFmt numFmtId="167" formatCode="#,##0.0"/>
    <numFmt numFmtId="168" formatCode="0.00_);\(0.00\)"/>
    <numFmt numFmtId="169" formatCode="_(* #,##0_);_(* \(#,##0\);_(* &quot;-&quot;??_);_(@_)"/>
    <numFmt numFmtId="170" formatCode="_(* #,##0.000_);_(* \(#,##0.000\);_(* &quot;-&quot;??_);_(@_)"/>
    <numFmt numFmtId="171" formatCode="_(* #,##0.0000_);_(* \(#,##0.0000\);_(* &quot;-&quot;??_);_(@_)"/>
    <numFmt numFmtId="172" formatCode="_(* #,##0.00000_);_(* \(#,##0.00000\);_(* &quot;-&quot;??_);_(@_)"/>
    <numFmt numFmtId="173" formatCode="_(* #,##0.000000_);_(* \(#,##0.000000\);_(* &quot;-&quot;??_);_(@_)"/>
    <numFmt numFmtId="174" formatCode="_(* #,##0.0000000_);_(* \(#,##0.0000000\);_(* &quot;-&quot;??_);_(@_)"/>
    <numFmt numFmtId="175" formatCode="_-* #,##0_-;\-* #,##0_-;_-* &quot;-&quot;??_-;_-@_-"/>
    <numFmt numFmtId="176" formatCode="#,##0.00000"/>
    <numFmt numFmtId="177" formatCode="_-* #,##0.000000_-;\-* #,##0.000000_-;_-* &quot;-&quot;??????_-;_-@_-"/>
    <numFmt numFmtId="178" formatCode="#,##0.00_);\(#,##0.00\)"/>
    <numFmt numFmtId="179" formatCode="#,##0_);\(#,##0\)"/>
  </numFmts>
  <fonts count="40"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name val="Arial"/>
      <family val="2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Courier New"/>
      <family val="3"/>
    </font>
    <font>
      <sz val="9"/>
      <color indexed="81"/>
      <name val="Segoe UI"/>
      <family val="2"/>
    </font>
    <font>
      <b/>
      <sz val="9"/>
      <name val="Arial"/>
      <family val="2"/>
    </font>
    <font>
      <sz val="7"/>
      <name val="Arial"/>
      <family val="2"/>
    </font>
    <font>
      <sz val="7"/>
      <name val="Times New Roman"/>
      <family val="1"/>
    </font>
    <font>
      <b/>
      <sz val="16"/>
      <name val="Arial"/>
      <family val="2"/>
    </font>
    <font>
      <b/>
      <sz val="8"/>
      <color indexed="9"/>
      <name val="LucidaSansRegular"/>
    </font>
    <font>
      <sz val="8"/>
      <color indexed="8"/>
      <name val="LucidaSansRegular"/>
    </font>
    <font>
      <b/>
      <sz val="8"/>
      <color theme="0"/>
      <name val="LucidaSansRegular"/>
    </font>
    <font>
      <sz val="8"/>
      <color theme="0"/>
      <name val="Arial"/>
      <family val="2"/>
    </font>
    <font>
      <sz val="8"/>
      <name val="LucidaSansRegula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6"/>
      <color theme="0" tint="-0.499984740745262"/>
      <name val="Arial"/>
      <family val="2"/>
    </font>
    <font>
      <sz val="10"/>
      <color rgb="FF000000"/>
      <name val="Arial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u/>
      <sz val="10"/>
      <color theme="10"/>
      <name val="Arial"/>
      <family val="2"/>
    </font>
    <font>
      <sz val="18"/>
      <color rgb="FF000000"/>
      <name val="Tahoma"/>
      <family val="2"/>
    </font>
    <font>
      <sz val="8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lightDown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indexed="44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gradientFill degree="90">
        <stop position="0">
          <color rgb="FFC0C0C0"/>
        </stop>
        <stop position="1">
          <color rgb="FF808080"/>
        </stop>
      </gradientFill>
    </fill>
    <fill>
      <patternFill patternType="solid">
        <fgColor rgb="FF6688C1"/>
      </patternFill>
    </fill>
    <fill>
      <patternFill patternType="solid">
        <fgColor rgb="FFDEECFA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theme="0" tint="-0.499984740745262"/>
      </left>
      <right style="thin">
        <color indexed="9"/>
      </right>
      <top style="double">
        <color theme="0" tint="-0.49998474074526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double">
        <color theme="0" tint="-0.499984740745262"/>
      </top>
      <bottom style="thin">
        <color indexed="9"/>
      </bottom>
      <diagonal/>
    </border>
    <border>
      <left style="thin">
        <color indexed="9"/>
      </left>
      <right style="double">
        <color theme="0" tint="-0.499984740745262"/>
      </right>
      <top style="double">
        <color theme="0" tint="-0.499984740745262"/>
      </top>
      <bottom style="thin">
        <color indexed="9"/>
      </bottom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uble">
        <color theme="0" tint="-0.49998474074526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double">
        <color theme="0" tint="-0.499984740745262"/>
      </right>
      <top style="thin">
        <color indexed="9"/>
      </top>
      <bottom style="thin">
        <color indexed="9"/>
      </bottom>
      <diagonal/>
    </border>
    <border>
      <left style="double">
        <color theme="0" tint="-0.499984740745262"/>
      </left>
      <right style="thin">
        <color indexed="9"/>
      </right>
      <top style="thin">
        <color indexed="9"/>
      </top>
      <bottom style="double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ouble">
        <color theme="0" tint="-0.499984740745262"/>
      </bottom>
      <diagonal/>
    </border>
    <border>
      <left style="thin">
        <color indexed="9"/>
      </left>
      <right style="double">
        <color theme="0" tint="-0.499984740745262"/>
      </right>
      <top style="thin">
        <color indexed="9"/>
      </top>
      <bottom style="double">
        <color theme="0" tint="-0.499984740745262"/>
      </bottom>
      <diagonal/>
    </border>
  </borders>
  <cellStyleXfs count="6">
    <xf numFmtId="0" fontId="0" fillId="0" borderId="0"/>
    <xf numFmtId="0" fontId="14" fillId="0" borderId="0"/>
    <xf numFmtId="0" fontId="14" fillId="0" borderId="0"/>
    <xf numFmtId="165" fontId="1" fillId="0" borderId="0" applyFont="0" applyFill="0" applyBorder="0" applyAlignment="0" applyProtection="0"/>
    <xf numFmtId="0" fontId="33" fillId="0" borderId="0"/>
    <xf numFmtId="0" fontId="37" fillId="0" borderId="0" applyNumberFormat="0" applyFill="0" applyBorder="0" applyAlignment="0" applyProtection="0"/>
  </cellStyleXfs>
  <cellXfs count="404">
    <xf numFmtId="0" fontId="0" fillId="0" borderId="0" xfId="0"/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37" fontId="2" fillId="0" borderId="0" xfId="0" applyNumberFormat="1" applyFont="1" applyAlignment="1">
      <alignment vertical="center"/>
    </xf>
    <xf numFmtId="0" fontId="3" fillId="0" borderId="0" xfId="0" applyFont="1"/>
    <xf numFmtId="49" fontId="2" fillId="0" borderId="0" xfId="0" applyNumberFormat="1" applyFont="1" applyAlignment="1">
      <alignment wrapText="1"/>
    </xf>
    <xf numFmtId="3" fontId="4" fillId="0" borderId="0" xfId="0" applyNumberFormat="1" applyFont="1"/>
    <xf numFmtId="49" fontId="2" fillId="0" borderId="0" xfId="0" applyNumberFormat="1" applyFont="1" applyAlignment="1">
      <alignment horizontal="center" wrapText="1"/>
    </xf>
    <xf numFmtId="37" fontId="2" fillId="0" borderId="0" xfId="0" applyNumberFormat="1" applyFont="1"/>
    <xf numFmtId="0" fontId="6" fillId="0" borderId="0" xfId="0" applyFont="1"/>
    <xf numFmtId="49" fontId="2" fillId="2" borderId="3" xfId="0" applyNumberFormat="1" applyFont="1" applyFill="1" applyBorder="1"/>
    <xf numFmtId="37" fontId="2" fillId="2" borderId="1" xfId="0" applyNumberFormat="1" applyFont="1" applyFill="1" applyBorder="1" applyAlignment="1">
      <alignment vertical="center"/>
    </xf>
    <xf numFmtId="37" fontId="2" fillId="2" borderId="4" xfId="0" applyNumberFormat="1" applyFont="1" applyFill="1" applyBorder="1" applyAlignment="1">
      <alignment vertical="center"/>
    </xf>
    <xf numFmtId="165" fontId="4" fillId="0" borderId="0" xfId="3" applyFont="1"/>
    <xf numFmtId="0" fontId="9" fillId="0" borderId="11" xfId="0" applyFont="1" applyBorder="1" applyAlignment="1">
      <alignment horizontal="center" vertical="center" wrapText="1"/>
    </xf>
    <xf numFmtId="0" fontId="4" fillId="2" borderId="0" xfId="0" applyFont="1" applyFill="1"/>
    <xf numFmtId="0" fontId="9" fillId="2" borderId="11" xfId="0" applyFont="1" applyFill="1" applyBorder="1" applyAlignment="1">
      <alignment horizontal="center" vertical="center" wrapText="1"/>
    </xf>
    <xf numFmtId="0" fontId="2" fillId="2" borderId="0" xfId="0" applyFont="1" applyFill="1"/>
    <xf numFmtId="169" fontId="4" fillId="0" borderId="0" xfId="3" applyNumberFormat="1" applyFont="1"/>
    <xf numFmtId="169" fontId="4" fillId="0" borderId="0" xfId="0" applyNumberFormat="1" applyFont="1"/>
    <xf numFmtId="0" fontId="5" fillId="0" borderId="0" xfId="0" applyFont="1"/>
    <xf numFmtId="165" fontId="4" fillId="2" borderId="0" xfId="3" applyFont="1" applyFill="1"/>
    <xf numFmtId="169" fontId="4" fillId="2" borderId="0" xfId="3" applyNumberFormat="1" applyFont="1" applyFill="1"/>
    <xf numFmtId="169" fontId="4" fillId="2" borderId="0" xfId="0" applyNumberFormat="1" applyFont="1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37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49" fontId="2" fillId="2" borderId="7" xfId="0" applyNumberFormat="1" applyFont="1" applyFill="1" applyBorder="1"/>
    <xf numFmtId="37" fontId="2" fillId="2" borderId="2" xfId="0" applyNumberFormat="1" applyFont="1" applyFill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right" vertical="center"/>
    </xf>
    <xf numFmtId="169" fontId="4" fillId="0" borderId="6" xfId="3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169" fontId="4" fillId="0" borderId="1" xfId="3" applyNumberFormat="1" applyFont="1" applyBorder="1" applyAlignment="1">
      <alignment horizontal="right"/>
    </xf>
    <xf numFmtId="169" fontId="4" fillId="0" borderId="1" xfId="0" applyNumberFormat="1" applyFont="1" applyBorder="1" applyAlignment="1">
      <alignment horizontal="right"/>
    </xf>
    <xf numFmtId="0" fontId="4" fillId="0" borderId="8" xfId="0" applyFont="1" applyBorder="1"/>
    <xf numFmtId="169" fontId="4" fillId="0" borderId="2" xfId="3" applyNumberFormat="1" applyFont="1" applyBorder="1" applyAlignment="1">
      <alignment horizontal="right"/>
    </xf>
    <xf numFmtId="169" fontId="4" fillId="0" borderId="2" xfId="0" applyNumberFormat="1" applyFont="1" applyBorder="1" applyAlignment="1">
      <alignment horizontal="right"/>
    </xf>
    <xf numFmtId="0" fontId="4" fillId="0" borderId="9" xfId="0" applyFont="1" applyBorder="1"/>
    <xf numFmtId="165" fontId="4" fillId="0" borderId="9" xfId="3" applyFont="1" applyBorder="1"/>
    <xf numFmtId="169" fontId="4" fillId="0" borderId="9" xfId="3" applyNumberFormat="1" applyFont="1" applyBorder="1"/>
    <xf numFmtId="37" fontId="2" fillId="2" borderId="1" xfId="0" applyNumberFormat="1" applyFont="1" applyFill="1" applyBorder="1"/>
    <xf numFmtId="37" fontId="2" fillId="2" borderId="4" xfId="0" applyNumberFormat="1" applyFont="1" applyFill="1" applyBorder="1"/>
    <xf numFmtId="37" fontId="2" fillId="2" borderId="0" xfId="0" applyNumberFormat="1" applyFont="1" applyFill="1"/>
    <xf numFmtId="0" fontId="15" fillId="0" borderId="0" xfId="0" applyFont="1"/>
    <xf numFmtId="3" fontId="4" fillId="0" borderId="0" xfId="3" applyNumberFormat="1" applyFont="1"/>
    <xf numFmtId="39" fontId="2" fillId="2" borderId="8" xfId="0" applyNumberFormat="1" applyFont="1" applyFill="1" applyBorder="1" applyAlignment="1">
      <alignment horizontal="right" vertical="center"/>
    </xf>
    <xf numFmtId="39" fontId="2" fillId="2" borderId="1" xfId="0" applyNumberFormat="1" applyFont="1" applyFill="1" applyBorder="1" applyAlignment="1">
      <alignment horizontal="right" vertical="center"/>
    </xf>
    <xf numFmtId="39" fontId="2" fillId="2" borderId="2" xfId="0" applyNumberFormat="1" applyFont="1" applyFill="1" applyBorder="1" applyAlignment="1">
      <alignment horizontal="right" vertical="center"/>
    </xf>
    <xf numFmtId="169" fontId="4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2" borderId="0" xfId="0" applyFont="1" applyFill="1" applyAlignment="1">
      <alignment wrapText="1"/>
    </xf>
    <xf numFmtId="49" fontId="2" fillId="2" borderId="3" xfId="0" applyNumberFormat="1" applyFont="1" applyFill="1" applyBorder="1" applyAlignment="1">
      <alignment wrapText="1"/>
    </xf>
    <xf numFmtId="37" fontId="2" fillId="2" borderId="6" xfId="3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49" fontId="2" fillId="2" borderId="10" xfId="0" applyNumberFormat="1" applyFont="1" applyFill="1" applyBorder="1"/>
    <xf numFmtId="37" fontId="2" fillId="2" borderId="6" xfId="0" applyNumberFormat="1" applyFont="1" applyFill="1" applyBorder="1" applyAlignment="1">
      <alignment horizontal="right" vertical="center"/>
    </xf>
    <xf numFmtId="39" fontId="2" fillId="2" borderId="6" xfId="0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/>
    </xf>
    <xf numFmtId="43" fontId="13" fillId="0" borderId="0" xfId="0" applyNumberFormat="1" applyFont="1"/>
    <xf numFmtId="171" fontId="4" fillId="0" borderId="0" xfId="3" applyNumberFormat="1" applyFont="1"/>
    <xf numFmtId="43" fontId="0" fillId="0" borderId="0" xfId="0" applyNumberFormat="1"/>
    <xf numFmtId="172" fontId="4" fillId="0" borderId="0" xfId="0" applyNumberFormat="1" applyFont="1"/>
    <xf numFmtId="165" fontId="2" fillId="0" borderId="0" xfId="3" applyFont="1" applyAlignment="1">
      <alignment wrapText="1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0" xfId="0" applyNumberFormat="1" applyFont="1" applyFill="1"/>
    <xf numFmtId="0" fontId="2" fillId="2" borderId="9" xfId="0" applyFont="1" applyFill="1" applyBorder="1" applyAlignment="1">
      <alignment wrapText="1"/>
    </xf>
    <xf numFmtId="49" fontId="2" fillId="2" borderId="9" xfId="0" applyNumberFormat="1" applyFont="1" applyFill="1" applyBorder="1"/>
    <xf numFmtId="37" fontId="2" fillId="2" borderId="0" xfId="0" applyNumberFormat="1" applyFont="1" applyFill="1" applyAlignment="1">
      <alignment horizontal="center"/>
    </xf>
    <xf numFmtId="37" fontId="2" fillId="2" borderId="5" xfId="0" quotePrefix="1" applyNumberFormat="1" applyFont="1" applyFill="1" applyBorder="1" applyAlignment="1">
      <alignment horizontal="center"/>
    </xf>
    <xf numFmtId="165" fontId="2" fillId="2" borderId="0" xfId="3" applyFont="1" applyFill="1"/>
    <xf numFmtId="49" fontId="2" fillId="2" borderId="0" xfId="0" applyNumberFormat="1" applyFont="1" applyFill="1" applyAlignment="1">
      <alignment horizontal="left" indent="2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7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vertical="center" wrapText="1"/>
    </xf>
    <xf numFmtId="0" fontId="2" fillId="2" borderId="7" xfId="0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167" fontId="2" fillId="2" borderId="8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37" fontId="2" fillId="2" borderId="0" xfId="0" applyNumberFormat="1" applyFont="1" applyFill="1" applyAlignment="1">
      <alignment vertical="center"/>
    </xf>
    <xf numFmtId="39" fontId="2" fillId="2" borderId="5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2" fillId="2" borderId="0" xfId="0" applyNumberFormat="1" applyFont="1" applyFill="1" applyAlignment="1">
      <alignment vertical="center"/>
    </xf>
    <xf numFmtId="37" fontId="2" fillId="2" borderId="0" xfId="0" quotePrefix="1" applyNumberFormat="1" applyFont="1" applyFill="1" applyAlignment="1">
      <alignment vertical="center"/>
    </xf>
    <xf numFmtId="168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3" applyFont="1" applyFill="1" applyAlignment="1">
      <alignment vertical="center"/>
    </xf>
    <xf numFmtId="164" fontId="2" fillId="2" borderId="0" xfId="0" applyNumberFormat="1" applyFont="1" applyFill="1"/>
    <xf numFmtId="165" fontId="2" fillId="2" borderId="0" xfId="3" applyFont="1" applyFill="1" applyAlignment="1">
      <alignment vertical="center" wrapText="1"/>
    </xf>
    <xf numFmtId="169" fontId="2" fillId="2" borderId="0" xfId="3" applyNumberFormat="1" applyFont="1" applyFill="1" applyAlignment="1">
      <alignment vertical="center" wrapText="1"/>
    </xf>
    <xf numFmtId="2" fontId="2" fillId="2" borderId="0" xfId="3" applyNumberFormat="1" applyFont="1" applyFill="1" applyAlignment="1">
      <alignment vertical="center" wrapText="1"/>
    </xf>
    <xf numFmtId="49" fontId="2" fillId="2" borderId="3" xfId="0" applyNumberFormat="1" applyFont="1" applyFill="1" applyBorder="1" applyAlignment="1">
      <alignment horizontal="left"/>
    </xf>
    <xf numFmtId="37" fontId="2" fillId="2" borderId="2" xfId="0" applyNumberFormat="1" applyFont="1" applyFill="1" applyBorder="1" applyAlignment="1">
      <alignment vertical="center"/>
    </xf>
    <xf numFmtId="37" fontId="2" fillId="2" borderId="8" xfId="0" applyNumberFormat="1" applyFont="1" applyFill="1" applyBorder="1" applyAlignment="1">
      <alignment vertical="center"/>
    </xf>
    <xf numFmtId="174" fontId="4" fillId="0" borderId="0" xfId="0" applyNumberFormat="1" applyFont="1"/>
    <xf numFmtId="172" fontId="4" fillId="2" borderId="0" xfId="0" applyNumberFormat="1" applyFont="1" applyFill="1"/>
    <xf numFmtId="173" fontId="4" fillId="2" borderId="0" xfId="0" applyNumberFormat="1" applyFont="1" applyFill="1"/>
    <xf numFmtId="4" fontId="4" fillId="0" borderId="0" xfId="0" applyNumberFormat="1" applyFont="1"/>
    <xf numFmtId="176" fontId="4" fillId="0" borderId="0" xfId="0" applyNumberFormat="1" applyFont="1"/>
    <xf numFmtId="173" fontId="4" fillId="0" borderId="0" xfId="3" applyNumberFormat="1" applyFont="1"/>
    <xf numFmtId="177" fontId="4" fillId="0" borderId="0" xfId="0" applyNumberFormat="1" applyFont="1"/>
    <xf numFmtId="175" fontId="2" fillId="2" borderId="4" xfId="0" applyNumberFormat="1" applyFont="1" applyFill="1" applyBorder="1"/>
    <xf numFmtId="175" fontId="2" fillId="2" borderId="4" xfId="0" applyNumberFormat="1" applyFont="1" applyFill="1" applyBorder="1" applyAlignment="1">
      <alignment horizontal="center"/>
    </xf>
    <xf numFmtId="175" fontId="2" fillId="2" borderId="5" xfId="0" applyNumberFormat="1" applyFont="1" applyFill="1" applyBorder="1"/>
    <xf numFmtId="0" fontId="2" fillId="0" borderId="0" xfId="0" applyFont="1" applyAlignment="1">
      <alignment horizontal="center"/>
    </xf>
    <xf numFmtId="165" fontId="2" fillId="0" borderId="0" xfId="3" applyFont="1" applyAlignment="1">
      <alignment horizontal="center" wrapText="1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19" fillId="0" borderId="0" xfId="0" applyFont="1"/>
    <xf numFmtId="49" fontId="19" fillId="0" borderId="0" xfId="0" applyNumberFormat="1" applyFont="1"/>
    <xf numFmtId="0" fontId="20" fillId="2" borderId="3" xfId="0" applyFont="1" applyFill="1" applyBorder="1" applyAlignment="1">
      <alignment vertical="center"/>
    </xf>
    <xf numFmtId="0" fontId="18" fillId="0" borderId="0" xfId="0" applyFont="1"/>
    <xf numFmtId="0" fontId="12" fillId="0" borderId="0" xfId="0" applyFont="1"/>
    <xf numFmtId="0" fontId="4" fillId="0" borderId="0" xfId="0" applyFont="1" applyAlignment="1">
      <alignment horizontal="center"/>
    </xf>
    <xf numFmtId="0" fontId="22" fillId="0" borderId="0" xfId="0" applyFont="1"/>
    <xf numFmtId="0" fontId="4" fillId="0" borderId="0" xfId="0" applyFont="1" applyAlignment="1">
      <alignment horizontal="left" indent="1"/>
    </xf>
    <xf numFmtId="37" fontId="4" fillId="0" borderId="0" xfId="0" applyNumberFormat="1" applyFont="1"/>
    <xf numFmtId="0" fontId="5" fillId="0" borderId="0" xfId="0" applyFont="1" applyAlignment="1">
      <alignment horizontal="center"/>
    </xf>
    <xf numFmtId="0" fontId="23" fillId="2" borderId="17" xfId="0" applyFont="1" applyFill="1" applyBorder="1" applyAlignment="1">
      <alignment vertical="center" wrapText="1"/>
    </xf>
    <xf numFmtId="0" fontId="23" fillId="11" borderId="18" xfId="0" applyFont="1" applyFill="1" applyBorder="1"/>
    <xf numFmtId="0" fontId="23" fillId="11" borderId="19" xfId="0" applyFont="1" applyFill="1" applyBorder="1"/>
    <xf numFmtId="0" fontId="4" fillId="2" borderId="0" xfId="0" applyFont="1" applyFill="1" applyAlignment="1">
      <alignment horizontal="left" indent="1"/>
    </xf>
    <xf numFmtId="37" fontId="4" fillId="2" borderId="0" xfId="0" applyNumberFormat="1" applyFont="1" applyFill="1"/>
    <xf numFmtId="3" fontId="4" fillId="2" borderId="0" xfId="0" applyNumberFormat="1" applyFont="1" applyFill="1"/>
    <xf numFmtId="37" fontId="5" fillId="2" borderId="0" xfId="0" applyNumberFormat="1" applyFont="1" applyFill="1"/>
    <xf numFmtId="3" fontId="5" fillId="2" borderId="0" xfId="0" applyNumberFormat="1" applyFont="1" applyFill="1"/>
    <xf numFmtId="0" fontId="5" fillId="2" borderId="0" xfId="0" applyFont="1" applyFill="1" applyAlignment="1">
      <alignment horizontal="left" wrapText="1" indent="1"/>
    </xf>
    <xf numFmtId="0" fontId="6" fillId="12" borderId="22" xfId="0" applyFont="1" applyFill="1" applyBorder="1"/>
    <xf numFmtId="0" fontId="6" fillId="12" borderId="23" xfId="0" applyFont="1" applyFill="1" applyBorder="1"/>
    <xf numFmtId="0" fontId="6" fillId="12" borderId="24" xfId="0" applyFont="1" applyFill="1" applyBorder="1"/>
    <xf numFmtId="0" fontId="6" fillId="13" borderId="22" xfId="0" applyFont="1" applyFill="1" applyBorder="1"/>
    <xf numFmtId="0" fontId="6" fillId="13" borderId="23" xfId="0" applyFont="1" applyFill="1" applyBorder="1"/>
    <xf numFmtId="0" fontId="6" fillId="13" borderId="24" xfId="0" applyFont="1" applyFill="1" applyBorder="1"/>
    <xf numFmtId="0" fontId="6" fillId="14" borderId="22" xfId="0" applyFont="1" applyFill="1" applyBorder="1"/>
    <xf numFmtId="0" fontId="6" fillId="14" borderId="23" xfId="0" applyFont="1" applyFill="1" applyBorder="1"/>
    <xf numFmtId="0" fontId="6" fillId="14" borderId="24" xfId="0" applyFont="1" applyFill="1" applyBorder="1"/>
    <xf numFmtId="0" fontId="6" fillId="15" borderId="22" xfId="0" applyFont="1" applyFill="1" applyBorder="1"/>
    <xf numFmtId="0" fontId="6" fillId="15" borderId="23" xfId="0" applyFont="1" applyFill="1" applyBorder="1"/>
    <xf numFmtId="0" fontId="16" fillId="15" borderId="23" xfId="0" applyFont="1" applyFill="1" applyBorder="1"/>
    <xf numFmtId="0" fontId="0" fillId="15" borderId="24" xfId="0" applyFill="1" applyBorder="1"/>
    <xf numFmtId="0" fontId="4" fillId="0" borderId="0" xfId="0" applyFont="1" applyAlignment="1">
      <alignment horizontal="right"/>
    </xf>
    <xf numFmtId="3" fontId="4" fillId="0" borderId="0" xfId="3" applyNumberFormat="1" applyFont="1" applyAlignment="1">
      <alignment horizontal="right"/>
    </xf>
    <xf numFmtId="0" fontId="19" fillId="0" borderId="0" xfId="0" applyFont="1" applyAlignment="1">
      <alignment wrapText="1"/>
    </xf>
    <xf numFmtId="43" fontId="4" fillId="0" borderId="0" xfId="0" applyNumberFormat="1" applyFont="1"/>
    <xf numFmtId="39" fontId="24" fillId="16" borderId="0" xfId="0" applyNumberFormat="1" applyFont="1" applyFill="1" applyAlignment="1">
      <alignment wrapText="1"/>
    </xf>
    <xf numFmtId="0" fontId="24" fillId="16" borderId="0" xfId="0" applyFont="1" applyFill="1" applyAlignment="1">
      <alignment wrapText="1"/>
    </xf>
    <xf numFmtId="0" fontId="25" fillId="16" borderId="0" xfId="0" applyFont="1" applyFill="1"/>
    <xf numFmtId="2" fontId="27" fillId="2" borderId="0" xfId="0" applyNumberFormat="1" applyFont="1" applyFill="1" applyAlignment="1">
      <alignment vertical="center"/>
    </xf>
    <xf numFmtId="0" fontId="27" fillId="0" borderId="0" xfId="0" applyFont="1"/>
    <xf numFmtId="165" fontId="27" fillId="0" borderId="0" xfId="3" applyFont="1"/>
    <xf numFmtId="0" fontId="27" fillId="0" borderId="0" xfId="0" applyFont="1" applyAlignment="1">
      <alignment vertical="center"/>
    </xf>
    <xf numFmtId="165" fontId="27" fillId="0" borderId="0" xfId="3" applyFont="1" applyAlignment="1">
      <alignment vertical="center"/>
    </xf>
    <xf numFmtId="49" fontId="27" fillId="2" borderId="0" xfId="0" applyNumberFormat="1" applyFont="1" applyFill="1" applyAlignment="1">
      <alignment vertical="center"/>
    </xf>
    <xf numFmtId="0" fontId="27" fillId="2" borderId="0" xfId="0" applyFont="1" applyFill="1" applyAlignment="1">
      <alignment vertical="center"/>
    </xf>
    <xf numFmtId="166" fontId="27" fillId="2" borderId="0" xfId="0" applyNumberFormat="1" applyFont="1" applyFill="1" applyAlignment="1">
      <alignment vertical="center"/>
    </xf>
    <xf numFmtId="0" fontId="27" fillId="2" borderId="0" xfId="0" applyFont="1" applyFill="1" applyAlignment="1">
      <alignment horizontal="right" vertical="center"/>
    </xf>
    <xf numFmtId="0" fontId="27" fillId="2" borderId="3" xfId="0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 wrapText="1"/>
    </xf>
    <xf numFmtId="167" fontId="27" fillId="2" borderId="4" xfId="0" applyNumberFormat="1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49" fontId="27" fillId="2" borderId="4" xfId="0" applyNumberFormat="1" applyFont="1" applyFill="1" applyBorder="1" applyAlignment="1">
      <alignment horizontal="center" vertical="center" wrapText="1"/>
    </xf>
    <xf numFmtId="49" fontId="27" fillId="2" borderId="4" xfId="0" applyNumberFormat="1" applyFont="1" applyFill="1" applyBorder="1" applyAlignment="1">
      <alignment horizontal="center" vertical="center"/>
    </xf>
    <xf numFmtId="2" fontId="27" fillId="2" borderId="0" xfId="0" applyNumberFormat="1" applyFont="1" applyFill="1" applyAlignment="1">
      <alignment vertical="center" wrapText="1"/>
    </xf>
    <xf numFmtId="49" fontId="27" fillId="0" borderId="0" xfId="0" applyNumberFormat="1" applyFont="1" applyAlignment="1">
      <alignment wrapText="1"/>
    </xf>
    <xf numFmtId="165" fontId="27" fillId="0" borderId="0" xfId="3" applyFont="1" applyAlignment="1">
      <alignment wrapText="1"/>
    </xf>
    <xf numFmtId="0" fontId="27" fillId="2" borderId="7" xfId="0" applyFont="1" applyFill="1" applyBorder="1" applyAlignment="1">
      <alignment vertical="center"/>
    </xf>
    <xf numFmtId="49" fontId="27" fillId="2" borderId="2" xfId="0" applyNumberFormat="1" applyFont="1" applyFill="1" applyBorder="1" applyAlignment="1">
      <alignment horizontal="center" vertical="center" wrapText="1"/>
    </xf>
    <xf numFmtId="49" fontId="27" fillId="2" borderId="8" xfId="0" applyNumberFormat="1" applyFont="1" applyFill="1" applyBorder="1" applyAlignment="1">
      <alignment horizontal="center" vertical="center" wrapText="1"/>
    </xf>
    <xf numFmtId="167" fontId="27" fillId="2" borderId="8" xfId="0" applyNumberFormat="1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vertical="center"/>
    </xf>
    <xf numFmtId="37" fontId="27" fillId="2" borderId="1" xfId="0" applyNumberFormat="1" applyFont="1" applyFill="1" applyBorder="1" applyAlignment="1">
      <alignment vertical="center"/>
    </xf>
    <xf numFmtId="39" fontId="27" fillId="2" borderId="1" xfId="0" applyNumberFormat="1" applyFont="1" applyFill="1" applyBorder="1" applyAlignment="1">
      <alignment horizontal="right" vertical="center"/>
    </xf>
    <xf numFmtId="37" fontId="27" fillId="2" borderId="4" xfId="0" applyNumberFormat="1" applyFont="1" applyFill="1" applyBorder="1" applyAlignment="1">
      <alignment vertical="center"/>
    </xf>
    <xf numFmtId="165" fontId="27" fillId="2" borderId="0" xfId="3" applyFont="1" applyFill="1" applyAlignment="1">
      <alignment vertical="center" wrapText="1"/>
    </xf>
    <xf numFmtId="49" fontId="27" fillId="2" borderId="3" xfId="0" applyNumberFormat="1" applyFont="1" applyFill="1" applyBorder="1"/>
    <xf numFmtId="37" fontId="27" fillId="2" borderId="1" xfId="0" applyNumberFormat="1" applyFont="1" applyFill="1" applyBorder="1" applyAlignment="1">
      <alignment horizontal="right" vertical="center"/>
    </xf>
    <xf numFmtId="169" fontId="27" fillId="2" borderId="0" xfId="3" applyNumberFormat="1" applyFont="1" applyFill="1" applyAlignment="1">
      <alignment vertical="center" wrapText="1"/>
    </xf>
    <xf numFmtId="170" fontId="27" fillId="2" borderId="0" xfId="3" applyNumberFormat="1" applyFont="1" applyFill="1" applyAlignment="1">
      <alignment vertical="center" wrapText="1"/>
    </xf>
    <xf numFmtId="2" fontId="27" fillId="2" borderId="0" xfId="3" applyNumberFormat="1" applyFont="1" applyFill="1" applyAlignment="1">
      <alignment vertical="center" wrapText="1"/>
    </xf>
    <xf numFmtId="49" fontId="27" fillId="2" borderId="3" xfId="0" applyNumberFormat="1" applyFont="1" applyFill="1" applyBorder="1" applyAlignment="1">
      <alignment horizontal="left"/>
    </xf>
    <xf numFmtId="2" fontId="28" fillId="2" borderId="0" xfId="0" applyNumberFormat="1" applyFont="1" applyFill="1" applyAlignment="1">
      <alignment vertical="center"/>
    </xf>
    <xf numFmtId="0" fontId="28" fillId="0" borderId="0" xfId="0" applyFont="1"/>
    <xf numFmtId="49" fontId="27" fillId="2" borderId="0" xfId="0" applyNumberFormat="1" applyFont="1" applyFill="1" applyAlignment="1">
      <alignment horizontal="left" indent="2"/>
    </xf>
    <xf numFmtId="0" fontId="27" fillId="2" borderId="0" xfId="0" applyFont="1" applyFill="1"/>
    <xf numFmtId="166" fontId="27" fillId="2" borderId="0" xfId="0" applyNumberFormat="1" applyFont="1" applyFill="1"/>
    <xf numFmtId="2" fontId="27" fillId="2" borderId="0" xfId="0" applyNumberFormat="1" applyFont="1" applyFill="1"/>
    <xf numFmtId="49" fontId="27" fillId="2" borderId="7" xfId="0" applyNumberFormat="1" applyFont="1" applyFill="1" applyBorder="1"/>
    <xf numFmtId="37" fontId="27" fillId="2" borderId="2" xfId="0" applyNumberFormat="1" applyFont="1" applyFill="1" applyBorder="1" applyAlignment="1">
      <alignment vertical="center"/>
    </xf>
    <xf numFmtId="39" fontId="27" fillId="2" borderId="2" xfId="0" applyNumberFormat="1" applyFont="1" applyFill="1" applyBorder="1" applyAlignment="1">
      <alignment horizontal="right" vertical="center"/>
    </xf>
    <xf numFmtId="37" fontId="27" fillId="2" borderId="8" xfId="0" applyNumberFormat="1" applyFont="1" applyFill="1" applyBorder="1" applyAlignment="1">
      <alignment vertical="center"/>
    </xf>
    <xf numFmtId="49" fontId="27" fillId="2" borderId="0" xfId="0" applyNumberFormat="1" applyFont="1" applyFill="1"/>
    <xf numFmtId="37" fontId="27" fillId="2" borderId="0" xfId="0" applyNumberFormat="1" applyFont="1" applyFill="1" applyAlignment="1">
      <alignment vertical="center"/>
    </xf>
    <xf numFmtId="39" fontId="27" fillId="2" borderId="0" xfId="0" applyNumberFormat="1" applyFont="1" applyFill="1" applyAlignment="1">
      <alignment horizontal="right" vertical="center"/>
    </xf>
    <xf numFmtId="0" fontId="9" fillId="0" borderId="25" xfId="0" applyFont="1" applyBorder="1" applyAlignment="1">
      <alignment horizontal="center" vertical="center" wrapText="1"/>
    </xf>
    <xf numFmtId="0" fontId="4" fillId="2" borderId="26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169" fontId="4" fillId="0" borderId="26" xfId="3" applyNumberFormat="1" applyFont="1" applyBorder="1"/>
    <xf numFmtId="169" fontId="4" fillId="0" borderId="0" xfId="3" applyNumberFormat="1" applyFont="1" applyBorder="1"/>
    <xf numFmtId="165" fontId="4" fillId="0" borderId="0" xfId="3" applyFont="1" applyBorder="1"/>
    <xf numFmtId="0" fontId="0" fillId="0" borderId="9" xfId="0" applyBorder="1" applyAlignment="1">
      <alignment wrapText="1"/>
    </xf>
    <xf numFmtId="0" fontId="0" fillId="0" borderId="9" xfId="0" applyBorder="1"/>
    <xf numFmtId="0" fontId="4" fillId="0" borderId="2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0" fillId="0" borderId="0" xfId="0" applyAlignment="1">
      <alignment vertical="center"/>
    </xf>
    <xf numFmtId="165" fontId="4" fillId="0" borderId="26" xfId="3" applyFont="1" applyBorder="1"/>
    <xf numFmtId="0" fontId="29" fillId="0" borderId="0" xfId="0" applyFont="1" applyAlignment="1">
      <alignment vertical="center" textRotation="90"/>
    </xf>
    <xf numFmtId="0" fontId="32" fillId="0" borderId="0" xfId="0" applyFont="1"/>
    <xf numFmtId="0" fontId="32" fillId="0" borderId="26" xfId="0" applyFont="1" applyBorder="1"/>
    <xf numFmtId="0" fontId="32" fillId="0" borderId="9" xfId="0" applyFont="1" applyBorder="1"/>
    <xf numFmtId="165" fontId="4" fillId="0" borderId="0" xfId="0" applyNumberFormat="1" applyFont="1"/>
    <xf numFmtId="169" fontId="4" fillId="0" borderId="4" xfId="3" applyNumberFormat="1" applyFont="1" applyBorder="1" applyAlignment="1">
      <alignment horizontal="right" wrapText="1"/>
    </xf>
    <xf numFmtId="37" fontId="2" fillId="2" borderId="5" xfId="0" applyNumberFormat="1" applyFont="1" applyFill="1" applyBorder="1" applyAlignment="1">
      <alignment horizontal="right" vertical="center"/>
    </xf>
    <xf numFmtId="37" fontId="2" fillId="2" borderId="4" xfId="0" applyNumberFormat="1" applyFont="1" applyFill="1" applyBorder="1" applyAlignment="1">
      <alignment horizontal="right" vertical="center"/>
    </xf>
    <xf numFmtId="37" fontId="2" fillId="2" borderId="8" xfId="0" applyNumberFormat="1" applyFont="1" applyFill="1" applyBorder="1" applyAlignment="1">
      <alignment horizontal="right" vertical="center"/>
    </xf>
    <xf numFmtId="37" fontId="2" fillId="2" borderId="6" xfId="0" quotePrefix="1" applyNumberFormat="1" applyFont="1" applyFill="1" applyBorder="1" applyAlignment="1">
      <alignment horizontal="right" vertical="center"/>
    </xf>
    <xf numFmtId="37" fontId="2" fillId="2" borderId="5" xfId="0" quotePrefix="1" applyNumberFormat="1" applyFont="1" applyFill="1" applyBorder="1" applyAlignment="1">
      <alignment horizontal="right" vertical="center"/>
    </xf>
    <xf numFmtId="0" fontId="2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left" vertical="top" wrapText="1"/>
    </xf>
    <xf numFmtId="0" fontId="2" fillId="2" borderId="10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27" fillId="2" borderId="26" xfId="0" applyNumberFormat="1" applyFont="1" applyFill="1" applyBorder="1" applyAlignment="1">
      <alignment horizontal="center" vertical="center"/>
    </xf>
    <xf numFmtId="49" fontId="27" fillId="2" borderId="26" xfId="0" applyNumberFormat="1" applyFont="1" applyFill="1" applyBorder="1" applyAlignment="1">
      <alignment vertical="center"/>
    </xf>
    <xf numFmtId="37" fontId="27" fillId="2" borderId="26" xfId="0" applyNumberFormat="1" applyFont="1" applyFill="1" applyBorder="1" applyAlignment="1">
      <alignment vertical="center"/>
    </xf>
    <xf numFmtId="39" fontId="27" fillId="2" borderId="26" xfId="0" applyNumberFormat="1" applyFont="1" applyFill="1" applyBorder="1" applyAlignment="1">
      <alignment horizontal="right" vertical="center"/>
    </xf>
    <xf numFmtId="0" fontId="27" fillId="2" borderId="26" xfId="0" applyFont="1" applyFill="1" applyBorder="1" applyAlignment="1">
      <alignment horizontal="right" vertical="center"/>
    </xf>
    <xf numFmtId="4" fontId="27" fillId="2" borderId="26" xfId="0" applyNumberFormat="1" applyFont="1" applyFill="1" applyBorder="1" applyAlignment="1">
      <alignment vertical="center"/>
    </xf>
    <xf numFmtId="168" fontId="27" fillId="2" borderId="26" xfId="0" applyNumberFormat="1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horizontal="center" vertical="center"/>
    </xf>
    <xf numFmtId="49" fontId="2" fillId="2" borderId="26" xfId="0" applyNumberFormat="1" applyFont="1" applyFill="1" applyBorder="1"/>
    <xf numFmtId="0" fontId="2" fillId="2" borderId="26" xfId="0" applyFont="1" applyFill="1" applyBorder="1"/>
    <xf numFmtId="0" fontId="2" fillId="2" borderId="26" xfId="0" applyFont="1" applyFill="1" applyBorder="1" applyAlignment="1">
      <alignment wrapText="1"/>
    </xf>
    <xf numFmtId="0" fontId="15" fillId="0" borderId="26" xfId="0" applyFont="1" applyBorder="1"/>
    <xf numFmtId="169" fontId="4" fillId="0" borderId="26" xfId="0" applyNumberFormat="1" applyFont="1" applyBorder="1"/>
    <xf numFmtId="0" fontId="4" fillId="0" borderId="26" xfId="0" applyFont="1" applyBorder="1"/>
    <xf numFmtId="0" fontId="4" fillId="2" borderId="11" xfId="0" applyFont="1" applyFill="1" applyBorder="1"/>
    <xf numFmtId="165" fontId="4" fillId="0" borderId="11" xfId="3" applyFont="1" applyBorder="1"/>
    <xf numFmtId="0" fontId="4" fillId="2" borderId="11" xfId="0" applyFont="1" applyFill="1" applyBorder="1" applyAlignment="1">
      <alignment wrapText="1"/>
    </xf>
    <xf numFmtId="0" fontId="4" fillId="0" borderId="11" xfId="0" applyFont="1" applyBorder="1"/>
    <xf numFmtId="0" fontId="4" fillId="3" borderId="11" xfId="0" applyFont="1" applyFill="1" applyBorder="1"/>
    <xf numFmtId="165" fontId="4" fillId="3" borderId="11" xfId="3" applyFont="1" applyFill="1" applyBorder="1"/>
    <xf numFmtId="0" fontId="4" fillId="2" borderId="9" xfId="0" applyFont="1" applyFill="1" applyBorder="1"/>
    <xf numFmtId="0" fontId="4" fillId="2" borderId="27" xfId="0" applyFont="1" applyFill="1" applyBorder="1"/>
    <xf numFmtId="165" fontId="4" fillId="0" borderId="27" xfId="3" applyFont="1" applyBorder="1"/>
    <xf numFmtId="0" fontId="4" fillId="2" borderId="26" xfId="0" applyFont="1" applyFill="1" applyBorder="1"/>
    <xf numFmtId="165" fontId="4" fillId="2" borderId="9" xfId="3" applyFont="1" applyFill="1" applyBorder="1"/>
    <xf numFmtId="0" fontId="4" fillId="2" borderId="28" xfId="0" applyFont="1" applyFill="1" applyBorder="1"/>
    <xf numFmtId="165" fontId="4" fillId="0" borderId="28" xfId="3" applyFont="1" applyBorder="1"/>
    <xf numFmtId="0" fontId="34" fillId="17" borderId="15" xfId="0" applyFont="1" applyFill="1" applyBorder="1" applyAlignment="1">
      <alignment horizontal="left" vertical="center" wrapText="1"/>
    </xf>
    <xf numFmtId="0" fontId="34" fillId="17" borderId="15" xfId="0" applyFont="1" applyFill="1" applyBorder="1" applyAlignment="1">
      <alignment horizontal="center" wrapText="1"/>
    </xf>
    <xf numFmtId="0" fontId="34" fillId="17" borderId="12" xfId="0" applyFont="1" applyFill="1" applyBorder="1" applyAlignment="1">
      <alignment horizontal="left" vertical="center" wrapText="1"/>
    </xf>
    <xf numFmtId="0" fontId="34" fillId="17" borderId="12" xfId="0" applyFont="1" applyFill="1" applyBorder="1" applyAlignment="1">
      <alignment horizontal="center" wrapText="1"/>
    </xf>
    <xf numFmtId="0" fontId="35" fillId="18" borderId="14" xfId="0" applyFont="1" applyFill="1" applyBorder="1" applyAlignment="1">
      <alignment horizontal="left" vertical="top" wrapText="1"/>
    </xf>
    <xf numFmtId="0" fontId="35" fillId="18" borderId="12" xfId="0" applyFont="1" applyFill="1" applyBorder="1" applyAlignment="1">
      <alignment horizontal="left" vertical="top" wrapText="1"/>
    </xf>
    <xf numFmtId="49" fontId="3" fillId="2" borderId="0" xfId="0" applyNumberFormat="1" applyFont="1" applyFill="1"/>
    <xf numFmtId="179" fontId="36" fillId="19" borderId="12" xfId="0" applyNumberFormat="1" applyFont="1" applyFill="1" applyBorder="1" applyAlignment="1">
      <alignment horizontal="right" vertical="center"/>
    </xf>
    <xf numFmtId="0" fontId="37" fillId="0" borderId="0" xfId="5"/>
    <xf numFmtId="170" fontId="4" fillId="0" borderId="0" xfId="0" applyNumberFormat="1" applyFont="1"/>
    <xf numFmtId="0" fontId="38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27" fillId="2" borderId="5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justify" vertical="top" wrapText="1"/>
    </xf>
    <xf numFmtId="0" fontId="27" fillId="2" borderId="0" xfId="0" applyFont="1" applyFill="1" applyAlignment="1">
      <alignment horizontal="center" vertical="center"/>
    </xf>
    <xf numFmtId="49" fontId="27" fillId="2" borderId="0" xfId="0" applyNumberFormat="1" applyFont="1" applyFill="1" applyAlignment="1">
      <alignment horizontal="center" vertical="center"/>
    </xf>
    <xf numFmtId="49" fontId="28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 vertical="top" wrapText="1"/>
    </xf>
    <xf numFmtId="49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49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horizontal="center"/>
    </xf>
    <xf numFmtId="0" fontId="29" fillId="0" borderId="0" xfId="0" applyFont="1" applyAlignment="1">
      <alignment horizontal="center" vertical="center" textRotation="90"/>
    </xf>
    <xf numFmtId="0" fontId="30" fillId="0" borderId="0" xfId="0" applyFont="1" applyAlignment="1">
      <alignment horizontal="center" vertical="center" textRotation="90"/>
    </xf>
    <xf numFmtId="0" fontId="31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21" fillId="0" borderId="0" xfId="0" applyFont="1" applyAlignment="1">
      <alignment horizontal="center" vertical="center"/>
    </xf>
    <xf numFmtId="0" fontId="24" fillId="10" borderId="17" xfId="0" applyFont="1" applyFill="1" applyBorder="1" applyAlignment="1">
      <alignment horizontal="center" vertical="center" wrapText="1"/>
    </xf>
    <xf numFmtId="0" fontId="24" fillId="10" borderId="18" xfId="0" applyFont="1" applyFill="1" applyBorder="1" applyAlignment="1">
      <alignment horizontal="center" vertical="center" wrapText="1"/>
    </xf>
    <xf numFmtId="0" fontId="24" fillId="10" borderId="19" xfId="0" applyFont="1" applyFill="1" applyBorder="1" applyAlignment="1">
      <alignment horizontal="center" vertical="center" wrapText="1"/>
    </xf>
    <xf numFmtId="0" fontId="22" fillId="10" borderId="17" xfId="0" applyFont="1" applyFill="1" applyBorder="1" applyAlignment="1">
      <alignment horizontal="center" vertical="center" wrapText="1"/>
    </xf>
    <xf numFmtId="0" fontId="22" fillId="10" borderId="18" xfId="0" applyFont="1" applyFill="1" applyBorder="1" applyAlignment="1">
      <alignment horizontal="center" vertical="center" wrapText="1"/>
    </xf>
    <xf numFmtId="0" fontId="22" fillId="10" borderId="19" xfId="0" applyFont="1" applyFill="1" applyBorder="1" applyAlignment="1">
      <alignment horizontal="center" vertical="center" wrapText="1"/>
    </xf>
    <xf numFmtId="49" fontId="27" fillId="2" borderId="29" xfId="0" applyNumberFormat="1" applyFont="1" applyFill="1" applyBorder="1" applyAlignment="1">
      <alignment vertical="center"/>
    </xf>
    <xf numFmtId="49" fontId="27" fillId="2" borderId="30" xfId="0" applyNumberFormat="1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39" fontId="2" fillId="2" borderId="30" xfId="0" applyNumberFormat="1" applyFont="1" applyFill="1" applyBorder="1" applyAlignment="1">
      <alignment horizontal="right" vertical="center"/>
    </xf>
    <xf numFmtId="37" fontId="2" fillId="2" borderId="31" xfId="0" applyNumberFormat="1" applyFont="1" applyFill="1" applyBorder="1" applyAlignment="1">
      <alignment horizontal="right" vertical="center"/>
    </xf>
    <xf numFmtId="49" fontId="2" fillId="2" borderId="27" xfId="0" applyNumberFormat="1" applyFont="1" applyFill="1" applyBorder="1"/>
    <xf numFmtId="49" fontId="2" fillId="2" borderId="29" xfId="0" applyNumberFormat="1" applyFont="1" applyFill="1" applyBorder="1"/>
    <xf numFmtId="37" fontId="2" fillId="2" borderId="30" xfId="0" applyNumberFormat="1" applyFont="1" applyFill="1" applyBorder="1" applyAlignment="1">
      <alignment horizontal="right" vertical="center"/>
    </xf>
    <xf numFmtId="165" fontId="2" fillId="2" borderId="30" xfId="3" applyFont="1" applyFill="1" applyBorder="1" applyAlignment="1">
      <alignment horizontal="right" vertical="center"/>
    </xf>
    <xf numFmtId="0" fontId="2" fillId="2" borderId="0" xfId="0" applyFont="1" applyFill="1" applyAlignment="1"/>
    <xf numFmtId="0" fontId="2" fillId="2" borderId="30" xfId="0" applyFont="1" applyFill="1" applyBorder="1" applyAlignment="1">
      <alignment horizontal="center"/>
    </xf>
    <xf numFmtId="0" fontId="2" fillId="2" borderId="10" xfId="0" applyFont="1" applyFill="1" applyBorder="1" applyAlignment="1"/>
    <xf numFmtId="49" fontId="2" fillId="2" borderId="27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0" xfId="0" applyFont="1" applyFill="1" applyBorder="1"/>
    <xf numFmtId="49" fontId="2" fillId="2" borderId="30" xfId="0" applyNumberFormat="1" applyFont="1" applyFill="1" applyBorder="1" applyAlignment="1">
      <alignment horizontal="center" wrapText="1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27" xfId="0" applyFont="1" applyFill="1" applyBorder="1"/>
    <xf numFmtId="0" fontId="34" fillId="17" borderId="16" xfId="0" applyFont="1" applyFill="1" applyBorder="1" applyAlignment="1">
      <alignment horizontal="center" wrapText="1"/>
    </xf>
    <xf numFmtId="178" fontId="36" fillId="19" borderId="12" xfId="0" applyNumberFormat="1" applyFont="1" applyFill="1" applyBorder="1" applyAlignment="1">
      <alignment horizontal="right" vertical="center"/>
    </xf>
    <xf numFmtId="4" fontId="36" fillId="19" borderId="12" xfId="0" applyNumberFormat="1" applyFont="1" applyFill="1" applyBorder="1" applyAlignment="1">
      <alignment horizontal="right" vertical="center"/>
    </xf>
    <xf numFmtId="178" fontId="36" fillId="19" borderId="13" xfId="0" applyNumberFormat="1" applyFont="1" applyFill="1" applyBorder="1" applyAlignment="1">
      <alignment horizontal="right" vertical="center"/>
    </xf>
    <xf numFmtId="169" fontId="4" fillId="0" borderId="30" xfId="3" applyNumberFormat="1" applyFont="1" applyBorder="1" applyAlignment="1">
      <alignment horizontal="right"/>
    </xf>
    <xf numFmtId="3" fontId="4" fillId="0" borderId="30" xfId="3" applyNumberFormat="1" applyFont="1" applyBorder="1" applyAlignment="1">
      <alignment horizontal="right"/>
    </xf>
    <xf numFmtId="169" fontId="4" fillId="0" borderId="30" xfId="0" applyNumberFormat="1" applyFont="1" applyBorder="1" applyAlignment="1">
      <alignment horizontal="right"/>
    </xf>
    <xf numFmtId="0" fontId="22" fillId="5" borderId="32" xfId="0" applyFont="1" applyFill="1" applyBorder="1" applyAlignment="1">
      <alignment vertical="center" wrapText="1"/>
    </xf>
    <xf numFmtId="0" fontId="22" fillId="10" borderId="32" xfId="0" applyFont="1" applyFill="1" applyBorder="1" applyAlignment="1">
      <alignment horizontal="center" vertical="center" wrapText="1"/>
    </xf>
    <xf numFmtId="0" fontId="4" fillId="10" borderId="0" xfId="0" applyFont="1" applyFill="1" applyAlignment="1"/>
    <xf numFmtId="0" fontId="22" fillId="10" borderId="33" xfId="0" applyFont="1" applyFill="1" applyBorder="1" applyAlignment="1">
      <alignment horizontal="center" vertical="center" wrapText="1"/>
    </xf>
    <xf numFmtId="0" fontId="24" fillId="10" borderId="34" xfId="0" applyFont="1" applyFill="1" applyBorder="1" applyAlignment="1">
      <alignment vertical="center" wrapText="1"/>
    </xf>
    <xf numFmtId="3" fontId="24" fillId="10" borderId="32" xfId="0" applyNumberFormat="1" applyFont="1" applyFill="1" applyBorder="1" applyAlignment="1">
      <alignment vertical="center"/>
    </xf>
    <xf numFmtId="4" fontId="24" fillId="10" borderId="32" xfId="0" applyNumberFormat="1" applyFont="1" applyFill="1" applyBorder="1" applyAlignment="1">
      <alignment vertical="center"/>
    </xf>
    <xf numFmtId="3" fontId="24" fillId="10" borderId="35" xfId="0" applyNumberFormat="1" applyFont="1" applyFill="1" applyBorder="1" applyAlignment="1">
      <alignment vertical="center"/>
    </xf>
    <xf numFmtId="0" fontId="23" fillId="2" borderId="34" xfId="0" applyFont="1" applyFill="1" applyBorder="1" applyAlignment="1">
      <alignment vertical="center" wrapText="1"/>
    </xf>
    <xf numFmtId="3" fontId="23" fillId="2" borderId="32" xfId="0" applyNumberFormat="1" applyFont="1" applyFill="1" applyBorder="1" applyAlignment="1">
      <alignment vertical="center"/>
    </xf>
    <xf numFmtId="4" fontId="23" fillId="2" borderId="32" xfId="0" applyNumberFormat="1" applyFont="1" applyFill="1" applyBorder="1" applyAlignment="1">
      <alignment vertical="center"/>
    </xf>
    <xf numFmtId="3" fontId="23" fillId="2" borderId="35" xfId="0" applyNumberFormat="1" applyFont="1" applyFill="1" applyBorder="1" applyAlignment="1">
      <alignment vertical="center"/>
    </xf>
    <xf numFmtId="3" fontId="24" fillId="10" borderId="32" xfId="0" applyNumberFormat="1" applyFont="1" applyFill="1" applyBorder="1" applyAlignment="1" applyProtection="1">
      <alignment vertical="center"/>
      <protection locked="0"/>
    </xf>
    <xf numFmtId="4" fontId="24" fillId="10" borderId="32" xfId="0" applyNumberFormat="1" applyFont="1" applyFill="1" applyBorder="1" applyAlignment="1" applyProtection="1">
      <alignment vertical="center"/>
      <protection locked="0"/>
    </xf>
    <xf numFmtId="3" fontId="24" fillId="10" borderId="35" xfId="0" applyNumberFormat="1" applyFont="1" applyFill="1" applyBorder="1" applyAlignment="1" applyProtection="1">
      <alignment vertical="center"/>
      <protection locked="0"/>
    </xf>
    <xf numFmtId="3" fontId="23" fillId="2" borderId="32" xfId="0" applyNumberFormat="1" applyFont="1" applyFill="1" applyBorder="1" applyAlignment="1" applyProtection="1">
      <alignment vertical="center"/>
      <protection locked="0"/>
    </xf>
    <xf numFmtId="3" fontId="23" fillId="2" borderId="35" xfId="0" applyNumberFormat="1" applyFont="1" applyFill="1" applyBorder="1" applyAlignment="1" applyProtection="1">
      <alignment vertical="center"/>
      <protection locked="0"/>
    </xf>
    <xf numFmtId="0" fontId="23" fillId="2" borderId="36" xfId="0" applyFont="1" applyFill="1" applyBorder="1" applyAlignment="1">
      <alignment vertical="center" wrapText="1"/>
    </xf>
    <xf numFmtId="3" fontId="23" fillId="2" borderId="37" xfId="0" applyNumberFormat="1" applyFont="1" applyFill="1" applyBorder="1" applyAlignment="1" applyProtection="1">
      <alignment vertical="center"/>
      <protection locked="0"/>
    </xf>
    <xf numFmtId="3" fontId="23" fillId="2" borderId="37" xfId="0" applyNumberFormat="1" applyFont="1" applyFill="1" applyBorder="1" applyAlignment="1">
      <alignment vertical="center"/>
    </xf>
    <xf numFmtId="3" fontId="23" fillId="2" borderId="38" xfId="0" applyNumberFormat="1" applyFont="1" applyFill="1" applyBorder="1" applyAlignment="1" applyProtection="1">
      <alignment vertical="center"/>
      <protection locked="0"/>
    </xf>
    <xf numFmtId="0" fontId="22" fillId="5" borderId="33" xfId="0" applyFont="1" applyFill="1" applyBorder="1" applyAlignment="1">
      <alignment vertical="center" wrapText="1"/>
    </xf>
    <xf numFmtId="0" fontId="4" fillId="10" borderId="20" xfId="0" applyFont="1" applyFill="1" applyBorder="1" applyAlignment="1"/>
    <xf numFmtId="0" fontId="22" fillId="10" borderId="32" xfId="0" applyFont="1" applyFill="1" applyBorder="1" applyAlignment="1">
      <alignment horizontal="center" vertical="center" wrapText="1"/>
    </xf>
    <xf numFmtId="0" fontId="22" fillId="10" borderId="35" xfId="0" applyFont="1" applyFill="1" applyBorder="1" applyAlignment="1">
      <alignment horizontal="center" vertical="center" wrapText="1"/>
    </xf>
    <xf numFmtId="0" fontId="23" fillId="8" borderId="32" xfId="0" applyFont="1" applyFill="1" applyBorder="1"/>
    <xf numFmtId="0" fontId="23" fillId="8" borderId="35" xfId="0" applyFont="1" applyFill="1" applyBorder="1"/>
    <xf numFmtId="3" fontId="23" fillId="2" borderId="38" xfId="0" applyNumberFormat="1" applyFont="1" applyFill="1" applyBorder="1" applyAlignment="1">
      <alignment vertical="center"/>
    </xf>
    <xf numFmtId="0" fontId="25" fillId="10" borderId="20" xfId="0" applyFont="1" applyFill="1" applyBorder="1" applyAlignment="1"/>
    <xf numFmtId="0" fontId="24" fillId="10" borderId="32" xfId="0" applyFont="1" applyFill="1" applyBorder="1" applyAlignment="1">
      <alignment horizontal="center" vertical="center" wrapText="1"/>
    </xf>
    <xf numFmtId="0" fontId="24" fillId="10" borderId="35" xfId="0" applyFont="1" applyFill="1" applyBorder="1" applyAlignment="1">
      <alignment horizontal="center" vertical="center" wrapText="1"/>
    </xf>
    <xf numFmtId="0" fontId="25" fillId="10" borderId="0" xfId="0" applyFont="1" applyFill="1" applyAlignment="1"/>
    <xf numFmtId="0" fontId="24" fillId="10" borderId="32" xfId="0" applyFont="1" applyFill="1" applyBorder="1" applyAlignment="1">
      <alignment horizontal="center" vertical="center" wrapText="1"/>
    </xf>
    <xf numFmtId="0" fontId="25" fillId="10" borderId="21" xfId="0" applyFont="1" applyFill="1" applyBorder="1" applyAlignment="1"/>
    <xf numFmtId="0" fontId="26" fillId="2" borderId="34" xfId="0" applyFont="1" applyFill="1" applyBorder="1" applyAlignment="1">
      <alignment vertical="center" wrapText="1"/>
    </xf>
    <xf numFmtId="0" fontId="26" fillId="11" borderId="32" xfId="0" applyFont="1" applyFill="1" applyBorder="1"/>
    <xf numFmtId="0" fontId="26" fillId="11" borderId="35" xfId="0" applyFont="1" applyFill="1" applyBorder="1"/>
    <xf numFmtId="4" fontId="23" fillId="2" borderId="37" xfId="0" applyNumberFormat="1" applyFont="1" applyFill="1" applyBorder="1" applyAlignment="1">
      <alignment vertical="center"/>
    </xf>
    <xf numFmtId="0" fontId="24" fillId="10" borderId="35" xfId="0" applyFont="1" applyFill="1" applyBorder="1" applyAlignment="1">
      <alignment horizontal="center" vertical="center" wrapText="1"/>
    </xf>
    <xf numFmtId="0" fontId="22" fillId="6" borderId="32" xfId="0" applyFont="1" applyFill="1" applyBorder="1" applyAlignment="1">
      <alignment horizontal="center" vertical="center" wrapText="1"/>
    </xf>
    <xf numFmtId="0" fontId="22" fillId="6" borderId="32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23" fillId="7" borderId="32" xfId="0" applyFont="1" applyFill="1" applyBorder="1" applyAlignment="1">
      <alignment vertical="center" wrapText="1"/>
    </xf>
    <xf numFmtId="0" fontId="23" fillId="9" borderId="32" xfId="0" applyFont="1" applyFill="1" applyBorder="1" applyAlignment="1">
      <alignment vertical="center" wrapText="1"/>
    </xf>
    <xf numFmtId="4" fontId="23" fillId="9" borderId="32" xfId="0" applyNumberFormat="1" applyFont="1" applyFill="1" applyBorder="1" applyAlignment="1" applyProtection="1">
      <alignment vertical="center" wrapText="1"/>
      <protection locked="0"/>
    </xf>
  </cellXfs>
  <cellStyles count="6">
    <cellStyle name="Hi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18CFC6FF-34B5-454A-B9EA-4D88EAE5B1D9}"/>
    <cellStyle name="Vírgula" xfId="3" builtinId="3"/>
  </cellStyles>
  <dxfs count="55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34</xdr:row>
      <xdr:rowOff>0</xdr:rowOff>
    </xdr:from>
    <xdr:to>
      <xdr:col>22</xdr:col>
      <xdr:colOff>8740</xdr:colOff>
      <xdr:row>47</xdr:row>
      <xdr:rowOff>142625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7E19E3-C9F0-423B-A231-B3C2C8199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31050" y="5248275"/>
          <a:ext cx="6276190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</xdr:row>
      <xdr:rowOff>66675</xdr:rowOff>
    </xdr:from>
    <xdr:to>
      <xdr:col>3</xdr:col>
      <xdr:colOff>1285875</xdr:colOff>
      <xdr:row>6</xdr:row>
      <xdr:rowOff>19050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EDB8187E-01DB-4176-B60B-870F44A30E52}"/>
            </a:ext>
          </a:extLst>
        </xdr:cNvPr>
        <xdr:cNvSpPr/>
      </xdr:nvSpPr>
      <xdr:spPr bwMode="auto">
        <a:xfrm>
          <a:off x="4914900" y="209550"/>
          <a:ext cx="2095500" cy="666750"/>
        </a:xfrm>
        <a:prstGeom prst="round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chemeClr val="bg1"/>
              </a:solidFill>
            </a:rPr>
            <a:t>BALANCETE - MÊS</a:t>
          </a:r>
          <a:r>
            <a:rPr lang="pt-BR" sz="1400" b="1" baseline="0">
              <a:solidFill>
                <a:schemeClr val="bg1"/>
              </a:solidFill>
            </a:rPr>
            <a:t> ATUAL 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504825</xdr:colOff>
      <xdr:row>23</xdr:row>
      <xdr:rowOff>104775</xdr:rowOff>
    </xdr:from>
    <xdr:to>
      <xdr:col>4</xdr:col>
      <xdr:colOff>19050</xdr:colOff>
      <xdr:row>28</xdr:row>
      <xdr:rowOff>57150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E6AD07E0-FAE3-4DED-9584-8D421545DFEE}"/>
            </a:ext>
          </a:extLst>
        </xdr:cNvPr>
        <xdr:cNvSpPr/>
      </xdr:nvSpPr>
      <xdr:spPr bwMode="auto">
        <a:xfrm>
          <a:off x="4953000" y="3390900"/>
          <a:ext cx="2095500" cy="666750"/>
        </a:xfrm>
        <a:prstGeom prst="round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chemeClr val="bg1"/>
              </a:solidFill>
            </a:rPr>
            <a:t>BALANCETE - MÊS</a:t>
          </a:r>
          <a:r>
            <a:rPr lang="pt-BR" sz="1400" b="1" baseline="0">
              <a:solidFill>
                <a:schemeClr val="bg1"/>
              </a:solidFill>
            </a:rPr>
            <a:t> ANTERIOR 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504825</xdr:colOff>
      <xdr:row>74</xdr:row>
      <xdr:rowOff>57150</xdr:rowOff>
    </xdr:from>
    <xdr:to>
      <xdr:col>4</xdr:col>
      <xdr:colOff>19050</xdr:colOff>
      <xdr:row>79</xdr:row>
      <xdr:rowOff>47625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B2B7C37B-673F-4C13-91C2-AB7A6FE0F09C}"/>
            </a:ext>
          </a:extLst>
        </xdr:cNvPr>
        <xdr:cNvSpPr/>
      </xdr:nvSpPr>
      <xdr:spPr bwMode="auto">
        <a:xfrm>
          <a:off x="5286375" y="9486900"/>
          <a:ext cx="2705100" cy="704850"/>
        </a:xfrm>
        <a:prstGeom prst="round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chemeClr val="bg1"/>
              </a:solidFill>
            </a:rPr>
            <a:t>CONOR</a:t>
          </a:r>
        </a:p>
      </xdr:txBody>
    </xdr:sp>
    <xdr:clientData/>
  </xdr:twoCellAnchor>
  <xdr:twoCellAnchor>
    <xdr:from>
      <xdr:col>1</xdr:col>
      <xdr:colOff>504825</xdr:colOff>
      <xdr:row>40</xdr:row>
      <xdr:rowOff>104775</xdr:rowOff>
    </xdr:from>
    <xdr:to>
      <xdr:col>4</xdr:col>
      <xdr:colOff>19050</xdr:colOff>
      <xdr:row>45</xdr:row>
      <xdr:rowOff>57150</xdr:rowOff>
    </xdr:to>
    <xdr:sp macro="" textlink="">
      <xdr:nvSpPr>
        <xdr:cNvPr id="6" name="Retângulo de cantos arredondados 2">
          <a:extLst>
            <a:ext uri="{FF2B5EF4-FFF2-40B4-BE49-F238E27FC236}">
              <a16:creationId xmlns:a16="http://schemas.microsoft.com/office/drawing/2014/main" id="{19DC049A-D44B-4554-AB14-52427C2E2512}"/>
            </a:ext>
          </a:extLst>
        </xdr:cNvPr>
        <xdr:cNvSpPr/>
      </xdr:nvSpPr>
      <xdr:spPr bwMode="auto">
        <a:xfrm>
          <a:off x="5286375" y="3390900"/>
          <a:ext cx="2705100" cy="666750"/>
        </a:xfrm>
        <a:prstGeom prst="roundRect">
          <a:avLst/>
        </a:prstGeom>
        <a:solidFill>
          <a:schemeClr val="accent3">
            <a:lumMod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chemeClr val="bg1"/>
              </a:solidFill>
            </a:rPr>
            <a:t>BALANCETE - MÊS</a:t>
          </a:r>
          <a:r>
            <a:rPr lang="pt-BR" sz="1400" b="1" baseline="0">
              <a:solidFill>
                <a:schemeClr val="bg1"/>
              </a:solidFill>
            </a:rPr>
            <a:t> ANTE ANTERIOR 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100</xdr:row>
      <xdr:rowOff>0</xdr:rowOff>
    </xdr:from>
    <xdr:to>
      <xdr:col>4</xdr:col>
      <xdr:colOff>123825</xdr:colOff>
      <xdr:row>104</xdr:row>
      <xdr:rowOff>133350</xdr:rowOff>
    </xdr:to>
    <xdr:sp macro="" textlink="">
      <xdr:nvSpPr>
        <xdr:cNvPr id="7" name="Retângulo de cantos arredondados 4">
          <a:extLst>
            <a:ext uri="{FF2B5EF4-FFF2-40B4-BE49-F238E27FC236}">
              <a16:creationId xmlns:a16="http://schemas.microsoft.com/office/drawing/2014/main" id="{1F515B33-DFD6-4DC5-BB0A-FD21FB2C6E0E}"/>
            </a:ext>
          </a:extLst>
        </xdr:cNvPr>
        <xdr:cNvSpPr/>
      </xdr:nvSpPr>
      <xdr:spPr bwMode="auto">
        <a:xfrm>
          <a:off x="5391150" y="13144500"/>
          <a:ext cx="2705100" cy="704850"/>
        </a:xfrm>
        <a:prstGeom prst="round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chemeClr val="bg1"/>
              </a:solidFill>
            </a:rPr>
            <a:t>CONOR MÊS</a:t>
          </a:r>
          <a:r>
            <a:rPr lang="pt-BR" sz="1400" b="1" baseline="0">
              <a:solidFill>
                <a:schemeClr val="bg1"/>
              </a:solidFill>
            </a:rPr>
            <a:t> ANTERIOR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-my.sharepoint.com/personal/henrique_a_santos_tesouro_gov_br/Documents/GEINF/Trabalho/Relatorio%20Resumido/Trabalho/Anexo%202%20Func&#807;a&#771;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te de Informação 1"/>
      <sheetName val="Fonte de Informação 2"/>
      <sheetName val="Fonte de Informação 3"/>
      <sheetName val="SICONFI Vinculada"/>
      <sheetName val="SICONFI Exceto Intra"/>
      <sheetName val="SICONFI Intra"/>
      <sheetName val="Elaboração"/>
      <sheetName val="Para Imprensa"/>
      <sheetName val="Critério SIAFI"/>
      <sheetName val="SIAFI Operacional"/>
      <sheetName val="Anexo 2"/>
      <sheetName val="Anexo 2 1"/>
      <sheetName val="Anexo 2 2"/>
      <sheetName val="Anexo 2 3"/>
      <sheetName val="Anexo 2 4"/>
      <sheetName val="Anexo 2 5"/>
      <sheetName val="Anexo 2 6"/>
      <sheetName val="Anexo 2 7"/>
      <sheetName val="Anexo 2 8"/>
      <sheetName val="Anexo 2 9"/>
      <sheetName val="Anexo 2 10"/>
      <sheetName val="Anexo 2 11"/>
      <sheetName val="Anexo 2 12"/>
      <sheetName val="Anexo 2 13"/>
      <sheetName val="Anexo 2 1 Intra"/>
      <sheetName val="Anexo 2 2 Intra"/>
      <sheetName val="Anexo 2 3 Intra"/>
      <sheetName val="Anexo 2 4 Intra"/>
      <sheetName val="Anexo 2 5 Intra"/>
      <sheetName val="Anexo 2 6 Intra"/>
      <sheetName val="Anexo 2 7 Intra"/>
      <sheetName val="Anexo 2 Funçã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JANEIRO A AGOSTO DE 2021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bem Mateus de Arruda Ziegler" id="{5498A1A8-B8BE-4BF7-9F61-F6F876AEB043}" userId="S::rubem.ziegler@tesouro.gov.br::2d9e488d-5756-4ead-8d37-2c43d531c50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19-02-04T13:01:24.36" personId="{5498A1A8-B8BE-4BF7-9F61-F6F876AEB043}" id="{0FD7631F-5350-469B-959E-BE0033500F3E}">
    <text>Executa macro ao salvar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1" dT="2019-02-04T13:01:24.36" personId="{5498A1A8-B8BE-4BF7-9F61-F6F876AEB043}" id="{EA4FC7FD-E6E5-4FBC-BD34-54DC6BE3F108}">
    <text>Executa macro ao salvar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1" dT="2019-02-04T13:01:24.36" personId="{5498A1A8-B8BE-4BF7-9F61-F6F876AEB043}" id="{F858EF23-5A7F-4CF3-A6B5-EADE288AB756}">
    <text>Executa macro ao salvar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mara.leg.br/internet/comissao/index/mista/orca/orcamento/OR2021/notas_tecnicas/Informativo_Conjunto_Vetos.pdf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 filterMode="1">
    <tabColor indexed="44"/>
  </sheetPr>
  <dimension ref="A1:M213"/>
  <sheetViews>
    <sheetView tabSelected="1" topLeftCell="B62" zoomScaleNormal="100" workbookViewId="0">
      <selection activeCell="H89" sqref="A1:H89"/>
    </sheetView>
  </sheetViews>
  <sheetFormatPr defaultColWidth="9.140625" defaultRowHeight="10.5" customHeight="1"/>
  <cols>
    <col min="1" max="1" width="73.42578125" style="208" customWidth="1"/>
    <col min="2" max="4" width="12.85546875" style="209" customWidth="1"/>
    <col min="5" max="5" width="9.42578125" style="210" customWidth="1"/>
    <col min="6" max="6" width="12.85546875" style="209" customWidth="1"/>
    <col min="7" max="7" width="9.42578125" style="209" bestFit="1" customWidth="1"/>
    <col min="8" max="8" width="12.85546875" style="209" customWidth="1"/>
    <col min="9" max="9" width="12.42578125" style="211" bestFit="1" customWidth="1"/>
    <col min="10" max="11" width="9.140625" style="173"/>
    <col min="12" max="12" width="28.42578125" style="174" customWidth="1"/>
    <col min="13" max="13" width="15.5703125" style="173" bestFit="1" customWidth="1"/>
    <col min="14" max="16384" width="9.140625" style="173"/>
  </cols>
  <sheetData>
    <row r="1" spans="1:13" ht="10.5" customHeight="1">
      <c r="A1" s="296" t="s">
        <v>0</v>
      </c>
      <c r="B1" s="296"/>
      <c r="C1" s="296"/>
      <c r="D1" s="296"/>
      <c r="E1" s="296"/>
      <c r="F1" s="296"/>
      <c r="G1" s="296"/>
      <c r="H1" s="296"/>
      <c r="I1" s="172"/>
    </row>
    <row r="2" spans="1:13" s="175" customFormat="1" ht="10.5" customHeight="1">
      <c r="A2" s="296" t="s">
        <v>1</v>
      </c>
      <c r="B2" s="296"/>
      <c r="C2" s="296"/>
      <c r="D2" s="296"/>
      <c r="E2" s="296"/>
      <c r="F2" s="296"/>
      <c r="G2" s="296"/>
      <c r="H2" s="296"/>
      <c r="I2" s="172"/>
      <c r="L2" s="176"/>
    </row>
    <row r="3" spans="1:13" s="175" customFormat="1" ht="10.5" customHeight="1">
      <c r="A3" s="297" t="s">
        <v>2</v>
      </c>
      <c r="B3" s="297"/>
      <c r="C3" s="297"/>
      <c r="D3" s="297"/>
      <c r="E3" s="297"/>
      <c r="F3" s="297"/>
      <c r="G3" s="297"/>
      <c r="H3" s="297"/>
      <c r="I3" s="172"/>
      <c r="L3" s="176"/>
    </row>
    <row r="4" spans="1:13" s="175" customFormat="1" ht="10.5" customHeight="1">
      <c r="A4" s="296" t="s">
        <v>3</v>
      </c>
      <c r="B4" s="296"/>
      <c r="C4" s="296"/>
      <c r="D4" s="296"/>
      <c r="E4" s="296"/>
      <c r="F4" s="296"/>
      <c r="G4" s="296"/>
      <c r="H4" s="296"/>
      <c r="I4" s="172"/>
    </row>
    <row r="5" spans="1:13" s="175" customFormat="1" ht="10.5" customHeight="1">
      <c r="A5" s="295" t="str">
        <f>'[1]Anexo 2'!$A$5</f>
        <v>JANEIRO A AGOSTO DE 2021</v>
      </c>
      <c r="B5" s="295"/>
      <c r="C5" s="295"/>
      <c r="D5" s="295"/>
      <c r="E5" s="295"/>
      <c r="F5" s="295"/>
      <c r="G5" s="295"/>
      <c r="H5" s="295"/>
      <c r="I5" s="172"/>
    </row>
    <row r="6" spans="1:13" s="175" customFormat="1" ht="10.5" customHeight="1">
      <c r="A6" s="244"/>
      <c r="B6" s="244"/>
      <c r="C6" s="244"/>
      <c r="D6" s="244"/>
      <c r="E6" s="244"/>
      <c r="F6" s="244"/>
      <c r="G6" s="244"/>
      <c r="H6" s="244"/>
      <c r="I6" s="172"/>
      <c r="L6" s="176"/>
    </row>
    <row r="7" spans="1:13" ht="10.5" customHeight="1">
      <c r="A7" s="177" t="s">
        <v>4</v>
      </c>
      <c r="B7" s="178"/>
      <c r="C7" s="178"/>
      <c r="D7" s="178"/>
      <c r="E7" s="179"/>
      <c r="F7" s="178"/>
      <c r="G7" s="178"/>
      <c r="H7" s="180" t="s">
        <v>5</v>
      </c>
      <c r="I7" s="172"/>
    </row>
    <row r="8" spans="1:13" ht="10.5" customHeight="1">
      <c r="A8" s="329"/>
      <c r="B8" s="330" t="s">
        <v>6</v>
      </c>
      <c r="C8" s="330" t="s">
        <v>7</v>
      </c>
      <c r="D8" s="292" t="s">
        <v>8</v>
      </c>
      <c r="E8" s="331"/>
      <c r="F8" s="331"/>
      <c r="G8" s="293"/>
      <c r="H8" s="253" t="s">
        <v>9</v>
      </c>
      <c r="I8" s="172"/>
    </row>
    <row r="9" spans="1:13" s="189" customFormat="1" ht="10.5" customHeight="1">
      <c r="A9" s="181" t="s">
        <v>10</v>
      </c>
      <c r="B9" s="182" t="s">
        <v>11</v>
      </c>
      <c r="C9" s="182" t="s">
        <v>12</v>
      </c>
      <c r="D9" s="183" t="s">
        <v>13</v>
      </c>
      <c r="E9" s="184" t="s">
        <v>14</v>
      </c>
      <c r="F9" s="185" t="s">
        <v>15</v>
      </c>
      <c r="G9" s="186" t="s">
        <v>14</v>
      </c>
      <c r="H9" s="187" t="s">
        <v>16</v>
      </c>
      <c r="I9" s="188"/>
      <c r="L9" s="190"/>
    </row>
    <row r="10" spans="1:13" s="189" customFormat="1" ht="10.5" customHeight="1">
      <c r="A10" s="191"/>
      <c r="B10" s="192"/>
      <c r="C10" s="192" t="s">
        <v>17</v>
      </c>
      <c r="D10" s="193" t="s">
        <v>18</v>
      </c>
      <c r="E10" s="194" t="s">
        <v>19</v>
      </c>
      <c r="F10" s="193" t="s">
        <v>20</v>
      </c>
      <c r="G10" s="193" t="s">
        <v>21</v>
      </c>
      <c r="H10" s="193" t="s">
        <v>22</v>
      </c>
      <c r="I10" s="188"/>
      <c r="L10" s="190" t="s">
        <v>23</v>
      </c>
    </row>
    <row r="11" spans="1:13" s="189" customFormat="1" ht="10.5" customHeight="1">
      <c r="A11" s="195" t="s">
        <v>24</v>
      </c>
      <c r="B11" s="196">
        <f>SUM(B12,B64)</f>
        <v>2546100629.3020005</v>
      </c>
      <c r="C11" s="196">
        <f>SUM(C12,C64)</f>
        <v>2546100629.3020005</v>
      </c>
      <c r="D11" s="196">
        <f>SUM(D12,D64)</f>
        <v>172279112.17300001</v>
      </c>
      <c r="E11" s="197">
        <f t="shared" ref="E11:E21" si="0">IF(C11&lt;&gt;0,(D11/C11)*100,"-")</f>
        <v>6.7663905420827524</v>
      </c>
      <c r="F11" s="196">
        <f>SUM(F12,F64)</f>
        <v>1560883187.8049998</v>
      </c>
      <c r="G11" s="197">
        <f>IF(C11&lt;&gt;0,(F11/C11)*100,"-")</f>
        <v>61.30485063478843</v>
      </c>
      <c r="H11" s="198">
        <f>SUM(H12,H64)</f>
        <v>985217441.49699998</v>
      </c>
      <c r="I11" s="199"/>
      <c r="L11" s="190" t="str">
        <f>IFERROR(IF(AND(OR(_xlfn.ISFORMULA(B11),_xlfn.ISFORMULA(D11),_xlfn.ISFORMULA(F11),_xlfn.ISFORMULA(H11)),
SUM(ABS(B11),ABS(C11),ABS(D11),ABS(F11),ABS(H11))=0),
"NÃO EXIBIR", "EXIBIR"
),"EXIBIR")</f>
        <v>EXIBIR</v>
      </c>
    </row>
    <row r="12" spans="1:13" s="189" customFormat="1" ht="10.5" customHeight="1">
      <c r="A12" s="200" t="s">
        <v>25</v>
      </c>
      <c r="B12" s="196">
        <f>SUM(B13,B16,B20,B28,B29,B30,B36,B45,B50)</f>
        <v>1632820120.5660005</v>
      </c>
      <c r="C12" s="196">
        <f>SUM(C13,C16,C20,C28,C29,C30,C36,C45,C50)</f>
        <v>1632820120.5660005</v>
      </c>
      <c r="D12" s="196">
        <f>SUM(D13,D16,D20,D28,D29,D30,D36,D45,D50)</f>
        <v>153102346.11000001</v>
      </c>
      <c r="E12" s="197">
        <f t="shared" si="0"/>
        <v>9.3765592536260911</v>
      </c>
      <c r="F12" s="196">
        <f>SUM(F13,F16,F20,F28,F29,F30,F36,F45,F50)</f>
        <v>1262805514.8539999</v>
      </c>
      <c r="G12" s="197">
        <f t="shared" ref="G12:G88" si="1">IF(C12&lt;&gt;0,(F12/C12)*100,"-")</f>
        <v>77.338924168588832</v>
      </c>
      <c r="H12" s="198">
        <f>SUM(H13,H16,H20,H28,H29,H30,H36,H45,H50)</f>
        <v>370014605.71199995</v>
      </c>
      <c r="I12" s="199"/>
      <c r="L12" s="190" t="str">
        <f t="shared" ref="L12:L88" si="2">IFERROR(IF(AND(OR(_xlfn.ISFORMULA(B12),_xlfn.ISFORMULA(D12),_xlfn.ISFORMULA(F12),_xlfn.ISFORMULA(H12)),
SUM(ABS(B12),ABS(C12),ABS(D12),ABS(F12),ABS(H12))=0),
"NÃO EXIBIR", "EXIBIR"
),"EXIBIR")</f>
        <v>EXIBIR</v>
      </c>
      <c r="M12" s="190"/>
    </row>
    <row r="13" spans="1:13" s="189" customFormat="1" ht="10.5" customHeight="1">
      <c r="A13" s="200" t="s">
        <v>26</v>
      </c>
      <c r="B13" s="196">
        <f>SUM(B14:B15)</f>
        <v>589494683.22099996</v>
      </c>
      <c r="C13" s="196">
        <f>SUM(C14:C15)</f>
        <v>589494683.22099996</v>
      </c>
      <c r="D13" s="196">
        <f>SUM(D14:D15)</f>
        <v>49536662.501000002</v>
      </c>
      <c r="E13" s="197">
        <f t="shared" si="0"/>
        <v>8.4032416086149571</v>
      </c>
      <c r="F13" s="196">
        <f>SUM(F14:F15)</f>
        <v>456703107.33600003</v>
      </c>
      <c r="G13" s="197">
        <f t="shared" si="1"/>
        <v>77.473660125410021</v>
      </c>
      <c r="H13" s="198">
        <f>SUM(H14:H15)</f>
        <v>132791575.88499996</v>
      </c>
      <c r="I13" s="199"/>
      <c r="L13" s="190" t="str">
        <f t="shared" si="2"/>
        <v>EXIBIR</v>
      </c>
    </row>
    <row r="14" spans="1:13" ht="10.5" customHeight="1">
      <c r="A14" s="200" t="s">
        <v>27</v>
      </c>
      <c r="B14" s="196">
        <f>'Elaboração RECEITA'!C9</f>
        <v>581745641.38</v>
      </c>
      <c r="C14" s="196">
        <f>'Elaboração RECEITA'!D9</f>
        <v>581745641.38</v>
      </c>
      <c r="D14" s="196">
        <f>'Elaboração RECEITA'!E9</f>
        <v>49019580.653999999</v>
      </c>
      <c r="E14" s="197">
        <f t="shared" si="0"/>
        <v>8.4262910054155586</v>
      </c>
      <c r="F14" s="196">
        <f>'Elaboração RECEITA'!F9</f>
        <v>451867443.66900003</v>
      </c>
      <c r="G14" s="197">
        <f t="shared" si="1"/>
        <v>77.674401237814735</v>
      </c>
      <c r="H14" s="198">
        <f>C14-F14</f>
        <v>129878197.71099997</v>
      </c>
      <c r="I14" s="199"/>
      <c r="L14" s="190" t="str">
        <f t="shared" si="2"/>
        <v>EXIBIR</v>
      </c>
    </row>
    <row r="15" spans="1:13" ht="10.5" customHeight="1">
      <c r="A15" s="200" t="s">
        <v>28</v>
      </c>
      <c r="B15" s="196">
        <f>'Elaboração RECEITA'!C10</f>
        <v>7749041.841</v>
      </c>
      <c r="C15" s="196">
        <f>'Elaboração RECEITA'!D10</f>
        <v>7749041.841</v>
      </c>
      <c r="D15" s="196">
        <f>'Elaboração RECEITA'!E10</f>
        <v>517081.84700000001</v>
      </c>
      <c r="E15" s="197">
        <f t="shared" si="0"/>
        <v>6.6728488193744413</v>
      </c>
      <c r="F15" s="196">
        <f>'Elaboração RECEITA'!F10</f>
        <v>4835663.6670000004</v>
      </c>
      <c r="G15" s="197">
        <f t="shared" si="1"/>
        <v>62.403375362030133</v>
      </c>
      <c r="H15" s="198">
        <f>C15-F15</f>
        <v>2913378.1739999996</v>
      </c>
      <c r="I15" s="199"/>
      <c r="L15" s="190" t="str">
        <f t="shared" si="2"/>
        <v>EXIBIR</v>
      </c>
    </row>
    <row r="16" spans="1:13" ht="10.5" customHeight="1">
      <c r="A16" s="200" t="s">
        <v>29</v>
      </c>
      <c r="B16" s="196">
        <f>SUM(B17:B18)</f>
        <v>884493099.65300012</v>
      </c>
      <c r="C16" s="196">
        <f>SUM(C17:C18)</f>
        <v>884493099.65300012</v>
      </c>
      <c r="D16" s="196">
        <f>SUM(D17:D18)</f>
        <v>82887675.173000008</v>
      </c>
      <c r="E16" s="197">
        <f t="shared" si="0"/>
        <v>9.3712065368874082</v>
      </c>
      <c r="F16" s="196">
        <f>SUM(F17:F18)</f>
        <v>626839888.47099996</v>
      </c>
      <c r="G16" s="197">
        <f t="shared" si="1"/>
        <v>70.869958026458164</v>
      </c>
      <c r="H16" s="198">
        <f>SUM(H17:H18)</f>
        <v>257653211.18200004</v>
      </c>
      <c r="I16" s="199"/>
      <c r="L16" s="190" t="str">
        <f t="shared" si="2"/>
        <v>EXIBIR</v>
      </c>
    </row>
    <row r="17" spans="1:12" ht="10.5" customHeight="1">
      <c r="A17" s="200" t="s">
        <v>30</v>
      </c>
      <c r="B17" s="196">
        <f>'Elaboração RECEITA'!C13</f>
        <v>869209178.26400006</v>
      </c>
      <c r="C17" s="196">
        <f>'Elaboração RECEITA'!D13</f>
        <v>869209178.26400006</v>
      </c>
      <c r="D17" s="196">
        <f>'Elaboração RECEITA'!E13</f>
        <v>80621592.641000003</v>
      </c>
      <c r="E17" s="197">
        <f t="shared" si="0"/>
        <v>9.2752808710578591</v>
      </c>
      <c r="F17" s="201">
        <f>'Elaboração RECEITA'!F13</f>
        <v>610268252.41600001</v>
      </c>
      <c r="G17" s="197">
        <f t="shared" si="1"/>
        <v>70.209595995619665</v>
      </c>
      <c r="H17" s="198">
        <f>C17-F17</f>
        <v>258940925.84800005</v>
      </c>
      <c r="I17" s="199"/>
      <c r="L17" s="190" t="str">
        <f t="shared" si="2"/>
        <v>EXIBIR</v>
      </c>
    </row>
    <row r="18" spans="1:12" ht="10.5" customHeight="1">
      <c r="A18" s="200" t="s">
        <v>31</v>
      </c>
      <c r="B18" s="196">
        <f>'Elaboração RECEITA'!C14</f>
        <v>15283921.389</v>
      </c>
      <c r="C18" s="196">
        <f>'Elaboração RECEITA'!D14</f>
        <v>15283921.389</v>
      </c>
      <c r="D18" s="196">
        <f>'Elaboração RECEITA'!E14</f>
        <v>2266082.5320000001</v>
      </c>
      <c r="E18" s="197">
        <f t="shared" si="0"/>
        <v>14.826578037956434</v>
      </c>
      <c r="F18" s="201">
        <f>'Elaboração RECEITA'!F14</f>
        <v>16571636.055</v>
      </c>
      <c r="G18" s="197">
        <f t="shared" si="1"/>
        <v>108.42528977495776</v>
      </c>
      <c r="H18" s="198">
        <f>C18-F18</f>
        <v>-1287714.6659999993</v>
      </c>
      <c r="I18" s="199"/>
      <c r="L18" s="190" t="str">
        <f t="shared" si="2"/>
        <v>EXIBIR</v>
      </c>
    </row>
    <row r="19" spans="1:12" s="2" customFormat="1" ht="22.5" hidden="1">
      <c r="A19" s="59" t="s">
        <v>32</v>
      </c>
      <c r="B19" s="14">
        <f>'Elaboração RECEITA'!C15</f>
        <v>0</v>
      </c>
      <c r="C19" s="14">
        <f>'Elaboração RECEITA'!D15</f>
        <v>0</v>
      </c>
      <c r="D19" s="14">
        <f>'Elaboração RECEITA'!E15</f>
        <v>0</v>
      </c>
      <c r="E19" s="53" t="str">
        <f t="shared" si="0"/>
        <v>-</v>
      </c>
      <c r="F19" s="31">
        <f>'Elaboração RECEITA'!F15</f>
        <v>0</v>
      </c>
      <c r="G19" s="53" t="str">
        <f>IF(C19&lt;&gt;0,(F19/C19)*100,"-")</f>
        <v>-</v>
      </c>
      <c r="H19" s="15">
        <f>C19-F19</f>
        <v>0</v>
      </c>
      <c r="I19" s="113"/>
      <c r="L19" s="71" t="str">
        <f t="shared" si="2"/>
        <v>NÃO EXIBIR</v>
      </c>
    </row>
    <row r="20" spans="1:12" ht="10.5" customHeight="1">
      <c r="A20" s="200" t="s">
        <v>33</v>
      </c>
      <c r="B20" s="196">
        <f>SUM(B21:B27)</f>
        <v>91079246.821999997</v>
      </c>
      <c r="C20" s="196">
        <f t="shared" ref="C20:H20" si="3">SUM(C21:C27)</f>
        <v>91079246.821999997</v>
      </c>
      <c r="D20" s="196">
        <f t="shared" si="3"/>
        <v>14958893.727000002</v>
      </c>
      <c r="E20" s="197">
        <f t="shared" si="0"/>
        <v>16.424041973288158</v>
      </c>
      <c r="F20" s="196">
        <f t="shared" si="3"/>
        <v>103580156.315</v>
      </c>
      <c r="G20" s="197">
        <f t="shared" si="1"/>
        <v>113.72531057204618</v>
      </c>
      <c r="H20" s="198">
        <f t="shared" si="3"/>
        <v>-12500909.493000003</v>
      </c>
      <c r="I20" s="199"/>
      <c r="L20" s="190" t="str">
        <f t="shared" si="2"/>
        <v>EXIBIR</v>
      </c>
    </row>
    <row r="21" spans="1:12" ht="10.5" customHeight="1">
      <c r="A21" s="200" t="s">
        <v>34</v>
      </c>
      <c r="B21" s="196">
        <f>'Elaboração RECEITA'!C17</f>
        <v>2453289.2220000001</v>
      </c>
      <c r="C21" s="196">
        <f>'Elaboração RECEITA'!D17</f>
        <v>2453289.2220000001</v>
      </c>
      <c r="D21" s="196">
        <f>'Elaboração RECEITA'!E17</f>
        <v>230465.351</v>
      </c>
      <c r="E21" s="197">
        <f t="shared" si="0"/>
        <v>9.3941370195283067</v>
      </c>
      <c r="F21" s="196">
        <f>'Elaboração RECEITA'!F17</f>
        <v>1955220.004</v>
      </c>
      <c r="G21" s="197">
        <f t="shared" si="1"/>
        <v>79.697900535593675</v>
      </c>
      <c r="H21" s="198">
        <f>C21-F21</f>
        <v>498069.21800000011</v>
      </c>
      <c r="I21" s="199"/>
      <c r="L21" s="190" t="str">
        <f t="shared" si="2"/>
        <v>EXIBIR</v>
      </c>
    </row>
    <row r="22" spans="1:12" ht="10.5" customHeight="1">
      <c r="A22" s="200" t="s">
        <v>35</v>
      </c>
      <c r="B22" s="196">
        <f>'Elaboração RECEITA'!C18</f>
        <v>19944753.103999998</v>
      </c>
      <c r="C22" s="196">
        <f>'Elaboração RECEITA'!D18</f>
        <v>19944753.103999998</v>
      </c>
      <c r="D22" s="196">
        <f>'Elaboração RECEITA'!E18</f>
        <v>8510902.1400000006</v>
      </c>
      <c r="E22" s="197">
        <f t="shared" ref="E22:E27" si="4">IF(C22&lt;&gt;0,(D22/C22)*100,"-")</f>
        <v>42.672386545076392</v>
      </c>
      <c r="F22" s="196">
        <f>'Elaboração RECEITA'!F18</f>
        <v>34392816.486000001</v>
      </c>
      <c r="G22" s="197">
        <f t="shared" ref="G22:G27" si="5">IF(C22&lt;&gt;0,(F22/C22)*100,"-")</f>
        <v>172.44042233394399</v>
      </c>
      <c r="H22" s="198">
        <f t="shared" ref="H22:H27" si="6">C22-F22</f>
        <v>-14448063.382000003</v>
      </c>
      <c r="I22" s="199"/>
      <c r="L22" s="190" t="str">
        <f t="shared" si="2"/>
        <v>EXIBIR</v>
      </c>
    </row>
    <row r="23" spans="1:12" ht="10.5" customHeight="1">
      <c r="A23" s="200" t="s">
        <v>36</v>
      </c>
      <c r="B23" s="196">
        <f>'Elaboração RECEITA'!C19</f>
        <v>3843891.6340000001</v>
      </c>
      <c r="C23" s="196">
        <f>'Elaboração RECEITA'!D19</f>
        <v>3843891.6340000001</v>
      </c>
      <c r="D23" s="196">
        <f>'Elaboração RECEITA'!E19</f>
        <v>414563.81099999999</v>
      </c>
      <c r="E23" s="197">
        <f t="shared" si="4"/>
        <v>10.785002556604331</v>
      </c>
      <c r="F23" s="196">
        <f>'Elaboração RECEITA'!F19</f>
        <v>1380964.541</v>
      </c>
      <c r="G23" s="197">
        <f t="shared" si="5"/>
        <v>35.926208969708952</v>
      </c>
      <c r="H23" s="198">
        <f t="shared" si="6"/>
        <v>2462927.0930000003</v>
      </c>
      <c r="I23" s="199"/>
      <c r="L23" s="190" t="str">
        <f t="shared" si="2"/>
        <v>EXIBIR</v>
      </c>
    </row>
    <row r="24" spans="1:12" ht="10.5" customHeight="1">
      <c r="A24" s="200" t="s">
        <v>37</v>
      </c>
      <c r="B24" s="196">
        <f>'Elaboração RECEITA'!C20</f>
        <v>58718265.567000002</v>
      </c>
      <c r="C24" s="196">
        <f>'Elaboração RECEITA'!D20</f>
        <v>58718265.567000002</v>
      </c>
      <c r="D24" s="196">
        <f>'Elaboração RECEITA'!E20</f>
        <v>5215935.92</v>
      </c>
      <c r="E24" s="197">
        <f t="shared" si="4"/>
        <v>8.8829870392687234</v>
      </c>
      <c r="F24" s="196">
        <f>'Elaboração RECEITA'!F20</f>
        <v>61044511.258000001</v>
      </c>
      <c r="G24" s="197">
        <f t="shared" si="5"/>
        <v>103.96170709154488</v>
      </c>
      <c r="H24" s="198">
        <f t="shared" si="6"/>
        <v>-2326245.6909999996</v>
      </c>
      <c r="I24" s="199"/>
      <c r="L24" s="190" t="str">
        <f t="shared" si="2"/>
        <v>EXIBIR</v>
      </c>
    </row>
    <row r="25" spans="1:12" ht="10.5" customHeight="1">
      <c r="A25" s="200" t="s">
        <v>38</v>
      </c>
      <c r="B25" s="196">
        <f>'Elaboração RECEITA'!C21</f>
        <v>20.855</v>
      </c>
      <c r="C25" s="196">
        <f>'Elaboração RECEITA'!D21</f>
        <v>20.855</v>
      </c>
      <c r="D25" s="196">
        <f>'Elaboração RECEITA'!E21</f>
        <v>0.75</v>
      </c>
      <c r="E25" s="197">
        <f t="shared" si="4"/>
        <v>3.5962598897146965</v>
      </c>
      <c r="F25" s="196">
        <f>'Elaboração RECEITA'!F21</f>
        <v>10.388</v>
      </c>
      <c r="G25" s="197">
        <f t="shared" si="5"/>
        <v>49.810596979141692</v>
      </c>
      <c r="H25" s="198">
        <f t="shared" si="6"/>
        <v>10.467000000000001</v>
      </c>
      <c r="I25" s="199"/>
      <c r="L25" s="190" t="str">
        <f t="shared" si="2"/>
        <v>EXIBIR</v>
      </c>
    </row>
    <row r="26" spans="1:12" ht="10.5" customHeight="1">
      <c r="A26" s="200" t="s">
        <v>39</v>
      </c>
      <c r="B26" s="196">
        <f>'Elaboração RECEITA'!C22</f>
        <v>3732646.4819999998</v>
      </c>
      <c r="C26" s="196">
        <f>'Elaboração RECEITA'!D22</f>
        <v>3732646.4819999998</v>
      </c>
      <c r="D26" s="196">
        <f>'Elaboração RECEITA'!E22</f>
        <v>369464.79499999998</v>
      </c>
      <c r="E26" s="197">
        <f t="shared" si="4"/>
        <v>9.8981994887990581</v>
      </c>
      <c r="F26" s="196">
        <f>'Elaboração RECEITA'!F22</f>
        <v>2908180.8810000001</v>
      </c>
      <c r="G26" s="197">
        <f t="shared" si="5"/>
        <v>77.912036273034886</v>
      </c>
      <c r="H26" s="198">
        <f t="shared" si="6"/>
        <v>824465.60099999979</v>
      </c>
      <c r="I26" s="199"/>
      <c r="L26" s="190" t="str">
        <f t="shared" si="2"/>
        <v>EXIBIR</v>
      </c>
    </row>
    <row r="27" spans="1:12" ht="10.5" customHeight="1">
      <c r="A27" s="200" t="s">
        <v>40</v>
      </c>
      <c r="B27" s="196">
        <f>'Elaboração RECEITA'!C23</f>
        <v>2386379.9580000001</v>
      </c>
      <c r="C27" s="196">
        <f>'Elaboração RECEITA'!D23</f>
        <v>2386379.9580000001</v>
      </c>
      <c r="D27" s="196">
        <f>'Elaboração RECEITA'!E23</f>
        <v>217560.95999999999</v>
      </c>
      <c r="E27" s="197">
        <f t="shared" si="4"/>
        <v>9.1167778739784389</v>
      </c>
      <c r="F27" s="196">
        <f>'Elaboração RECEITA'!F23</f>
        <v>1898452.757</v>
      </c>
      <c r="G27" s="197">
        <f t="shared" si="5"/>
        <v>79.553666658811252</v>
      </c>
      <c r="H27" s="198">
        <f t="shared" si="6"/>
        <v>487927.20100000012</v>
      </c>
      <c r="I27" s="199"/>
      <c r="L27" s="190" t="str">
        <f t="shared" si="2"/>
        <v>EXIBIR</v>
      </c>
    </row>
    <row r="28" spans="1:12" ht="10.5" customHeight="1">
      <c r="A28" s="200" t="s">
        <v>41</v>
      </c>
      <c r="B28" s="196">
        <f>'Elaboração RECEITA'!C24</f>
        <v>23008.38</v>
      </c>
      <c r="C28" s="196">
        <f>'Elaboração RECEITA'!D24</f>
        <v>23008.38</v>
      </c>
      <c r="D28" s="196">
        <f>'Elaboração RECEITA'!E24</f>
        <v>2120.8510000000001</v>
      </c>
      <c r="E28" s="197">
        <f t="shared" ref="E28:E35" si="7">IF(C28&lt;&gt;0,(D28/C28)*100,"-")</f>
        <v>9.2177328434248729</v>
      </c>
      <c r="F28" s="196">
        <f>'Elaboração RECEITA'!F24</f>
        <v>19647.631000000001</v>
      </c>
      <c r="G28" s="197">
        <f>IF(C28&lt;&gt;0,(F28/C28)*100,"-")</f>
        <v>85.39336972007591</v>
      </c>
      <c r="H28" s="198">
        <f t="shared" ref="H28:H34" si="8">C28-F28</f>
        <v>3360.7489999999998</v>
      </c>
      <c r="I28" s="199"/>
      <c r="L28" s="190" t="str">
        <f t="shared" si="2"/>
        <v>EXIBIR</v>
      </c>
    </row>
    <row r="29" spans="1:12" ht="10.5" customHeight="1">
      <c r="A29" s="200" t="s">
        <v>42</v>
      </c>
      <c r="B29" s="196">
        <f>'Elaboração RECEITA'!C25</f>
        <v>2060501.9280000001</v>
      </c>
      <c r="C29" s="196">
        <f>'Elaboração RECEITA'!D25</f>
        <v>2060501.9280000001</v>
      </c>
      <c r="D29" s="196">
        <f>'Elaboração RECEITA'!E25</f>
        <v>212388.96599999999</v>
      </c>
      <c r="E29" s="197">
        <f t="shared" si="7"/>
        <v>10.307632480895206</v>
      </c>
      <c r="F29" s="196">
        <f>'Elaboração RECEITA'!F25</f>
        <v>1328835.297</v>
      </c>
      <c r="G29" s="197">
        <f t="shared" si="1"/>
        <v>64.490854337118591</v>
      </c>
      <c r="H29" s="198">
        <f t="shared" si="8"/>
        <v>731666.63100000005</v>
      </c>
      <c r="I29" s="199"/>
      <c r="L29" s="190" t="str">
        <f t="shared" si="2"/>
        <v>EXIBIR</v>
      </c>
    </row>
    <row r="30" spans="1:12" ht="10.5" customHeight="1">
      <c r="A30" s="200" t="s">
        <v>43</v>
      </c>
      <c r="B30" s="196">
        <f>SUM(B31:B35)</f>
        <v>45670055.241999999</v>
      </c>
      <c r="C30" s="196">
        <f>SUM(C31:C35)</f>
        <v>45670055.241999999</v>
      </c>
      <c r="D30" s="196">
        <f>SUM(D31:D35)</f>
        <v>2905186.5320000001</v>
      </c>
      <c r="E30" s="197">
        <f t="shared" si="7"/>
        <v>6.3612503129365061</v>
      </c>
      <c r="F30" s="196">
        <f>SUM(F31:F35)</f>
        <v>36411703.648999996</v>
      </c>
      <c r="G30" s="197">
        <f t="shared" si="1"/>
        <v>79.72774163740084</v>
      </c>
      <c r="H30" s="198">
        <f t="shared" si="8"/>
        <v>9258351.5930000022</v>
      </c>
      <c r="I30" s="199"/>
      <c r="L30" s="190" t="str">
        <f t="shared" si="2"/>
        <v>EXIBIR</v>
      </c>
    </row>
    <row r="31" spans="1:12" ht="10.5" customHeight="1">
      <c r="A31" s="200" t="s">
        <v>44</v>
      </c>
      <c r="B31" s="196">
        <f>'Elaboração RECEITA'!C27</f>
        <v>3331667.3309999998</v>
      </c>
      <c r="C31" s="196">
        <f>'Elaboração RECEITA'!D27</f>
        <v>3331667.3309999998</v>
      </c>
      <c r="D31" s="196">
        <f>'Elaboração RECEITA'!E27</f>
        <v>463462.54100000003</v>
      </c>
      <c r="E31" s="197">
        <f t="shared" si="7"/>
        <v>13.91082887200781</v>
      </c>
      <c r="F31" s="196">
        <f>'Elaboração RECEITA'!F27</f>
        <v>2818567.46</v>
      </c>
      <c r="G31" s="197">
        <f t="shared" si="1"/>
        <v>84.599306592654528</v>
      </c>
      <c r="H31" s="198">
        <f t="shared" si="8"/>
        <v>513099.87099999981</v>
      </c>
      <c r="I31" s="199"/>
      <c r="L31" s="190" t="str">
        <f t="shared" si="2"/>
        <v>EXIBIR</v>
      </c>
    </row>
    <row r="32" spans="1:12" ht="10.5" customHeight="1">
      <c r="A32" s="200" t="s">
        <v>45</v>
      </c>
      <c r="B32" s="196">
        <f>'Elaboração RECEITA'!C28</f>
        <v>3153330.3829999999</v>
      </c>
      <c r="C32" s="196">
        <f>'Elaboração RECEITA'!D28</f>
        <v>3153330.3829999999</v>
      </c>
      <c r="D32" s="196">
        <f>'Elaboração RECEITA'!E28</f>
        <v>178516.198</v>
      </c>
      <c r="E32" s="197">
        <f t="shared" si="7"/>
        <v>5.6611955081650578</v>
      </c>
      <c r="F32" s="196">
        <f>'Elaboração RECEITA'!F28</f>
        <v>1335703.7890000001</v>
      </c>
      <c r="G32" s="197">
        <f t="shared" si="1"/>
        <v>42.35851074156222</v>
      </c>
      <c r="H32" s="198">
        <f t="shared" si="8"/>
        <v>1817626.5939999998</v>
      </c>
      <c r="I32" s="199"/>
      <c r="L32" s="190" t="str">
        <f t="shared" si="2"/>
        <v>EXIBIR</v>
      </c>
    </row>
    <row r="33" spans="1:12" ht="10.5" customHeight="1">
      <c r="A33" s="200" t="s">
        <v>46</v>
      </c>
      <c r="B33" s="196">
        <f>'Elaboração RECEITA'!C29</f>
        <v>2343884.446</v>
      </c>
      <c r="C33" s="196">
        <f>'Elaboração RECEITA'!D29</f>
        <v>2343884.446</v>
      </c>
      <c r="D33" s="196">
        <f>'Elaboração RECEITA'!E29</f>
        <v>194233.46900000001</v>
      </c>
      <c r="E33" s="197">
        <f t="shared" si="7"/>
        <v>8.2868193153238767</v>
      </c>
      <c r="F33" s="196">
        <f>'Elaboração RECEITA'!F29</f>
        <v>1449762.409</v>
      </c>
      <c r="G33" s="197">
        <f t="shared" si="1"/>
        <v>61.8529813393369</v>
      </c>
      <c r="H33" s="198">
        <f t="shared" si="8"/>
        <v>894122.03700000001</v>
      </c>
      <c r="I33" s="199"/>
      <c r="L33" s="190" t="str">
        <f t="shared" si="2"/>
        <v>EXIBIR</v>
      </c>
    </row>
    <row r="34" spans="1:12" ht="10.5" customHeight="1">
      <c r="A34" s="200" t="s">
        <v>47</v>
      </c>
      <c r="B34" s="196">
        <f>'Elaboração RECEITA'!C30</f>
        <v>36820550.347999997</v>
      </c>
      <c r="C34" s="196">
        <f>'Elaboração RECEITA'!D30</f>
        <v>36820550.347999997</v>
      </c>
      <c r="D34" s="196">
        <f>'Elaboração RECEITA'!E30</f>
        <v>2065055.3430000001</v>
      </c>
      <c r="E34" s="197">
        <f t="shared" si="7"/>
        <v>5.608431496766503</v>
      </c>
      <c r="F34" s="196">
        <f>'Elaboração RECEITA'!F30</f>
        <v>30773524.324999999</v>
      </c>
      <c r="G34" s="197">
        <f t="shared" si="1"/>
        <v>83.577035199506582</v>
      </c>
      <c r="H34" s="198">
        <f t="shared" si="8"/>
        <v>6047026.0229999982</v>
      </c>
      <c r="I34" s="199"/>
      <c r="L34" s="190" t="str">
        <f t="shared" si="2"/>
        <v>EXIBIR</v>
      </c>
    </row>
    <row r="35" spans="1:12" ht="10.5" customHeight="1">
      <c r="A35" s="200" t="s">
        <v>48</v>
      </c>
      <c r="B35" s="196">
        <f>'Elaboração RECEITA'!C31</f>
        <v>20622.734</v>
      </c>
      <c r="C35" s="196">
        <f>'Elaboração RECEITA'!D31</f>
        <v>20622.734</v>
      </c>
      <c r="D35" s="196">
        <f>'Elaboração RECEITA'!E31</f>
        <v>3918.9810000000002</v>
      </c>
      <c r="E35" s="197">
        <f t="shared" si="7"/>
        <v>19.003207819099057</v>
      </c>
      <c r="F35" s="196">
        <f>'Elaboração RECEITA'!F31</f>
        <v>34145.665999999997</v>
      </c>
      <c r="G35" s="197">
        <f t="shared" si="1"/>
        <v>165.57293518890367</v>
      </c>
      <c r="H35" s="198">
        <f>C35-F35</f>
        <v>-13522.931999999997</v>
      </c>
      <c r="I35" s="199"/>
      <c r="L35" s="190" t="str">
        <f t="shared" si="2"/>
        <v>EXIBIR</v>
      </c>
    </row>
    <row r="36" spans="1:12" ht="10.5" customHeight="1">
      <c r="A36" s="200" t="s">
        <v>49</v>
      </c>
      <c r="B36" s="196">
        <f>SUM(B37:B44)</f>
        <v>459747.93300000002</v>
      </c>
      <c r="C36" s="196">
        <f>SUM(C37:C44)</f>
        <v>459747.93300000002</v>
      </c>
      <c r="D36" s="196">
        <f>SUM(D37:D44)</f>
        <v>73458.136999999988</v>
      </c>
      <c r="E36" s="197">
        <f t="shared" ref="E36:E44" si="9">IF(C36&lt;&gt;0,(D36/C36)*100,"-")</f>
        <v>15.977915663625177</v>
      </c>
      <c r="F36" s="196">
        <f>SUM(F37:F44)</f>
        <v>413203.80300000001</v>
      </c>
      <c r="G36" s="197">
        <f t="shared" si="1"/>
        <v>89.876163293158299</v>
      </c>
      <c r="H36" s="198">
        <f>SUM(H37:H44)</f>
        <v>46544.12999999999</v>
      </c>
      <c r="I36" s="199"/>
      <c r="L36" s="190" t="str">
        <f t="shared" si="2"/>
        <v>EXIBIR</v>
      </c>
    </row>
    <row r="37" spans="1:12" ht="10.5" customHeight="1">
      <c r="A37" s="200" t="s">
        <v>50</v>
      </c>
      <c r="B37" s="196">
        <f>'Elaboração RECEITA'!C33</f>
        <v>168314.772</v>
      </c>
      <c r="C37" s="196">
        <f>'Elaboração RECEITA'!D33</f>
        <v>168314.772</v>
      </c>
      <c r="D37" s="196">
        <f>'Elaboração RECEITA'!E33</f>
        <v>45248.09</v>
      </c>
      <c r="E37" s="197">
        <f t="shared" si="9"/>
        <v>26.883017730612497</v>
      </c>
      <c r="F37" s="196">
        <f>'Elaboração RECEITA'!F33</f>
        <v>236521.27</v>
      </c>
      <c r="G37" s="197">
        <f t="shared" ref="G37:G44" si="10">IF(C37&lt;&gt;0,(F37/C37)*100,"-")</f>
        <v>140.52317998565212</v>
      </c>
      <c r="H37" s="198">
        <f t="shared" ref="H37:H43" si="11">C37-F37</f>
        <v>-68206.497999999992</v>
      </c>
      <c r="I37" s="202"/>
      <c r="L37" s="190" t="str">
        <f t="shared" si="2"/>
        <v>EXIBIR</v>
      </c>
    </row>
    <row r="38" spans="1:12" ht="10.5" customHeight="1">
      <c r="A38" s="200" t="s">
        <v>51</v>
      </c>
      <c r="B38" s="196">
        <f>'Elaboração RECEITA'!C34</f>
        <v>27388.898000000001</v>
      </c>
      <c r="C38" s="196">
        <f>'Elaboração RECEITA'!D34</f>
        <v>27388.898000000001</v>
      </c>
      <c r="D38" s="196">
        <f>'Elaboração RECEITA'!E34</f>
        <v>7346.4690000000001</v>
      </c>
      <c r="E38" s="197">
        <f t="shared" si="9"/>
        <v>26.822798785113587</v>
      </c>
      <c r="F38" s="196">
        <f>'Elaboração RECEITA'!F34</f>
        <v>22703.405999999999</v>
      </c>
      <c r="G38" s="197">
        <f t="shared" si="10"/>
        <v>82.892732668543275</v>
      </c>
      <c r="H38" s="198">
        <f t="shared" si="11"/>
        <v>4685.492000000002</v>
      </c>
      <c r="I38" s="202"/>
      <c r="L38" s="190" t="str">
        <f t="shared" si="2"/>
        <v>EXIBIR</v>
      </c>
    </row>
    <row r="39" spans="1:12" ht="10.5" customHeight="1">
      <c r="A39" s="200" t="s">
        <v>52</v>
      </c>
      <c r="B39" s="196">
        <f>'Elaboração RECEITA'!C35</f>
        <v>1459.866</v>
      </c>
      <c r="C39" s="196">
        <f>'Elaboração RECEITA'!D35</f>
        <v>1459.866</v>
      </c>
      <c r="D39" s="196">
        <f>'Elaboração RECEITA'!E35</f>
        <v>1311.665</v>
      </c>
      <c r="E39" s="197">
        <f t="shared" si="9"/>
        <v>89.848314845335125</v>
      </c>
      <c r="F39" s="196">
        <f>'Elaboração RECEITA'!F35</f>
        <v>4161.0829999999996</v>
      </c>
      <c r="G39" s="197">
        <f t="shared" si="10"/>
        <v>285.03184538854936</v>
      </c>
      <c r="H39" s="198">
        <f t="shared" si="11"/>
        <v>-2701.2169999999996</v>
      </c>
      <c r="I39" s="202"/>
      <c r="L39" s="190" t="str">
        <f t="shared" si="2"/>
        <v>EXIBIR</v>
      </c>
    </row>
    <row r="40" spans="1:12" ht="10.5" customHeight="1">
      <c r="A40" s="200" t="s">
        <v>53</v>
      </c>
      <c r="B40" s="196">
        <f>'Elaboração RECEITA'!C36</f>
        <v>254820.14600000001</v>
      </c>
      <c r="C40" s="196">
        <f>'Elaboração RECEITA'!D36</f>
        <v>254820.14600000001</v>
      </c>
      <c r="D40" s="196">
        <f>'Elaboração RECEITA'!E36</f>
        <v>15677.172</v>
      </c>
      <c r="E40" s="197">
        <f t="shared" si="9"/>
        <v>6.1522498303568192</v>
      </c>
      <c r="F40" s="196">
        <f>'Elaboração RECEITA'!F36</f>
        <v>145087.43900000001</v>
      </c>
      <c r="G40" s="197">
        <f t="shared" si="10"/>
        <v>56.937193262576656</v>
      </c>
      <c r="H40" s="198">
        <f t="shared" si="11"/>
        <v>109732.70699999999</v>
      </c>
      <c r="I40" s="202"/>
      <c r="L40" s="190" t="str">
        <f t="shared" si="2"/>
        <v>EXIBIR</v>
      </c>
    </row>
    <row r="41" spans="1:12" s="2" customFormat="1" ht="10.5" hidden="1" customHeight="1">
      <c r="A41" s="13" t="s">
        <v>54</v>
      </c>
      <c r="B41" s="14">
        <f>'Elaboração RECEITA'!C37</f>
        <v>0</v>
      </c>
      <c r="C41" s="14">
        <f>'Elaboração RECEITA'!D37</f>
        <v>0</v>
      </c>
      <c r="D41" s="14">
        <f>'Elaboração RECEITA'!E37</f>
        <v>0</v>
      </c>
      <c r="E41" s="53" t="str">
        <f t="shared" si="9"/>
        <v>-</v>
      </c>
      <c r="F41" s="14">
        <f>'Elaboração RECEITA'!F37</f>
        <v>0</v>
      </c>
      <c r="G41" s="53" t="str">
        <f t="shared" si="10"/>
        <v>-</v>
      </c>
      <c r="H41" s="15">
        <f t="shared" si="11"/>
        <v>0</v>
      </c>
      <c r="I41" s="114"/>
      <c r="L41" s="71" t="str">
        <f t="shared" si="2"/>
        <v>NÃO EXIBIR</v>
      </c>
    </row>
    <row r="42" spans="1:12" ht="10.5" customHeight="1">
      <c r="A42" s="200" t="s">
        <v>55</v>
      </c>
      <c r="B42" s="196">
        <f>'Elaboração RECEITA'!C38</f>
        <v>6500</v>
      </c>
      <c r="C42" s="196">
        <f>'Elaboração RECEITA'!D38</f>
        <v>6500</v>
      </c>
      <c r="D42" s="196">
        <f>'Elaboração RECEITA'!E38</f>
        <v>0</v>
      </c>
      <c r="E42" s="197">
        <f t="shared" si="9"/>
        <v>0</v>
      </c>
      <c r="F42" s="196">
        <f>'Elaboração RECEITA'!F38</f>
        <v>335.36200000000002</v>
      </c>
      <c r="G42" s="197">
        <f t="shared" si="10"/>
        <v>5.159415384615385</v>
      </c>
      <c r="H42" s="198">
        <f t="shared" si="11"/>
        <v>6164.6379999999999</v>
      </c>
      <c r="I42" s="202"/>
      <c r="L42" s="190" t="str">
        <f t="shared" si="2"/>
        <v>EXIBIR</v>
      </c>
    </row>
    <row r="43" spans="1:12" ht="10.5" customHeight="1">
      <c r="A43" s="200" t="s">
        <v>56</v>
      </c>
      <c r="B43" s="196">
        <f>'Elaboração RECEITA'!C39</f>
        <v>1250.365</v>
      </c>
      <c r="C43" s="196">
        <f>'Elaboração RECEITA'!D39</f>
        <v>1250.365</v>
      </c>
      <c r="D43" s="196">
        <f>'Elaboração RECEITA'!E39</f>
        <v>3873.8829999999998</v>
      </c>
      <c r="E43" s="197">
        <f t="shared" si="9"/>
        <v>309.82017250962718</v>
      </c>
      <c r="F43" s="196">
        <f>'Elaboração RECEITA'!F39</f>
        <v>4378.6840000000002</v>
      </c>
      <c r="G43" s="197">
        <f t="shared" si="10"/>
        <v>350.19246380057024</v>
      </c>
      <c r="H43" s="198">
        <f t="shared" si="11"/>
        <v>-3128.3190000000004</v>
      </c>
      <c r="I43" s="202"/>
      <c r="L43" s="190" t="str">
        <f t="shared" si="2"/>
        <v>EXIBIR</v>
      </c>
    </row>
    <row r="44" spans="1:12" ht="10.5" customHeight="1">
      <c r="A44" s="200" t="s">
        <v>57</v>
      </c>
      <c r="B44" s="196">
        <f>'Elaboração RECEITA'!C40</f>
        <v>13.885999999999999</v>
      </c>
      <c r="C44" s="196">
        <f>'Elaboração RECEITA'!D40</f>
        <v>13.885999999999999</v>
      </c>
      <c r="D44" s="196">
        <f>'Elaboração RECEITA'!E40</f>
        <v>0.85799999999999998</v>
      </c>
      <c r="E44" s="197">
        <f t="shared" si="9"/>
        <v>6.1788852081232903</v>
      </c>
      <c r="F44" s="196">
        <f>'Elaboração RECEITA'!F40</f>
        <v>16.559000000000001</v>
      </c>
      <c r="G44" s="197">
        <f t="shared" si="10"/>
        <v>119.24960391761488</v>
      </c>
      <c r="H44" s="198">
        <f>C44-F44</f>
        <v>-2.6730000000000018</v>
      </c>
      <c r="I44" s="203"/>
      <c r="L44" s="190" t="str">
        <f t="shared" si="2"/>
        <v>EXIBIR</v>
      </c>
    </row>
    <row r="45" spans="1:12" ht="10.5" customHeight="1">
      <c r="A45" s="200" t="s">
        <v>58</v>
      </c>
      <c r="B45" s="196">
        <f>SUM(B46:B49)</f>
        <v>19539777.387000002</v>
      </c>
      <c r="C45" s="196">
        <f>SUM(C46:C49)</f>
        <v>19539777.387000002</v>
      </c>
      <c r="D45" s="196">
        <f>SUM(D46:D49)</f>
        <v>2525692.2439999999</v>
      </c>
      <c r="E45" s="197">
        <f t="shared" ref="E45:E73" si="12">IF(C45&lt;&gt;0,(D45/C45)*100,"-")</f>
        <v>12.925900812362206</v>
      </c>
      <c r="F45" s="196">
        <f>SUM(F46:F49)</f>
        <v>37505815.134999998</v>
      </c>
      <c r="G45" s="197">
        <f t="shared" si="1"/>
        <v>191.94596945589038</v>
      </c>
      <c r="H45" s="198">
        <f>SUM(H46:H49)</f>
        <v>-17966037.748000003</v>
      </c>
      <c r="I45" s="199"/>
      <c r="L45" s="190" t="str">
        <f t="shared" si="2"/>
        <v>EXIBIR</v>
      </c>
    </row>
    <row r="46" spans="1:12" ht="10.5" customHeight="1">
      <c r="A46" s="200" t="s">
        <v>59</v>
      </c>
      <c r="B46" s="196">
        <f>'Elaboração RECEITA'!C43</f>
        <v>5475907.0690000001</v>
      </c>
      <c r="C46" s="196">
        <f>'Elaboração RECEITA'!D43</f>
        <v>5475907.0690000001</v>
      </c>
      <c r="D46" s="196">
        <f>'Elaboração RECEITA'!E43</f>
        <v>818934.44099999999</v>
      </c>
      <c r="E46" s="197">
        <f t="shared" si="12"/>
        <v>14.955228981808713</v>
      </c>
      <c r="F46" s="196">
        <f>'Elaboração RECEITA'!F43</f>
        <v>5619646.0839999998</v>
      </c>
      <c r="G46" s="197">
        <f t="shared" si="1"/>
        <v>102.62493525161757</v>
      </c>
      <c r="H46" s="198">
        <f t="shared" ref="H46:H67" si="13">C46-F46</f>
        <v>-143739.01499999966</v>
      </c>
      <c r="I46" s="199"/>
      <c r="L46" s="190" t="str">
        <f t="shared" si="2"/>
        <v>EXIBIR</v>
      </c>
    </row>
    <row r="47" spans="1:12" ht="10.5" customHeight="1">
      <c r="A47" s="200" t="s">
        <v>60</v>
      </c>
      <c r="B47" s="196">
        <f>'Elaboração RECEITA'!C44</f>
        <v>6975980.9170000004</v>
      </c>
      <c r="C47" s="196">
        <f>'Elaboração RECEITA'!D44</f>
        <v>6975980.9170000004</v>
      </c>
      <c r="D47" s="196">
        <f>'Elaboração RECEITA'!E44</f>
        <v>756622.26599999995</v>
      </c>
      <c r="E47" s="197">
        <f t="shared" si="12"/>
        <v>10.846105730538365</v>
      </c>
      <c r="F47" s="196">
        <f>'Elaboração RECEITA'!F44</f>
        <v>20974816.206</v>
      </c>
      <c r="G47" s="197">
        <f t="shared" si="1"/>
        <v>300.67192636501875</v>
      </c>
      <c r="H47" s="198">
        <f t="shared" si="13"/>
        <v>-13998835.289000001</v>
      </c>
      <c r="I47" s="199"/>
      <c r="L47" s="190" t="str">
        <f t="shared" si="2"/>
        <v>EXIBIR</v>
      </c>
    </row>
    <row r="48" spans="1:12" ht="10.5" customHeight="1">
      <c r="A48" s="200" t="s">
        <v>61</v>
      </c>
      <c r="B48" s="196">
        <f>'Elaboração RECEITA'!C45</f>
        <v>1067305.9169999999</v>
      </c>
      <c r="C48" s="196">
        <f>'Elaboração RECEITA'!D45</f>
        <v>1067305.9169999999</v>
      </c>
      <c r="D48" s="196">
        <f>'Elaboração RECEITA'!E45</f>
        <v>101900.173</v>
      </c>
      <c r="E48" s="197">
        <f t="shared" si="12"/>
        <v>9.5474194771094858</v>
      </c>
      <c r="F48" s="196">
        <f>'Elaboração RECEITA'!F45</f>
        <v>1197389.605</v>
      </c>
      <c r="G48" s="197">
        <f>IF(C48&lt;&gt;0,(F48/C48)*100,"-")</f>
        <v>112.18804149101331</v>
      </c>
      <c r="H48" s="198">
        <f t="shared" si="13"/>
        <v>-130083.68800000008</v>
      </c>
      <c r="I48" s="199"/>
      <c r="L48" s="190" t="str">
        <f t="shared" si="2"/>
        <v>EXIBIR</v>
      </c>
    </row>
    <row r="49" spans="1:12" ht="10.5" customHeight="1">
      <c r="A49" s="200" t="s">
        <v>62</v>
      </c>
      <c r="B49" s="196">
        <f>'Elaboração RECEITA'!C46</f>
        <v>6020583.4840000002</v>
      </c>
      <c r="C49" s="196">
        <f>'Elaboração RECEITA'!D46</f>
        <v>6020583.4840000002</v>
      </c>
      <c r="D49" s="196">
        <f>'Elaboração RECEITA'!E46</f>
        <v>848235.36399999994</v>
      </c>
      <c r="E49" s="197">
        <f t="shared" si="12"/>
        <v>14.088922880219625</v>
      </c>
      <c r="F49" s="196">
        <f>'Elaboração RECEITA'!F46</f>
        <v>9713963.2400000002</v>
      </c>
      <c r="G49" s="197">
        <f>IF(C49&lt;&gt;0,(F49/C49)*100,"-")</f>
        <v>161.34587728606937</v>
      </c>
      <c r="H49" s="198">
        <f t="shared" si="13"/>
        <v>-3693379.7560000001</v>
      </c>
      <c r="I49" s="199"/>
      <c r="L49" s="190" t="str">
        <f t="shared" si="2"/>
        <v>EXIBIR</v>
      </c>
    </row>
    <row r="50" spans="1:12" ht="10.5" customHeight="1">
      <c r="A50" s="212" t="s">
        <v>63</v>
      </c>
      <c r="B50" s="213">
        <f>'Elaboração RECEITA'!C41</f>
        <v>0</v>
      </c>
      <c r="C50" s="213">
        <f>'Elaboração RECEITA'!D41</f>
        <v>0</v>
      </c>
      <c r="D50" s="213">
        <f>'Elaboração RECEITA'!E41</f>
        <v>267.97899999999998</v>
      </c>
      <c r="E50" s="214" t="str">
        <f t="shared" si="12"/>
        <v>-</v>
      </c>
      <c r="F50" s="213">
        <f>'Elaboração RECEITA'!F41</f>
        <v>3157.2170000000001</v>
      </c>
      <c r="G50" s="214" t="str">
        <f>IF(C50&lt;&gt;0,(F50/C50)*100,"-")</f>
        <v>-</v>
      </c>
      <c r="H50" s="215">
        <f t="shared" si="13"/>
        <v>-3157.2170000000001</v>
      </c>
      <c r="I50" s="199"/>
      <c r="L50" s="190" t="str">
        <f t="shared" si="2"/>
        <v>EXIBIR</v>
      </c>
    </row>
    <row r="51" spans="1:12" ht="10.5" customHeight="1">
      <c r="A51" s="254" t="s">
        <v>64</v>
      </c>
      <c r="B51" s="255"/>
      <c r="C51" s="255"/>
      <c r="D51" s="255"/>
      <c r="E51" s="256"/>
      <c r="F51" s="255"/>
      <c r="G51" s="256"/>
      <c r="H51" s="257" t="s">
        <v>65</v>
      </c>
      <c r="I51" s="199"/>
      <c r="L51" s="190"/>
    </row>
    <row r="52" spans="1:12" ht="10.5" customHeight="1">
      <c r="A52" s="216"/>
      <c r="B52" s="217"/>
      <c r="C52" s="217"/>
      <c r="D52" s="217"/>
      <c r="E52" s="218"/>
      <c r="F52" s="217"/>
      <c r="G52" s="218"/>
      <c r="H52" s="217"/>
      <c r="I52" s="199"/>
      <c r="L52" s="190"/>
    </row>
    <row r="53" spans="1:12" ht="10.5" customHeight="1">
      <c r="A53" s="216"/>
      <c r="B53" s="217"/>
      <c r="C53" s="217"/>
      <c r="D53" s="217"/>
      <c r="E53" s="218"/>
      <c r="F53" s="217"/>
      <c r="G53" s="218"/>
      <c r="H53" s="217"/>
      <c r="I53" s="199"/>
      <c r="L53" s="190"/>
    </row>
    <row r="54" spans="1:12" ht="10.5" customHeight="1">
      <c r="A54" s="296" t="s">
        <v>0</v>
      </c>
      <c r="B54" s="296"/>
      <c r="C54" s="296"/>
      <c r="D54" s="296"/>
      <c r="E54" s="296"/>
      <c r="F54" s="296"/>
      <c r="G54" s="296"/>
      <c r="H54" s="296"/>
      <c r="I54" s="199"/>
      <c r="L54" s="190"/>
    </row>
    <row r="55" spans="1:12" ht="10.5" customHeight="1">
      <c r="A55" s="296" t="s">
        <v>1</v>
      </c>
      <c r="B55" s="296"/>
      <c r="C55" s="296"/>
      <c r="D55" s="296"/>
      <c r="E55" s="296"/>
      <c r="F55" s="296"/>
      <c r="G55" s="296"/>
      <c r="H55" s="296"/>
      <c r="I55" s="199"/>
      <c r="L55" s="190"/>
    </row>
    <row r="56" spans="1:12" ht="10.5" customHeight="1">
      <c r="A56" s="297" t="s">
        <v>2</v>
      </c>
      <c r="B56" s="297"/>
      <c r="C56" s="297"/>
      <c r="D56" s="297"/>
      <c r="E56" s="297"/>
      <c r="F56" s="297"/>
      <c r="G56" s="297"/>
      <c r="H56" s="297"/>
      <c r="I56" s="199"/>
      <c r="L56" s="190"/>
    </row>
    <row r="57" spans="1:12" ht="10.5" customHeight="1">
      <c r="A57" s="296" t="s">
        <v>3</v>
      </c>
      <c r="B57" s="296"/>
      <c r="C57" s="296"/>
      <c r="D57" s="296"/>
      <c r="E57" s="296"/>
      <c r="F57" s="296"/>
      <c r="G57" s="296"/>
      <c r="H57" s="296"/>
      <c r="I57" s="199"/>
      <c r="L57" s="190"/>
    </row>
    <row r="58" spans="1:12" ht="10.5" customHeight="1">
      <c r="A58" s="295" t="str">
        <f>mes_referencia</f>
        <v>JANEIRO A AGOSTO DE 2021</v>
      </c>
      <c r="B58" s="295"/>
      <c r="C58" s="295"/>
      <c r="D58" s="295"/>
      <c r="E58" s="295"/>
      <c r="F58" s="295"/>
      <c r="G58" s="295"/>
      <c r="H58" s="295"/>
      <c r="I58" s="199"/>
      <c r="L58" s="190"/>
    </row>
    <row r="59" spans="1:12" ht="10.5" customHeight="1">
      <c r="A59" s="244"/>
      <c r="B59" s="244"/>
      <c r="C59" s="244"/>
      <c r="D59" s="244"/>
      <c r="E59" s="244"/>
      <c r="F59" s="244"/>
      <c r="G59" s="244"/>
      <c r="H59" s="244"/>
      <c r="I59" s="199"/>
      <c r="L59" s="190"/>
    </row>
    <row r="60" spans="1:12" ht="10.5" customHeight="1">
      <c r="A60" s="177" t="s">
        <v>4</v>
      </c>
      <c r="B60" s="178"/>
      <c r="C60" s="178"/>
      <c r="D60" s="178"/>
      <c r="E60" s="179"/>
      <c r="F60" s="178"/>
      <c r="G60" s="178"/>
      <c r="H60" s="180" t="s">
        <v>5</v>
      </c>
      <c r="I60" s="199"/>
      <c r="L60" s="190"/>
    </row>
    <row r="61" spans="1:12" ht="10.5" customHeight="1">
      <c r="A61" s="329"/>
      <c r="B61" s="330" t="s">
        <v>6</v>
      </c>
      <c r="C61" s="330" t="s">
        <v>7</v>
      </c>
      <c r="D61" s="292" t="s">
        <v>8</v>
      </c>
      <c r="E61" s="331"/>
      <c r="F61" s="331"/>
      <c r="G61" s="293"/>
      <c r="H61" s="253" t="s">
        <v>9</v>
      </c>
      <c r="I61" s="199"/>
      <c r="L61" s="190"/>
    </row>
    <row r="62" spans="1:12" ht="10.5" customHeight="1">
      <c r="A62" s="181" t="s">
        <v>10</v>
      </c>
      <c r="B62" s="182" t="s">
        <v>11</v>
      </c>
      <c r="C62" s="182" t="s">
        <v>12</v>
      </c>
      <c r="D62" s="183" t="s">
        <v>13</v>
      </c>
      <c r="E62" s="184" t="s">
        <v>14</v>
      </c>
      <c r="F62" s="185" t="s">
        <v>15</v>
      </c>
      <c r="G62" s="186" t="s">
        <v>14</v>
      </c>
      <c r="H62" s="187" t="s">
        <v>16</v>
      </c>
      <c r="I62" s="199"/>
      <c r="L62" s="190"/>
    </row>
    <row r="63" spans="1:12" ht="10.5" customHeight="1">
      <c r="A63" s="191"/>
      <c r="B63" s="192"/>
      <c r="C63" s="192" t="s">
        <v>17</v>
      </c>
      <c r="D63" s="193" t="s">
        <v>18</v>
      </c>
      <c r="E63" s="194" t="s">
        <v>19</v>
      </c>
      <c r="F63" s="193" t="s">
        <v>20</v>
      </c>
      <c r="G63" s="193" t="s">
        <v>21</v>
      </c>
      <c r="H63" s="193" t="s">
        <v>22</v>
      </c>
      <c r="I63" s="199"/>
      <c r="L63" s="190"/>
    </row>
    <row r="64" spans="1:12" ht="10.5" customHeight="1">
      <c r="A64" s="200" t="s">
        <v>66</v>
      </c>
      <c r="B64" s="196">
        <f>SUM(B65,B68,B72,B73,B82,B88)</f>
        <v>913280508.73600006</v>
      </c>
      <c r="C64" s="196">
        <f>SUM(C65,C68,C72,C73,C82,C88)</f>
        <v>913280508.73600006</v>
      </c>
      <c r="D64" s="196">
        <f>SUM(D65,D68,D72,D73,D82,D88)</f>
        <v>19176766.063000001</v>
      </c>
      <c r="E64" s="197">
        <f t="shared" si="12"/>
        <v>2.0997673638673247</v>
      </c>
      <c r="F64" s="196">
        <f>SUM(F65,F68,F72,F73,F82,F88)</f>
        <v>298077672.95099998</v>
      </c>
      <c r="G64" s="197">
        <f t="shared" si="1"/>
        <v>32.638129260367762</v>
      </c>
      <c r="H64" s="198">
        <f t="shared" si="13"/>
        <v>615202835.78500009</v>
      </c>
      <c r="I64" s="204"/>
      <c r="L64" s="190" t="str">
        <f t="shared" si="2"/>
        <v>EXIBIR</v>
      </c>
    </row>
    <row r="65" spans="1:12" ht="10.5" customHeight="1">
      <c r="A65" s="200" t="s">
        <v>67</v>
      </c>
      <c r="B65" s="196">
        <f>SUM(B66,B67)</f>
        <v>828770731.09300005</v>
      </c>
      <c r="C65" s="196">
        <f>SUM(C66,C67)</f>
        <v>828770731.09300005</v>
      </c>
      <c r="D65" s="196">
        <f>SUM(D66,D67)</f>
        <v>1416146.4780000001</v>
      </c>
      <c r="E65" s="197">
        <f t="shared" si="12"/>
        <v>0.17087312870380408</v>
      </c>
      <c r="F65" s="196">
        <f>SUM(F66,F67)</f>
        <v>135626053.053</v>
      </c>
      <c r="G65" s="197">
        <f t="shared" si="1"/>
        <v>16.364725244837441</v>
      </c>
      <c r="H65" s="198">
        <f t="shared" si="13"/>
        <v>693144678.04000008</v>
      </c>
      <c r="I65" s="204"/>
      <c r="L65" s="190" t="str">
        <f t="shared" si="2"/>
        <v>EXIBIR</v>
      </c>
    </row>
    <row r="66" spans="1:12" ht="10.5" customHeight="1">
      <c r="A66" s="200" t="s">
        <v>68</v>
      </c>
      <c r="B66" s="196">
        <f>'Elaboração RECEITA'!C49</f>
        <v>825994152.36500001</v>
      </c>
      <c r="C66" s="196">
        <f>'Elaboração RECEITA'!D49</f>
        <v>825994152.36500001</v>
      </c>
      <c r="D66" s="196">
        <f>'Elaboração RECEITA'!E49</f>
        <v>32561.261999999999</v>
      </c>
      <c r="E66" s="197">
        <f t="shared" si="12"/>
        <v>3.9420693120853284E-3</v>
      </c>
      <c r="F66" s="196">
        <f>'Elaboração RECEITA'!F49</f>
        <v>111257597.836</v>
      </c>
      <c r="G66" s="197">
        <f t="shared" si="1"/>
        <v>13.469538194361959</v>
      </c>
      <c r="H66" s="198">
        <f t="shared" si="13"/>
        <v>714736554.52900004</v>
      </c>
      <c r="I66" s="204"/>
      <c r="L66" s="190" t="str">
        <f t="shared" si="2"/>
        <v>EXIBIR</v>
      </c>
    </row>
    <row r="67" spans="1:12" ht="10.5" customHeight="1">
      <c r="A67" s="200" t="s">
        <v>69</v>
      </c>
      <c r="B67" s="196">
        <f>'Elaboração RECEITA'!C50</f>
        <v>2776578.7280000001</v>
      </c>
      <c r="C67" s="196">
        <f>'Elaboração RECEITA'!D50</f>
        <v>2776578.7280000001</v>
      </c>
      <c r="D67" s="196">
        <f>'Elaboração RECEITA'!E50</f>
        <v>1383585.216</v>
      </c>
      <c r="E67" s="197">
        <f t="shared" si="12"/>
        <v>49.830577539453074</v>
      </c>
      <c r="F67" s="196">
        <f>'Elaboração RECEITA'!F50</f>
        <v>24368455.217</v>
      </c>
      <c r="G67" s="197">
        <f t="shared" si="1"/>
        <v>877.64322946293203</v>
      </c>
      <c r="H67" s="198">
        <f t="shared" si="13"/>
        <v>-21591876.489</v>
      </c>
      <c r="I67" s="204"/>
      <c r="L67" s="190" t="str">
        <f t="shared" si="2"/>
        <v>EXIBIR</v>
      </c>
    </row>
    <row r="68" spans="1:12" ht="10.5" customHeight="1">
      <c r="A68" s="200" t="s">
        <v>70</v>
      </c>
      <c r="B68" s="196">
        <f>SUM(B69:B71)</f>
        <v>1852197.0790000001</v>
      </c>
      <c r="C68" s="196">
        <f>SUM(C69:C71)</f>
        <v>1852197.0790000001</v>
      </c>
      <c r="D68" s="196">
        <f>SUM(D69:D71)</f>
        <v>135297.269</v>
      </c>
      <c r="E68" s="197">
        <f t="shared" si="12"/>
        <v>7.3046907661169032</v>
      </c>
      <c r="F68" s="196">
        <f>SUM(F69:F71)</f>
        <v>8120725.8650000002</v>
      </c>
      <c r="G68" s="197">
        <f t="shared" si="1"/>
        <v>438.43746203208428</v>
      </c>
      <c r="H68" s="198">
        <f>SUM(H69:H71)</f>
        <v>-6268528.7859999994</v>
      </c>
      <c r="I68" s="204"/>
      <c r="L68" s="190" t="str">
        <f t="shared" si="2"/>
        <v>EXIBIR</v>
      </c>
    </row>
    <row r="69" spans="1:12" ht="10.5" customHeight="1">
      <c r="A69" s="200" t="s">
        <v>71</v>
      </c>
      <c r="B69" s="196">
        <f>'Elaboração RECEITA'!C52</f>
        <v>1421244.5530000001</v>
      </c>
      <c r="C69" s="196">
        <f>'Elaboração RECEITA'!D52</f>
        <v>1421244.5530000001</v>
      </c>
      <c r="D69" s="196">
        <f>'Elaboração RECEITA'!E52</f>
        <v>33917.500999999997</v>
      </c>
      <c r="E69" s="197">
        <f t="shared" si="12"/>
        <v>2.3864648014591192</v>
      </c>
      <c r="F69" s="196">
        <f>'Elaboração RECEITA'!F52</f>
        <v>7871589.3049999997</v>
      </c>
      <c r="G69" s="197">
        <f t="shared" si="1"/>
        <v>553.85185388288335</v>
      </c>
      <c r="H69" s="198">
        <f>C69-F69</f>
        <v>-6450344.7519999994</v>
      </c>
      <c r="I69" s="204"/>
      <c r="L69" s="190" t="str">
        <f t="shared" si="2"/>
        <v>EXIBIR</v>
      </c>
    </row>
    <row r="70" spans="1:12" ht="10.5" customHeight="1">
      <c r="A70" s="200" t="s">
        <v>72</v>
      </c>
      <c r="B70" s="196">
        <f>'Elaboração RECEITA'!C53</f>
        <v>430952.52600000001</v>
      </c>
      <c r="C70" s="196">
        <f>'Elaboração RECEITA'!D53</f>
        <v>430952.52600000001</v>
      </c>
      <c r="D70" s="196">
        <f>'Elaboração RECEITA'!E53</f>
        <v>101379.768</v>
      </c>
      <c r="E70" s="197">
        <f t="shared" si="12"/>
        <v>23.524579131948283</v>
      </c>
      <c r="F70" s="196">
        <f>'Elaboração RECEITA'!F53</f>
        <v>241784.70600000001</v>
      </c>
      <c r="G70" s="197">
        <f t="shared" si="1"/>
        <v>56.10471952541706</v>
      </c>
      <c r="H70" s="198">
        <f>C70-F70</f>
        <v>189167.82</v>
      </c>
      <c r="I70" s="204"/>
      <c r="L70" s="190" t="str">
        <f t="shared" si="2"/>
        <v>EXIBIR</v>
      </c>
    </row>
    <row r="71" spans="1:12" ht="10.5" customHeight="1">
      <c r="A71" s="200" t="s">
        <v>73</v>
      </c>
      <c r="B71" s="196">
        <f>'Elaboração RECEITA'!C54</f>
        <v>0</v>
      </c>
      <c r="C71" s="196">
        <f>'Elaboração RECEITA'!D54</f>
        <v>0</v>
      </c>
      <c r="D71" s="196">
        <f>'Elaboração RECEITA'!E54</f>
        <v>0</v>
      </c>
      <c r="E71" s="197" t="str">
        <f t="shared" si="12"/>
        <v>-</v>
      </c>
      <c r="F71" s="196">
        <f>'Elaboração RECEITA'!F54</f>
        <v>7351.8540000000003</v>
      </c>
      <c r="G71" s="197" t="str">
        <f>IF(C71&lt;&gt;0,(F71/C71)*100,"-")</f>
        <v>-</v>
      </c>
      <c r="H71" s="198">
        <f>C71-F71</f>
        <v>-7351.8540000000003</v>
      </c>
      <c r="I71" s="204"/>
      <c r="L71" s="190" t="str">
        <f t="shared" si="2"/>
        <v>EXIBIR</v>
      </c>
    </row>
    <row r="72" spans="1:12" ht="10.5" customHeight="1">
      <c r="A72" s="200" t="s">
        <v>74</v>
      </c>
      <c r="B72" s="196">
        <f>'Elaboração RECEITA'!C55</f>
        <v>40079406.854999997</v>
      </c>
      <c r="C72" s="196">
        <f>'Elaboração RECEITA'!D55</f>
        <v>40079406.854999997</v>
      </c>
      <c r="D72" s="196">
        <f>'Elaboração RECEITA'!E55</f>
        <v>5632897.0499999998</v>
      </c>
      <c r="E72" s="197">
        <f t="shared" si="12"/>
        <v>14.054342346878526</v>
      </c>
      <c r="F72" s="196">
        <f>'Elaboração RECEITA'!F55</f>
        <v>83704059.503000006</v>
      </c>
      <c r="G72" s="197">
        <f t="shared" si="1"/>
        <v>208.84555454082957</v>
      </c>
      <c r="H72" s="198">
        <f>C72-F72</f>
        <v>-43624652.648000009</v>
      </c>
      <c r="I72" s="204"/>
      <c r="L72" s="190" t="str">
        <f t="shared" si="2"/>
        <v>EXIBIR</v>
      </c>
    </row>
    <row r="73" spans="1:12" ht="10.5" customHeight="1">
      <c r="A73" s="200" t="s">
        <v>75</v>
      </c>
      <c r="B73" s="196">
        <f>SUM(B74:B81)</f>
        <v>77970.942999999999</v>
      </c>
      <c r="C73" s="196">
        <f>SUM(C74:C81)</f>
        <v>77970.942999999999</v>
      </c>
      <c r="D73" s="196">
        <f>SUM(D74:D81)</f>
        <v>-657.61300000000006</v>
      </c>
      <c r="E73" s="197">
        <f t="shared" si="12"/>
        <v>-0.84340778076776646</v>
      </c>
      <c r="F73" s="196">
        <f>SUM(F74:F81)</f>
        <v>729.06999999999994</v>
      </c>
      <c r="G73" s="197">
        <f t="shared" si="1"/>
        <v>0.93505345959455677</v>
      </c>
      <c r="H73" s="198">
        <f>C73-F73</f>
        <v>77241.872999999992</v>
      </c>
      <c r="I73" s="204"/>
      <c r="L73" s="190" t="str">
        <f t="shared" si="2"/>
        <v>EXIBIR</v>
      </c>
    </row>
    <row r="74" spans="1:12" ht="10.5" customHeight="1">
      <c r="A74" s="200" t="s">
        <v>50</v>
      </c>
      <c r="B74" s="196">
        <f>'Elaboração RECEITA'!C57</f>
        <v>1600</v>
      </c>
      <c r="C74" s="196">
        <f>'Elaboração RECEITA'!D57</f>
        <v>1600</v>
      </c>
      <c r="D74" s="196">
        <f>'Elaboração RECEITA'!E57</f>
        <v>0</v>
      </c>
      <c r="E74" s="197">
        <f t="shared" ref="E74:E81" si="14">IF(C74&lt;&gt;0,(D74/C74)*100,"-")</f>
        <v>0</v>
      </c>
      <c r="F74" s="196">
        <f>'Elaboração RECEITA'!F57</f>
        <v>0</v>
      </c>
      <c r="G74" s="197">
        <f t="shared" ref="G74:G81" si="15">IF(C74&lt;&gt;0,(F74/C74)*100,"-")</f>
        <v>0</v>
      </c>
      <c r="H74" s="198">
        <f t="shared" ref="H74:H81" si="16">C74-F74</f>
        <v>1600</v>
      </c>
      <c r="I74" s="204"/>
      <c r="L74" s="190" t="str">
        <f t="shared" si="2"/>
        <v>EXIBIR</v>
      </c>
    </row>
    <row r="75" spans="1:12" ht="10.5" customHeight="1">
      <c r="A75" s="200" t="s">
        <v>51</v>
      </c>
      <c r="B75" s="196">
        <f>'Elaboração RECEITA'!C58</f>
        <v>23502.264999999999</v>
      </c>
      <c r="C75" s="196">
        <f>'Elaboração RECEITA'!D58</f>
        <v>23502.264999999999</v>
      </c>
      <c r="D75" s="196">
        <f>'Elaboração RECEITA'!E58</f>
        <v>0</v>
      </c>
      <c r="E75" s="197">
        <f t="shared" si="14"/>
        <v>0</v>
      </c>
      <c r="F75" s="196">
        <f>'Elaboração RECEITA'!F58</f>
        <v>927.78300000000002</v>
      </c>
      <c r="G75" s="197">
        <f t="shared" si="15"/>
        <v>3.9476322813992613</v>
      </c>
      <c r="H75" s="198">
        <f t="shared" si="16"/>
        <v>22574.482</v>
      </c>
      <c r="I75" s="204"/>
      <c r="L75" s="190" t="str">
        <f t="shared" si="2"/>
        <v>EXIBIR</v>
      </c>
    </row>
    <row r="76" spans="1:12" ht="10.5" customHeight="1">
      <c r="A76" s="200" t="s">
        <v>52</v>
      </c>
      <c r="B76" s="196">
        <f>'Elaboração RECEITA'!C59</f>
        <v>22047.714</v>
      </c>
      <c r="C76" s="196">
        <f>'Elaboração RECEITA'!D59</f>
        <v>22047.714</v>
      </c>
      <c r="D76" s="196">
        <f>'Elaboração RECEITA'!E59</f>
        <v>45</v>
      </c>
      <c r="E76" s="197">
        <f t="shared" si="14"/>
        <v>0.20410279269769191</v>
      </c>
      <c r="F76" s="196">
        <f>'Elaboração RECEITA'!F59</f>
        <v>286.60000000000002</v>
      </c>
      <c r="G76" s="197">
        <f t="shared" si="15"/>
        <v>1.2999080086035224</v>
      </c>
      <c r="H76" s="198">
        <f t="shared" si="16"/>
        <v>21761.114000000001</v>
      </c>
      <c r="I76" s="204"/>
      <c r="L76" s="190" t="str">
        <f t="shared" si="2"/>
        <v>EXIBIR</v>
      </c>
    </row>
    <row r="77" spans="1:12" ht="10.5" customHeight="1">
      <c r="A77" s="200" t="s">
        <v>53</v>
      </c>
      <c r="B77" s="196">
        <f>'Elaboração RECEITA'!C60</f>
        <v>29839.723000000002</v>
      </c>
      <c r="C77" s="196">
        <f>'Elaboração RECEITA'!D60</f>
        <v>29839.723000000002</v>
      </c>
      <c r="D77" s="196">
        <f>'Elaboração RECEITA'!E60</f>
        <v>0</v>
      </c>
      <c r="E77" s="197">
        <f t="shared" si="14"/>
        <v>0</v>
      </c>
      <c r="F77" s="196">
        <f>'Elaboração RECEITA'!F60</f>
        <v>217.3</v>
      </c>
      <c r="G77" s="197">
        <f t="shared" si="15"/>
        <v>0.72822391816438781</v>
      </c>
      <c r="H77" s="198">
        <f t="shared" si="16"/>
        <v>29622.423000000003</v>
      </c>
      <c r="I77" s="204"/>
      <c r="L77" s="190" t="str">
        <f t="shared" si="2"/>
        <v>EXIBIR</v>
      </c>
    </row>
    <row r="78" spans="1:12" s="2" customFormat="1" ht="10.5" hidden="1" customHeight="1">
      <c r="A78" s="13" t="s">
        <v>54</v>
      </c>
      <c r="B78" s="14">
        <f>'Elaboração RECEITA'!C61</f>
        <v>0</v>
      </c>
      <c r="C78" s="14">
        <f>'Elaboração RECEITA'!D61</f>
        <v>0</v>
      </c>
      <c r="D78" s="14">
        <f>'Elaboração RECEITA'!E61</f>
        <v>0</v>
      </c>
      <c r="E78" s="53" t="str">
        <f t="shared" si="14"/>
        <v>-</v>
      </c>
      <c r="F78" s="14">
        <f>'Elaboração RECEITA'!F61</f>
        <v>0</v>
      </c>
      <c r="G78" s="53" t="str">
        <f t="shared" si="15"/>
        <v>-</v>
      </c>
      <c r="H78" s="15">
        <f t="shared" si="16"/>
        <v>0</v>
      </c>
      <c r="I78" s="115"/>
      <c r="L78" s="71" t="str">
        <f t="shared" si="2"/>
        <v>NÃO EXIBIR</v>
      </c>
    </row>
    <row r="79" spans="1:12" ht="10.5" customHeight="1">
      <c r="A79" s="200" t="s">
        <v>55</v>
      </c>
      <c r="B79" s="196">
        <f>'Elaboração RECEITA'!C62</f>
        <v>0</v>
      </c>
      <c r="C79" s="196">
        <f>'Elaboração RECEITA'!D62</f>
        <v>0</v>
      </c>
      <c r="D79" s="196">
        <f>'Elaboração RECEITA'!E62</f>
        <v>-702.61300000000006</v>
      </c>
      <c r="E79" s="197" t="str">
        <f t="shared" si="14"/>
        <v>-</v>
      </c>
      <c r="F79" s="196">
        <f>'Elaboração RECEITA'!F62</f>
        <v>-702.61300000000006</v>
      </c>
      <c r="G79" s="197" t="str">
        <f t="shared" si="15"/>
        <v>-</v>
      </c>
      <c r="H79" s="198">
        <f t="shared" si="16"/>
        <v>702.61300000000006</v>
      </c>
      <c r="I79" s="204"/>
      <c r="L79" s="190" t="str">
        <f t="shared" si="2"/>
        <v>EXIBIR</v>
      </c>
    </row>
    <row r="80" spans="1:12" s="2" customFormat="1" ht="10.5" customHeight="1">
      <c r="A80" s="200" t="s">
        <v>56</v>
      </c>
      <c r="B80" s="196">
        <f>'Elaboração RECEITA'!C63</f>
        <v>981.24099999999999</v>
      </c>
      <c r="C80" s="196">
        <f>'Elaboração RECEITA'!D63</f>
        <v>981.24099999999999</v>
      </c>
      <c r="D80" s="196">
        <f>'Elaboração RECEITA'!E63</f>
        <v>0</v>
      </c>
      <c r="E80" s="197">
        <f t="shared" si="14"/>
        <v>0</v>
      </c>
      <c r="F80" s="196">
        <f>'Elaboração RECEITA'!F63</f>
        <v>0</v>
      </c>
      <c r="G80" s="197">
        <f t="shared" si="15"/>
        <v>0</v>
      </c>
      <c r="H80" s="198">
        <f t="shared" si="16"/>
        <v>981.24099999999999</v>
      </c>
      <c r="I80" s="115"/>
      <c r="L80" s="71" t="str">
        <f t="shared" si="2"/>
        <v>EXIBIR</v>
      </c>
    </row>
    <row r="81" spans="1:12" s="2" customFormat="1" ht="10.5" hidden="1" customHeight="1">
      <c r="A81" s="13" t="s">
        <v>57</v>
      </c>
      <c r="B81" s="14">
        <f>'Elaboração RECEITA'!C64</f>
        <v>0</v>
      </c>
      <c r="C81" s="14">
        <f>'Elaboração RECEITA'!D64</f>
        <v>0</v>
      </c>
      <c r="D81" s="14">
        <f>'Elaboração RECEITA'!E64</f>
        <v>0</v>
      </c>
      <c r="E81" s="53" t="str">
        <f t="shared" si="14"/>
        <v>-</v>
      </c>
      <c r="F81" s="14">
        <f>'Elaboração RECEITA'!F64</f>
        <v>0</v>
      </c>
      <c r="G81" s="53" t="str">
        <f t="shared" si="15"/>
        <v>-</v>
      </c>
      <c r="H81" s="15">
        <f t="shared" si="16"/>
        <v>0</v>
      </c>
      <c r="I81" s="115"/>
      <c r="L81" s="71" t="str">
        <f t="shared" si="2"/>
        <v>NÃO EXIBIR</v>
      </c>
    </row>
    <row r="82" spans="1:12" ht="10.5" customHeight="1">
      <c r="A82" s="200" t="s">
        <v>76</v>
      </c>
      <c r="B82" s="196">
        <f>SUM(B83:B88)</f>
        <v>42500202.766000003</v>
      </c>
      <c r="C82" s="196">
        <f>SUM(C83:C87)</f>
        <v>42500202.766000003</v>
      </c>
      <c r="D82" s="196">
        <f>SUM(D83:D87)</f>
        <v>11993082.879000001</v>
      </c>
      <c r="E82" s="197">
        <f t="shared" ref="E82:E88" si="17">IF(C82&lt;&gt;0,(D82/C82)*100,"-")</f>
        <v>28.218883907524368</v>
      </c>
      <c r="F82" s="196">
        <f>SUM(F83:F87)</f>
        <v>70626105.459999993</v>
      </c>
      <c r="G82" s="197">
        <f t="shared" si="1"/>
        <v>166.178278839885</v>
      </c>
      <c r="H82" s="198">
        <f>SUM(H83:H87)</f>
        <v>-28125902.693999991</v>
      </c>
      <c r="I82" s="204"/>
      <c r="L82" s="190" t="str">
        <f t="shared" si="2"/>
        <v>EXIBIR</v>
      </c>
    </row>
    <row r="83" spans="1:12" s="2" customFormat="1" ht="10.5" hidden="1" customHeight="1">
      <c r="A83" s="116" t="s">
        <v>77</v>
      </c>
      <c r="B83" s="14">
        <f>'Elaboração RECEITA'!C66</f>
        <v>0</v>
      </c>
      <c r="C83" s="14">
        <f>'Elaboração RECEITA'!D66</f>
        <v>0</v>
      </c>
      <c r="D83" s="14">
        <f>'Elaboração RECEITA'!E66</f>
        <v>0</v>
      </c>
      <c r="E83" s="53" t="str">
        <f t="shared" si="17"/>
        <v>-</v>
      </c>
      <c r="F83" s="14">
        <f>'Elaboração RECEITA'!F66</f>
        <v>0</v>
      </c>
      <c r="G83" s="53" t="str">
        <f t="shared" si="1"/>
        <v>-</v>
      </c>
      <c r="H83" s="15">
        <f t="shared" ref="H83:H88" si="18">C83-F83</f>
        <v>0</v>
      </c>
      <c r="I83" s="115"/>
      <c r="L83" s="71" t="str">
        <f t="shared" si="2"/>
        <v>NÃO EXIBIR</v>
      </c>
    </row>
    <row r="84" spans="1:12" ht="10.5" hidden="1" customHeight="1">
      <c r="A84" s="200" t="s">
        <v>78</v>
      </c>
      <c r="B84" s="196">
        <f>'Elaboração RECEITA'!C67</f>
        <v>0</v>
      </c>
      <c r="C84" s="196">
        <f>'Elaboração RECEITA'!D67</f>
        <v>0</v>
      </c>
      <c r="D84" s="196">
        <f>'Elaboração RECEITA'!E67</f>
        <v>0</v>
      </c>
      <c r="E84" s="197" t="str">
        <f t="shared" si="17"/>
        <v>-</v>
      </c>
      <c r="F84" s="196">
        <f>'Elaboração RECEITA'!F67</f>
        <v>0</v>
      </c>
      <c r="G84" s="197" t="str">
        <f>IF(C84&lt;&gt;0,(F84/C84)*100,"-")</f>
        <v>-</v>
      </c>
      <c r="H84" s="198">
        <f t="shared" si="18"/>
        <v>0</v>
      </c>
      <c r="I84" s="204"/>
      <c r="L84" s="190" t="str">
        <f t="shared" si="2"/>
        <v>NÃO EXIBIR</v>
      </c>
    </row>
    <row r="85" spans="1:12" ht="10.5" customHeight="1">
      <c r="A85" s="200" t="s">
        <v>79</v>
      </c>
      <c r="B85" s="196">
        <f>'Elaboração RECEITA'!C68</f>
        <v>42500202.766000003</v>
      </c>
      <c r="C85" s="196">
        <f>'Elaboração RECEITA'!D68</f>
        <v>42500202.766000003</v>
      </c>
      <c r="D85" s="196">
        <f>'Elaboração RECEITA'!E68</f>
        <v>11993082.879000001</v>
      </c>
      <c r="E85" s="197">
        <f t="shared" si="17"/>
        <v>28.218883907524368</v>
      </c>
      <c r="F85" s="196">
        <f>'Elaboração RECEITA'!F68</f>
        <v>70626105.459999993</v>
      </c>
      <c r="G85" s="197">
        <f>IF(C85&lt;&gt;0,(F85/C85)*100,"-")</f>
        <v>166.178278839885</v>
      </c>
      <c r="H85" s="198">
        <f t="shared" si="18"/>
        <v>-28125902.693999991</v>
      </c>
      <c r="I85" s="204"/>
      <c r="L85" s="190" t="str">
        <f t="shared" si="2"/>
        <v>EXIBIR</v>
      </c>
    </row>
    <row r="86" spans="1:12" s="2" customFormat="1" ht="10.5" hidden="1" customHeight="1">
      <c r="A86" s="13" t="s">
        <v>80</v>
      </c>
      <c r="B86" s="14">
        <f>'Elaboração RECEITA'!C69</f>
        <v>0</v>
      </c>
      <c r="C86" s="14">
        <f>'Elaboração RECEITA'!D69</f>
        <v>0</v>
      </c>
      <c r="D86" s="14">
        <f>'Elaboração RECEITA'!E69</f>
        <v>0</v>
      </c>
      <c r="E86" s="53" t="str">
        <f t="shared" si="17"/>
        <v>-</v>
      </c>
      <c r="F86" s="14">
        <f>'Elaboração RECEITA'!F69</f>
        <v>0</v>
      </c>
      <c r="G86" s="53" t="str">
        <f>IF(C86&lt;&gt;0,(F86/C86)*100,"-")</f>
        <v>-</v>
      </c>
      <c r="H86" s="15">
        <f t="shared" si="18"/>
        <v>0</v>
      </c>
      <c r="I86" s="115"/>
      <c r="L86" s="71" t="str">
        <f t="shared" si="2"/>
        <v>NÃO EXIBIR</v>
      </c>
    </row>
    <row r="87" spans="1:12" ht="10.5" hidden="1" customHeight="1">
      <c r="A87" s="205" t="s">
        <v>81</v>
      </c>
      <c r="B87" s="196">
        <f>'Elaboração RECEITA'!C70</f>
        <v>0</v>
      </c>
      <c r="C87" s="196">
        <f>'Elaboração RECEITA'!D70</f>
        <v>0</v>
      </c>
      <c r="D87" s="196">
        <f>'Elaboração RECEITA'!E70</f>
        <v>0</v>
      </c>
      <c r="E87" s="197" t="str">
        <f t="shared" si="17"/>
        <v>-</v>
      </c>
      <c r="F87" s="196">
        <f>'Elaboração RECEITA'!F70</f>
        <v>0</v>
      </c>
      <c r="G87" s="197" t="str">
        <f>IF(C87&lt;&gt;0,(F87/C87)*100,"-")</f>
        <v>-</v>
      </c>
      <c r="H87" s="198">
        <f t="shared" si="18"/>
        <v>0</v>
      </c>
      <c r="I87" s="204"/>
      <c r="L87" s="190" t="str">
        <f t="shared" si="2"/>
        <v>NÃO EXIBIR</v>
      </c>
    </row>
    <row r="88" spans="1:12" s="2" customFormat="1" ht="10.5" hidden="1" customHeight="1">
      <c r="A88" s="33" t="s">
        <v>82</v>
      </c>
      <c r="B88" s="117">
        <f>'Elaboração RECEITA'!C71</f>
        <v>0</v>
      </c>
      <c r="C88" s="117">
        <f>'Elaboração RECEITA'!D71</f>
        <v>0</v>
      </c>
      <c r="D88" s="117">
        <f>'Elaboração RECEITA'!E71</f>
        <v>0</v>
      </c>
      <c r="E88" s="54" t="str">
        <f t="shared" si="17"/>
        <v>-</v>
      </c>
      <c r="F88" s="117">
        <f>'Elaboração RECEITA'!F71</f>
        <v>0</v>
      </c>
      <c r="G88" s="54" t="str">
        <f t="shared" si="1"/>
        <v>-</v>
      </c>
      <c r="H88" s="118">
        <f t="shared" si="18"/>
        <v>0</v>
      </c>
      <c r="I88" s="115"/>
      <c r="L88" s="71" t="str">
        <f t="shared" si="2"/>
        <v>NÃO EXIBIR</v>
      </c>
    </row>
    <row r="89" spans="1:12" s="207" customFormat="1" ht="10.5" customHeight="1">
      <c r="A89" s="254" t="s">
        <v>64</v>
      </c>
      <c r="B89" s="255"/>
      <c r="C89" s="255"/>
      <c r="D89" s="255"/>
      <c r="E89" s="258"/>
      <c r="F89" s="255"/>
      <c r="G89" s="259"/>
      <c r="H89" s="257" t="s">
        <v>83</v>
      </c>
      <c r="I89" s="206"/>
      <c r="L89" s="190" t="str">
        <f t="shared" ref="L89:L152" si="19">IFERROR(IF(AND(OR(_xlfn.ISFORMULA(B89),_xlfn.ISFORMULA(D89),_xlfn.ISFORMULA(F89),_xlfn.ISFORMULA(H89)),
SUM(ABS(B89),ABS(C89),ABS(D89),ABS(F89),ABS(H89))=0),
"NÃO EXIBIR", "EXIBIR"
),"EXIBIR")</f>
        <v>EXIBIR</v>
      </c>
    </row>
    <row r="90" spans="1:12" ht="10.5" customHeight="1">
      <c r="A90" s="294"/>
      <c r="B90" s="294"/>
      <c r="C90" s="294"/>
      <c r="D90" s="294"/>
      <c r="E90" s="294"/>
      <c r="F90" s="294"/>
      <c r="G90" s="294"/>
      <c r="H90" s="294"/>
      <c r="I90" s="172"/>
      <c r="L90" s="190" t="str">
        <f t="shared" si="19"/>
        <v>EXIBIR</v>
      </c>
    </row>
    <row r="91" spans="1:12" ht="10.5" customHeight="1">
      <c r="L91" s="190" t="str">
        <f t="shared" si="19"/>
        <v>EXIBIR</v>
      </c>
    </row>
    <row r="92" spans="1:12" ht="10.5" customHeight="1">
      <c r="L92" s="190" t="str">
        <f t="shared" si="19"/>
        <v>EXIBIR</v>
      </c>
    </row>
    <row r="93" spans="1:12" ht="10.5" customHeight="1">
      <c r="L93" s="190" t="str">
        <f t="shared" si="19"/>
        <v>EXIBIR</v>
      </c>
    </row>
    <row r="94" spans="1:12" ht="10.5" customHeight="1">
      <c r="L94" s="190" t="str">
        <f t="shared" si="19"/>
        <v>EXIBIR</v>
      </c>
    </row>
    <row r="95" spans="1:12" ht="10.5" customHeight="1">
      <c r="L95" s="190" t="str">
        <f t="shared" si="19"/>
        <v>EXIBIR</v>
      </c>
    </row>
    <row r="96" spans="1:12" ht="10.5" customHeight="1">
      <c r="L96" s="190" t="str">
        <f t="shared" si="19"/>
        <v>EXIBIR</v>
      </c>
    </row>
    <row r="97" spans="12:12" ht="10.5" customHeight="1">
      <c r="L97" s="190" t="str">
        <f t="shared" si="19"/>
        <v>EXIBIR</v>
      </c>
    </row>
    <row r="98" spans="12:12" ht="10.5" customHeight="1">
      <c r="L98" s="190" t="str">
        <f t="shared" si="19"/>
        <v>EXIBIR</v>
      </c>
    </row>
    <row r="99" spans="12:12" ht="10.5" customHeight="1">
      <c r="L99" s="190" t="str">
        <f t="shared" si="19"/>
        <v>EXIBIR</v>
      </c>
    </row>
    <row r="100" spans="12:12" ht="10.5" customHeight="1">
      <c r="L100" s="190" t="str">
        <f t="shared" si="19"/>
        <v>EXIBIR</v>
      </c>
    </row>
    <row r="101" spans="12:12" ht="10.5" customHeight="1">
      <c r="L101" s="190" t="str">
        <f t="shared" si="19"/>
        <v>EXIBIR</v>
      </c>
    </row>
    <row r="102" spans="12:12" ht="10.5" customHeight="1">
      <c r="L102" s="190" t="str">
        <f t="shared" si="19"/>
        <v>EXIBIR</v>
      </c>
    </row>
    <row r="103" spans="12:12" ht="10.5" customHeight="1">
      <c r="L103" s="190" t="str">
        <f t="shared" si="19"/>
        <v>EXIBIR</v>
      </c>
    </row>
    <row r="104" spans="12:12" ht="10.5" customHeight="1">
      <c r="L104" s="190" t="str">
        <f t="shared" si="19"/>
        <v>EXIBIR</v>
      </c>
    </row>
    <row r="105" spans="12:12" ht="10.5" customHeight="1">
      <c r="L105" s="190" t="str">
        <f t="shared" si="19"/>
        <v>EXIBIR</v>
      </c>
    </row>
    <row r="106" spans="12:12" ht="10.5" customHeight="1">
      <c r="L106" s="190" t="str">
        <f t="shared" si="19"/>
        <v>EXIBIR</v>
      </c>
    </row>
    <row r="107" spans="12:12" ht="10.5" customHeight="1">
      <c r="L107" s="190" t="str">
        <f t="shared" si="19"/>
        <v>EXIBIR</v>
      </c>
    </row>
    <row r="108" spans="12:12" ht="10.5" customHeight="1">
      <c r="L108" s="190" t="str">
        <f t="shared" si="19"/>
        <v>EXIBIR</v>
      </c>
    </row>
    <row r="109" spans="12:12" ht="10.5" customHeight="1">
      <c r="L109" s="190" t="str">
        <f t="shared" si="19"/>
        <v>EXIBIR</v>
      </c>
    </row>
    <row r="110" spans="12:12" ht="10.5" customHeight="1">
      <c r="L110" s="190" t="str">
        <f t="shared" si="19"/>
        <v>EXIBIR</v>
      </c>
    </row>
    <row r="111" spans="12:12" ht="10.5" customHeight="1">
      <c r="L111" s="190" t="str">
        <f t="shared" si="19"/>
        <v>EXIBIR</v>
      </c>
    </row>
    <row r="112" spans="12:12" ht="10.5" customHeight="1">
      <c r="L112" s="190" t="str">
        <f t="shared" si="19"/>
        <v>EXIBIR</v>
      </c>
    </row>
    <row r="113" spans="12:12" ht="10.5" customHeight="1">
      <c r="L113" s="190" t="str">
        <f t="shared" si="19"/>
        <v>EXIBIR</v>
      </c>
    </row>
    <row r="114" spans="12:12" ht="10.5" customHeight="1">
      <c r="L114" s="190" t="str">
        <f t="shared" si="19"/>
        <v>EXIBIR</v>
      </c>
    </row>
    <row r="115" spans="12:12" ht="10.5" customHeight="1">
      <c r="L115" s="190" t="str">
        <f t="shared" si="19"/>
        <v>EXIBIR</v>
      </c>
    </row>
    <row r="116" spans="12:12" ht="10.5" customHeight="1">
      <c r="L116" s="190" t="str">
        <f t="shared" si="19"/>
        <v>EXIBIR</v>
      </c>
    </row>
    <row r="117" spans="12:12" ht="10.5" customHeight="1">
      <c r="L117" s="190" t="str">
        <f t="shared" si="19"/>
        <v>EXIBIR</v>
      </c>
    </row>
    <row r="118" spans="12:12" ht="10.5" customHeight="1">
      <c r="L118" s="190" t="str">
        <f t="shared" si="19"/>
        <v>EXIBIR</v>
      </c>
    </row>
    <row r="119" spans="12:12" ht="10.5" customHeight="1">
      <c r="L119" s="190" t="str">
        <f t="shared" si="19"/>
        <v>EXIBIR</v>
      </c>
    </row>
    <row r="120" spans="12:12" ht="10.5" customHeight="1">
      <c r="L120" s="190" t="str">
        <f t="shared" si="19"/>
        <v>EXIBIR</v>
      </c>
    </row>
    <row r="121" spans="12:12" ht="10.5" customHeight="1">
      <c r="L121" s="190" t="str">
        <f t="shared" si="19"/>
        <v>EXIBIR</v>
      </c>
    </row>
    <row r="122" spans="12:12" ht="10.5" customHeight="1">
      <c r="L122" s="190" t="str">
        <f t="shared" si="19"/>
        <v>EXIBIR</v>
      </c>
    </row>
    <row r="123" spans="12:12" ht="10.5" customHeight="1">
      <c r="L123" s="190" t="str">
        <f t="shared" si="19"/>
        <v>EXIBIR</v>
      </c>
    </row>
    <row r="124" spans="12:12" ht="10.5" customHeight="1">
      <c r="L124" s="190" t="str">
        <f t="shared" si="19"/>
        <v>EXIBIR</v>
      </c>
    </row>
    <row r="125" spans="12:12" ht="10.5" customHeight="1">
      <c r="L125" s="190" t="str">
        <f t="shared" si="19"/>
        <v>EXIBIR</v>
      </c>
    </row>
    <row r="126" spans="12:12" ht="10.5" customHeight="1">
      <c r="L126" s="190" t="str">
        <f t="shared" si="19"/>
        <v>EXIBIR</v>
      </c>
    </row>
    <row r="127" spans="12:12" ht="10.5" customHeight="1">
      <c r="L127" s="190" t="str">
        <f t="shared" si="19"/>
        <v>EXIBIR</v>
      </c>
    </row>
    <row r="128" spans="12:12" ht="10.5" customHeight="1">
      <c r="L128" s="190" t="str">
        <f t="shared" si="19"/>
        <v>EXIBIR</v>
      </c>
    </row>
    <row r="129" spans="12:12" ht="10.5" customHeight="1">
      <c r="L129" s="190" t="str">
        <f t="shared" si="19"/>
        <v>EXIBIR</v>
      </c>
    </row>
    <row r="130" spans="12:12" ht="10.5" customHeight="1">
      <c r="L130" s="190" t="str">
        <f t="shared" si="19"/>
        <v>EXIBIR</v>
      </c>
    </row>
    <row r="131" spans="12:12" ht="10.5" customHeight="1">
      <c r="L131" s="190" t="str">
        <f t="shared" si="19"/>
        <v>EXIBIR</v>
      </c>
    </row>
    <row r="132" spans="12:12" ht="10.5" customHeight="1">
      <c r="L132" s="190" t="str">
        <f t="shared" si="19"/>
        <v>EXIBIR</v>
      </c>
    </row>
    <row r="133" spans="12:12" ht="10.5" customHeight="1">
      <c r="L133" s="190" t="str">
        <f t="shared" si="19"/>
        <v>EXIBIR</v>
      </c>
    </row>
    <row r="134" spans="12:12" ht="10.5" customHeight="1">
      <c r="L134" s="190" t="str">
        <f t="shared" si="19"/>
        <v>EXIBIR</v>
      </c>
    </row>
    <row r="135" spans="12:12" ht="10.5" customHeight="1">
      <c r="L135" s="190" t="str">
        <f t="shared" si="19"/>
        <v>EXIBIR</v>
      </c>
    </row>
    <row r="136" spans="12:12" ht="10.5" customHeight="1">
      <c r="L136" s="190" t="str">
        <f t="shared" si="19"/>
        <v>EXIBIR</v>
      </c>
    </row>
    <row r="137" spans="12:12" ht="10.5" customHeight="1">
      <c r="L137" s="190" t="str">
        <f t="shared" si="19"/>
        <v>EXIBIR</v>
      </c>
    </row>
    <row r="138" spans="12:12" ht="10.5" customHeight="1">
      <c r="L138" s="190" t="str">
        <f t="shared" si="19"/>
        <v>EXIBIR</v>
      </c>
    </row>
    <row r="139" spans="12:12" ht="10.5" customHeight="1">
      <c r="L139" s="190" t="str">
        <f t="shared" si="19"/>
        <v>EXIBIR</v>
      </c>
    </row>
    <row r="140" spans="12:12" ht="10.5" customHeight="1">
      <c r="L140" s="190" t="str">
        <f t="shared" si="19"/>
        <v>EXIBIR</v>
      </c>
    </row>
    <row r="141" spans="12:12" ht="10.5" customHeight="1">
      <c r="L141" s="190" t="str">
        <f t="shared" si="19"/>
        <v>EXIBIR</v>
      </c>
    </row>
    <row r="142" spans="12:12" ht="10.5" customHeight="1">
      <c r="L142" s="190" t="str">
        <f t="shared" si="19"/>
        <v>EXIBIR</v>
      </c>
    </row>
    <row r="143" spans="12:12" ht="10.5" customHeight="1">
      <c r="L143" s="190" t="str">
        <f t="shared" si="19"/>
        <v>EXIBIR</v>
      </c>
    </row>
    <row r="144" spans="12:12" ht="10.5" customHeight="1">
      <c r="L144" s="190" t="str">
        <f t="shared" si="19"/>
        <v>EXIBIR</v>
      </c>
    </row>
    <row r="145" spans="12:12" ht="10.5" customHeight="1">
      <c r="L145" s="190" t="str">
        <f t="shared" si="19"/>
        <v>EXIBIR</v>
      </c>
    </row>
    <row r="146" spans="12:12" ht="10.5" customHeight="1">
      <c r="L146" s="190" t="str">
        <f t="shared" si="19"/>
        <v>EXIBIR</v>
      </c>
    </row>
    <row r="147" spans="12:12" ht="10.5" customHeight="1">
      <c r="L147" s="190" t="str">
        <f t="shared" si="19"/>
        <v>EXIBIR</v>
      </c>
    </row>
    <row r="148" spans="12:12" ht="10.5" customHeight="1">
      <c r="L148" s="190" t="str">
        <f t="shared" si="19"/>
        <v>EXIBIR</v>
      </c>
    </row>
    <row r="149" spans="12:12" ht="10.5" customHeight="1">
      <c r="L149" s="190" t="str">
        <f t="shared" si="19"/>
        <v>EXIBIR</v>
      </c>
    </row>
    <row r="150" spans="12:12" ht="10.5" customHeight="1">
      <c r="L150" s="190" t="str">
        <f t="shared" si="19"/>
        <v>EXIBIR</v>
      </c>
    </row>
    <row r="151" spans="12:12" ht="10.5" customHeight="1">
      <c r="L151" s="190" t="str">
        <f t="shared" si="19"/>
        <v>EXIBIR</v>
      </c>
    </row>
    <row r="152" spans="12:12" ht="10.5" customHeight="1">
      <c r="L152" s="190" t="str">
        <f t="shared" si="19"/>
        <v>EXIBIR</v>
      </c>
    </row>
    <row r="153" spans="12:12" ht="10.5" customHeight="1">
      <c r="L153" s="190" t="str">
        <f t="shared" ref="L153:L213" si="20">IFERROR(IF(AND(OR(_xlfn.ISFORMULA(B153),_xlfn.ISFORMULA(D153),_xlfn.ISFORMULA(F153),_xlfn.ISFORMULA(H153)),
SUM(ABS(B153),ABS(C153),ABS(D153),ABS(F153),ABS(H153))=0),
"NÃO EXIBIR", "EXIBIR"
),"EXIBIR")</f>
        <v>EXIBIR</v>
      </c>
    </row>
    <row r="154" spans="12:12" ht="10.5" customHeight="1">
      <c r="L154" s="190" t="str">
        <f t="shared" si="20"/>
        <v>EXIBIR</v>
      </c>
    </row>
    <row r="155" spans="12:12" ht="10.5" customHeight="1">
      <c r="L155" s="190" t="str">
        <f t="shared" si="20"/>
        <v>EXIBIR</v>
      </c>
    </row>
    <row r="156" spans="12:12" ht="10.5" customHeight="1">
      <c r="L156" s="190" t="str">
        <f t="shared" si="20"/>
        <v>EXIBIR</v>
      </c>
    </row>
    <row r="157" spans="12:12" ht="10.5" customHeight="1">
      <c r="L157" s="190" t="str">
        <f t="shared" si="20"/>
        <v>EXIBIR</v>
      </c>
    </row>
    <row r="158" spans="12:12" ht="10.5" customHeight="1">
      <c r="L158" s="190" t="str">
        <f t="shared" si="20"/>
        <v>EXIBIR</v>
      </c>
    </row>
    <row r="159" spans="12:12" ht="10.5" customHeight="1">
      <c r="L159" s="190" t="str">
        <f t="shared" si="20"/>
        <v>EXIBIR</v>
      </c>
    </row>
    <row r="160" spans="12:12" ht="10.5" customHeight="1">
      <c r="L160" s="190" t="str">
        <f t="shared" si="20"/>
        <v>EXIBIR</v>
      </c>
    </row>
    <row r="161" spans="12:12" ht="10.5" customHeight="1">
      <c r="L161" s="190" t="str">
        <f t="shared" si="20"/>
        <v>EXIBIR</v>
      </c>
    </row>
    <row r="162" spans="12:12" ht="10.5" customHeight="1">
      <c r="L162" s="190" t="str">
        <f t="shared" si="20"/>
        <v>EXIBIR</v>
      </c>
    </row>
    <row r="163" spans="12:12" ht="10.5" customHeight="1">
      <c r="L163" s="190" t="str">
        <f t="shared" si="20"/>
        <v>EXIBIR</v>
      </c>
    </row>
    <row r="164" spans="12:12" ht="10.5" customHeight="1">
      <c r="L164" s="190" t="str">
        <f t="shared" si="20"/>
        <v>EXIBIR</v>
      </c>
    </row>
    <row r="165" spans="12:12" ht="10.5" customHeight="1">
      <c r="L165" s="190" t="str">
        <f t="shared" si="20"/>
        <v>EXIBIR</v>
      </c>
    </row>
    <row r="166" spans="12:12" ht="10.5" customHeight="1">
      <c r="L166" s="190" t="str">
        <f t="shared" si="20"/>
        <v>EXIBIR</v>
      </c>
    </row>
    <row r="167" spans="12:12" ht="10.5" customHeight="1">
      <c r="L167" s="190" t="str">
        <f t="shared" si="20"/>
        <v>EXIBIR</v>
      </c>
    </row>
    <row r="168" spans="12:12" ht="10.5" customHeight="1">
      <c r="L168" s="190" t="str">
        <f t="shared" si="20"/>
        <v>EXIBIR</v>
      </c>
    </row>
    <row r="169" spans="12:12" ht="10.5" customHeight="1">
      <c r="L169" s="190" t="str">
        <f t="shared" si="20"/>
        <v>EXIBIR</v>
      </c>
    </row>
    <row r="170" spans="12:12" ht="10.5" customHeight="1">
      <c r="L170" s="190" t="str">
        <f t="shared" si="20"/>
        <v>EXIBIR</v>
      </c>
    </row>
    <row r="171" spans="12:12" ht="10.5" customHeight="1">
      <c r="L171" s="190" t="str">
        <f t="shared" si="20"/>
        <v>EXIBIR</v>
      </c>
    </row>
    <row r="172" spans="12:12" ht="10.5" customHeight="1">
      <c r="L172" s="190" t="str">
        <f t="shared" si="20"/>
        <v>EXIBIR</v>
      </c>
    </row>
    <row r="173" spans="12:12" ht="10.5" customHeight="1">
      <c r="L173" s="190" t="str">
        <f t="shared" si="20"/>
        <v>EXIBIR</v>
      </c>
    </row>
    <row r="174" spans="12:12" ht="10.5" customHeight="1">
      <c r="L174" s="190" t="str">
        <f t="shared" si="20"/>
        <v>EXIBIR</v>
      </c>
    </row>
    <row r="175" spans="12:12" ht="10.5" customHeight="1">
      <c r="L175" s="190" t="str">
        <f t="shared" si="20"/>
        <v>EXIBIR</v>
      </c>
    </row>
    <row r="176" spans="12:12" ht="10.5" customHeight="1">
      <c r="L176" s="190" t="str">
        <f t="shared" si="20"/>
        <v>EXIBIR</v>
      </c>
    </row>
    <row r="177" spans="12:12" ht="10.5" customHeight="1">
      <c r="L177" s="190" t="str">
        <f t="shared" si="20"/>
        <v>EXIBIR</v>
      </c>
    </row>
    <row r="178" spans="12:12" ht="10.5" customHeight="1">
      <c r="L178" s="190" t="str">
        <f t="shared" si="20"/>
        <v>EXIBIR</v>
      </c>
    </row>
    <row r="179" spans="12:12" ht="10.5" customHeight="1">
      <c r="L179" s="190" t="str">
        <f t="shared" si="20"/>
        <v>EXIBIR</v>
      </c>
    </row>
    <row r="180" spans="12:12" ht="10.5" customHeight="1">
      <c r="L180" s="190" t="str">
        <f t="shared" si="20"/>
        <v>EXIBIR</v>
      </c>
    </row>
    <row r="181" spans="12:12" ht="10.5" customHeight="1">
      <c r="L181" s="190" t="str">
        <f t="shared" si="20"/>
        <v>EXIBIR</v>
      </c>
    </row>
    <row r="182" spans="12:12" ht="10.5" customHeight="1">
      <c r="L182" s="190" t="str">
        <f t="shared" si="20"/>
        <v>EXIBIR</v>
      </c>
    </row>
    <row r="183" spans="12:12" ht="10.5" customHeight="1">
      <c r="L183" s="190" t="str">
        <f t="shared" si="20"/>
        <v>EXIBIR</v>
      </c>
    </row>
    <row r="184" spans="12:12" ht="10.5" customHeight="1">
      <c r="L184" s="190" t="str">
        <f t="shared" si="20"/>
        <v>EXIBIR</v>
      </c>
    </row>
    <row r="185" spans="12:12" ht="10.5" customHeight="1">
      <c r="L185" s="190" t="str">
        <f t="shared" si="20"/>
        <v>EXIBIR</v>
      </c>
    </row>
    <row r="186" spans="12:12" ht="10.5" customHeight="1">
      <c r="L186" s="190" t="str">
        <f t="shared" si="20"/>
        <v>EXIBIR</v>
      </c>
    </row>
    <row r="187" spans="12:12" ht="10.5" customHeight="1">
      <c r="L187" s="190" t="str">
        <f t="shared" si="20"/>
        <v>EXIBIR</v>
      </c>
    </row>
    <row r="188" spans="12:12" ht="10.5" customHeight="1">
      <c r="L188" s="190" t="str">
        <f t="shared" si="20"/>
        <v>EXIBIR</v>
      </c>
    </row>
    <row r="189" spans="12:12" ht="10.5" customHeight="1">
      <c r="L189" s="190" t="str">
        <f t="shared" si="20"/>
        <v>EXIBIR</v>
      </c>
    </row>
    <row r="190" spans="12:12" ht="10.5" customHeight="1">
      <c r="L190" s="190" t="str">
        <f t="shared" si="20"/>
        <v>EXIBIR</v>
      </c>
    </row>
    <row r="191" spans="12:12" ht="10.5" customHeight="1">
      <c r="L191" s="190" t="str">
        <f t="shared" si="20"/>
        <v>EXIBIR</v>
      </c>
    </row>
    <row r="192" spans="12:12" ht="10.5" customHeight="1">
      <c r="L192" s="190" t="str">
        <f t="shared" si="20"/>
        <v>EXIBIR</v>
      </c>
    </row>
    <row r="193" spans="12:12" ht="10.5" customHeight="1">
      <c r="L193" s="190" t="str">
        <f t="shared" si="20"/>
        <v>EXIBIR</v>
      </c>
    </row>
    <row r="194" spans="12:12" ht="10.5" customHeight="1">
      <c r="L194" s="190" t="str">
        <f t="shared" si="20"/>
        <v>EXIBIR</v>
      </c>
    </row>
    <row r="195" spans="12:12" ht="10.5" customHeight="1">
      <c r="L195" s="190" t="str">
        <f t="shared" si="20"/>
        <v>EXIBIR</v>
      </c>
    </row>
    <row r="196" spans="12:12" ht="10.5" customHeight="1">
      <c r="L196" s="190" t="str">
        <f t="shared" si="20"/>
        <v>EXIBIR</v>
      </c>
    </row>
    <row r="197" spans="12:12" ht="10.5" customHeight="1">
      <c r="L197" s="190" t="str">
        <f t="shared" si="20"/>
        <v>EXIBIR</v>
      </c>
    </row>
    <row r="198" spans="12:12" ht="10.5" customHeight="1">
      <c r="L198" s="190" t="str">
        <f t="shared" si="20"/>
        <v>EXIBIR</v>
      </c>
    </row>
    <row r="199" spans="12:12" ht="10.5" customHeight="1">
      <c r="L199" s="190" t="str">
        <f t="shared" si="20"/>
        <v>EXIBIR</v>
      </c>
    </row>
    <row r="200" spans="12:12" ht="10.5" customHeight="1">
      <c r="L200" s="190" t="str">
        <f t="shared" si="20"/>
        <v>EXIBIR</v>
      </c>
    </row>
    <row r="201" spans="12:12" ht="10.5" customHeight="1">
      <c r="L201" s="190" t="str">
        <f t="shared" si="20"/>
        <v>EXIBIR</v>
      </c>
    </row>
    <row r="202" spans="12:12" ht="10.5" customHeight="1">
      <c r="L202" s="190" t="str">
        <f t="shared" si="20"/>
        <v>EXIBIR</v>
      </c>
    </row>
    <row r="203" spans="12:12" ht="10.5" customHeight="1">
      <c r="L203" s="190" t="str">
        <f t="shared" si="20"/>
        <v>EXIBIR</v>
      </c>
    </row>
    <row r="204" spans="12:12" ht="10.5" customHeight="1">
      <c r="L204" s="190" t="str">
        <f t="shared" si="20"/>
        <v>EXIBIR</v>
      </c>
    </row>
    <row r="205" spans="12:12" ht="10.5" customHeight="1">
      <c r="L205" s="190" t="str">
        <f t="shared" si="20"/>
        <v>EXIBIR</v>
      </c>
    </row>
    <row r="206" spans="12:12" ht="10.5" customHeight="1">
      <c r="L206" s="190" t="str">
        <f t="shared" si="20"/>
        <v>EXIBIR</v>
      </c>
    </row>
    <row r="207" spans="12:12" ht="10.5" customHeight="1">
      <c r="L207" s="190" t="str">
        <f t="shared" si="20"/>
        <v>EXIBIR</v>
      </c>
    </row>
    <row r="208" spans="12:12" ht="10.5" customHeight="1">
      <c r="L208" s="190" t="str">
        <f t="shared" si="20"/>
        <v>EXIBIR</v>
      </c>
    </row>
    <row r="209" spans="12:12" ht="10.5" customHeight="1">
      <c r="L209" s="190" t="str">
        <f t="shared" si="20"/>
        <v>EXIBIR</v>
      </c>
    </row>
    <row r="210" spans="12:12" ht="10.5" customHeight="1">
      <c r="L210" s="190" t="str">
        <f t="shared" si="20"/>
        <v>EXIBIR</v>
      </c>
    </row>
    <row r="211" spans="12:12" ht="10.5" customHeight="1">
      <c r="L211" s="190" t="str">
        <f t="shared" si="20"/>
        <v>EXIBIR</v>
      </c>
    </row>
    <row r="212" spans="12:12" ht="10.5" customHeight="1">
      <c r="L212" s="190" t="str">
        <f t="shared" si="20"/>
        <v>EXIBIR</v>
      </c>
    </row>
    <row r="213" spans="12:12" ht="10.5" customHeight="1">
      <c r="L213" s="190" t="str">
        <f t="shared" si="20"/>
        <v>EXIBIR</v>
      </c>
    </row>
  </sheetData>
  <autoFilter ref="L10:L213" xr:uid="{00000000-0009-0000-0000-000000000000}">
    <filterColumn colId="0">
      <customFilters>
        <customFilter operator="notEqual" val="NÃO EXIBIR"/>
      </customFilters>
    </filterColumn>
  </autoFilter>
  <mergeCells count="13">
    <mergeCell ref="D8:G8"/>
    <mergeCell ref="A90:H90"/>
    <mergeCell ref="A5:H5"/>
    <mergeCell ref="A1:H1"/>
    <mergeCell ref="A2:H2"/>
    <mergeCell ref="A3:H3"/>
    <mergeCell ref="A4:H4"/>
    <mergeCell ref="A54:H54"/>
    <mergeCell ref="A55:H55"/>
    <mergeCell ref="A56:H56"/>
    <mergeCell ref="A57:H57"/>
    <mergeCell ref="A58:H58"/>
    <mergeCell ref="D61:G61"/>
  </mergeCells>
  <phoneticPr fontId="0" type="noConversion"/>
  <conditionalFormatting sqref="L11:L213">
    <cfRule type="cellIs" dxfId="54" priority="1" operator="equal">
      <formula>"EXIBIR"</formula>
    </cfRule>
    <cfRule type="cellIs" dxfId="53" priority="2" operator="equal">
      <formula>"NÃO EXIBIR"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ignoredErrors>
    <ignoredError sqref="H82 H45 H16 E20 G20:H20 G11:G18 E11:E18 G29:G30 E29:E30 G45:G47 E45:E47 G64:G70 E64:E70 E82:E83 G82:G83 E88 G88 G72:G73 E72:E73 E36 G36:H36 H68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2"/>
  <dimension ref="A1:D179"/>
  <sheetViews>
    <sheetView workbookViewId="0">
      <selection activeCell="D97" sqref="D33:D97"/>
    </sheetView>
  </sheetViews>
  <sheetFormatPr defaultColWidth="9.140625" defaultRowHeight="12.75"/>
  <cols>
    <col min="1" max="1" width="85" customWidth="1"/>
    <col min="2" max="4" width="22.85546875" customWidth="1"/>
  </cols>
  <sheetData>
    <row r="1" spans="1:4">
      <c r="A1" t="s">
        <v>489</v>
      </c>
    </row>
    <row r="7" spans="1:4" ht="21.75">
      <c r="A7" s="280"/>
      <c r="B7" s="281" t="s">
        <v>348</v>
      </c>
      <c r="C7" s="281" t="s">
        <v>349</v>
      </c>
      <c r="D7" s="281" t="s">
        <v>350</v>
      </c>
    </row>
    <row r="8" spans="1:4">
      <c r="A8" s="282" t="s">
        <v>334</v>
      </c>
      <c r="B8" s="283"/>
      <c r="C8" s="283"/>
      <c r="D8" s="283"/>
    </row>
    <row r="9" spans="1:4">
      <c r="A9" s="284" t="s">
        <v>24</v>
      </c>
      <c r="B9" s="287">
        <f>'Anexo 1 -Até o Mês '!O7</f>
        <v>0</v>
      </c>
      <c r="C9" s="287">
        <f>'Anexo 1 -Até o Mês '!P7</f>
        <v>0</v>
      </c>
      <c r="D9" s="287">
        <f>'Anexo 1 -Até o Mês '!Q7</f>
        <v>0</v>
      </c>
    </row>
    <row r="10" spans="1:4">
      <c r="A10" s="284" t="s">
        <v>159</v>
      </c>
      <c r="B10" s="287">
        <f>'Anexo 1 -Até o Mês '!O8</f>
        <v>0</v>
      </c>
      <c r="C10" s="287">
        <f>'Anexo 1 -Até o Mês '!P8</f>
        <v>0</v>
      </c>
      <c r="D10" s="287">
        <f>'Anexo 1 -Até o Mês '!Q8</f>
        <v>0</v>
      </c>
    </row>
    <row r="11" spans="1:4">
      <c r="A11" s="284" t="s">
        <v>161</v>
      </c>
      <c r="B11" s="287">
        <f>'Anexo 1 -Até o Mês '!O9</f>
        <v>0</v>
      </c>
      <c r="C11" s="287">
        <f>'Anexo 1 -Até o Mês '!P9</f>
        <v>0</v>
      </c>
      <c r="D11" s="287">
        <f>'Anexo 1 -Até o Mês '!Q9</f>
        <v>0</v>
      </c>
    </row>
    <row r="12" spans="1:4">
      <c r="A12" s="284" t="s">
        <v>163</v>
      </c>
      <c r="B12" s="287">
        <f>'Anexo 1 -Até o Mês '!O10</f>
        <v>0</v>
      </c>
      <c r="C12" s="287">
        <f>'Anexo 1 -Até o Mês '!P10</f>
        <v>0</v>
      </c>
      <c r="D12" s="287">
        <f>'Anexo 1 -Até o Mês '!Q10</f>
        <v>0</v>
      </c>
    </row>
    <row r="13" spans="1:4">
      <c r="A13" s="284" t="s">
        <v>164</v>
      </c>
      <c r="B13" s="287">
        <f>'Anexo 1 -Até o Mês '!O11</f>
        <v>0</v>
      </c>
      <c r="C13" s="287">
        <f>'Anexo 1 -Até o Mês '!P11</f>
        <v>0</v>
      </c>
      <c r="D13" s="287">
        <f>'Anexo 1 -Até o Mês '!Q11</f>
        <v>0</v>
      </c>
    </row>
    <row r="14" spans="1:4">
      <c r="A14" s="284" t="s">
        <v>165</v>
      </c>
      <c r="B14" s="287">
        <f>'Anexo 1 -Até o Mês '!O12</f>
        <v>0</v>
      </c>
      <c r="C14" s="287">
        <f>'Anexo 1 -Até o Mês '!P12</f>
        <v>0</v>
      </c>
      <c r="D14" s="287">
        <f>'Anexo 1 -Até o Mês '!Q12</f>
        <v>0</v>
      </c>
    </row>
    <row r="15" spans="1:4">
      <c r="A15" s="284" t="s">
        <v>166</v>
      </c>
      <c r="B15" s="287">
        <f>'Anexo 1 -Até o Mês '!O13</f>
        <v>0</v>
      </c>
      <c r="C15" s="287">
        <f>'Anexo 1 -Até o Mês '!P13</f>
        <v>0</v>
      </c>
      <c r="D15" s="287">
        <f>'Anexo 1 -Até o Mês '!Q13</f>
        <v>0</v>
      </c>
    </row>
    <row r="16" spans="1:4">
      <c r="A16" s="284" t="s">
        <v>167</v>
      </c>
      <c r="B16" s="287">
        <f>'Anexo 1 -Até o Mês '!O14</f>
        <v>0</v>
      </c>
      <c r="C16" s="287">
        <f>'Anexo 1 -Até o Mês '!P14</f>
        <v>0</v>
      </c>
      <c r="D16" s="287">
        <f>'Anexo 1 -Até o Mês '!Q14</f>
        <v>0</v>
      </c>
    </row>
    <row r="17" spans="1:4">
      <c r="A17" s="284" t="s">
        <v>168</v>
      </c>
      <c r="B17" s="287">
        <f>'Anexo 1 -Até o Mês '!O15</f>
        <v>0</v>
      </c>
      <c r="C17" s="287">
        <f>'Anexo 1 -Até o Mês '!P15</f>
        <v>0</v>
      </c>
      <c r="D17" s="287">
        <f>'Anexo 1 -Até o Mês '!Q15</f>
        <v>0</v>
      </c>
    </row>
    <row r="18" spans="1:4">
      <c r="A18" s="284" t="s">
        <v>169</v>
      </c>
      <c r="B18" s="287">
        <f>'Anexo 1 -Até o Mês '!O16</f>
        <v>0</v>
      </c>
      <c r="C18" s="287">
        <f>'Anexo 1 -Até o Mês '!P16</f>
        <v>0</v>
      </c>
      <c r="D18" s="287">
        <f>'Anexo 1 -Até o Mês '!Q16</f>
        <v>0</v>
      </c>
    </row>
    <row r="19" spans="1:4">
      <c r="A19" s="284" t="s">
        <v>170</v>
      </c>
      <c r="B19" s="287">
        <f>'Anexo 1 -Até o Mês '!O17</f>
        <v>0</v>
      </c>
      <c r="C19" s="287">
        <f>'Anexo 1 -Até o Mês '!P17</f>
        <v>0</v>
      </c>
      <c r="D19" s="287">
        <f>'Anexo 1 -Até o Mês '!Q17</f>
        <v>0</v>
      </c>
    </row>
    <row r="20" spans="1:4">
      <c r="A20" s="284" t="s">
        <v>171</v>
      </c>
      <c r="B20" s="287">
        <f>'Anexo 1 -Até o Mês '!O18</f>
        <v>0</v>
      </c>
      <c r="C20" s="287">
        <f>'Anexo 1 -Até o Mês '!P18</f>
        <v>0</v>
      </c>
      <c r="D20" s="287">
        <f>'Anexo 1 -Até o Mês '!Q18</f>
        <v>0</v>
      </c>
    </row>
    <row r="21" spans="1:4">
      <c r="A21" s="284" t="s">
        <v>172</v>
      </c>
      <c r="B21" s="287">
        <f>'Anexo 1 -Até o Mês '!O19</f>
        <v>0</v>
      </c>
      <c r="C21" s="287">
        <f>'Anexo 1 -Até o Mês '!P19</f>
        <v>0</v>
      </c>
      <c r="D21" s="287">
        <f>'Anexo 1 -Até o Mês '!Q19</f>
        <v>0</v>
      </c>
    </row>
    <row r="22" spans="1:4" ht="21">
      <c r="A22" s="284" t="s">
        <v>173</v>
      </c>
      <c r="B22" s="287">
        <f>'Anexo 1 -Até o Mês '!O20</f>
        <v>-2.3841857910156298E-7</v>
      </c>
      <c r="C22" s="287">
        <f>'Anexo 1 -Até o Mês '!P20</f>
        <v>0</v>
      </c>
      <c r="D22" s="287">
        <f>'Anexo 1 -Até o Mês '!Q20</f>
        <v>0</v>
      </c>
    </row>
    <row r="23" spans="1:4">
      <c r="A23" s="284" t="s">
        <v>174</v>
      </c>
      <c r="B23" s="287">
        <f>'Anexo 1 -Até o Mês '!O21</f>
        <v>0</v>
      </c>
      <c r="C23" s="287">
        <f>'Anexo 1 -Até o Mês '!P21</f>
        <v>0</v>
      </c>
      <c r="D23" s="287">
        <f>'Anexo 1 -Até o Mês '!Q21</f>
        <v>0</v>
      </c>
    </row>
    <row r="24" spans="1:4">
      <c r="A24" s="284" t="s">
        <v>175</v>
      </c>
      <c r="B24" s="287">
        <f>'Anexo 1 -Até o Mês '!O22</f>
        <v>0</v>
      </c>
      <c r="C24" s="287">
        <f>'Anexo 1 -Até o Mês '!P22</f>
        <v>0</v>
      </c>
      <c r="D24" s="287">
        <f>'Anexo 1 -Até o Mês '!Q22</f>
        <v>0</v>
      </c>
    </row>
    <row r="25" spans="1:4">
      <c r="A25" s="284" t="s">
        <v>176</v>
      </c>
      <c r="B25" s="287">
        <f>'Anexo 1 -Até o Mês '!O23</f>
        <v>-4.76837158203125E-7</v>
      </c>
      <c r="C25" s="287">
        <f>'Anexo 1 -Até o Mês '!P23</f>
        <v>0</v>
      </c>
      <c r="D25" s="287">
        <f>'Anexo 1 -Até o Mês '!Q23</f>
        <v>0</v>
      </c>
    </row>
    <row r="26" spans="1:4">
      <c r="A26" s="284" t="s">
        <v>178</v>
      </c>
      <c r="B26" s="287">
        <f>'Anexo 1 -Até o Mês '!O24</f>
        <v>-2.3841857910156298E-7</v>
      </c>
      <c r="C26" s="287">
        <f>'Anexo 1 -Até o Mês '!P24</f>
        <v>0</v>
      </c>
      <c r="D26" s="287">
        <f>'Anexo 1 -Até o Mês '!Q24</f>
        <v>0</v>
      </c>
    </row>
    <row r="27" spans="1:4">
      <c r="A27" s="284" t="s">
        <v>179</v>
      </c>
      <c r="B27" s="287">
        <f>'Anexo 1 -Até o Mês '!O25</f>
        <v>0</v>
      </c>
      <c r="C27" s="287">
        <f>'Anexo 1 -Até o Mês '!P25</f>
        <v>0</v>
      </c>
      <c r="D27" s="287">
        <f>'Anexo 1 -Até o Mês '!Q25</f>
        <v>0</v>
      </c>
    </row>
    <row r="28" spans="1:4">
      <c r="A28" s="284" t="s">
        <v>180</v>
      </c>
      <c r="B28" s="287">
        <f>'Anexo 1 -Até o Mês '!O26</f>
        <v>0</v>
      </c>
      <c r="C28" s="287">
        <f>'Anexo 1 -Até o Mês '!P26</f>
        <v>0</v>
      </c>
      <c r="D28" s="287">
        <f>'Anexo 1 -Até o Mês '!Q26</f>
        <v>0</v>
      </c>
    </row>
    <row r="29" spans="1:4">
      <c r="A29" s="284" t="s">
        <v>183</v>
      </c>
      <c r="B29" s="287">
        <f>'Anexo 1 -Até o Mês '!O27</f>
        <v>-7.62939453125E-6</v>
      </c>
      <c r="C29" s="287">
        <f>'Anexo 1 -Até o Mês '!P27</f>
        <v>0</v>
      </c>
      <c r="D29" s="287">
        <f>'Anexo 1 -Até o Mês '!Q27</f>
        <v>0</v>
      </c>
    </row>
    <row r="30" spans="1:4">
      <c r="A30" s="284" t="s">
        <v>184</v>
      </c>
      <c r="B30" s="287">
        <f>'Anexo 1 -Até o Mês '!O28</f>
        <v>0</v>
      </c>
      <c r="C30" s="287">
        <f>'Anexo 1 -Até o Mês '!P28</f>
        <v>0</v>
      </c>
      <c r="D30" s="287">
        <f>'Anexo 1 -Até o Mês '!Q28</f>
        <v>0</v>
      </c>
    </row>
    <row r="31" spans="1:4">
      <c r="A31" s="284" t="s">
        <v>185</v>
      </c>
      <c r="B31" s="287">
        <f>'Anexo 1 -Até o Mês '!O29</f>
        <v>0</v>
      </c>
      <c r="C31" s="287">
        <f>'Anexo 1 -Até o Mês '!P29</f>
        <v>0</v>
      </c>
      <c r="D31" s="287">
        <f>'Anexo 1 -Até o Mês '!Q29</f>
        <v>0</v>
      </c>
    </row>
    <row r="32" spans="1:4">
      <c r="A32" s="284" t="s">
        <v>186</v>
      </c>
      <c r="B32" s="287">
        <f>'Anexo 1 -Até o Mês '!O30</f>
        <v>0</v>
      </c>
      <c r="C32" s="287">
        <f>'Anexo 1 -Até o Mês '!P30</f>
        <v>0</v>
      </c>
      <c r="D32" s="287">
        <f>'Anexo 1 -Até o Mês '!Q30</f>
        <v>0</v>
      </c>
    </row>
    <row r="33" spans="1:4">
      <c r="A33" s="284" t="s">
        <v>187</v>
      </c>
      <c r="B33" s="287">
        <f>'Anexo 1 -Até o Mês '!O31</f>
        <v>0</v>
      </c>
      <c r="C33" s="287">
        <f>'Anexo 1 -Até o Mês '!P31</f>
        <v>0</v>
      </c>
      <c r="D33" s="287">
        <f>'Anexo 1 -Até o Mês '!Q31</f>
        <v>0</v>
      </c>
    </row>
    <row r="34" spans="1:4">
      <c r="A34" s="284" t="s">
        <v>188</v>
      </c>
      <c r="B34" s="287">
        <f>'Anexo 1 -Até o Mês '!O32</f>
        <v>0</v>
      </c>
      <c r="C34" s="287">
        <f>'Anexo 1 -Até o Mês '!P32</f>
        <v>0</v>
      </c>
      <c r="D34" s="287">
        <f>'Anexo 1 -Até o Mês '!Q32</f>
        <v>0</v>
      </c>
    </row>
    <row r="35" spans="1:4">
      <c r="A35" s="284" t="s">
        <v>189</v>
      </c>
      <c r="B35" s="287">
        <f>'Anexo 1 -Até o Mês '!O33</f>
        <v>0</v>
      </c>
      <c r="C35" s="287">
        <f>'Anexo 1 -Até o Mês '!P33</f>
        <v>0</v>
      </c>
      <c r="D35" s="287">
        <f>'Anexo 1 -Até o Mês '!Q33</f>
        <v>0</v>
      </c>
    </row>
    <row r="36" spans="1:4">
      <c r="A36" s="284" t="s">
        <v>190</v>
      </c>
      <c r="B36" s="287">
        <f>'Anexo 1 -Até o Mês '!O34</f>
        <v>-2.9802322387695299E-8</v>
      </c>
      <c r="C36" s="287">
        <f>'Anexo 1 -Até o Mês '!P34</f>
        <v>0</v>
      </c>
      <c r="D36" s="287">
        <f>'Anexo 1 -Até o Mês '!Q34</f>
        <v>0</v>
      </c>
    </row>
    <row r="37" spans="1:4">
      <c r="A37" s="284" t="s">
        <v>191</v>
      </c>
      <c r="B37" s="287">
        <f>'Anexo 1 -Até o Mês '!O35</f>
        <v>0</v>
      </c>
      <c r="C37" s="287">
        <f>'Anexo 1 -Até o Mês '!P35</f>
        <v>0</v>
      </c>
      <c r="D37" s="287">
        <f>'Anexo 1 -Até o Mês '!Q35</f>
        <v>0</v>
      </c>
    </row>
    <row r="38" spans="1:4">
      <c r="A38" s="284" t="s">
        <v>192</v>
      </c>
      <c r="B38" s="287">
        <f>'Anexo 1 -Até o Mês '!O36</f>
        <v>-4.65661287307739E-10</v>
      </c>
      <c r="C38" s="287">
        <f>'Anexo 1 -Até o Mês '!P36</f>
        <v>0</v>
      </c>
      <c r="D38" s="287">
        <f>'Anexo 1 -Até o Mês '!Q36</f>
        <v>0</v>
      </c>
    </row>
    <row r="39" spans="1:4">
      <c r="A39" s="284" t="s">
        <v>193</v>
      </c>
      <c r="B39" s="287">
        <f>'Anexo 1 -Até o Mês '!O37</f>
        <v>0</v>
      </c>
      <c r="C39" s="287">
        <f>'Anexo 1 -Até o Mês '!P37</f>
        <v>0</v>
      </c>
      <c r="D39" s="287">
        <f>'Anexo 1 -Até o Mês '!Q37</f>
        <v>0</v>
      </c>
    </row>
    <row r="40" spans="1:4">
      <c r="A40" s="284" t="s">
        <v>194</v>
      </c>
      <c r="B40" s="287">
        <f>'Anexo 1 -Até o Mês '!O38</f>
        <v>0</v>
      </c>
      <c r="C40" s="287">
        <f>'Anexo 1 -Até o Mês '!P38</f>
        <v>0</v>
      </c>
      <c r="D40" s="287">
        <f>'Anexo 1 -Até o Mês '!Q38</f>
        <v>0</v>
      </c>
    </row>
    <row r="41" spans="1:4">
      <c r="A41" s="284" t="s">
        <v>195</v>
      </c>
      <c r="B41" s="287">
        <f>'Anexo 1 -Até o Mês '!O39</f>
        <v>-5.8207660913467401E-11</v>
      </c>
      <c r="C41" s="287">
        <f>'Anexo 1 -Até o Mês '!P39</f>
        <v>0</v>
      </c>
      <c r="D41" s="287">
        <f>'Anexo 1 -Até o Mês '!Q39</f>
        <v>0</v>
      </c>
    </row>
    <row r="42" spans="1:4">
      <c r="A42" s="284" t="s">
        <v>196</v>
      </c>
      <c r="B42" s="287">
        <f>'Anexo 1 -Até o Mês '!O40</f>
        <v>-9.3132257461547893E-10</v>
      </c>
      <c r="C42" s="287">
        <f>'Anexo 1 -Até o Mês '!P40</f>
        <v>0</v>
      </c>
      <c r="D42" s="287">
        <f>'Anexo 1 -Até o Mês '!Q40</f>
        <v>0</v>
      </c>
    </row>
    <row r="43" spans="1:4">
      <c r="A43" s="284" t="s">
        <v>197</v>
      </c>
      <c r="B43" s="287">
        <f>'Anexo 1 -Até o Mês '!O41</f>
        <v>0</v>
      </c>
      <c r="C43" s="287">
        <f>'Anexo 1 -Até o Mês '!P41</f>
        <v>0</v>
      </c>
      <c r="D43" s="287">
        <f>'Anexo 1 -Até o Mês '!Q41</f>
        <v>0</v>
      </c>
    </row>
    <row r="44" spans="1:4">
      <c r="A44" s="284" t="s">
        <v>199</v>
      </c>
      <c r="B44" s="287">
        <f>'Anexo 1 -Até o Mês '!O42</f>
        <v>-7.62939453125E-6</v>
      </c>
      <c r="C44" s="287">
        <f>'Anexo 1 -Até o Mês '!P42</f>
        <v>0</v>
      </c>
      <c r="D44" s="287">
        <f>'Anexo 1 -Até o Mês '!Q42</f>
        <v>0</v>
      </c>
    </row>
    <row r="45" spans="1:4">
      <c r="A45" s="284" t="s">
        <v>200</v>
      </c>
      <c r="B45" s="287">
        <f>'Anexo 1 -Até o Mês '!O43</f>
        <v>0</v>
      </c>
      <c r="C45" s="287">
        <f>'Anexo 1 -Até o Mês '!P43</f>
        <v>0</v>
      </c>
      <c r="D45" s="287">
        <f>'Anexo 1 -Até o Mês '!Q43</f>
        <v>0</v>
      </c>
    </row>
    <row r="46" spans="1:4">
      <c r="A46" s="284" t="s">
        <v>201</v>
      </c>
      <c r="B46" s="287">
        <f>'Anexo 1 -Até o Mês '!O44</f>
        <v>0</v>
      </c>
      <c r="C46" s="287">
        <f>'Anexo 1 -Até o Mês '!P44</f>
        <v>0</v>
      </c>
      <c r="D46" s="287">
        <f>'Anexo 1 -Até o Mês '!Q44</f>
        <v>0</v>
      </c>
    </row>
    <row r="47" spans="1:4">
      <c r="A47" s="284" t="s">
        <v>202</v>
      </c>
      <c r="B47" s="287">
        <f>'Anexo 1 -Até o Mês '!O45</f>
        <v>0</v>
      </c>
      <c r="C47" s="287">
        <f>'Anexo 1 -Até o Mês '!P45</f>
        <v>0</v>
      </c>
      <c r="D47" s="287">
        <f>'Anexo 1 -Até o Mês '!Q45</f>
        <v>0</v>
      </c>
    </row>
    <row r="48" spans="1:4">
      <c r="A48" s="284" t="s">
        <v>203</v>
      </c>
      <c r="B48" s="287">
        <f>'Anexo 1 -Até o Mês '!O46</f>
        <v>0</v>
      </c>
      <c r="C48" s="287">
        <f>'Anexo 1 -Até o Mês '!P46</f>
        <v>0</v>
      </c>
      <c r="D48" s="287">
        <f>'Anexo 1 -Até o Mês '!Q46</f>
        <v>0</v>
      </c>
    </row>
    <row r="49" spans="1:4">
      <c r="A49" s="284" t="s">
        <v>198</v>
      </c>
      <c r="B49" s="287">
        <f>'Anexo 1 -Até o Mês '!O47</f>
        <v>-4.65661287307739E-10</v>
      </c>
      <c r="C49" s="287">
        <f>'Anexo 1 -Até o Mês '!P47</f>
        <v>0</v>
      </c>
      <c r="D49" s="287">
        <f>'Anexo 1 -Até o Mês '!Q47</f>
        <v>0</v>
      </c>
    </row>
    <row r="50" spans="1:4">
      <c r="A50" s="284" t="s">
        <v>204</v>
      </c>
      <c r="B50" s="287">
        <f>'Anexo 1 -Até o Mês '!O48</f>
        <v>0</v>
      </c>
      <c r="C50" s="287">
        <f>'Anexo 1 -Até o Mês '!P48</f>
        <v>0</v>
      </c>
      <c r="D50" s="287">
        <f>'Anexo 1 -Até o Mês '!Q48</f>
        <v>0</v>
      </c>
    </row>
    <row r="51" spans="1:4">
      <c r="A51" s="284" t="s">
        <v>205</v>
      </c>
      <c r="B51" s="287">
        <f>'Anexo 1 -Até o Mês '!O49</f>
        <v>-1.52587890625E-5</v>
      </c>
      <c r="C51" s="287">
        <f>'Anexo 1 -Até o Mês '!P49</f>
        <v>0</v>
      </c>
      <c r="D51" s="287">
        <f>'Anexo 1 -Até o Mês '!Q49</f>
        <v>0</v>
      </c>
    </row>
    <row r="52" spans="1:4">
      <c r="A52" s="284" t="s">
        <v>206</v>
      </c>
      <c r="B52" s="287">
        <f>'Anexo 1 -Até o Mês '!O50</f>
        <v>0</v>
      </c>
      <c r="C52" s="287">
        <f>'Anexo 1 -Até o Mês '!P50</f>
        <v>0</v>
      </c>
      <c r="D52" s="287">
        <f>'Anexo 1 -Até o Mês '!Q50</f>
        <v>0</v>
      </c>
    </row>
    <row r="53" spans="1:4">
      <c r="A53" s="284" t="s">
        <v>207</v>
      </c>
      <c r="B53" s="287">
        <f>'Anexo 1 -Até o Mês '!O51</f>
        <v>0</v>
      </c>
      <c r="C53" s="287">
        <f>'Anexo 1 -Até o Mês '!P51</f>
        <v>0</v>
      </c>
      <c r="D53" s="287">
        <f>'Anexo 1 -Até o Mês '!Q51</f>
        <v>0</v>
      </c>
    </row>
    <row r="54" spans="1:4">
      <c r="A54" s="284" t="s">
        <v>208</v>
      </c>
      <c r="B54" s="287">
        <f>'Anexo 1 -Até o Mês '!O52</f>
        <v>0</v>
      </c>
      <c r="C54" s="287">
        <f>'Anexo 1 -Até o Mês '!P52</f>
        <v>0</v>
      </c>
      <c r="D54" s="287">
        <f>'Anexo 1 -Até o Mês '!Q52</f>
        <v>0</v>
      </c>
    </row>
    <row r="55" spans="1:4">
      <c r="A55" s="284" t="s">
        <v>209</v>
      </c>
      <c r="B55" s="287">
        <f>'Anexo 1 -Até o Mês '!O53</f>
        <v>0</v>
      </c>
      <c r="C55" s="287">
        <f>'Anexo 1 -Até o Mês '!P53</f>
        <v>0</v>
      </c>
      <c r="D55" s="287">
        <f>'Anexo 1 -Até o Mês '!Q53</f>
        <v>0</v>
      </c>
    </row>
    <row r="56" spans="1:4">
      <c r="A56" s="284" t="s">
        <v>210</v>
      </c>
      <c r="B56" s="287">
        <f>'Anexo 1 -Até o Mês '!O54</f>
        <v>0</v>
      </c>
      <c r="C56" s="287">
        <f>'Anexo 1 -Até o Mês '!P54</f>
        <v>0</v>
      </c>
      <c r="D56" s="287">
        <f>'Anexo 1 -Até o Mês '!Q54</f>
        <v>0</v>
      </c>
    </row>
    <row r="57" spans="1:4">
      <c r="A57" s="284" t="s">
        <v>211</v>
      </c>
      <c r="B57" s="287">
        <f>'Anexo 1 -Até o Mês '!O55</f>
        <v>0</v>
      </c>
      <c r="C57" s="287">
        <f>'Anexo 1 -Até o Mês '!P55</f>
        <v>0</v>
      </c>
      <c r="D57" s="287">
        <f>'Anexo 1 -Até o Mês '!Q55</f>
        <v>0</v>
      </c>
    </row>
    <row r="58" spans="1:4">
      <c r="A58" s="284" t="s">
        <v>212</v>
      </c>
      <c r="B58" s="287">
        <f>'Anexo 1 -Até o Mês '!O56</f>
        <v>0</v>
      </c>
      <c r="C58" s="287">
        <f>'Anexo 1 -Até o Mês '!P56</f>
        <v>0</v>
      </c>
      <c r="D58" s="287">
        <f>'Anexo 1 -Até o Mês '!Q56</f>
        <v>0</v>
      </c>
    </row>
    <row r="59" spans="1:4">
      <c r="A59" s="284" t="s">
        <v>213</v>
      </c>
      <c r="B59" s="287">
        <f>'Anexo 1 -Até o Mês '!O57</f>
        <v>0</v>
      </c>
      <c r="C59" s="287">
        <f>'Anexo 1 -Até o Mês '!P57</f>
        <v>0</v>
      </c>
      <c r="D59" s="287">
        <f>'Anexo 1 -Até o Mês '!Q57</f>
        <v>0</v>
      </c>
    </row>
    <row r="60" spans="1:4">
      <c r="A60" s="284" t="s">
        <v>214</v>
      </c>
      <c r="B60" s="287">
        <f>'Anexo 1 -Até o Mês '!O58</f>
        <v>0</v>
      </c>
      <c r="C60" s="287">
        <f>'Anexo 1 -Até o Mês '!P58</f>
        <v>0</v>
      </c>
      <c r="D60" s="287">
        <f>'Anexo 1 -Até o Mês '!Q58</f>
        <v>0</v>
      </c>
    </row>
    <row r="61" spans="1:4">
      <c r="A61" s="284" t="s">
        <v>353</v>
      </c>
      <c r="B61" s="287">
        <f>'Anexo 1 -Até o Mês '!O59</f>
        <v>0</v>
      </c>
      <c r="C61" s="287">
        <f>'Anexo 1 -Até o Mês '!P59</f>
        <v>0</v>
      </c>
      <c r="D61" s="287">
        <f>'Anexo 1 -Até o Mês '!Q59</f>
        <v>0</v>
      </c>
    </row>
    <row r="62" spans="1:4">
      <c r="A62" s="284" t="s">
        <v>216</v>
      </c>
      <c r="B62" s="287">
        <f>'Anexo 1 -Até o Mês '!O60</f>
        <v>0</v>
      </c>
      <c r="C62" s="287">
        <f>'Anexo 1 -Até o Mês '!P60</f>
        <v>0</v>
      </c>
      <c r="D62" s="287">
        <f>'Anexo 1 -Até o Mês '!Q60</f>
        <v>0</v>
      </c>
    </row>
    <row r="63" spans="1:4">
      <c r="A63" s="284" t="s">
        <v>217</v>
      </c>
      <c r="B63" s="287">
        <f>'Anexo 1 -Até o Mês '!O61</f>
        <v>0</v>
      </c>
      <c r="C63" s="287">
        <f>'Anexo 1 -Até o Mês '!P61</f>
        <v>0</v>
      </c>
      <c r="D63" s="287">
        <f>'Anexo 1 -Até o Mês '!Q61</f>
        <v>0</v>
      </c>
    </row>
    <row r="64" spans="1:4">
      <c r="A64" s="284" t="s">
        <v>218</v>
      </c>
      <c r="B64" s="287">
        <f>'Anexo 1 -Até o Mês '!O62</f>
        <v>0</v>
      </c>
      <c r="C64" s="287">
        <f>'Anexo 1 -Até o Mês '!P62</f>
        <v>0</v>
      </c>
      <c r="D64" s="287">
        <f>'Anexo 1 -Até o Mês '!Q62</f>
        <v>0</v>
      </c>
    </row>
    <row r="65" spans="1:4">
      <c r="A65" s="284" t="s">
        <v>219</v>
      </c>
      <c r="B65" s="287">
        <f>'Anexo 1 -Até o Mês '!O63</f>
        <v>1.16415321826935E-10</v>
      </c>
      <c r="C65" s="287">
        <f>'Anexo 1 -Até o Mês '!P63</f>
        <v>0</v>
      </c>
      <c r="D65" s="287">
        <f>'Anexo 1 -Até o Mês '!Q63</f>
        <v>0</v>
      </c>
    </row>
    <row r="66" spans="1:4">
      <c r="A66" s="284" t="s">
        <v>219</v>
      </c>
      <c r="B66" s="287">
        <f>'Anexo 1 -Até o Mês '!O64</f>
        <v>0</v>
      </c>
      <c r="C66" s="287">
        <f>'Anexo 1 -Até o Mês '!P64</f>
        <v>0</v>
      </c>
      <c r="D66" s="287">
        <f>'Anexo 1 -Até o Mês '!Q64</f>
        <v>0</v>
      </c>
    </row>
    <row r="67" spans="1:4">
      <c r="A67" s="284" t="s">
        <v>221</v>
      </c>
      <c r="B67" s="287">
        <f>'Anexo 1 -Até o Mês '!O65</f>
        <v>0</v>
      </c>
      <c r="C67" s="287">
        <f>'Anexo 1 -Até o Mês '!P65</f>
        <v>0</v>
      </c>
      <c r="D67" s="287">
        <f>'Anexo 1 -Até o Mês '!Q65</f>
        <v>0</v>
      </c>
    </row>
    <row r="68" spans="1:4">
      <c r="A68" s="284" t="s">
        <v>222</v>
      </c>
      <c r="B68" s="287">
        <f>'Anexo 1 -Até o Mês '!O66</f>
        <v>0</v>
      </c>
      <c r="C68" s="287">
        <f>'Anexo 1 -Até o Mês '!P66</f>
        <v>0</v>
      </c>
      <c r="D68" s="287">
        <f>'Anexo 1 -Até o Mês '!Q66</f>
        <v>0</v>
      </c>
    </row>
    <row r="69" spans="1:4">
      <c r="A69" s="284" t="s">
        <v>354</v>
      </c>
      <c r="B69" s="287">
        <f>'Anexo 1 -Até o Mês '!O67</f>
        <v>0</v>
      </c>
      <c r="C69" s="287">
        <f>'Anexo 1 -Até o Mês '!P67</f>
        <v>0</v>
      </c>
      <c r="D69" s="287">
        <f>'Anexo 1 -Até o Mês '!Q67</f>
        <v>0</v>
      </c>
    </row>
    <row r="70" spans="1:4">
      <c r="A70" s="284" t="s">
        <v>224</v>
      </c>
      <c r="B70" s="287">
        <f>'Anexo 1 -Até o Mês '!O68</f>
        <v>0</v>
      </c>
      <c r="C70" s="287">
        <f>'Anexo 1 -Até o Mês '!P68</f>
        <v>0</v>
      </c>
      <c r="D70" s="287">
        <f>'Anexo 1 -Até o Mês '!Q68</f>
        <v>0</v>
      </c>
    </row>
    <row r="71" spans="1:4">
      <c r="A71" s="284" t="s">
        <v>225</v>
      </c>
      <c r="B71" s="287">
        <f>'Anexo 1 -Até o Mês '!O69</f>
        <v>0</v>
      </c>
      <c r="C71" s="287">
        <f>'Anexo 1 -Até o Mês '!P69</f>
        <v>0</v>
      </c>
      <c r="D71" s="287">
        <f>'Anexo 1 -Até o Mês '!Q69</f>
        <v>0</v>
      </c>
    </row>
    <row r="72" spans="1:4">
      <c r="A72" s="284" t="s">
        <v>226</v>
      </c>
      <c r="B72" s="287">
        <f>'Anexo 1 -Até o Mês '!O70</f>
        <v>0</v>
      </c>
      <c r="C72" s="287">
        <f>'Anexo 1 -Até o Mês '!P70</f>
        <v>0</v>
      </c>
      <c r="D72" s="287">
        <f>'Anexo 1 -Até o Mês '!Q70</f>
        <v>0</v>
      </c>
    </row>
    <row r="73" spans="1:4">
      <c r="A73" s="284" t="s">
        <v>227</v>
      </c>
      <c r="B73" s="287">
        <f>'Anexo 1 -Até o Mês '!O71</f>
        <v>0</v>
      </c>
      <c r="C73" s="287">
        <f>'Anexo 1 -Até o Mês '!P71</f>
        <v>0</v>
      </c>
      <c r="D73" s="287">
        <f>'Anexo 1 -Até o Mês '!Q71</f>
        <v>0</v>
      </c>
    </row>
    <row r="74" spans="1:4">
      <c r="A74" s="284" t="s">
        <v>228</v>
      </c>
      <c r="B74" s="287">
        <f>'Anexo 1 -Até o Mês '!O72</f>
        <v>0</v>
      </c>
      <c r="C74" s="287">
        <f>'Anexo 1 -Até o Mês '!P72</f>
        <v>0</v>
      </c>
      <c r="D74" s="287">
        <f>'Anexo 1 -Até o Mês '!Q72</f>
        <v>0</v>
      </c>
    </row>
    <row r="75" spans="1:4">
      <c r="A75" s="284" t="s">
        <v>85</v>
      </c>
      <c r="B75" s="287">
        <f>'Anexo 1 -Até o Mês '!O73</f>
        <v>0</v>
      </c>
      <c r="C75" s="287">
        <f>'Anexo 1 -Até o Mês '!P73</f>
        <v>0</v>
      </c>
      <c r="D75" s="287">
        <f>'Anexo 1 -Até o Mês '!Q73</f>
        <v>0</v>
      </c>
    </row>
    <row r="76" spans="1:4">
      <c r="A76" s="284" t="s">
        <v>229</v>
      </c>
      <c r="B76" s="287">
        <f>'Anexo 1 -Até o Mês '!O74</f>
        <v>0</v>
      </c>
      <c r="C76" s="287">
        <f>'Anexo 1 -Até o Mês '!P74</f>
        <v>0</v>
      </c>
      <c r="D76" s="287">
        <f>'Anexo 1 -Até o Mês '!Q74</f>
        <v>0</v>
      </c>
    </row>
    <row r="77" spans="1:4">
      <c r="A77" s="284" t="s">
        <v>230</v>
      </c>
      <c r="B77" s="287">
        <f>'Anexo 1 -Até o Mês '!O75</f>
        <v>0</v>
      </c>
      <c r="C77" s="287">
        <f>'Anexo 1 -Até o Mês '!P75</f>
        <v>0</v>
      </c>
      <c r="D77" s="287">
        <f>'Anexo 1 -Até o Mês '!Q75</f>
        <v>0</v>
      </c>
    </row>
    <row r="78" spans="1:4">
      <c r="A78" s="284" t="s">
        <v>231</v>
      </c>
      <c r="B78" s="287">
        <f>'Anexo 1 -Até o Mês '!O76</f>
        <v>0</v>
      </c>
      <c r="C78" s="287">
        <f>'Anexo 1 -Até o Mês '!P76</f>
        <v>0</v>
      </c>
      <c r="D78" s="287">
        <f>'Anexo 1 -Até o Mês '!Q76</f>
        <v>0</v>
      </c>
    </row>
    <row r="79" spans="1:4">
      <c r="A79" s="284" t="s">
        <v>232</v>
      </c>
      <c r="B79" s="287">
        <f>'Anexo 1 -Até o Mês '!O77</f>
        <v>-4.65661287307739E-10</v>
      </c>
      <c r="C79" s="287">
        <f>'Anexo 1 -Até o Mês '!P77</f>
        <v>0</v>
      </c>
      <c r="D79" s="287">
        <f>'Anexo 1 -Até o Mês '!Q77</f>
        <v>0</v>
      </c>
    </row>
    <row r="80" spans="1:4">
      <c r="A80" s="284" t="s">
        <v>233</v>
      </c>
      <c r="B80" s="287">
        <f>'Anexo 1 -Até o Mês '!O78</f>
        <v>0</v>
      </c>
      <c r="C80" s="287">
        <f>'Anexo 1 -Até o Mês '!P78</f>
        <v>0</v>
      </c>
      <c r="D80" s="287">
        <f>'Anexo 1 -Até o Mês '!Q78</f>
        <v>0</v>
      </c>
    </row>
    <row r="81" spans="1:4">
      <c r="A81" s="284" t="s">
        <v>234</v>
      </c>
      <c r="B81" s="287">
        <f>'Anexo 1 -Até o Mês '!O79</f>
        <v>0</v>
      </c>
      <c r="C81" s="287">
        <f>'Anexo 1 -Até o Mês '!P79</f>
        <v>0</v>
      </c>
      <c r="D81" s="287">
        <f>'Anexo 1 -Até o Mês '!Q79</f>
        <v>0</v>
      </c>
    </row>
    <row r="82" spans="1:4">
      <c r="A82" s="284" t="s">
        <v>235</v>
      </c>
      <c r="B82" s="287">
        <f>'Anexo 1 -Até o Mês '!O80</f>
        <v>0</v>
      </c>
      <c r="C82" s="287">
        <f>'Anexo 1 -Até o Mês '!P80</f>
        <v>0</v>
      </c>
      <c r="D82" s="287">
        <f>'Anexo 1 -Até o Mês '!Q80</f>
        <v>0</v>
      </c>
    </row>
    <row r="83" spans="1:4" ht="21">
      <c r="A83" s="284" t="s">
        <v>236</v>
      </c>
      <c r="B83" s="287">
        <f>'Anexo 1 -Até o Mês '!O81</f>
        <v>0</v>
      </c>
      <c r="C83" s="287">
        <f>'Anexo 1 -Até o Mês '!P81</f>
        <v>0</v>
      </c>
      <c r="D83" s="287">
        <f>'Anexo 1 -Até o Mês '!Q81</f>
        <v>0</v>
      </c>
    </row>
    <row r="84" spans="1:4">
      <c r="A84" s="284" t="s">
        <v>237</v>
      </c>
      <c r="B84" s="287">
        <f>'Anexo 1 -Até o Mês '!O82</f>
        <v>0</v>
      </c>
      <c r="C84" s="287">
        <f>'Anexo 1 -Até o Mês '!P82</f>
        <v>0</v>
      </c>
      <c r="D84" s="287">
        <f>'Anexo 1 -Até o Mês '!Q82</f>
        <v>0</v>
      </c>
    </row>
    <row r="85" spans="1:4">
      <c r="A85" s="284" t="s">
        <v>238</v>
      </c>
      <c r="B85" s="287">
        <f>'Anexo 1 -Até o Mês '!O83</f>
        <v>0</v>
      </c>
      <c r="C85" s="287">
        <f>'Anexo 1 -Até o Mês '!P83</f>
        <v>0</v>
      </c>
      <c r="D85" s="287">
        <f>'Anexo 1 -Até o Mês '!Q83</f>
        <v>0</v>
      </c>
    </row>
    <row r="86" spans="1:4">
      <c r="A86" s="284" t="s">
        <v>239</v>
      </c>
      <c r="B86" s="287">
        <f>'Anexo 1 -Até o Mês '!O84</f>
        <v>0</v>
      </c>
      <c r="C86" s="287">
        <f>'Anexo 1 -Até o Mês '!P84</f>
        <v>0</v>
      </c>
      <c r="D86" s="287">
        <f>'Anexo 1 -Até o Mês '!Q84</f>
        <v>0</v>
      </c>
    </row>
    <row r="87" spans="1:4" ht="21">
      <c r="A87" s="284" t="s">
        <v>240</v>
      </c>
      <c r="B87" s="287">
        <f>'Anexo 1 -Até o Mês '!O85</f>
        <v>-3.6379788070917101E-12</v>
      </c>
      <c r="C87" s="287">
        <f>'Anexo 1 -Até o Mês '!P85</f>
        <v>0</v>
      </c>
      <c r="D87" s="287">
        <f>'Anexo 1 -Até o Mês '!Q85</f>
        <v>0</v>
      </c>
    </row>
    <row r="88" spans="1:4">
      <c r="A88" s="284" t="s">
        <v>355</v>
      </c>
      <c r="B88" s="287">
        <f>'Anexo 1 -Até o Mês '!O86</f>
        <v>0</v>
      </c>
      <c r="C88" s="287">
        <f>'Anexo 1 -Até o Mês '!P86</f>
        <v>0</v>
      </c>
      <c r="D88" s="287">
        <f>'Anexo 1 -Até o Mês '!Q86</f>
        <v>0</v>
      </c>
    </row>
    <row r="89" spans="1:4">
      <c r="A89" s="284" t="s">
        <v>356</v>
      </c>
      <c r="B89" s="287">
        <f>'Anexo 1 -Até o Mês '!O87</f>
        <v>0</v>
      </c>
      <c r="C89" s="287">
        <f>'Anexo 1 -Até o Mês '!P87</f>
        <v>0</v>
      </c>
      <c r="D89" s="287">
        <f>'Anexo 1 -Até o Mês '!Q87</f>
        <v>0</v>
      </c>
    </row>
    <row r="90" spans="1:4">
      <c r="A90" s="284" t="s">
        <v>357</v>
      </c>
      <c r="B90" s="287">
        <f>'Anexo 1 -Até o Mês '!O88</f>
        <v>0</v>
      </c>
      <c r="C90" s="287">
        <f>'Anexo 1 -Até o Mês '!P88</f>
        <v>0</v>
      </c>
      <c r="D90" s="287">
        <f>'Anexo 1 -Até o Mês '!Q88</f>
        <v>0</v>
      </c>
    </row>
    <row r="91" spans="1:4">
      <c r="A91" s="284" t="s">
        <v>358</v>
      </c>
      <c r="B91" s="287">
        <f>'Anexo 1 -Até o Mês '!O89</f>
        <v>0</v>
      </c>
      <c r="C91" s="287">
        <f>'Anexo 1 -Até o Mês '!P89</f>
        <v>0</v>
      </c>
      <c r="D91" s="287">
        <f>'Anexo 1 -Até o Mês '!Q89</f>
        <v>0</v>
      </c>
    </row>
    <row r="92" spans="1:4">
      <c r="A92" s="284" t="s">
        <v>241</v>
      </c>
      <c r="B92" s="287">
        <f>'Anexo 1 -Até o Mês '!O90</f>
        <v>0</v>
      </c>
      <c r="C92" s="287">
        <f>'Anexo 1 -Até o Mês '!P90</f>
        <v>0</v>
      </c>
      <c r="D92" s="287">
        <f>'Anexo 1 -Até o Mês '!Q90</f>
        <v>0</v>
      </c>
    </row>
    <row r="93" spans="1:4">
      <c r="A93" s="284" t="s">
        <v>242</v>
      </c>
      <c r="B93" s="287">
        <f>'Anexo 1 -Até o Mês '!O91</f>
        <v>0</v>
      </c>
      <c r="C93" s="287">
        <f>'Anexo 1 -Até o Mês '!P91</f>
        <v>0</v>
      </c>
      <c r="D93" s="287">
        <f>'Anexo 1 -Até o Mês '!Q91</f>
        <v>0</v>
      </c>
    </row>
    <row r="94" spans="1:4">
      <c r="A94" s="284" t="s">
        <v>243</v>
      </c>
      <c r="B94" s="287">
        <f>'Anexo 1 -Até o Mês '!O92</f>
        <v>0</v>
      </c>
      <c r="C94" s="287">
        <f>'Anexo 1 -Até o Mês '!P92</f>
        <v>0</v>
      </c>
      <c r="D94" s="287">
        <f>'Anexo 1 -Até o Mês '!Q92</f>
        <v>0</v>
      </c>
    </row>
    <row r="95" spans="1:4">
      <c r="A95" s="284" t="s">
        <v>244</v>
      </c>
      <c r="B95" s="287">
        <f>'Anexo 1 -Até o Mês '!O93</f>
        <v>0</v>
      </c>
      <c r="C95" s="287">
        <f>'Anexo 1 -Até o Mês '!P93</f>
        <v>0</v>
      </c>
      <c r="D95" s="287">
        <f>'Anexo 1 -Até o Mês '!Q93</f>
        <v>0</v>
      </c>
    </row>
    <row r="96" spans="1:4">
      <c r="A96" s="284" t="s">
        <v>245</v>
      </c>
      <c r="B96" s="287">
        <f>'Anexo 1 -Até o Mês '!O94</f>
        <v>0</v>
      </c>
      <c r="C96" s="287">
        <f>'Anexo 1 -Até o Mês '!P94</f>
        <v>0</v>
      </c>
      <c r="D96" s="287">
        <f>'Anexo 1 -Até o Mês '!Q94</f>
        <v>0</v>
      </c>
    </row>
    <row r="97" spans="1:4">
      <c r="A97" s="284" t="s">
        <v>359</v>
      </c>
      <c r="B97" s="287">
        <f>'Anexo 1 -Até o Mês '!O95</f>
        <v>0</v>
      </c>
      <c r="C97" s="287">
        <f>'Anexo 1 -Até o Mês '!P95</f>
        <v>0</v>
      </c>
      <c r="D97" s="287">
        <f>'Anexo 1 -Até o Mês '!Q95</f>
        <v>0</v>
      </c>
    </row>
    <row r="98" spans="1:4">
      <c r="A98" s="284" t="s">
        <v>247</v>
      </c>
      <c r="B98" s="287">
        <f>'Anexo 1 -Até o Mês '!O96</f>
        <v>0</v>
      </c>
      <c r="C98" s="287">
        <f>'Anexo 1 -Até o Mês '!P96</f>
        <v>0</v>
      </c>
      <c r="D98" s="287">
        <f>'Anexo 1 -Até o Mês '!Q96</f>
        <v>0</v>
      </c>
    </row>
    <row r="99" spans="1:4">
      <c r="A99" s="284" t="s">
        <v>248</v>
      </c>
      <c r="B99" s="287">
        <f>'Anexo 1 -Até o Mês '!O97</f>
        <v>2.91038304567337E-11</v>
      </c>
      <c r="C99" s="287">
        <f>'Anexo 1 -Até o Mês '!P97</f>
        <v>0</v>
      </c>
      <c r="D99" s="287">
        <f>'Anexo 1 -Até o Mês '!Q97</f>
        <v>0</v>
      </c>
    </row>
    <row r="100" spans="1:4">
      <c r="A100" s="284" t="s">
        <v>249</v>
      </c>
      <c r="B100" s="287">
        <f>'Anexo 1 -Até o Mês '!O98</f>
        <v>0</v>
      </c>
      <c r="C100" s="287">
        <f>'Anexo 1 -Até o Mês '!P98</f>
        <v>0</v>
      </c>
      <c r="D100" s="287">
        <f>'Anexo 1 -Até o Mês '!Q98</f>
        <v>0</v>
      </c>
    </row>
    <row r="101" spans="1:4">
      <c r="A101" s="284" t="s">
        <v>360</v>
      </c>
      <c r="B101" s="287">
        <f>'Anexo 1 -Até o Mês '!O99</f>
        <v>0</v>
      </c>
      <c r="C101" s="287">
        <f>'Anexo 1 -Até o Mês '!P99</f>
        <v>0</v>
      </c>
      <c r="D101" s="287">
        <f>'Anexo 1 -Até o Mês '!Q99</f>
        <v>0</v>
      </c>
    </row>
    <row r="102" spans="1:4">
      <c r="A102" s="284" t="s">
        <v>361</v>
      </c>
      <c r="B102" s="287">
        <f>'Anexo 1 -Até o Mês '!O100</f>
        <v>0</v>
      </c>
      <c r="C102" s="287">
        <f>'Anexo 1 -Até o Mês '!P100</f>
        <v>0</v>
      </c>
      <c r="D102" s="287">
        <f>'Anexo 1 -Até o Mês '!Q100</f>
        <v>0</v>
      </c>
    </row>
    <row r="103" spans="1:4">
      <c r="A103" s="284" t="s">
        <v>362</v>
      </c>
      <c r="B103" s="287">
        <f>'Anexo 1 -Até o Mês '!O101</f>
        <v>0</v>
      </c>
      <c r="C103" s="287">
        <f>'Anexo 1 -Até o Mês '!P101</f>
        <v>0</v>
      </c>
      <c r="D103" s="287">
        <f>'Anexo 1 -Até o Mês '!Q101</f>
        <v>0</v>
      </c>
    </row>
    <row r="104" spans="1:4">
      <c r="A104" s="284" t="s">
        <v>363</v>
      </c>
      <c r="B104" s="287">
        <f>'Anexo 1 -Até o Mês '!O102</f>
        <v>0</v>
      </c>
      <c r="C104" s="287">
        <f>'Anexo 1 -Até o Mês '!P102</f>
        <v>0</v>
      </c>
      <c r="D104" s="287">
        <f>'Anexo 1 -Até o Mês '!Q102</f>
        <v>0</v>
      </c>
    </row>
    <row r="105" spans="1:4">
      <c r="A105" s="284" t="s">
        <v>364</v>
      </c>
      <c r="B105" s="287">
        <f>'Anexo 1 -Até o Mês '!O103</f>
        <v>0</v>
      </c>
      <c r="C105" s="287">
        <f>'Anexo 1 -Até o Mês '!P103</f>
        <v>0</v>
      </c>
      <c r="D105" s="287">
        <f>'Anexo 1 -Até o Mês '!Q103</f>
        <v>0</v>
      </c>
    </row>
    <row r="106" spans="1:4">
      <c r="A106" s="284" t="s">
        <v>365</v>
      </c>
      <c r="B106" s="287">
        <f>'Anexo 1 -Até o Mês '!O104</f>
        <v>0</v>
      </c>
      <c r="C106" s="287">
        <f>'Anexo 1 -Até o Mês '!P104</f>
        <v>0</v>
      </c>
      <c r="D106" s="287">
        <f>'Anexo 1 -Até o Mês '!Q104</f>
        <v>0</v>
      </c>
    </row>
    <row r="107" spans="1:4">
      <c r="A107" s="284" t="s">
        <v>366</v>
      </c>
      <c r="B107" s="287">
        <f>'Anexo 1 -Até o Mês '!O105</f>
        <v>0</v>
      </c>
      <c r="C107" s="287">
        <f>'Anexo 1 -Até o Mês '!P105</f>
        <v>0</v>
      </c>
      <c r="D107" s="287">
        <f>'Anexo 1 -Até o Mês '!Q105</f>
        <v>0</v>
      </c>
    </row>
    <row r="108" spans="1:4">
      <c r="A108" s="284" t="s">
        <v>367</v>
      </c>
      <c r="B108" s="287">
        <f>'Anexo 1 -Até o Mês '!O106</f>
        <v>0</v>
      </c>
      <c r="C108" s="287">
        <f>'Anexo 1 -Até o Mês '!P106</f>
        <v>0</v>
      </c>
      <c r="D108" s="287">
        <f>'Anexo 1 -Até o Mês '!Q106</f>
        <v>0</v>
      </c>
    </row>
    <row r="109" spans="1:4">
      <c r="A109" s="284" t="s">
        <v>250</v>
      </c>
      <c r="B109" s="287">
        <f>'Anexo 1 -Até o Mês '!O107</f>
        <v>-9.5367431640625E-7</v>
      </c>
      <c r="C109" s="287">
        <f>'Anexo 1 -Até o Mês '!P107</f>
        <v>0</v>
      </c>
      <c r="D109" s="287">
        <f>'Anexo 1 -Até o Mês '!Q107</f>
        <v>0</v>
      </c>
    </row>
    <row r="110" spans="1:4">
      <c r="A110" s="284" t="s">
        <v>251</v>
      </c>
      <c r="B110" s="287">
        <f>'Anexo 1 -Até o Mês '!O108</f>
        <v>0</v>
      </c>
      <c r="C110" s="287">
        <f>'Anexo 1 -Até o Mês '!P108</f>
        <v>0</v>
      </c>
      <c r="D110" s="287">
        <f>'Anexo 1 -Até o Mês '!Q108</f>
        <v>0</v>
      </c>
    </row>
    <row r="111" spans="1:4">
      <c r="A111" s="284" t="s">
        <v>252</v>
      </c>
      <c r="B111" s="287">
        <f>'Anexo 1 -Até o Mês '!O109</f>
        <v>0</v>
      </c>
      <c r="C111" s="287">
        <f>'Anexo 1 -Até o Mês '!P109</f>
        <v>0</v>
      </c>
      <c r="D111" s="287">
        <f>'Anexo 1 -Até o Mês '!Q109</f>
        <v>0</v>
      </c>
    </row>
    <row r="112" spans="1:4">
      <c r="A112" s="284" t="s">
        <v>253</v>
      </c>
      <c r="B112" s="287">
        <f>'Anexo 1 -Até o Mês '!O110</f>
        <v>0</v>
      </c>
      <c r="C112" s="287">
        <f>'Anexo 1 -Até o Mês '!P110</f>
        <v>0</v>
      </c>
      <c r="D112" s="287">
        <f>'Anexo 1 -Até o Mês '!Q110</f>
        <v>0</v>
      </c>
    </row>
    <row r="113" spans="1:4">
      <c r="A113" s="284" t="s">
        <v>254</v>
      </c>
      <c r="B113" s="287">
        <f>'Anexo 1 -Até o Mês '!O111</f>
        <v>0</v>
      </c>
      <c r="C113" s="287">
        <f>'Anexo 1 -Até o Mês '!P111</f>
        <v>0</v>
      </c>
      <c r="D113" s="287">
        <f>'Anexo 1 -Até o Mês '!Q111</f>
        <v>0</v>
      </c>
    </row>
    <row r="114" spans="1:4">
      <c r="A114" s="284" t="s">
        <v>255</v>
      </c>
      <c r="B114" s="287">
        <f>'Anexo 1 -Até o Mês '!O112</f>
        <v>0</v>
      </c>
      <c r="C114" s="287">
        <f>'Anexo 1 -Até o Mês '!P112</f>
        <v>0</v>
      </c>
      <c r="D114" s="287">
        <f>'Anexo 1 -Até o Mês '!Q112</f>
        <v>0</v>
      </c>
    </row>
    <row r="115" spans="1:4">
      <c r="A115" s="284" t="s">
        <v>256</v>
      </c>
      <c r="B115" s="287">
        <f>'Anexo 1 -Até o Mês '!O113</f>
        <v>0</v>
      </c>
      <c r="C115" s="287">
        <f>'Anexo 1 -Até o Mês '!P113</f>
        <v>0</v>
      </c>
      <c r="D115" s="287">
        <f>'Anexo 1 -Até o Mês '!Q113</f>
        <v>0</v>
      </c>
    </row>
    <row r="116" spans="1:4">
      <c r="A116" s="284" t="s">
        <v>257</v>
      </c>
      <c r="B116" s="287">
        <f>'Anexo 1 -Até o Mês '!O114</f>
        <v>0</v>
      </c>
      <c r="C116" s="287">
        <f>'Anexo 1 -Até o Mês '!P114</f>
        <v>0</v>
      </c>
      <c r="D116" s="287">
        <f>'Anexo 1 -Até o Mês '!Q114</f>
        <v>0</v>
      </c>
    </row>
    <row r="117" spans="1:4">
      <c r="A117" s="284" t="s">
        <v>258</v>
      </c>
      <c r="B117" s="287">
        <f>'Anexo 1 -Até o Mês '!O115</f>
        <v>0</v>
      </c>
      <c r="C117" s="287">
        <f>'Anexo 1 -Até o Mês '!P115</f>
        <v>0</v>
      </c>
      <c r="D117" s="287">
        <f>'Anexo 1 -Até o Mês '!Q115</f>
        <v>0</v>
      </c>
    </row>
    <row r="118" spans="1:4">
      <c r="A118" s="284" t="s">
        <v>259</v>
      </c>
      <c r="B118" s="287">
        <f>'Anexo 1 -Até o Mês '!O116</f>
        <v>0</v>
      </c>
      <c r="C118" s="287">
        <f>'Anexo 1 -Até o Mês '!P116</f>
        <v>0</v>
      </c>
      <c r="D118" s="287">
        <f>'Anexo 1 -Até o Mês '!Q116</f>
        <v>0</v>
      </c>
    </row>
    <row r="119" spans="1:4">
      <c r="A119" s="284" t="s">
        <v>260</v>
      </c>
      <c r="B119" s="287">
        <f>'Anexo 1 -Até o Mês '!O117</f>
        <v>0</v>
      </c>
      <c r="C119" s="287">
        <f>'Anexo 1 -Até o Mês '!P117</f>
        <v>0</v>
      </c>
      <c r="D119" s="287">
        <f>'Anexo 1 -Até o Mês '!Q117</f>
        <v>0</v>
      </c>
    </row>
    <row r="120" spans="1:4">
      <c r="A120" s="284" t="s">
        <v>368</v>
      </c>
      <c r="B120" s="287">
        <f>'Anexo 1 -Até o Mês '!O118</f>
        <v>0</v>
      </c>
      <c r="C120" s="287">
        <f>'Anexo 1 -Até o Mês '!P118</f>
        <v>0</v>
      </c>
      <c r="D120" s="287">
        <f>'Anexo 1 -Até o Mês '!Q118</f>
        <v>0</v>
      </c>
    </row>
    <row r="121" spans="1:4">
      <c r="A121" s="284" t="s">
        <v>262</v>
      </c>
      <c r="B121" s="287">
        <f>'Anexo 1 -Até o Mês '!O119</f>
        <v>0</v>
      </c>
      <c r="C121" s="287">
        <f>'Anexo 1 -Até o Mês '!P119</f>
        <v>0</v>
      </c>
      <c r="D121" s="287">
        <f>'Anexo 1 -Até o Mês '!Q119</f>
        <v>0</v>
      </c>
    </row>
    <row r="122" spans="1:4">
      <c r="A122" s="284" t="s">
        <v>263</v>
      </c>
      <c r="B122" s="287">
        <f>'Anexo 1 -Até o Mês '!O120</f>
        <v>0</v>
      </c>
      <c r="C122" s="287">
        <f>'Anexo 1 -Até o Mês '!P120</f>
        <v>0</v>
      </c>
      <c r="D122" s="287">
        <f>'Anexo 1 -Até o Mês '!Q120</f>
        <v>0</v>
      </c>
    </row>
    <row r="123" spans="1:4">
      <c r="A123" s="284" t="s">
        <v>265</v>
      </c>
      <c r="B123" s="287">
        <f>'Anexo 1 -Até o Mês '!O121</f>
        <v>0</v>
      </c>
      <c r="C123" s="287">
        <f>'Anexo 1 -Até o Mês '!P121</f>
        <v>0</v>
      </c>
      <c r="D123" s="287">
        <f>'Anexo 1 -Até o Mês '!Q121</f>
        <v>0</v>
      </c>
    </row>
    <row r="124" spans="1:4">
      <c r="A124" s="284" t="s">
        <v>369</v>
      </c>
      <c r="B124" s="287">
        <f>'Anexo 1 -Até o Mês '!O122</f>
        <v>0</v>
      </c>
      <c r="C124" s="287">
        <f>'Anexo 1 -Até o Mês '!P122</f>
        <v>0</v>
      </c>
      <c r="D124" s="287">
        <f>'Anexo 1 -Até o Mês '!Q122</f>
        <v>0</v>
      </c>
    </row>
    <row r="125" spans="1:4">
      <c r="A125" s="284" t="s">
        <v>370</v>
      </c>
      <c r="B125" s="287">
        <f>'Anexo 1 -Até o Mês '!O123</f>
        <v>0</v>
      </c>
      <c r="C125" s="287">
        <f>'Anexo 1 -Até o Mês '!P123</f>
        <v>0</v>
      </c>
      <c r="D125" s="287">
        <f>'Anexo 1 -Até o Mês '!Q123</f>
        <v>0</v>
      </c>
    </row>
    <row r="126" spans="1:4">
      <c r="A126" s="284" t="s">
        <v>371</v>
      </c>
      <c r="B126" s="287">
        <f>'Anexo 1 -Até o Mês '!O124</f>
        <v>0</v>
      </c>
      <c r="C126" s="287">
        <f>'Anexo 1 -Até o Mês '!P124</f>
        <v>0</v>
      </c>
      <c r="D126" s="287">
        <f>'Anexo 1 -Até o Mês '!Q124</f>
        <v>0</v>
      </c>
    </row>
    <row r="127" spans="1:4">
      <c r="A127" s="284" t="s">
        <v>372</v>
      </c>
      <c r="B127" s="287">
        <f>'Anexo 1 -Até o Mês '!O125</f>
        <v>0</v>
      </c>
      <c r="C127" s="287">
        <f>'Anexo 1 -Até o Mês '!P125</f>
        <v>0</v>
      </c>
      <c r="D127" s="287">
        <f>'Anexo 1 -Até o Mês '!Q125</f>
        <v>0</v>
      </c>
    </row>
    <row r="128" spans="1:4">
      <c r="A128" s="284" t="s">
        <v>373</v>
      </c>
      <c r="B128" s="287">
        <f>'Anexo 1 -Até o Mês '!O126</f>
        <v>0</v>
      </c>
      <c r="C128" s="287">
        <f>'Anexo 1 -Até o Mês '!P126</f>
        <v>0</v>
      </c>
      <c r="D128" s="287">
        <f>'Anexo 1 -Até o Mês '!Q126</f>
        <v>0</v>
      </c>
    </row>
    <row r="129" spans="1:4">
      <c r="A129" s="284" t="s">
        <v>374</v>
      </c>
      <c r="B129" s="287">
        <f>'Anexo 1 -Até o Mês '!O127</f>
        <v>0</v>
      </c>
      <c r="C129" s="287">
        <f>'Anexo 1 -Até o Mês '!P127</f>
        <v>0</v>
      </c>
      <c r="D129" s="287">
        <f>'Anexo 1 -Até o Mês '!Q127</f>
        <v>0</v>
      </c>
    </row>
    <row r="130" spans="1:4">
      <c r="A130" s="284" t="s">
        <v>375</v>
      </c>
      <c r="B130" s="287">
        <f>'Anexo 1 -Até o Mês '!O128</f>
        <v>0</v>
      </c>
      <c r="C130" s="287">
        <f>'Anexo 1 -Até o Mês '!P128</f>
        <v>0</v>
      </c>
      <c r="D130" s="287">
        <f>'Anexo 1 -Até o Mês '!Q128</f>
        <v>0</v>
      </c>
    </row>
    <row r="131" spans="1:4">
      <c r="A131" s="284" t="s">
        <v>376</v>
      </c>
      <c r="B131" s="287">
        <f>'Anexo 1 -Até o Mês '!O129</f>
        <v>0</v>
      </c>
      <c r="C131" s="287">
        <f>'Anexo 1 -Até o Mês '!P129</f>
        <v>0</v>
      </c>
      <c r="D131" s="287">
        <f>'Anexo 1 -Até o Mês '!Q129</f>
        <v>0</v>
      </c>
    </row>
    <row r="132" spans="1:4">
      <c r="A132" s="284" t="s">
        <v>266</v>
      </c>
      <c r="B132" s="287">
        <f>'Anexo 1 -Até o Mês '!O130</f>
        <v>0</v>
      </c>
      <c r="C132" s="287">
        <f>'Anexo 1 -Até o Mês '!P130</f>
        <v>0</v>
      </c>
      <c r="D132" s="287">
        <f>'Anexo 1 -Até o Mês '!Q130</f>
        <v>0</v>
      </c>
    </row>
    <row r="133" spans="1:4">
      <c r="A133" s="284" t="s">
        <v>267</v>
      </c>
      <c r="B133" s="287">
        <f>'Anexo 1 -Até o Mês '!O131</f>
        <v>0</v>
      </c>
      <c r="C133" s="287">
        <f>'Anexo 1 -Até o Mês '!P131</f>
        <v>0</v>
      </c>
      <c r="D133" s="287">
        <f>'Anexo 1 -Até o Mês '!Q131</f>
        <v>0</v>
      </c>
    </row>
    <row r="134" spans="1:4">
      <c r="A134" s="284" t="s">
        <v>268</v>
      </c>
      <c r="B134" s="287">
        <f>'Anexo 1 -Até o Mês '!O132</f>
        <v>0</v>
      </c>
      <c r="C134" s="287">
        <f>'Anexo 1 -Até o Mês '!P132</f>
        <v>0</v>
      </c>
      <c r="D134" s="287">
        <f>'Anexo 1 -Até o Mês '!Q132</f>
        <v>0</v>
      </c>
    </row>
    <row r="135" spans="1:4">
      <c r="A135" s="284" t="s">
        <v>377</v>
      </c>
      <c r="B135" s="287">
        <f>'Anexo 1 -Até o Mês '!O133</f>
        <v>0</v>
      </c>
      <c r="C135" s="287">
        <f>'Anexo 1 -Até o Mês '!P133</f>
        <v>0</v>
      </c>
      <c r="D135" s="287">
        <f>'Anexo 1 -Até o Mês '!Q133</f>
        <v>0</v>
      </c>
    </row>
    <row r="136" spans="1:4">
      <c r="A136" s="284" t="s">
        <v>270</v>
      </c>
      <c r="B136" s="287">
        <f>'Anexo 1 -Até o Mês '!O134</f>
        <v>0</v>
      </c>
      <c r="C136" s="287">
        <f>'Anexo 1 -Até o Mês '!P134</f>
        <v>0</v>
      </c>
      <c r="D136" s="287">
        <f>'Anexo 1 -Até o Mês '!Q134</f>
        <v>0</v>
      </c>
    </row>
    <row r="137" spans="1:4">
      <c r="A137" s="284" t="s">
        <v>271</v>
      </c>
      <c r="B137" s="287">
        <f>'Anexo 1 -Até o Mês '!O135</f>
        <v>0</v>
      </c>
      <c r="C137" s="287">
        <f>'Anexo 1 -Até o Mês '!P135</f>
        <v>0</v>
      </c>
      <c r="D137" s="287">
        <f>'Anexo 1 -Até o Mês '!Q135</f>
        <v>0</v>
      </c>
    </row>
    <row r="138" spans="1:4">
      <c r="A138" s="284" t="s">
        <v>89</v>
      </c>
      <c r="B138" s="287">
        <f>'Anexo 1 -Até o Mês '!O136</f>
        <v>0</v>
      </c>
      <c r="C138" s="287">
        <f>'Anexo 1 -Até o Mês '!P136</f>
        <v>0</v>
      </c>
      <c r="D138" s="287">
        <f>'Anexo 1 -Até o Mês '!Q136</f>
        <v>0</v>
      </c>
    </row>
    <row r="139" spans="1:4">
      <c r="A139" s="284" t="s">
        <v>90</v>
      </c>
      <c r="B139" s="287">
        <f>'Anexo 1 -Até o Mês '!O137</f>
        <v>0</v>
      </c>
      <c r="C139" s="287">
        <f>'Anexo 1 -Até o Mês '!P137</f>
        <v>0</v>
      </c>
      <c r="D139" s="287">
        <f>'Anexo 1 -Até o Mês '!Q137</f>
        <v>0</v>
      </c>
    </row>
    <row r="140" spans="1:4">
      <c r="A140" s="284" t="s">
        <v>378</v>
      </c>
      <c r="B140" s="287">
        <f>'Anexo 1 -Até o Mês '!O138</f>
        <v>0</v>
      </c>
      <c r="C140" s="287">
        <f>'Anexo 1 -Até o Mês '!P138</f>
        <v>0</v>
      </c>
      <c r="D140" s="287">
        <f>'Anexo 1 -Até o Mês '!Q138</f>
        <v>0</v>
      </c>
    </row>
    <row r="141" spans="1:4">
      <c r="A141" s="284" t="s">
        <v>273</v>
      </c>
      <c r="B141" s="287">
        <f>'Anexo 1 -Até o Mês '!O139</f>
        <v>0</v>
      </c>
      <c r="C141" s="287">
        <f>'Anexo 1 -Até o Mês '!P139</f>
        <v>0</v>
      </c>
      <c r="D141" s="287">
        <f>'Anexo 1 -Até o Mês '!Q139</f>
        <v>0</v>
      </c>
    </row>
    <row r="142" spans="1:4">
      <c r="A142" s="284" t="s">
        <v>274</v>
      </c>
      <c r="B142" s="287">
        <f>'Anexo 1 -Até o Mês '!O140</f>
        <v>0</v>
      </c>
      <c r="C142" s="287">
        <f>'Anexo 1 -Até o Mês '!P140</f>
        <v>0</v>
      </c>
      <c r="D142" s="287">
        <f>'Anexo 1 -Até o Mês '!Q140</f>
        <v>0</v>
      </c>
    </row>
    <row r="143" spans="1:4">
      <c r="A143" s="284" t="s">
        <v>275</v>
      </c>
      <c r="B143" s="287">
        <f>'Anexo 1 -Até o Mês '!O141</f>
        <v>0</v>
      </c>
      <c r="C143" s="287">
        <f>'Anexo 1 -Até o Mês '!P141</f>
        <v>0</v>
      </c>
      <c r="D143" s="287">
        <f>'Anexo 1 -Até o Mês '!Q141</f>
        <v>0</v>
      </c>
    </row>
    <row r="144" spans="1:4">
      <c r="A144" s="284" t="s">
        <v>177</v>
      </c>
      <c r="B144" s="287">
        <f>'Anexo 1 -Até o Mês '!O142</f>
        <v>0</v>
      </c>
      <c r="C144" s="287">
        <f>'Anexo 1 -Até o Mês '!P142</f>
        <v>0</v>
      </c>
      <c r="D144" s="287">
        <f>'Anexo 1 -Até o Mês '!Q142</f>
        <v>0</v>
      </c>
    </row>
    <row r="145" spans="1:4">
      <c r="A145" s="284" t="s">
        <v>277</v>
      </c>
      <c r="B145" s="287">
        <f>'Anexo 1 -Até o Mês '!O143</f>
        <v>0</v>
      </c>
      <c r="C145" s="287">
        <f>'Anexo 1 -Até o Mês '!P143</f>
        <v>0</v>
      </c>
      <c r="D145" s="287">
        <f>'Anexo 1 -Até o Mês '!Q143</f>
        <v>0</v>
      </c>
    </row>
    <row r="146" spans="1:4">
      <c r="A146" s="284" t="s">
        <v>278</v>
      </c>
      <c r="B146" s="287">
        <f>'Anexo 1 -Até o Mês '!O144</f>
        <v>0</v>
      </c>
      <c r="C146" s="287">
        <f>'Anexo 1 -Até o Mês '!P144</f>
        <v>0</v>
      </c>
      <c r="D146" s="287">
        <f>'Anexo 1 -Até o Mês '!Q144</f>
        <v>0</v>
      </c>
    </row>
    <row r="147" spans="1:4">
      <c r="A147" s="284" t="s">
        <v>279</v>
      </c>
      <c r="B147" s="287">
        <f>'Anexo 1 -Até o Mês '!O145</f>
        <v>0</v>
      </c>
      <c r="C147" s="287">
        <f>'Anexo 1 -Até o Mês '!P145</f>
        <v>0</v>
      </c>
      <c r="D147" s="287">
        <f>'Anexo 1 -Até o Mês '!Q145</f>
        <v>0</v>
      </c>
    </row>
    <row r="148" spans="1:4">
      <c r="A148" s="284" t="s">
        <v>120</v>
      </c>
      <c r="B148" s="287">
        <f>'Anexo 1 -Até o Mês '!O146</f>
        <v>0</v>
      </c>
      <c r="C148" s="287">
        <f>'Anexo 1 -Até o Mês '!P146</f>
        <v>0</v>
      </c>
      <c r="D148" s="287">
        <f>'Anexo 1 -Até o Mês '!Q146</f>
        <v>0</v>
      </c>
    </row>
    <row r="149" spans="1:4">
      <c r="A149" s="284" t="s">
        <v>297</v>
      </c>
      <c r="B149" s="287">
        <f>'Anexo 1 -Até o Mês '!O147</f>
        <v>0</v>
      </c>
      <c r="C149" s="287">
        <f>'Anexo 1 -Até o Mês '!P147</f>
        <v>0</v>
      </c>
      <c r="D149" s="287">
        <f>'Anexo 1 -Até o Mês '!Q147</f>
        <v>0</v>
      </c>
    </row>
    <row r="150" spans="1:4">
      <c r="A150" s="284" t="s">
        <v>298</v>
      </c>
      <c r="B150" s="287">
        <f>'Anexo 1 -Até o Mês '!O148</f>
        <v>0</v>
      </c>
      <c r="C150" s="287">
        <f>'Anexo 1 -Até o Mês '!P148</f>
        <v>0</v>
      </c>
      <c r="D150" s="287">
        <f>'Anexo 1 -Até o Mês '!Q148</f>
        <v>0</v>
      </c>
    </row>
    <row r="151" spans="1:4">
      <c r="A151" s="284" t="s">
        <v>299</v>
      </c>
      <c r="B151" s="287">
        <f>'Anexo 1 -Até o Mês '!O149</f>
        <v>0</v>
      </c>
      <c r="C151" s="287">
        <f>'Anexo 1 -Até o Mês '!P149</f>
        <v>0</v>
      </c>
      <c r="D151" s="287">
        <f>'Anexo 1 -Até o Mês '!Q149</f>
        <v>0</v>
      </c>
    </row>
    <row r="152" spans="1:4">
      <c r="A152" s="284" t="s">
        <v>300</v>
      </c>
      <c r="B152" s="287">
        <f>'Anexo 1 -Até o Mês '!O150</f>
        <v>0</v>
      </c>
      <c r="C152" s="287">
        <f>'Anexo 1 -Até o Mês '!P150</f>
        <v>0</v>
      </c>
      <c r="D152" s="287">
        <f>'Anexo 1 -Até o Mês '!Q150</f>
        <v>0</v>
      </c>
    </row>
    <row r="153" spans="1:4">
      <c r="A153" s="284" t="s">
        <v>301</v>
      </c>
      <c r="B153" s="287">
        <f>'Anexo 1 -Até o Mês '!O151</f>
        <v>0</v>
      </c>
      <c r="C153" s="287">
        <f>'Anexo 1 -Até o Mês '!P151</f>
        <v>0</v>
      </c>
      <c r="D153" s="287">
        <f>'Anexo 1 -Até o Mês '!Q151</f>
        <v>0</v>
      </c>
    </row>
    <row r="154" spans="1:4">
      <c r="A154" s="284" t="s">
        <v>302</v>
      </c>
      <c r="B154" s="287">
        <f>'Anexo 1 -Até o Mês '!O152</f>
        <v>0</v>
      </c>
      <c r="C154" s="287">
        <f>'Anexo 1 -Até o Mês '!P152</f>
        <v>0</v>
      </c>
      <c r="D154" s="287">
        <f>'Anexo 1 -Até o Mês '!Q152</f>
        <v>0</v>
      </c>
    </row>
    <row r="155" spans="1:4">
      <c r="A155" s="284" t="s">
        <v>303</v>
      </c>
      <c r="B155" s="287">
        <f>'Anexo 1 -Até o Mês '!O153</f>
        <v>0</v>
      </c>
      <c r="C155" s="287">
        <f>'Anexo 1 -Até o Mês '!P153</f>
        <v>0</v>
      </c>
      <c r="D155" s="287">
        <f>'Anexo 1 -Até o Mês '!Q153</f>
        <v>0</v>
      </c>
    </row>
    <row r="156" spans="1:4">
      <c r="A156" s="284" t="s">
        <v>304</v>
      </c>
      <c r="B156" s="287">
        <f>'Anexo 1 -Até o Mês '!O154</f>
        <v>0</v>
      </c>
      <c r="C156" s="287">
        <f>'Anexo 1 -Até o Mês '!P154</f>
        <v>0</v>
      </c>
      <c r="D156" s="287">
        <f>'Anexo 1 -Até o Mês '!Q154</f>
        <v>0</v>
      </c>
    </row>
    <row r="157" spans="1:4">
      <c r="A157" s="284" t="s">
        <v>306</v>
      </c>
      <c r="B157" s="287">
        <f>'Anexo 1 -Até o Mês '!O155</f>
        <v>0</v>
      </c>
      <c r="C157" s="287">
        <f>'Anexo 1 -Até o Mês '!P155</f>
        <v>0</v>
      </c>
      <c r="D157" s="287">
        <f>'Anexo 1 -Até o Mês '!Q155</f>
        <v>0</v>
      </c>
    </row>
    <row r="158" spans="1:4">
      <c r="A158" s="284" t="s">
        <v>307</v>
      </c>
      <c r="B158" s="287">
        <f>'Anexo 1 -Até o Mês '!O156</f>
        <v>0</v>
      </c>
      <c r="C158" s="287">
        <f>'Anexo 1 -Até o Mês '!P156</f>
        <v>0</v>
      </c>
      <c r="D158" s="287">
        <f>'Anexo 1 -Até o Mês '!Q156</f>
        <v>0</v>
      </c>
    </row>
    <row r="159" spans="1:4">
      <c r="A159" s="284" t="s">
        <v>308</v>
      </c>
      <c r="B159" s="287">
        <f>'Anexo 1 -Até o Mês '!O157</f>
        <v>0</v>
      </c>
      <c r="C159" s="287">
        <f>'Anexo 1 -Até o Mês '!P157</f>
        <v>0</v>
      </c>
      <c r="D159" s="287">
        <f>'Anexo 1 -Até o Mês '!Q157</f>
        <v>0</v>
      </c>
    </row>
    <row r="160" spans="1:4">
      <c r="A160" s="284" t="s">
        <v>309</v>
      </c>
      <c r="B160" s="287">
        <f>'Anexo 1 -Até o Mês '!O158</f>
        <v>0</v>
      </c>
      <c r="C160" s="287">
        <f>'Anexo 1 -Até o Mês '!P158</f>
        <v>0</v>
      </c>
      <c r="D160" s="287">
        <f>'Anexo 1 -Até o Mês '!Q158</f>
        <v>0</v>
      </c>
    </row>
    <row r="161" spans="1:4">
      <c r="A161" s="284" t="s">
        <v>133</v>
      </c>
      <c r="B161" s="287">
        <f>'Anexo 1 -Até o Mês '!O159</f>
        <v>0</v>
      </c>
      <c r="C161" s="287">
        <f>'Anexo 1 -Até o Mês '!P159</f>
        <v>0</v>
      </c>
      <c r="D161" s="287">
        <f>'Anexo 1 -Até o Mês '!Q159</f>
        <v>0</v>
      </c>
    </row>
    <row r="162" spans="1:4">
      <c r="A162" s="284" t="s">
        <v>310</v>
      </c>
      <c r="B162" s="287">
        <f>'Anexo 1 -Até o Mês '!O160</f>
        <v>0</v>
      </c>
      <c r="C162" s="287">
        <f>'Anexo 1 -Até o Mês '!P160</f>
        <v>0</v>
      </c>
      <c r="D162" s="287">
        <f>'Anexo 1 -Até o Mês '!Q160</f>
        <v>0</v>
      </c>
    </row>
    <row r="163" spans="1:4">
      <c r="A163" s="284" t="s">
        <v>311</v>
      </c>
      <c r="B163" s="287">
        <f>'Anexo 1 -Até o Mês '!O161</f>
        <v>0</v>
      </c>
      <c r="C163" s="287">
        <f>'Anexo 1 -Até o Mês '!P161</f>
        <v>0</v>
      </c>
      <c r="D163" s="287">
        <f>'Anexo 1 -Até o Mês '!Q161</f>
        <v>0</v>
      </c>
    </row>
    <row r="164" spans="1:4">
      <c r="A164" s="284" t="s">
        <v>312</v>
      </c>
      <c r="B164" s="287">
        <f>'Anexo 1 -Até o Mês '!O162</f>
        <v>0</v>
      </c>
      <c r="C164" s="287">
        <f>'Anexo 1 -Até o Mês '!P162</f>
        <v>0</v>
      </c>
      <c r="D164" s="287">
        <f>'Anexo 1 -Até o Mês '!Q162</f>
        <v>0</v>
      </c>
    </row>
    <row r="165" spans="1:4">
      <c r="A165" s="284" t="s">
        <v>314</v>
      </c>
      <c r="B165" s="287">
        <f>'Anexo 1 -Até o Mês '!O163</f>
        <v>0</v>
      </c>
      <c r="C165" s="287">
        <f>'Anexo 1 -Até o Mês '!P163</f>
        <v>0</v>
      </c>
      <c r="D165" s="287">
        <f>'Anexo 1 -Até o Mês '!Q163</f>
        <v>0</v>
      </c>
    </row>
    <row r="166" spans="1:4">
      <c r="A166" s="284" t="s">
        <v>315</v>
      </c>
      <c r="B166" s="287">
        <f>'Anexo 1 -Até o Mês '!O164</f>
        <v>0</v>
      </c>
      <c r="C166" s="287">
        <f>'Anexo 1 -Até o Mês '!P164</f>
        <v>0</v>
      </c>
      <c r="D166" s="287">
        <f>'Anexo 1 -Até o Mês '!Q164</f>
        <v>0</v>
      </c>
    </row>
    <row r="167" spans="1:4">
      <c r="A167" s="284" t="s">
        <v>316</v>
      </c>
      <c r="B167" s="287">
        <f>'Anexo 1 -Até o Mês '!O165</f>
        <v>0</v>
      </c>
      <c r="C167" s="287">
        <f>'Anexo 1 -Até o Mês '!P165</f>
        <v>0</v>
      </c>
      <c r="D167" s="287">
        <f>'Anexo 1 -Até o Mês '!Q165</f>
        <v>0</v>
      </c>
    </row>
    <row r="168" spans="1:4">
      <c r="A168" s="284" t="s">
        <v>317</v>
      </c>
      <c r="B168" s="287">
        <f>'Anexo 1 -Até o Mês '!O166</f>
        <v>0</v>
      </c>
      <c r="C168" s="287">
        <f>'Anexo 1 -Até o Mês '!P166</f>
        <v>0</v>
      </c>
      <c r="D168" s="287">
        <f>'Anexo 1 -Até o Mês '!Q166</f>
        <v>0</v>
      </c>
    </row>
    <row r="169" spans="1:4">
      <c r="A169" s="284" t="s">
        <v>319</v>
      </c>
      <c r="B169" s="287">
        <f>'Anexo 1 -Até o Mês '!O167</f>
        <v>0</v>
      </c>
      <c r="C169" s="287">
        <f>'Anexo 1 -Até o Mês '!P167</f>
        <v>0</v>
      </c>
      <c r="D169" s="287">
        <f>'Anexo 1 -Até o Mês '!Q167</f>
        <v>0</v>
      </c>
    </row>
    <row r="170" spans="1:4">
      <c r="A170" s="284" t="s">
        <v>320</v>
      </c>
      <c r="B170" s="287">
        <f>'Anexo 1 -Até o Mês '!O168</f>
        <v>0</v>
      </c>
      <c r="C170" s="287">
        <f>'Anexo 1 -Até o Mês '!P168</f>
        <v>0</v>
      </c>
      <c r="D170" s="287">
        <f>'Anexo 1 -Até o Mês '!Q168</f>
        <v>0</v>
      </c>
    </row>
    <row r="171" spans="1:4">
      <c r="A171" s="284" t="s">
        <v>305</v>
      </c>
      <c r="B171" s="287">
        <f>'Anexo 1 -Até o Mês '!O169</f>
        <v>0</v>
      </c>
      <c r="C171" s="287">
        <f>'Anexo 1 -Até o Mês '!P169</f>
        <v>0</v>
      </c>
      <c r="D171" s="287">
        <f>'Anexo 1 -Até o Mês '!Q169</f>
        <v>0</v>
      </c>
    </row>
    <row r="172" spans="1:4">
      <c r="A172" s="284" t="s">
        <v>135</v>
      </c>
      <c r="B172" s="287">
        <f>'Anexo 1 -Até o Mês '!O170</f>
        <v>0</v>
      </c>
      <c r="C172" s="287">
        <f>'Anexo 1 -Até o Mês '!P170</f>
        <v>0</v>
      </c>
      <c r="D172" s="287">
        <f>'Anexo 1 -Até o Mês '!Q170</f>
        <v>0</v>
      </c>
    </row>
    <row r="173" spans="1:4">
      <c r="A173" s="284" t="s">
        <v>322</v>
      </c>
      <c r="B173" s="287">
        <f>'Anexo 1 -Até o Mês '!O171</f>
        <v>0</v>
      </c>
      <c r="C173" s="287">
        <f>'Anexo 1 -Até o Mês '!P171</f>
        <v>0</v>
      </c>
      <c r="D173" s="287">
        <f>'Anexo 1 -Até o Mês '!Q171</f>
        <v>0</v>
      </c>
    </row>
    <row r="174" spans="1:4">
      <c r="A174" s="284" t="s">
        <v>324</v>
      </c>
      <c r="B174" s="287">
        <f>'Anexo 1 -Até o Mês '!O172</f>
        <v>0</v>
      </c>
      <c r="C174" s="287">
        <f>'Anexo 1 -Até o Mês '!P172</f>
        <v>0</v>
      </c>
      <c r="D174" s="287">
        <f>'Anexo 1 -Até o Mês '!Q172</f>
        <v>0</v>
      </c>
    </row>
    <row r="175" spans="1:4">
      <c r="A175" s="284" t="s">
        <v>325</v>
      </c>
      <c r="B175" s="287">
        <f>'Anexo 1 -Até o Mês '!O173</f>
        <v>0</v>
      </c>
      <c r="C175" s="287">
        <f>'Anexo 1 -Até o Mês '!P173</f>
        <v>0</v>
      </c>
      <c r="D175" s="287">
        <f>'Anexo 1 -Até o Mês '!Q173</f>
        <v>0</v>
      </c>
    </row>
    <row r="176" spans="1:4">
      <c r="A176" s="284" t="s">
        <v>327</v>
      </c>
      <c r="B176" s="287">
        <f>'Anexo 1 -Até o Mês '!O174</f>
        <v>0</v>
      </c>
      <c r="C176" s="287">
        <f>'Anexo 1 -Até o Mês '!P174</f>
        <v>0</v>
      </c>
      <c r="D176" s="287">
        <f>'Anexo 1 -Até o Mês '!Q174</f>
        <v>0</v>
      </c>
    </row>
    <row r="177" spans="1:4">
      <c r="A177" s="284" t="s">
        <v>329</v>
      </c>
      <c r="B177" s="287">
        <f>'Anexo 1 -Até o Mês '!O175</f>
        <v>0</v>
      </c>
      <c r="C177" s="287">
        <f>'Anexo 1 -Até o Mês '!P175</f>
        <v>0</v>
      </c>
      <c r="D177" s="287">
        <f>'Anexo 1 -Até o Mês '!Q175</f>
        <v>0</v>
      </c>
    </row>
    <row r="178" spans="1:4">
      <c r="A178" s="284" t="s">
        <v>330</v>
      </c>
      <c r="B178" s="287">
        <f>'Anexo 1 -Até o Mês '!O176</f>
        <v>0</v>
      </c>
      <c r="C178" s="287">
        <f>'Anexo 1 -Até o Mês '!P176</f>
        <v>0</v>
      </c>
      <c r="D178" s="287">
        <f>'Anexo 1 -Até o Mês '!Q176</f>
        <v>0</v>
      </c>
    </row>
    <row r="179" spans="1:4">
      <c r="A179" s="285" t="s">
        <v>313</v>
      </c>
      <c r="B179" s="287">
        <f>'Anexo 1 -Até o Mês '!O177</f>
        <v>0</v>
      </c>
      <c r="C179" s="287">
        <f>'Anexo 1 -Até o Mês '!P177</f>
        <v>0</v>
      </c>
      <c r="D179" s="287">
        <f>'Anexo 1 -Até o Mês '!Q177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6C46-C95F-4EE4-97B6-8F9ECE27066C}">
  <sheetPr codeName="Planilha1">
    <tabColor theme="3" tint="0.39997558519241921"/>
  </sheetPr>
  <dimension ref="A1:V257"/>
  <sheetViews>
    <sheetView topLeftCell="C68" zoomScaleNormal="100" workbookViewId="0">
      <selection activeCell="G118" sqref="G118:G121"/>
    </sheetView>
  </sheetViews>
  <sheetFormatPr defaultColWidth="8.85546875" defaultRowHeight="12.75"/>
  <cols>
    <col min="1" max="1" width="36.42578125" customWidth="1"/>
    <col min="2" max="2" width="31.5703125" customWidth="1"/>
    <col min="3" max="3" width="33.42578125" style="133" customWidth="1"/>
    <col min="4" max="4" width="23.140625" customWidth="1"/>
    <col min="5" max="5" width="77.85546875" customWidth="1"/>
    <col min="6" max="6" width="21" bestFit="1" customWidth="1"/>
    <col min="7" max="7" width="22.140625" bestFit="1" customWidth="1"/>
    <col min="8" max="8" width="22.5703125" bestFit="1" customWidth="1"/>
    <col min="9" max="9" width="20" bestFit="1" customWidth="1"/>
    <col min="10" max="10" width="18.42578125" bestFit="1" customWidth="1"/>
    <col min="11" max="11" width="18.85546875" bestFit="1" customWidth="1"/>
    <col min="12" max="12" width="22.42578125" bestFit="1" customWidth="1"/>
    <col min="13" max="13" width="17.85546875" bestFit="1" customWidth="1"/>
    <col min="14" max="14" width="20" bestFit="1" customWidth="1"/>
    <col min="15" max="15" width="26.42578125" bestFit="1" customWidth="1"/>
    <col min="19" max="19" width="14.85546875" bestFit="1" customWidth="1"/>
  </cols>
  <sheetData>
    <row r="1" spans="1:4" ht="23.25" customHeight="1">
      <c r="A1" s="1"/>
      <c r="B1" s="142" t="s">
        <v>490</v>
      </c>
      <c r="C1" s="142" t="s">
        <v>491</v>
      </c>
      <c r="D1" s="28" t="s">
        <v>492</v>
      </c>
    </row>
    <row r="2" spans="1:4">
      <c r="A2" s="23" t="s">
        <v>493</v>
      </c>
      <c r="B2" s="1"/>
      <c r="C2" s="1"/>
      <c r="D2" s="139" t="s">
        <v>490</v>
      </c>
    </row>
    <row r="3" spans="1:4">
      <c r="A3" s="140" t="s">
        <v>494</v>
      </c>
      <c r="B3" s="141">
        <f>'Anexo 1 Rec'!B11*1000</f>
        <v>2546100629302.0005</v>
      </c>
      <c r="C3" s="9">
        <f ca="1">F38</f>
        <v>2546100629302</v>
      </c>
      <c r="D3" s="169">
        <f ca="1">B3-C3</f>
        <v>0</v>
      </c>
    </row>
    <row r="4" spans="1:4">
      <c r="A4" s="140" t="s">
        <v>495</v>
      </c>
      <c r="B4" s="141">
        <f>'Anexo 1 Rec'!C11*1000</f>
        <v>2546100629302.0005</v>
      </c>
      <c r="C4" s="9">
        <f ca="1">G38</f>
        <v>2546100629302</v>
      </c>
      <c r="D4" s="169">
        <f t="shared" ref="D4:D26" ca="1" si="0">B4-C4</f>
        <v>0</v>
      </c>
    </row>
    <row r="5" spans="1:4">
      <c r="A5" s="140" t="s">
        <v>496</v>
      </c>
      <c r="B5" s="141">
        <f>'Anexo 1 Rec'!F11*1000</f>
        <v>1560883187804.9998</v>
      </c>
      <c r="C5" s="9">
        <f ca="1">J38</f>
        <v>1560883187805</v>
      </c>
      <c r="D5" s="169">
        <f t="shared" ca="1" si="0"/>
        <v>0</v>
      </c>
    </row>
    <row r="6" spans="1:4">
      <c r="A6" s="23" t="s">
        <v>497</v>
      </c>
      <c r="B6" s="141"/>
      <c r="C6" s="1"/>
      <c r="D6" s="170"/>
    </row>
    <row r="7" spans="1:4">
      <c r="A7" s="140" t="s">
        <v>494</v>
      </c>
      <c r="B7" s="141">
        <f>'Anexo 1 Rec Intra'!B12*1000</f>
        <v>31381828490.000004</v>
      </c>
      <c r="C7" s="9">
        <f ca="1">F104</f>
        <v>31381828490</v>
      </c>
      <c r="D7" s="169">
        <f t="shared" ca="1" si="0"/>
        <v>0</v>
      </c>
    </row>
    <row r="8" spans="1:4">
      <c r="A8" s="140" t="s">
        <v>495</v>
      </c>
      <c r="B8" s="141">
        <f>'Anexo 1 Rec Intra'!C12*1000</f>
        <v>31381828490.000004</v>
      </c>
      <c r="C8" s="9">
        <f ca="1">G104</f>
        <v>31381828490</v>
      </c>
      <c r="D8" s="169">
        <f t="shared" ca="1" si="0"/>
        <v>0</v>
      </c>
    </row>
    <row r="9" spans="1:4">
      <c r="A9" s="140" t="s">
        <v>496</v>
      </c>
      <c r="B9" s="141">
        <f>'Anexo 1 Rec Intra'!F12*1000</f>
        <v>19458587968</v>
      </c>
      <c r="C9" s="9">
        <f ca="1">J104</f>
        <v>19458587968</v>
      </c>
      <c r="D9" s="169">
        <f t="shared" ca="1" si="0"/>
        <v>0</v>
      </c>
    </row>
    <row r="10" spans="1:4" ht="22.5">
      <c r="A10" s="151" t="s">
        <v>498</v>
      </c>
      <c r="B10" s="149">
        <f>'SIAFI Oper.'!L8</f>
        <v>622784195534.33008</v>
      </c>
      <c r="C10" s="150">
        <f>'SICONFI vinculada'!H116</f>
        <v>0</v>
      </c>
      <c r="D10" s="169">
        <f t="shared" si="0"/>
        <v>622784195534.33008</v>
      </c>
    </row>
    <row r="11" spans="1:4">
      <c r="A11" s="23" t="s">
        <v>499</v>
      </c>
      <c r="B11" s="141"/>
      <c r="C11" s="1"/>
      <c r="D11" s="170"/>
    </row>
    <row r="12" spans="1:4">
      <c r="A12" s="140" t="s">
        <v>281</v>
      </c>
      <c r="B12" s="141">
        <f>'Anexo 1 Desp'!B12*1000</f>
        <v>2628331921887</v>
      </c>
      <c r="C12" s="9">
        <f ca="1">F130</f>
        <v>2628331921887</v>
      </c>
      <c r="D12" s="169">
        <f t="shared" ca="1" si="0"/>
        <v>0</v>
      </c>
    </row>
    <row r="13" spans="1:4">
      <c r="A13" s="140" t="s">
        <v>282</v>
      </c>
      <c r="B13" s="141">
        <f>'Anexo 1 Desp'!C12*1000</f>
        <v>2771813754137</v>
      </c>
      <c r="C13" s="9">
        <f ca="1">G130</f>
        <v>2771813754137</v>
      </c>
      <c r="D13" s="169">
        <f t="shared" ca="1" si="0"/>
        <v>0</v>
      </c>
    </row>
    <row r="14" spans="1:4">
      <c r="A14" s="140" t="s">
        <v>500</v>
      </c>
      <c r="B14" s="141">
        <f>'Anexo 1 Desp'!E12*1000</f>
        <v>2119019488335</v>
      </c>
      <c r="C14" s="9">
        <f ca="1">I130</f>
        <v>2119019488335</v>
      </c>
      <c r="D14" s="169">
        <f t="shared" ca="1" si="0"/>
        <v>0</v>
      </c>
    </row>
    <row r="15" spans="1:4">
      <c r="A15" s="140" t="s">
        <v>501</v>
      </c>
      <c r="B15" s="141">
        <f>'Anexo 1 Desp'!H12*1000</f>
        <v>1736030973276</v>
      </c>
      <c r="C15" s="9">
        <f ca="1">'SICONFI vinculada'!L130</f>
        <v>1736030973276</v>
      </c>
      <c r="D15" s="169">
        <f t="shared" ca="1" si="0"/>
        <v>0</v>
      </c>
    </row>
    <row r="16" spans="1:4">
      <c r="A16" s="140" t="s">
        <v>287</v>
      </c>
      <c r="B16" s="141">
        <f>'Anexo 1 Desp'!J12*1000</f>
        <v>1666924692076</v>
      </c>
      <c r="C16" s="9">
        <f ca="1">N130</f>
        <v>1666924692076</v>
      </c>
      <c r="D16" s="169">
        <f t="shared" ca="1" si="0"/>
        <v>0</v>
      </c>
    </row>
    <row r="17" spans="1:15">
      <c r="A17" s="140" t="s">
        <v>288</v>
      </c>
      <c r="B17" s="141">
        <f>'Anexo 1 Desp'!K12*1000</f>
        <v>0</v>
      </c>
      <c r="C17" s="9">
        <f ca="1">O130</f>
        <v>0</v>
      </c>
      <c r="D17" s="169">
        <f t="shared" ca="1" si="0"/>
        <v>0</v>
      </c>
    </row>
    <row r="18" spans="1:15">
      <c r="A18" s="23" t="s">
        <v>502</v>
      </c>
      <c r="B18" s="1"/>
      <c r="C18" s="1"/>
      <c r="D18" s="171"/>
    </row>
    <row r="19" spans="1:15">
      <c r="A19" s="140" t="s">
        <v>281</v>
      </c>
      <c r="B19" s="141">
        <f>'Anexo 1 Desp'!B45*1000</f>
        <v>4161236549154.0005</v>
      </c>
      <c r="C19" s="9">
        <f ca="1">F152</f>
        <v>4161236549154</v>
      </c>
      <c r="D19" s="169">
        <f t="shared" ca="1" si="0"/>
        <v>0</v>
      </c>
    </row>
    <row r="20" spans="1:15">
      <c r="A20" s="140" t="s">
        <v>282</v>
      </c>
      <c r="B20" s="141">
        <f>'Anexo 1 Desp'!C45*1000</f>
        <v>4309536806739.0005</v>
      </c>
      <c r="C20" s="9">
        <f ca="1">G152</f>
        <v>4309536806739</v>
      </c>
      <c r="D20" s="169">
        <f t="shared" ca="1" si="0"/>
        <v>0</v>
      </c>
    </row>
    <row r="21" spans="1:15">
      <c r="A21" s="140" t="s">
        <v>500</v>
      </c>
      <c r="B21" s="141">
        <f>'Anexo 1 Desp'!E45*1000</f>
        <v>3222637358817.0005</v>
      </c>
      <c r="C21" s="9">
        <f ca="1">I152</f>
        <v>3222637358817</v>
      </c>
      <c r="D21" s="169">
        <f t="shared" ca="1" si="0"/>
        <v>0</v>
      </c>
    </row>
    <row r="22" spans="1:15">
      <c r="A22" s="140" t="s">
        <v>501</v>
      </c>
      <c r="B22" s="141">
        <f>'Anexo 1 Desp'!H45*1000</f>
        <v>2508322110542</v>
      </c>
      <c r="C22" s="9">
        <f ca="1">L152</f>
        <v>2508322110542</v>
      </c>
      <c r="D22" s="169">
        <f t="shared" ca="1" si="0"/>
        <v>0</v>
      </c>
    </row>
    <row r="23" spans="1:15">
      <c r="A23" s="140" t="s">
        <v>287</v>
      </c>
      <c r="B23" s="141">
        <f>'Anexo 1 Desp'!J45*1000</f>
        <v>2438988362485</v>
      </c>
      <c r="C23" s="9">
        <f ca="1">N152</f>
        <v>2438988362485</v>
      </c>
      <c r="D23" s="169">
        <f t="shared" ca="1" si="0"/>
        <v>0</v>
      </c>
    </row>
    <row r="24" spans="1:15">
      <c r="A24" s="140" t="s">
        <v>288</v>
      </c>
      <c r="B24" s="141">
        <f>'Anexo 1 Desp'!K45*1000</f>
        <v>0</v>
      </c>
      <c r="C24" s="9">
        <f ca="1">O152</f>
        <v>0</v>
      </c>
      <c r="D24" s="169">
        <f t="shared" ca="1" si="0"/>
        <v>0</v>
      </c>
    </row>
    <row r="25" spans="1:15">
      <c r="A25" s="146" t="s">
        <v>503</v>
      </c>
      <c r="B25" s="147">
        <f>'SIAFI Oper.'!L11</f>
        <v>778811877165.96997</v>
      </c>
      <c r="C25" s="148">
        <f>H152</f>
        <v>0</v>
      </c>
      <c r="D25" s="169">
        <f t="shared" si="0"/>
        <v>778811877165.96997</v>
      </c>
    </row>
    <row r="26" spans="1:15">
      <c r="A26" s="146" t="s">
        <v>504</v>
      </c>
      <c r="B26" s="147">
        <f>'SIAFI Oper.'!L12</f>
        <v>543863792195.57996</v>
      </c>
      <c r="C26" s="148">
        <f>K152</f>
        <v>0</v>
      </c>
      <c r="D26" s="169">
        <f t="shared" si="0"/>
        <v>543863792195.57996</v>
      </c>
    </row>
    <row r="27" spans="1:15">
      <c r="B27" s="136"/>
    </row>
    <row r="31" spans="1:15">
      <c r="E31" s="359" t="s">
        <v>505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E32" s="359" t="s">
        <v>506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22">
      <c r="E33" s="359" t="s">
        <v>507</v>
      </c>
      <c r="F33" s="142">
        <v>2</v>
      </c>
      <c r="G33" s="142">
        <v>3</v>
      </c>
      <c r="H33" s="1"/>
      <c r="I33" s="138">
        <v>5</v>
      </c>
      <c r="J33" s="142">
        <v>6</v>
      </c>
      <c r="K33" s="142"/>
      <c r="L33" s="142">
        <v>8</v>
      </c>
      <c r="M33" s="1"/>
      <c r="N33" s="142">
        <v>10</v>
      </c>
      <c r="O33" s="142">
        <v>11</v>
      </c>
    </row>
    <row r="34" spans="2:22">
      <c r="E34" s="360" t="s">
        <v>508</v>
      </c>
      <c r="F34" s="360" t="s">
        <v>509</v>
      </c>
      <c r="G34" s="360"/>
      <c r="H34" s="360"/>
      <c r="I34" s="360"/>
      <c r="J34" s="360"/>
      <c r="K34" s="360"/>
      <c r="L34" s="360"/>
      <c r="M34" s="1"/>
      <c r="N34" s="1"/>
      <c r="O34" s="1"/>
    </row>
    <row r="35" spans="2:22">
      <c r="C35" s="322" t="s">
        <v>510</v>
      </c>
      <c r="E35" s="361"/>
      <c r="F35" s="360" t="s">
        <v>511</v>
      </c>
      <c r="G35" s="360" t="s">
        <v>512</v>
      </c>
      <c r="H35" s="360" t="s">
        <v>513</v>
      </c>
      <c r="I35" s="360"/>
      <c r="J35" s="360"/>
      <c r="K35" s="360"/>
      <c r="L35" s="360" t="s">
        <v>514</v>
      </c>
      <c r="M35" s="1"/>
      <c r="N35" s="1"/>
      <c r="O35" s="1"/>
    </row>
    <row r="36" spans="2:22" ht="13.5" thickBot="1">
      <c r="B36" s="137" t="s">
        <v>515</v>
      </c>
      <c r="C36" s="322"/>
      <c r="D36" s="132"/>
      <c r="E36" s="361"/>
      <c r="F36" s="361"/>
      <c r="G36" s="361"/>
      <c r="H36" s="362" t="s">
        <v>516</v>
      </c>
      <c r="I36" s="362" t="s">
        <v>517</v>
      </c>
      <c r="J36" s="362" t="s">
        <v>518</v>
      </c>
      <c r="K36" s="362" t="s">
        <v>519</v>
      </c>
      <c r="L36" s="361"/>
      <c r="M36" s="1"/>
      <c r="N36" s="1"/>
      <c r="O36" s="1"/>
    </row>
    <row r="37" spans="2:22" ht="13.5" thickTop="1">
      <c r="E37" s="143" t="s">
        <v>520</v>
      </c>
      <c r="F37" s="144"/>
      <c r="G37" s="144"/>
      <c r="H37" s="144"/>
      <c r="I37" s="144"/>
      <c r="J37" s="144"/>
      <c r="K37" s="144"/>
      <c r="L37" s="145"/>
      <c r="M37" s="1"/>
      <c r="N37" s="1"/>
      <c r="O37" s="1"/>
    </row>
    <row r="38" spans="2:22">
      <c r="B38" t="s">
        <v>521</v>
      </c>
      <c r="C38" s="133" t="s">
        <v>24</v>
      </c>
      <c r="D38" t="str">
        <f>IF(TRIM(C38)=TRIM(E38),"Rótulos estão iguais","Rótulos estão diferentes")</f>
        <v>Rótulos estão iguais</v>
      </c>
      <c r="E38" s="363" t="s">
        <v>522</v>
      </c>
      <c r="F38" s="364">
        <f ca="1">+F39+F79</f>
        <v>2546100629302</v>
      </c>
      <c r="G38" s="364">
        <f ca="1">+G39+G79</f>
        <v>2546100629302</v>
      </c>
      <c r="H38" s="364">
        <f>+H39+H79</f>
        <v>0</v>
      </c>
      <c r="I38" s="365">
        <f t="shared" ref="I38:I69" ca="1" si="1">IFERROR(ROUND(100*H38/G38,2),0)</f>
        <v>0</v>
      </c>
      <c r="J38" s="364">
        <f ca="1">+J39+J79</f>
        <v>1560883187805</v>
      </c>
      <c r="K38" s="365">
        <f t="shared" ref="K38:K69" ca="1" si="2">IFERROR(ROUND(100*J38/G38,2),0)</f>
        <v>61.3</v>
      </c>
      <c r="L38" s="366">
        <f t="shared" ref="L38:L69" ca="1" si="3">G38-J38</f>
        <v>985217441497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</row>
    <row r="39" spans="2:22">
      <c r="B39" t="s">
        <v>521</v>
      </c>
      <c r="C39" s="133" t="s">
        <v>25</v>
      </c>
      <c r="D39" t="str">
        <f t="shared" ref="D39:D102" si="4">IF(TRIM(C39)=TRIM(E39),"Rótulos estão iguais","Rótulos estão diferentes")</f>
        <v>Rótulos estão iguais</v>
      </c>
      <c r="E39" s="363" t="s">
        <v>523</v>
      </c>
      <c r="F39" s="364">
        <f ca="1">+F40+F44+F48+F56+F57+F58+F64+F78+F73</f>
        <v>1632820120566</v>
      </c>
      <c r="G39" s="364">
        <f ca="1">+G40+G44+G48+G56+G57+G58+G64+G78+G73</f>
        <v>1632820120566</v>
      </c>
      <c r="H39" s="364">
        <f>+H40+H44+H48+H56+H57+H58+H64+H78+H73</f>
        <v>0</v>
      </c>
      <c r="I39" s="365">
        <f t="shared" ca="1" si="1"/>
        <v>0</v>
      </c>
      <c r="J39" s="364">
        <f ca="1">+J40+J44+J48+J56+J57+J58+J64+J78+J73</f>
        <v>1262805514854</v>
      </c>
      <c r="K39" s="365">
        <f t="shared" ca="1" si="2"/>
        <v>77.34</v>
      </c>
      <c r="L39" s="366">
        <f t="shared" ca="1" si="3"/>
        <v>370014605712</v>
      </c>
      <c r="M39" s="122"/>
      <c r="N39" s="122"/>
      <c r="O39" s="122"/>
      <c r="P39" s="122"/>
      <c r="Q39" s="122"/>
      <c r="R39" s="122"/>
      <c r="S39" s="122"/>
    </row>
    <row r="40" spans="2:22">
      <c r="B40" t="s">
        <v>521</v>
      </c>
      <c r="C40" s="133" t="s">
        <v>26</v>
      </c>
      <c r="D40" t="str">
        <f t="shared" si="4"/>
        <v>Rótulos estão iguais</v>
      </c>
      <c r="E40" s="363" t="s">
        <v>524</v>
      </c>
      <c r="F40" s="364">
        <f ca="1">+F41+F42+F43</f>
        <v>589494683221</v>
      </c>
      <c r="G40" s="364">
        <f ca="1">+G41+G42+G43</f>
        <v>589494683221</v>
      </c>
      <c r="H40" s="364">
        <f>+H41+H42+H43</f>
        <v>0</v>
      </c>
      <c r="I40" s="365">
        <f t="shared" ca="1" si="1"/>
        <v>0</v>
      </c>
      <c r="J40" s="364">
        <f ca="1">+J41+J42+J43</f>
        <v>456703107336</v>
      </c>
      <c r="K40" s="365">
        <f t="shared" ca="1" si="2"/>
        <v>77.47</v>
      </c>
      <c r="L40" s="366">
        <f t="shared" ca="1" si="3"/>
        <v>132791575885</v>
      </c>
      <c r="M40" s="122"/>
      <c r="N40" s="122"/>
      <c r="O40" s="122"/>
      <c r="P40" s="122"/>
      <c r="Q40" s="122"/>
      <c r="R40" s="122"/>
      <c r="S40" s="122"/>
    </row>
    <row r="41" spans="2:22">
      <c r="B41" t="s">
        <v>521</v>
      </c>
      <c r="C41" s="133" t="s">
        <v>27</v>
      </c>
      <c r="D41" t="str">
        <f t="shared" si="4"/>
        <v>Rótulos estão iguais</v>
      </c>
      <c r="E41" s="367" t="s">
        <v>525</v>
      </c>
      <c r="F41" s="368">
        <f ca="1">IFERROR(TRUNC(ROUND(1000*VLOOKUP($C41,INDIRECT($B41),F$33,FALSE),2),2),0)</f>
        <v>581745641380</v>
      </c>
      <c r="G41" s="368">
        <f ca="1">IFERROR(TRUNC(ROUND(1000*VLOOKUP($C41,INDIRECT($B41),G$33,FALSE),2),2),0)</f>
        <v>581745641380</v>
      </c>
      <c r="H41" s="368">
        <f>TRUNC(ROUND(VLOOKUP($C41,siconfi_rec_correntes,3,FALSE),2),2)</f>
        <v>0</v>
      </c>
      <c r="I41" s="369">
        <f t="shared" ca="1" si="1"/>
        <v>0</v>
      </c>
      <c r="J41" s="368">
        <f ca="1">IFERROR(TRUNC(ROUND(1000*VLOOKUP($C41,INDIRECT($B41),J$33,FALSE),2),2),0)</f>
        <v>451867443669</v>
      </c>
      <c r="K41" s="369">
        <f t="shared" ca="1" si="2"/>
        <v>77.67</v>
      </c>
      <c r="L41" s="370">
        <f t="shared" ca="1" si="3"/>
        <v>129878197711</v>
      </c>
      <c r="M41" s="122"/>
      <c r="N41" s="122"/>
      <c r="O41" s="122"/>
      <c r="P41" s="122"/>
      <c r="Q41" s="122"/>
      <c r="R41" s="122"/>
      <c r="S41" s="122"/>
    </row>
    <row r="42" spans="2:22">
      <c r="B42" t="s">
        <v>521</v>
      </c>
      <c r="C42" s="133" t="s">
        <v>28</v>
      </c>
      <c r="D42" t="str">
        <f t="shared" si="4"/>
        <v>Rótulos estão iguais</v>
      </c>
      <c r="E42" s="367" t="s">
        <v>526</v>
      </c>
      <c r="F42" s="368">
        <f t="shared" ref="F42:G43" ca="1" si="5">IFERROR(TRUNC(ROUND(1000*VLOOKUP($C42,INDIRECT($B42),F$33,FALSE),2),2),0)</f>
        <v>7749041841</v>
      </c>
      <c r="G42" s="368">
        <f t="shared" ca="1" si="5"/>
        <v>7749041841</v>
      </c>
      <c r="H42" s="368">
        <f>TRUNC(ROUND(VLOOKUP($C42,siconfi_rec_correntes,3,FALSE),2),2)</f>
        <v>0</v>
      </c>
      <c r="I42" s="369">
        <f t="shared" ca="1" si="1"/>
        <v>0</v>
      </c>
      <c r="J42" s="368">
        <f t="shared" ref="J42:J43" ca="1" si="6">IFERROR(TRUNC(ROUND(1000*VLOOKUP($C42,INDIRECT($B42),J$33,FALSE),2),2),0)</f>
        <v>4835663667</v>
      </c>
      <c r="K42" s="369">
        <f t="shared" ca="1" si="2"/>
        <v>62.4</v>
      </c>
      <c r="L42" s="370">
        <f t="shared" ca="1" si="3"/>
        <v>2913378174</v>
      </c>
      <c r="M42" s="122"/>
      <c r="N42" s="122"/>
      <c r="O42" s="122"/>
      <c r="P42" s="122"/>
      <c r="Q42" s="122"/>
      <c r="R42" s="122"/>
      <c r="S42" s="122"/>
    </row>
    <row r="43" spans="2:22">
      <c r="B43" t="s">
        <v>521</v>
      </c>
      <c r="D43" t="str">
        <f t="shared" si="4"/>
        <v>Rótulos estão diferentes</v>
      </c>
      <c r="E43" s="367" t="s">
        <v>527</v>
      </c>
      <c r="F43" s="368">
        <f t="shared" ca="1" si="5"/>
        <v>0</v>
      </c>
      <c r="G43" s="368">
        <f t="shared" ca="1" si="5"/>
        <v>0</v>
      </c>
      <c r="H43" s="368"/>
      <c r="I43" s="369">
        <f t="shared" ca="1" si="1"/>
        <v>0</v>
      </c>
      <c r="J43" s="368">
        <f t="shared" ca="1" si="6"/>
        <v>0</v>
      </c>
      <c r="K43" s="369">
        <f t="shared" ca="1" si="2"/>
        <v>0</v>
      </c>
      <c r="L43" s="370">
        <f t="shared" ca="1" si="3"/>
        <v>0</v>
      </c>
      <c r="M43" s="122"/>
      <c r="N43" s="122"/>
      <c r="O43" s="122"/>
      <c r="P43" s="122"/>
      <c r="Q43" s="122"/>
      <c r="R43" s="122"/>
      <c r="S43" s="122"/>
    </row>
    <row r="44" spans="2:22">
      <c r="B44" t="s">
        <v>521</v>
      </c>
      <c r="C44" s="133" t="s">
        <v>29</v>
      </c>
      <c r="D44" t="str">
        <f t="shared" si="4"/>
        <v>Rótulos estão iguais</v>
      </c>
      <c r="E44" s="363" t="s">
        <v>528</v>
      </c>
      <c r="F44" s="371">
        <f ca="1">+F45+F46+F47</f>
        <v>884493099653</v>
      </c>
      <c r="G44" s="371">
        <f ca="1">+G45+G46+G47</f>
        <v>884493099653</v>
      </c>
      <c r="H44" s="371">
        <f>+H45+H46+H47</f>
        <v>0</v>
      </c>
      <c r="I44" s="372">
        <f t="shared" ca="1" si="1"/>
        <v>0</v>
      </c>
      <c r="J44" s="371">
        <f ca="1">+J45+J46+J47</f>
        <v>626839888471</v>
      </c>
      <c r="K44" s="365">
        <f t="shared" ca="1" si="2"/>
        <v>70.87</v>
      </c>
      <c r="L44" s="373">
        <f t="shared" ca="1" si="3"/>
        <v>257653211182</v>
      </c>
      <c r="M44" s="122"/>
      <c r="N44" s="122"/>
      <c r="O44" s="122"/>
      <c r="P44" s="122"/>
      <c r="Q44" s="122"/>
      <c r="R44" s="122"/>
      <c r="S44" s="122"/>
    </row>
    <row r="45" spans="2:22">
      <c r="B45" t="s">
        <v>521</v>
      </c>
      <c r="C45" s="133" t="s">
        <v>30</v>
      </c>
      <c r="D45" t="str">
        <f t="shared" si="4"/>
        <v>Rótulos estão iguais</v>
      </c>
      <c r="E45" s="367" t="s">
        <v>529</v>
      </c>
      <c r="F45" s="368">
        <f t="shared" ref="F45:G47" ca="1" si="7">IFERROR(TRUNC(ROUND(1000*VLOOKUP($C45,INDIRECT($B45),F$33,FALSE),2),2),0)</f>
        <v>869209178264</v>
      </c>
      <c r="G45" s="368">
        <f t="shared" ca="1" si="7"/>
        <v>869209178264</v>
      </c>
      <c r="H45" s="368">
        <f>TRUNC(ROUND(VLOOKUP($C45,siconfi_rec_correntes,3,FALSE),2),2)</f>
        <v>0</v>
      </c>
      <c r="I45" s="369">
        <f t="shared" ca="1" si="1"/>
        <v>0</v>
      </c>
      <c r="J45" s="368">
        <f t="shared" ref="J45:J47" ca="1" si="8">IFERROR(TRUNC(ROUND(1000*VLOOKUP($C45,INDIRECT($B45),J$33,FALSE),2),2),0)</f>
        <v>610268252416</v>
      </c>
      <c r="K45" s="369">
        <f t="shared" ca="1" si="2"/>
        <v>70.209999999999994</v>
      </c>
      <c r="L45" s="370">
        <f t="shared" ca="1" si="3"/>
        <v>258940925848</v>
      </c>
      <c r="M45" s="122"/>
      <c r="N45" s="122"/>
      <c r="O45" s="122"/>
      <c r="P45" s="122"/>
      <c r="Q45" s="122"/>
      <c r="R45" s="122"/>
      <c r="S45" s="122"/>
    </row>
    <row r="46" spans="2:22">
      <c r="B46" t="s">
        <v>521</v>
      </c>
      <c r="C46" s="133" t="s">
        <v>31</v>
      </c>
      <c r="D46" t="str">
        <f t="shared" si="4"/>
        <v>Rótulos estão diferentes</v>
      </c>
      <c r="E46" s="367" t="s">
        <v>530</v>
      </c>
      <c r="F46" s="368">
        <f t="shared" ca="1" si="7"/>
        <v>15283921389</v>
      </c>
      <c r="G46" s="368">
        <f t="shared" ca="1" si="7"/>
        <v>15283921389</v>
      </c>
      <c r="H46" s="368">
        <f>TRUNC(ROUND(VLOOKUP($C46,siconfi_rec_correntes,3,FALSE),2),2)</f>
        <v>0</v>
      </c>
      <c r="I46" s="369">
        <f t="shared" ca="1" si="1"/>
        <v>0</v>
      </c>
      <c r="J46" s="368">
        <f t="shared" ca="1" si="8"/>
        <v>16571636055</v>
      </c>
      <c r="K46" s="369">
        <f t="shared" ca="1" si="2"/>
        <v>108.43</v>
      </c>
      <c r="L46" s="370">
        <f t="shared" ca="1" si="3"/>
        <v>-1287714666</v>
      </c>
      <c r="M46" s="122"/>
      <c r="N46" s="122"/>
      <c r="O46" s="122"/>
      <c r="P46" s="122"/>
      <c r="Q46" s="122"/>
      <c r="R46" s="122"/>
      <c r="S46" s="122"/>
    </row>
    <row r="47" spans="2:22" ht="27.75">
      <c r="B47" t="s">
        <v>521</v>
      </c>
      <c r="C47" s="167" t="s">
        <v>32</v>
      </c>
      <c r="D47" t="str">
        <f t="shared" si="4"/>
        <v>Rótulos estão iguais</v>
      </c>
      <c r="E47" s="367" t="s">
        <v>32</v>
      </c>
      <c r="F47" s="368">
        <f t="shared" ca="1" si="7"/>
        <v>0</v>
      </c>
      <c r="G47" s="368">
        <f t="shared" ca="1" si="7"/>
        <v>0</v>
      </c>
      <c r="H47" s="368">
        <f>TRUNC(ROUND(VLOOKUP($C47,siconfi_rec_correntes,3,FALSE),2),2)</f>
        <v>0</v>
      </c>
      <c r="I47" s="369">
        <f t="shared" ca="1" si="1"/>
        <v>0</v>
      </c>
      <c r="J47" s="368">
        <f t="shared" ca="1" si="8"/>
        <v>0</v>
      </c>
      <c r="K47" s="369">
        <f t="shared" ca="1" si="2"/>
        <v>0</v>
      </c>
      <c r="L47" s="370">
        <f t="shared" ca="1" si="3"/>
        <v>0</v>
      </c>
      <c r="M47" s="122"/>
      <c r="N47" s="122"/>
      <c r="O47" s="122"/>
      <c r="P47" s="122"/>
      <c r="Q47" s="122"/>
      <c r="R47" s="122"/>
      <c r="S47" s="122"/>
    </row>
    <row r="48" spans="2:22">
      <c r="B48" t="s">
        <v>521</v>
      </c>
      <c r="C48" s="133" t="s">
        <v>33</v>
      </c>
      <c r="D48" t="str">
        <f t="shared" si="4"/>
        <v>Rótulos estão iguais</v>
      </c>
      <c r="E48" s="363" t="s">
        <v>531</v>
      </c>
      <c r="F48" s="371">
        <f ca="1">+F49+F50+F51+F54+F55+F52+F53</f>
        <v>91079246822</v>
      </c>
      <c r="G48" s="371">
        <f ca="1">+G49+G50+G51+G54+G55+G52+G53</f>
        <v>91079246822</v>
      </c>
      <c r="H48" s="371">
        <f>+H49+H50+H51+H54+H55+H52+H53</f>
        <v>0</v>
      </c>
      <c r="I48" s="372">
        <f t="shared" ca="1" si="1"/>
        <v>0</v>
      </c>
      <c r="J48" s="371">
        <f ca="1">+J49+J50+J51+J54+J55+J52+J53</f>
        <v>103580156315</v>
      </c>
      <c r="K48" s="365">
        <f t="shared" ca="1" si="2"/>
        <v>113.73</v>
      </c>
      <c r="L48" s="373">
        <f t="shared" ca="1" si="3"/>
        <v>-12500909493</v>
      </c>
      <c r="M48" s="122"/>
      <c r="N48" s="122"/>
      <c r="O48" s="122"/>
      <c r="P48" s="122"/>
      <c r="Q48" s="122"/>
      <c r="R48" s="122"/>
      <c r="S48" s="122"/>
    </row>
    <row r="49" spans="2:19">
      <c r="B49" t="s">
        <v>521</v>
      </c>
      <c r="C49" s="133" t="s">
        <v>34</v>
      </c>
      <c r="D49" t="str">
        <f t="shared" si="4"/>
        <v>Rótulos estão iguais</v>
      </c>
      <c r="E49" s="367" t="s">
        <v>532</v>
      </c>
      <c r="F49" s="368">
        <f t="shared" ref="F49:G65" ca="1" si="9">IFERROR(TRUNC(ROUND(1000*VLOOKUP($C49,INDIRECT($B49),F$33,FALSE),2),2),0)</f>
        <v>2453289222</v>
      </c>
      <c r="G49" s="368">
        <f t="shared" ca="1" si="9"/>
        <v>2453289222</v>
      </c>
      <c r="H49" s="368">
        <f t="shared" ref="H49:H57" si="10">TRUNC(ROUND(VLOOKUP($C49,siconfi_rec_correntes,3,FALSE),2),2)</f>
        <v>0</v>
      </c>
      <c r="I49" s="369">
        <f t="shared" ca="1" si="1"/>
        <v>0</v>
      </c>
      <c r="J49" s="368">
        <f t="shared" ref="J49:J57" ca="1" si="11">IFERROR(TRUNC(ROUND(1000*VLOOKUP($C49,INDIRECT($B49),J$33,FALSE),2),2),0)</f>
        <v>1955220004</v>
      </c>
      <c r="K49" s="369">
        <f t="shared" ca="1" si="2"/>
        <v>79.7</v>
      </c>
      <c r="L49" s="370">
        <f t="shared" ca="1" si="3"/>
        <v>498069218</v>
      </c>
      <c r="M49" s="122"/>
      <c r="N49" s="122"/>
      <c r="O49" s="122"/>
      <c r="P49" s="122"/>
      <c r="Q49" s="122"/>
      <c r="R49" s="122"/>
      <c r="S49" s="122"/>
    </row>
    <row r="50" spans="2:19">
      <c r="B50" t="s">
        <v>521</v>
      </c>
      <c r="C50" s="133" t="s">
        <v>35</v>
      </c>
      <c r="D50" t="str">
        <f t="shared" si="4"/>
        <v>Rótulos estão iguais</v>
      </c>
      <c r="E50" s="367" t="s">
        <v>533</v>
      </c>
      <c r="F50" s="368">
        <f t="shared" ca="1" si="9"/>
        <v>19944753104</v>
      </c>
      <c r="G50" s="368">
        <f t="shared" ca="1" si="9"/>
        <v>19944753104</v>
      </c>
      <c r="H50" s="368">
        <f t="shared" si="10"/>
        <v>0</v>
      </c>
      <c r="I50" s="369">
        <f t="shared" ca="1" si="1"/>
        <v>0</v>
      </c>
      <c r="J50" s="368">
        <f t="shared" ca="1" si="11"/>
        <v>34392816486</v>
      </c>
      <c r="K50" s="369">
        <f t="shared" ca="1" si="2"/>
        <v>172.44</v>
      </c>
      <c r="L50" s="370">
        <f t="shared" ca="1" si="3"/>
        <v>-14448063382</v>
      </c>
      <c r="M50" s="122"/>
      <c r="N50" s="122"/>
      <c r="O50" s="122"/>
      <c r="P50" s="122"/>
      <c r="Q50" s="122"/>
      <c r="R50" s="122"/>
      <c r="S50" s="122"/>
    </row>
    <row r="51" spans="2:19">
      <c r="B51" t="s">
        <v>521</v>
      </c>
      <c r="C51" s="133" t="s">
        <v>36</v>
      </c>
      <c r="D51" t="str">
        <f t="shared" si="4"/>
        <v>Rótulos estão iguais</v>
      </c>
      <c r="E51" s="367" t="s">
        <v>534</v>
      </c>
      <c r="F51" s="368">
        <f t="shared" ca="1" si="9"/>
        <v>3843891634</v>
      </c>
      <c r="G51" s="368">
        <f t="shared" ca="1" si="9"/>
        <v>3843891634</v>
      </c>
      <c r="H51" s="368">
        <f t="shared" si="10"/>
        <v>0</v>
      </c>
      <c r="I51" s="369">
        <f t="shared" ca="1" si="1"/>
        <v>0</v>
      </c>
      <c r="J51" s="368">
        <f t="shared" ca="1" si="11"/>
        <v>1380964541</v>
      </c>
      <c r="K51" s="369">
        <f t="shared" ca="1" si="2"/>
        <v>35.93</v>
      </c>
      <c r="L51" s="370">
        <f t="shared" ca="1" si="3"/>
        <v>2462927093</v>
      </c>
      <c r="M51" s="122"/>
      <c r="N51" s="122"/>
      <c r="O51" s="122"/>
      <c r="P51" s="122"/>
      <c r="Q51" s="122"/>
      <c r="R51" s="122"/>
      <c r="S51" s="122"/>
    </row>
    <row r="52" spans="2:19">
      <c r="B52" t="s">
        <v>521</v>
      </c>
      <c r="C52" s="133" t="s">
        <v>37</v>
      </c>
      <c r="D52" t="str">
        <f t="shared" si="4"/>
        <v>Rótulos estão iguais</v>
      </c>
      <c r="E52" s="367" t="s">
        <v>535</v>
      </c>
      <c r="F52" s="368">
        <f t="shared" ca="1" si="9"/>
        <v>58718265567</v>
      </c>
      <c r="G52" s="368">
        <f t="shared" ca="1" si="9"/>
        <v>58718265567</v>
      </c>
      <c r="H52" s="368">
        <f t="shared" si="10"/>
        <v>0</v>
      </c>
      <c r="I52" s="369">
        <f t="shared" ca="1" si="1"/>
        <v>0</v>
      </c>
      <c r="J52" s="368">
        <f t="shared" ca="1" si="11"/>
        <v>61044511258</v>
      </c>
      <c r="K52" s="369">
        <f t="shared" ca="1" si="2"/>
        <v>103.96</v>
      </c>
      <c r="L52" s="370">
        <f t="shared" ca="1" si="3"/>
        <v>-2326245691</v>
      </c>
      <c r="M52" s="122"/>
      <c r="N52" s="122"/>
      <c r="O52" s="122"/>
      <c r="P52" s="122"/>
      <c r="Q52" s="122"/>
      <c r="R52" s="122"/>
      <c r="S52" s="122"/>
    </row>
    <row r="53" spans="2:19">
      <c r="B53" t="s">
        <v>521</v>
      </c>
      <c r="C53" s="133" t="s">
        <v>38</v>
      </c>
      <c r="D53" t="str">
        <f t="shared" si="4"/>
        <v>Rótulos estão iguais</v>
      </c>
      <c r="E53" s="367" t="s">
        <v>536</v>
      </c>
      <c r="F53" s="368">
        <f t="shared" ca="1" si="9"/>
        <v>20855</v>
      </c>
      <c r="G53" s="368">
        <f t="shared" ca="1" si="9"/>
        <v>20855</v>
      </c>
      <c r="H53" s="368">
        <f t="shared" si="10"/>
        <v>0</v>
      </c>
      <c r="I53" s="369">
        <f t="shared" ca="1" si="1"/>
        <v>0</v>
      </c>
      <c r="J53" s="368">
        <f t="shared" ca="1" si="11"/>
        <v>10388</v>
      </c>
      <c r="K53" s="369">
        <f t="shared" ca="1" si="2"/>
        <v>49.81</v>
      </c>
      <c r="L53" s="370">
        <f t="shared" ca="1" si="3"/>
        <v>10467</v>
      </c>
      <c r="M53" s="122"/>
      <c r="N53" s="122"/>
      <c r="O53" s="122"/>
      <c r="P53" s="122"/>
      <c r="Q53" s="122"/>
      <c r="R53" s="122"/>
      <c r="S53" s="122"/>
    </row>
    <row r="54" spans="2:19">
      <c r="B54" t="s">
        <v>521</v>
      </c>
      <c r="C54" s="133" t="s">
        <v>39</v>
      </c>
      <c r="D54" t="str">
        <f t="shared" si="4"/>
        <v>Rótulos estão iguais</v>
      </c>
      <c r="E54" s="367" t="s">
        <v>537</v>
      </c>
      <c r="F54" s="368">
        <f t="shared" ca="1" si="9"/>
        <v>3732646482</v>
      </c>
      <c r="G54" s="368">
        <f t="shared" ca="1" si="9"/>
        <v>3732646482</v>
      </c>
      <c r="H54" s="368">
        <f t="shared" si="10"/>
        <v>0</v>
      </c>
      <c r="I54" s="369">
        <f t="shared" ca="1" si="1"/>
        <v>0</v>
      </c>
      <c r="J54" s="368">
        <f t="shared" ca="1" si="11"/>
        <v>2908180881</v>
      </c>
      <c r="K54" s="369">
        <f t="shared" ca="1" si="2"/>
        <v>77.91</v>
      </c>
      <c r="L54" s="370">
        <f t="shared" ca="1" si="3"/>
        <v>824465601</v>
      </c>
      <c r="M54" s="122"/>
      <c r="N54" s="122"/>
      <c r="O54" s="122"/>
      <c r="P54" s="122"/>
      <c r="Q54" s="122"/>
      <c r="R54" s="122"/>
      <c r="S54" s="122"/>
    </row>
    <row r="55" spans="2:19">
      <c r="B55" t="s">
        <v>521</v>
      </c>
      <c r="C55" s="133" t="s">
        <v>40</v>
      </c>
      <c r="D55" t="str">
        <f t="shared" si="4"/>
        <v>Rótulos estão iguais</v>
      </c>
      <c r="E55" s="367" t="s">
        <v>538</v>
      </c>
      <c r="F55" s="368">
        <f ca="1">IFERROR(TRUNC(ROUND(1000*VLOOKUP($C55,INDIRECT($B55),F$33,FALSE),2),2),0)</f>
        <v>2386379958</v>
      </c>
      <c r="G55" s="368">
        <f t="shared" ca="1" si="9"/>
        <v>2386379958</v>
      </c>
      <c r="H55" s="368">
        <f t="shared" si="10"/>
        <v>0</v>
      </c>
      <c r="I55" s="369">
        <f t="shared" ca="1" si="1"/>
        <v>0</v>
      </c>
      <c r="J55" s="368">
        <f t="shared" ca="1" si="11"/>
        <v>1898452757</v>
      </c>
      <c r="K55" s="369">
        <f t="shared" ca="1" si="2"/>
        <v>79.55</v>
      </c>
      <c r="L55" s="370">
        <f t="shared" ca="1" si="3"/>
        <v>487927201</v>
      </c>
      <c r="M55" s="122"/>
      <c r="N55" s="122"/>
      <c r="O55" s="122"/>
      <c r="P55" s="122"/>
      <c r="Q55" s="122"/>
      <c r="R55" s="122"/>
      <c r="S55" s="122"/>
    </row>
    <row r="56" spans="2:19">
      <c r="B56" t="s">
        <v>521</v>
      </c>
      <c r="C56" s="133" t="s">
        <v>41</v>
      </c>
      <c r="D56" t="str">
        <f t="shared" si="4"/>
        <v>Rótulos estão iguais</v>
      </c>
      <c r="E56" s="367" t="s">
        <v>539</v>
      </c>
      <c r="F56" s="368">
        <f t="shared" ref="F56:G71" ca="1" si="12">IFERROR(TRUNC(ROUND(1000*VLOOKUP($C56,INDIRECT($B56),F$33,FALSE),2),2),0)</f>
        <v>23008380</v>
      </c>
      <c r="G56" s="368">
        <f t="shared" ca="1" si="9"/>
        <v>23008380</v>
      </c>
      <c r="H56" s="368">
        <f t="shared" si="10"/>
        <v>0</v>
      </c>
      <c r="I56" s="369">
        <f t="shared" ca="1" si="1"/>
        <v>0</v>
      </c>
      <c r="J56" s="368">
        <f t="shared" ca="1" si="11"/>
        <v>19647631</v>
      </c>
      <c r="K56" s="369">
        <f t="shared" ca="1" si="2"/>
        <v>85.39</v>
      </c>
      <c r="L56" s="370">
        <f t="shared" ca="1" si="3"/>
        <v>3360749</v>
      </c>
      <c r="M56" s="122"/>
      <c r="N56" s="122"/>
      <c r="O56" s="122"/>
      <c r="P56" s="122"/>
      <c r="Q56" s="122"/>
      <c r="R56" s="122"/>
      <c r="S56" s="122"/>
    </row>
    <row r="57" spans="2:19">
      <c r="B57" t="s">
        <v>521</v>
      </c>
      <c r="C57" s="133" t="s">
        <v>42</v>
      </c>
      <c r="D57" t="str">
        <f t="shared" si="4"/>
        <v>Rótulos estão iguais</v>
      </c>
      <c r="E57" s="367" t="s">
        <v>540</v>
      </c>
      <c r="F57" s="368">
        <f t="shared" ca="1" si="12"/>
        <v>2060501928</v>
      </c>
      <c r="G57" s="368">
        <f t="shared" ca="1" si="9"/>
        <v>2060501928</v>
      </c>
      <c r="H57" s="368">
        <f t="shared" si="10"/>
        <v>0</v>
      </c>
      <c r="I57" s="369">
        <f t="shared" ca="1" si="1"/>
        <v>0</v>
      </c>
      <c r="J57" s="368">
        <f t="shared" ca="1" si="11"/>
        <v>1328835297</v>
      </c>
      <c r="K57" s="369">
        <f t="shared" ca="1" si="2"/>
        <v>64.489999999999995</v>
      </c>
      <c r="L57" s="370">
        <f t="shared" ca="1" si="3"/>
        <v>731666631</v>
      </c>
      <c r="M57" s="122"/>
      <c r="N57" s="122"/>
      <c r="O57" s="122"/>
      <c r="P57" s="122"/>
      <c r="Q57" s="122"/>
      <c r="R57" s="122"/>
      <c r="S57" s="122"/>
    </row>
    <row r="58" spans="2:19">
      <c r="B58" t="s">
        <v>521</v>
      </c>
      <c r="C58" s="133" t="s">
        <v>43</v>
      </c>
      <c r="D58" t="str">
        <f t="shared" si="4"/>
        <v>Rótulos estão iguais</v>
      </c>
      <c r="E58" s="363" t="s">
        <v>541</v>
      </c>
      <c r="F58" s="371">
        <f ca="1">SUM(F59:F63)</f>
        <v>45670055242</v>
      </c>
      <c r="G58" s="371">
        <f ca="1">SUM(G59:G63)</f>
        <v>45670055242</v>
      </c>
      <c r="H58" s="371">
        <f>+H59+H60+H61+H62+H63</f>
        <v>0</v>
      </c>
      <c r="I58" s="372">
        <f t="shared" ca="1" si="1"/>
        <v>0</v>
      </c>
      <c r="J58" s="371">
        <f ca="1">+J59+J60+J61+J62+J63</f>
        <v>36411703649</v>
      </c>
      <c r="K58" s="365">
        <f t="shared" ca="1" si="2"/>
        <v>79.73</v>
      </c>
      <c r="L58" s="373">
        <f t="shared" ca="1" si="3"/>
        <v>9258351593</v>
      </c>
      <c r="M58" s="122"/>
      <c r="N58" s="122"/>
      <c r="O58" s="122"/>
      <c r="P58" s="122"/>
      <c r="Q58" s="122"/>
      <c r="R58" s="122"/>
      <c r="S58" s="122"/>
    </row>
    <row r="59" spans="2:19">
      <c r="B59" t="s">
        <v>521</v>
      </c>
      <c r="C59" s="133" t="s">
        <v>44</v>
      </c>
      <c r="D59" t="str">
        <f t="shared" si="4"/>
        <v>Rótulos estão iguais</v>
      </c>
      <c r="E59" s="367" t="s">
        <v>542</v>
      </c>
      <c r="F59" s="368">
        <f t="shared" ca="1" si="12"/>
        <v>3331667331</v>
      </c>
      <c r="G59" s="368">
        <f t="shared" ca="1" si="9"/>
        <v>3331667331</v>
      </c>
      <c r="H59" s="368">
        <f>TRUNC(ROUND(VLOOKUP($C59,siconfi_rec_correntes,3,FALSE),2),2)</f>
        <v>0</v>
      </c>
      <c r="I59" s="369">
        <f t="shared" ca="1" si="1"/>
        <v>0</v>
      </c>
      <c r="J59" s="368">
        <f t="shared" ref="J59:J63" ca="1" si="13">IFERROR(TRUNC(ROUND(1000*VLOOKUP($C59,INDIRECT($B59),J$33,FALSE),2),2),0)</f>
        <v>2818567460</v>
      </c>
      <c r="K59" s="369">
        <f t="shared" ca="1" si="2"/>
        <v>84.6</v>
      </c>
      <c r="L59" s="370">
        <f t="shared" ca="1" si="3"/>
        <v>513099871</v>
      </c>
      <c r="M59" s="122"/>
      <c r="N59" s="122"/>
      <c r="O59" s="122"/>
      <c r="P59" s="122"/>
      <c r="Q59" s="122"/>
      <c r="R59" s="122"/>
      <c r="S59" s="122"/>
    </row>
    <row r="60" spans="2:19">
      <c r="B60" t="s">
        <v>521</v>
      </c>
      <c r="C60" s="133" t="s">
        <v>45</v>
      </c>
      <c r="D60" t="str">
        <f t="shared" si="4"/>
        <v>Rótulos estão iguais</v>
      </c>
      <c r="E60" s="367" t="s">
        <v>543</v>
      </c>
      <c r="F60" s="368">
        <f t="shared" ca="1" si="12"/>
        <v>3153330383</v>
      </c>
      <c r="G60" s="368">
        <f t="shared" ca="1" si="9"/>
        <v>3153330383</v>
      </c>
      <c r="H60" s="368">
        <f>TRUNC(ROUND(VLOOKUP($C60,siconfi_rec_correntes,3,FALSE),2),2)</f>
        <v>0</v>
      </c>
      <c r="I60" s="369">
        <f t="shared" ca="1" si="1"/>
        <v>0</v>
      </c>
      <c r="J60" s="368">
        <f t="shared" ca="1" si="13"/>
        <v>1335703789</v>
      </c>
      <c r="K60" s="369">
        <f t="shared" ca="1" si="2"/>
        <v>42.36</v>
      </c>
      <c r="L60" s="370">
        <f t="shared" ca="1" si="3"/>
        <v>1817626594</v>
      </c>
      <c r="M60" s="122"/>
      <c r="N60" s="122"/>
      <c r="O60" s="122"/>
      <c r="P60" s="122"/>
      <c r="Q60" s="122"/>
      <c r="R60" s="122"/>
      <c r="S60" s="122"/>
    </row>
    <row r="61" spans="2:19">
      <c r="B61" t="s">
        <v>521</v>
      </c>
      <c r="C61" s="133" t="s">
        <v>46</v>
      </c>
      <c r="D61" t="str">
        <f t="shared" si="4"/>
        <v>Rótulos estão iguais</v>
      </c>
      <c r="E61" s="367" t="s">
        <v>544</v>
      </c>
      <c r="F61" s="368">
        <f t="shared" ca="1" si="12"/>
        <v>2343884446</v>
      </c>
      <c r="G61" s="368">
        <f t="shared" ca="1" si="9"/>
        <v>2343884446</v>
      </c>
      <c r="H61" s="368">
        <f>TRUNC(ROUND(VLOOKUP($C61,siconfi_rec_correntes,3,FALSE),2),2)</f>
        <v>0</v>
      </c>
      <c r="I61" s="369">
        <f t="shared" ca="1" si="1"/>
        <v>0</v>
      </c>
      <c r="J61" s="368">
        <f t="shared" ca="1" si="13"/>
        <v>1449762409</v>
      </c>
      <c r="K61" s="369">
        <f t="shared" ca="1" si="2"/>
        <v>61.85</v>
      </c>
      <c r="L61" s="370">
        <f t="shared" ca="1" si="3"/>
        <v>894122037</v>
      </c>
      <c r="M61" s="122"/>
      <c r="N61" s="122"/>
      <c r="O61" s="122"/>
      <c r="P61" s="122"/>
      <c r="Q61" s="122"/>
      <c r="R61" s="122"/>
      <c r="S61" s="122"/>
    </row>
    <row r="62" spans="2:19">
      <c r="B62" t="s">
        <v>521</v>
      </c>
      <c r="C62" s="133" t="s">
        <v>47</v>
      </c>
      <c r="D62" t="str">
        <f t="shared" si="4"/>
        <v>Rótulos estão iguais</v>
      </c>
      <c r="E62" s="367" t="s">
        <v>545</v>
      </c>
      <c r="F62" s="368">
        <f t="shared" ca="1" si="12"/>
        <v>36820550348</v>
      </c>
      <c r="G62" s="368">
        <f t="shared" ca="1" si="9"/>
        <v>36820550348</v>
      </c>
      <c r="H62" s="368">
        <f>TRUNC(ROUND(VLOOKUP($C62,siconfi_rec_correntes,3,FALSE),2),2)</f>
        <v>0</v>
      </c>
      <c r="I62" s="369">
        <f t="shared" ca="1" si="1"/>
        <v>0</v>
      </c>
      <c r="J62" s="368">
        <f t="shared" ca="1" si="13"/>
        <v>30773524325</v>
      </c>
      <c r="K62" s="369">
        <f t="shared" ca="1" si="2"/>
        <v>83.58</v>
      </c>
      <c r="L62" s="370">
        <f t="shared" ca="1" si="3"/>
        <v>6047026023</v>
      </c>
      <c r="M62" s="122"/>
      <c r="N62" s="122"/>
      <c r="O62" s="122"/>
      <c r="P62" s="122"/>
      <c r="Q62" s="122"/>
      <c r="R62" s="122"/>
      <c r="S62" s="122"/>
    </row>
    <row r="63" spans="2:19">
      <c r="B63" t="s">
        <v>521</v>
      </c>
      <c r="C63" s="133" t="s">
        <v>48</v>
      </c>
      <c r="D63" t="str">
        <f t="shared" si="4"/>
        <v>Rótulos estão iguais</v>
      </c>
      <c r="E63" s="367" t="s">
        <v>546</v>
      </c>
      <c r="F63" s="368">
        <f t="shared" ca="1" si="12"/>
        <v>20622734</v>
      </c>
      <c r="G63" s="368">
        <f t="shared" ca="1" si="9"/>
        <v>20622734</v>
      </c>
      <c r="H63" s="368">
        <f>TRUNC(ROUND(VLOOKUP($C63,siconfi_rec_correntes,3,FALSE),2),2)</f>
        <v>0</v>
      </c>
      <c r="I63" s="369">
        <f t="shared" ca="1" si="1"/>
        <v>0</v>
      </c>
      <c r="J63" s="368">
        <f t="shared" ca="1" si="13"/>
        <v>34145666</v>
      </c>
      <c r="K63" s="369">
        <f t="shared" ca="1" si="2"/>
        <v>165.57</v>
      </c>
      <c r="L63" s="370">
        <f t="shared" ca="1" si="3"/>
        <v>-13522932</v>
      </c>
      <c r="M63" s="122"/>
      <c r="N63" s="122"/>
      <c r="O63" s="122"/>
      <c r="P63" s="122"/>
      <c r="Q63" s="122"/>
      <c r="R63" s="122"/>
      <c r="S63" s="122"/>
    </row>
    <row r="64" spans="2:19">
      <c r="B64" t="s">
        <v>521</v>
      </c>
      <c r="C64" s="133" t="s">
        <v>49</v>
      </c>
      <c r="D64" t="str">
        <f t="shared" si="4"/>
        <v>Rótulos estão iguais</v>
      </c>
      <c r="E64" s="363" t="s">
        <v>547</v>
      </c>
      <c r="F64" s="364">
        <f ca="1">+F65+F66+F67+F68+F69+F70+F71+F72</f>
        <v>459747933</v>
      </c>
      <c r="G64" s="364">
        <f ca="1">+G65+G66+G67+G68+G69+G70+G71+G72</f>
        <v>459747933</v>
      </c>
      <c r="H64" s="364">
        <f>+H65+H66+H67+H68+H69+H70+H71+H72</f>
        <v>0</v>
      </c>
      <c r="I64" s="365">
        <f t="shared" ca="1" si="1"/>
        <v>0</v>
      </c>
      <c r="J64" s="364">
        <f ca="1">+J65+J66+J67+J68+J69+J70+J71+J72</f>
        <v>413203803</v>
      </c>
      <c r="K64" s="365">
        <f t="shared" ca="1" si="2"/>
        <v>89.88</v>
      </c>
      <c r="L64" s="366">
        <f t="shared" ca="1" si="3"/>
        <v>46544130</v>
      </c>
      <c r="M64" s="122"/>
      <c r="N64" s="122"/>
      <c r="O64" s="122"/>
      <c r="P64" s="122"/>
      <c r="Q64" s="122"/>
      <c r="R64" s="122"/>
      <c r="S64" s="122"/>
    </row>
    <row r="65" spans="2:19">
      <c r="B65" t="s">
        <v>521</v>
      </c>
      <c r="C65" s="133" t="s">
        <v>50</v>
      </c>
      <c r="D65" t="str">
        <f t="shared" si="4"/>
        <v>Rótulos estão iguais</v>
      </c>
      <c r="E65" s="367" t="s">
        <v>548</v>
      </c>
      <c r="F65" s="368">
        <f t="shared" ca="1" si="12"/>
        <v>168314772</v>
      </c>
      <c r="G65" s="368">
        <f t="shared" ca="1" si="9"/>
        <v>168314772</v>
      </c>
      <c r="H65" s="368">
        <f t="shared" ref="H65:H72" si="14">TRUNC(ROUND(VLOOKUP($C65,siconfi_rec_correntes,3,FALSE),2),2)</f>
        <v>0</v>
      </c>
      <c r="I65" s="369">
        <f t="shared" ca="1" si="1"/>
        <v>0</v>
      </c>
      <c r="J65" s="368">
        <f t="shared" ref="J65:J72" ca="1" si="15">IFERROR(TRUNC(ROUND(1000*VLOOKUP($C65,INDIRECT($B65),J$33,FALSE),2),2),0)</f>
        <v>236521270</v>
      </c>
      <c r="K65" s="369">
        <f t="shared" ca="1" si="2"/>
        <v>140.52000000000001</v>
      </c>
      <c r="L65" s="370">
        <f t="shared" ca="1" si="3"/>
        <v>-68206498</v>
      </c>
      <c r="M65" s="122"/>
      <c r="N65" s="122"/>
      <c r="O65" s="122"/>
      <c r="P65" s="122"/>
      <c r="Q65" s="122"/>
      <c r="R65" s="122"/>
      <c r="S65" s="122"/>
    </row>
    <row r="66" spans="2:19">
      <c r="B66" t="s">
        <v>521</v>
      </c>
      <c r="C66" s="133" t="s">
        <v>51</v>
      </c>
      <c r="D66" t="str">
        <f t="shared" si="4"/>
        <v>Rótulos estão iguais</v>
      </c>
      <c r="E66" s="367" t="s">
        <v>549</v>
      </c>
      <c r="F66" s="368">
        <f t="shared" ca="1" si="12"/>
        <v>27388898</v>
      </c>
      <c r="G66" s="368">
        <f t="shared" ca="1" si="12"/>
        <v>27388898</v>
      </c>
      <c r="H66" s="368">
        <f t="shared" si="14"/>
        <v>0</v>
      </c>
      <c r="I66" s="369">
        <f t="shared" ca="1" si="1"/>
        <v>0</v>
      </c>
      <c r="J66" s="368">
        <f t="shared" ca="1" si="15"/>
        <v>22703406</v>
      </c>
      <c r="K66" s="369">
        <f t="shared" ca="1" si="2"/>
        <v>82.89</v>
      </c>
      <c r="L66" s="370">
        <f t="shared" ca="1" si="3"/>
        <v>4685492</v>
      </c>
      <c r="M66" s="122"/>
      <c r="N66" s="122"/>
      <c r="O66" s="122"/>
      <c r="P66" s="122"/>
      <c r="Q66" s="122"/>
      <c r="R66" s="122"/>
      <c r="S66" s="122"/>
    </row>
    <row r="67" spans="2:19">
      <c r="B67" t="s">
        <v>521</v>
      </c>
      <c r="C67" s="133" t="s">
        <v>52</v>
      </c>
      <c r="D67" t="str">
        <f t="shared" si="4"/>
        <v>Rótulos estão iguais</v>
      </c>
      <c r="E67" s="367" t="s">
        <v>550</v>
      </c>
      <c r="F67" s="368">
        <f t="shared" ca="1" si="12"/>
        <v>1459866</v>
      </c>
      <c r="G67" s="368">
        <f t="shared" ca="1" si="12"/>
        <v>1459866</v>
      </c>
      <c r="H67" s="368">
        <f t="shared" si="14"/>
        <v>0</v>
      </c>
      <c r="I67" s="369">
        <f t="shared" ca="1" si="1"/>
        <v>0</v>
      </c>
      <c r="J67" s="368">
        <f t="shared" ca="1" si="15"/>
        <v>4161083</v>
      </c>
      <c r="K67" s="369">
        <f t="shared" ca="1" si="2"/>
        <v>285.02999999999997</v>
      </c>
      <c r="L67" s="370">
        <f t="shared" ca="1" si="3"/>
        <v>-2701217</v>
      </c>
      <c r="M67" s="122"/>
      <c r="N67" s="122"/>
      <c r="O67" s="122"/>
      <c r="P67" s="122"/>
      <c r="Q67" s="122"/>
      <c r="R67" s="122"/>
      <c r="S67" s="122"/>
    </row>
    <row r="68" spans="2:19">
      <c r="B68" t="s">
        <v>521</v>
      </c>
      <c r="C68" s="133" t="s">
        <v>53</v>
      </c>
      <c r="D68" t="str">
        <f t="shared" si="4"/>
        <v>Rótulos estão iguais</v>
      </c>
      <c r="E68" s="367" t="s">
        <v>551</v>
      </c>
      <c r="F68" s="368">
        <f t="shared" ca="1" si="12"/>
        <v>254820146</v>
      </c>
      <c r="G68" s="368">
        <f t="shared" ca="1" si="12"/>
        <v>254820146</v>
      </c>
      <c r="H68" s="368">
        <f t="shared" si="14"/>
        <v>0</v>
      </c>
      <c r="I68" s="369">
        <f t="shared" ca="1" si="1"/>
        <v>0</v>
      </c>
      <c r="J68" s="368">
        <f t="shared" ca="1" si="15"/>
        <v>145087439</v>
      </c>
      <c r="K68" s="369">
        <f t="shared" ca="1" si="2"/>
        <v>56.94</v>
      </c>
      <c r="L68" s="370">
        <f t="shared" ca="1" si="3"/>
        <v>109732707</v>
      </c>
      <c r="M68" s="122"/>
      <c r="N68" s="122"/>
      <c r="O68" s="122"/>
      <c r="P68" s="122"/>
      <c r="Q68" s="122"/>
      <c r="R68" s="122"/>
      <c r="S68" s="122"/>
    </row>
    <row r="69" spans="2:19">
      <c r="B69" t="s">
        <v>521</v>
      </c>
      <c r="C69" s="134" t="s">
        <v>54</v>
      </c>
      <c r="D69" t="str">
        <f t="shared" si="4"/>
        <v>Rótulos estão iguais</v>
      </c>
      <c r="E69" s="367" t="s">
        <v>552</v>
      </c>
      <c r="F69" s="368">
        <f t="shared" ca="1" si="12"/>
        <v>0</v>
      </c>
      <c r="G69" s="368">
        <f t="shared" ca="1" si="12"/>
        <v>0</v>
      </c>
      <c r="H69" s="368">
        <f t="shared" si="14"/>
        <v>0</v>
      </c>
      <c r="I69" s="369">
        <f t="shared" ca="1" si="1"/>
        <v>0</v>
      </c>
      <c r="J69" s="368">
        <f t="shared" ca="1" si="15"/>
        <v>0</v>
      </c>
      <c r="K69" s="369">
        <f t="shared" ca="1" si="2"/>
        <v>0</v>
      </c>
      <c r="L69" s="370">
        <f t="shared" ca="1" si="3"/>
        <v>0</v>
      </c>
      <c r="M69" s="122"/>
      <c r="N69" s="122"/>
      <c r="O69" s="122"/>
      <c r="P69" s="122"/>
      <c r="Q69" s="122"/>
      <c r="R69" s="122"/>
      <c r="S69" s="122"/>
    </row>
    <row r="70" spans="2:19">
      <c r="B70" t="s">
        <v>521</v>
      </c>
      <c r="C70" s="133" t="s">
        <v>55</v>
      </c>
      <c r="D70" t="str">
        <f t="shared" si="4"/>
        <v>Rótulos estão iguais</v>
      </c>
      <c r="E70" s="367" t="s">
        <v>553</v>
      </c>
      <c r="F70" s="368">
        <f t="shared" ca="1" si="12"/>
        <v>6500000</v>
      </c>
      <c r="G70" s="368">
        <f t="shared" ca="1" si="12"/>
        <v>6500000</v>
      </c>
      <c r="H70" s="368">
        <f t="shared" si="14"/>
        <v>0</v>
      </c>
      <c r="I70" s="369">
        <f t="shared" ref="I70:I101" ca="1" si="16">IFERROR(ROUND(100*H70/G70,2),0)</f>
        <v>0</v>
      </c>
      <c r="J70" s="368">
        <f t="shared" ca="1" si="15"/>
        <v>335362</v>
      </c>
      <c r="K70" s="369">
        <f t="shared" ref="K70:K101" ca="1" si="17">IFERROR(ROUND(100*J70/G70,2),0)</f>
        <v>5.16</v>
      </c>
      <c r="L70" s="370">
        <f t="shared" ref="L70:L101" ca="1" si="18">G70-J70</f>
        <v>6164638</v>
      </c>
      <c r="M70" s="122"/>
      <c r="N70" s="122"/>
      <c r="O70" s="122"/>
      <c r="P70" s="122"/>
      <c r="Q70" s="122"/>
      <c r="R70" s="122"/>
      <c r="S70" s="122"/>
    </row>
    <row r="71" spans="2:19">
      <c r="B71" t="s">
        <v>521</v>
      </c>
      <c r="C71" s="133" t="s">
        <v>56</v>
      </c>
      <c r="D71" t="str">
        <f t="shared" si="4"/>
        <v>Rótulos estão iguais</v>
      </c>
      <c r="E71" s="367" t="s">
        <v>554</v>
      </c>
      <c r="F71" s="368">
        <f t="shared" ca="1" si="12"/>
        <v>1250365</v>
      </c>
      <c r="G71" s="368">
        <f t="shared" ca="1" si="12"/>
        <v>1250365</v>
      </c>
      <c r="H71" s="368">
        <f t="shared" si="14"/>
        <v>0</v>
      </c>
      <c r="I71" s="369">
        <f t="shared" ca="1" si="16"/>
        <v>0</v>
      </c>
      <c r="J71" s="368">
        <f t="shared" ca="1" si="15"/>
        <v>4378684</v>
      </c>
      <c r="K71" s="369">
        <f t="shared" ca="1" si="17"/>
        <v>350.19</v>
      </c>
      <c r="L71" s="370">
        <f t="shared" ca="1" si="18"/>
        <v>-3128319</v>
      </c>
      <c r="M71" s="122"/>
      <c r="N71" s="122"/>
      <c r="O71" s="122"/>
      <c r="P71" s="122"/>
      <c r="Q71" s="122"/>
      <c r="R71" s="122"/>
      <c r="S71" s="122"/>
    </row>
    <row r="72" spans="2:19">
      <c r="B72" t="s">
        <v>521</v>
      </c>
      <c r="C72" s="133" t="s">
        <v>57</v>
      </c>
      <c r="D72" t="str">
        <f t="shared" si="4"/>
        <v>Rótulos estão iguais</v>
      </c>
      <c r="E72" s="367" t="s">
        <v>555</v>
      </c>
      <c r="F72" s="368">
        <f t="shared" ref="F72:G72" ca="1" si="19">IFERROR(TRUNC(ROUND(1000*VLOOKUP($C72,INDIRECT($B72),F$33,FALSE),2),2),0)</f>
        <v>13886</v>
      </c>
      <c r="G72" s="368">
        <f t="shared" ca="1" si="19"/>
        <v>13886</v>
      </c>
      <c r="H72" s="368">
        <f t="shared" si="14"/>
        <v>0</v>
      </c>
      <c r="I72" s="369">
        <f t="shared" ca="1" si="16"/>
        <v>0</v>
      </c>
      <c r="J72" s="368">
        <f t="shared" ca="1" si="15"/>
        <v>16559</v>
      </c>
      <c r="K72" s="369">
        <f t="shared" ca="1" si="17"/>
        <v>119.25</v>
      </c>
      <c r="L72" s="370">
        <f t="shared" ca="1" si="18"/>
        <v>-2673</v>
      </c>
      <c r="M72" s="122"/>
      <c r="N72" s="122"/>
      <c r="O72" s="122"/>
      <c r="P72" s="122"/>
      <c r="Q72" s="122"/>
      <c r="R72" s="122"/>
      <c r="S72" s="122"/>
    </row>
    <row r="73" spans="2:19">
      <c r="B73" t="s">
        <v>521</v>
      </c>
      <c r="C73" s="133" t="s">
        <v>58</v>
      </c>
      <c r="D73" t="str">
        <f t="shared" si="4"/>
        <v>Rótulos estão iguais</v>
      </c>
      <c r="E73" s="363" t="s">
        <v>556</v>
      </c>
      <c r="F73" s="364">
        <f ca="1">+F74+F75+F76+F77</f>
        <v>19539777387</v>
      </c>
      <c r="G73" s="364">
        <f ca="1">+G74+G75+G76+G77</f>
        <v>19539777387</v>
      </c>
      <c r="H73" s="364">
        <f>+H74+H75+H76+H77</f>
        <v>0</v>
      </c>
      <c r="I73" s="365">
        <f t="shared" ca="1" si="16"/>
        <v>0</v>
      </c>
      <c r="J73" s="364">
        <f ca="1">+J74+J75+J76+J77</f>
        <v>37505815135</v>
      </c>
      <c r="K73" s="365">
        <f t="shared" ca="1" si="17"/>
        <v>191.95</v>
      </c>
      <c r="L73" s="366">
        <f t="shared" ca="1" si="18"/>
        <v>-17966037748</v>
      </c>
      <c r="M73" s="122"/>
      <c r="N73" s="122"/>
      <c r="O73" s="122"/>
      <c r="P73" s="122"/>
      <c r="Q73" s="122"/>
      <c r="R73" s="122"/>
      <c r="S73" s="122"/>
    </row>
    <row r="74" spans="2:19">
      <c r="B74" t="s">
        <v>521</v>
      </c>
      <c r="C74" s="133" t="s">
        <v>59</v>
      </c>
      <c r="D74" t="str">
        <f t="shared" si="4"/>
        <v>Rótulos estão iguais</v>
      </c>
      <c r="E74" s="367" t="s">
        <v>557</v>
      </c>
      <c r="F74" s="368">
        <f t="shared" ref="F74:G78" ca="1" si="20">IFERROR(TRUNC(ROUND(1000*VLOOKUP($C74,INDIRECT($B74),F$33,FALSE),2),2),0)</f>
        <v>5475907069</v>
      </c>
      <c r="G74" s="368">
        <f t="shared" ca="1" si="20"/>
        <v>5475907069</v>
      </c>
      <c r="H74" s="368">
        <f>TRUNC(ROUND(VLOOKUP($C74,siconfi_rec_correntes,3,FALSE),2),2)</f>
        <v>0</v>
      </c>
      <c r="I74" s="369">
        <f t="shared" ca="1" si="16"/>
        <v>0</v>
      </c>
      <c r="J74" s="368">
        <f t="shared" ref="J74:J78" ca="1" si="21">IFERROR(TRUNC(ROUND(1000*VLOOKUP($C74,INDIRECT($B74),J$33,FALSE),2),2),0)</f>
        <v>5619646084</v>
      </c>
      <c r="K74" s="369">
        <f t="shared" ca="1" si="17"/>
        <v>102.62</v>
      </c>
      <c r="L74" s="370">
        <f t="shared" ca="1" si="18"/>
        <v>-143739015</v>
      </c>
      <c r="M74" s="122"/>
      <c r="N74" s="122"/>
      <c r="O74" s="122"/>
      <c r="P74" s="122"/>
      <c r="Q74" s="122"/>
      <c r="R74" s="122"/>
      <c r="S74" s="122"/>
    </row>
    <row r="75" spans="2:19">
      <c r="B75" t="s">
        <v>521</v>
      </c>
      <c r="C75" s="133" t="s">
        <v>60</v>
      </c>
      <c r="D75" t="str">
        <f t="shared" si="4"/>
        <v>Rótulos estão iguais</v>
      </c>
      <c r="E75" s="367" t="s">
        <v>558</v>
      </c>
      <c r="F75" s="368">
        <f t="shared" ca="1" si="20"/>
        <v>6975980917</v>
      </c>
      <c r="G75" s="368">
        <f t="shared" ca="1" si="20"/>
        <v>6975980917</v>
      </c>
      <c r="H75" s="368">
        <f>TRUNC(ROUND(VLOOKUP($C75,siconfi_rec_correntes,3,FALSE),2),2)</f>
        <v>0</v>
      </c>
      <c r="I75" s="369">
        <f t="shared" ca="1" si="16"/>
        <v>0</v>
      </c>
      <c r="J75" s="368">
        <f t="shared" ca="1" si="21"/>
        <v>20974816206</v>
      </c>
      <c r="K75" s="369">
        <f t="shared" ca="1" si="17"/>
        <v>300.67</v>
      </c>
      <c r="L75" s="370">
        <f t="shared" ca="1" si="18"/>
        <v>-13998835289</v>
      </c>
      <c r="M75" s="122"/>
      <c r="N75" s="122"/>
      <c r="O75" s="122"/>
      <c r="P75" s="122"/>
      <c r="Q75" s="122"/>
      <c r="R75" s="122"/>
      <c r="S75" s="122"/>
    </row>
    <row r="76" spans="2:19">
      <c r="B76" t="s">
        <v>521</v>
      </c>
      <c r="C76" s="133" t="s">
        <v>61</v>
      </c>
      <c r="D76" t="str">
        <f t="shared" si="4"/>
        <v>Rótulos estão iguais</v>
      </c>
      <c r="E76" s="367" t="s">
        <v>559</v>
      </c>
      <c r="F76" s="368">
        <f t="shared" ca="1" si="20"/>
        <v>1067305917</v>
      </c>
      <c r="G76" s="368">
        <f t="shared" ca="1" si="20"/>
        <v>1067305917</v>
      </c>
      <c r="H76" s="368">
        <f>TRUNC(ROUND(VLOOKUP($C76,siconfi_rec_correntes,3,FALSE),2),2)</f>
        <v>0</v>
      </c>
      <c r="I76" s="369">
        <f t="shared" ca="1" si="16"/>
        <v>0</v>
      </c>
      <c r="J76" s="368">
        <f t="shared" ca="1" si="21"/>
        <v>1197389605</v>
      </c>
      <c r="K76" s="369">
        <f t="shared" ca="1" si="17"/>
        <v>112.19</v>
      </c>
      <c r="L76" s="370">
        <f t="shared" ca="1" si="18"/>
        <v>-130083688</v>
      </c>
      <c r="M76" s="122"/>
      <c r="N76" s="122"/>
      <c r="O76" s="122"/>
      <c r="P76" s="122"/>
      <c r="Q76" s="122"/>
      <c r="R76" s="122"/>
      <c r="S76" s="122"/>
    </row>
    <row r="77" spans="2:19">
      <c r="B77" t="s">
        <v>521</v>
      </c>
      <c r="C77" s="133" t="s">
        <v>62</v>
      </c>
      <c r="D77" t="str">
        <f t="shared" si="4"/>
        <v>Rótulos estão iguais</v>
      </c>
      <c r="E77" s="367" t="s">
        <v>560</v>
      </c>
      <c r="F77" s="368">
        <f t="shared" ca="1" si="20"/>
        <v>6020583484</v>
      </c>
      <c r="G77" s="368">
        <f t="shared" ca="1" si="20"/>
        <v>6020583484</v>
      </c>
      <c r="H77" s="368">
        <f>TRUNC(ROUND(VLOOKUP($C77,siconfi_rec_correntes,3,FALSE),2),2)</f>
        <v>0</v>
      </c>
      <c r="I77" s="369">
        <f t="shared" ca="1" si="16"/>
        <v>0</v>
      </c>
      <c r="J77" s="368">
        <f t="shared" ca="1" si="21"/>
        <v>9713963240</v>
      </c>
      <c r="K77" s="369">
        <f t="shared" ca="1" si="17"/>
        <v>161.35</v>
      </c>
      <c r="L77" s="370">
        <f t="shared" ca="1" si="18"/>
        <v>-3693379756</v>
      </c>
      <c r="M77" s="122"/>
      <c r="N77" s="122"/>
      <c r="O77" s="122"/>
      <c r="P77" s="122"/>
      <c r="Q77" s="122"/>
      <c r="R77" s="122"/>
      <c r="S77" s="122"/>
    </row>
    <row r="78" spans="2:19">
      <c r="B78" t="s">
        <v>521</v>
      </c>
      <c r="C78" s="133" t="s">
        <v>63</v>
      </c>
      <c r="D78" t="str">
        <f t="shared" si="4"/>
        <v>Rótulos estão iguais</v>
      </c>
      <c r="E78" s="367" t="s">
        <v>561</v>
      </c>
      <c r="F78" s="368">
        <f t="shared" ca="1" si="20"/>
        <v>0</v>
      </c>
      <c r="G78" s="368">
        <f t="shared" ca="1" si="20"/>
        <v>0</v>
      </c>
      <c r="H78" s="368">
        <f>TRUNC(ROUND(VLOOKUP($C78,siconfi_rec_correntes,3,FALSE),2),2)</f>
        <v>0</v>
      </c>
      <c r="I78" s="369">
        <f t="shared" ca="1" si="16"/>
        <v>0</v>
      </c>
      <c r="J78" s="368">
        <f t="shared" ca="1" si="21"/>
        <v>3157217</v>
      </c>
      <c r="K78" s="369">
        <f t="shared" ca="1" si="17"/>
        <v>0</v>
      </c>
      <c r="L78" s="370">
        <f t="shared" ca="1" si="18"/>
        <v>-3157217</v>
      </c>
      <c r="M78" s="122"/>
      <c r="N78" s="122"/>
      <c r="O78" s="122"/>
      <c r="P78" s="122"/>
      <c r="Q78" s="122"/>
      <c r="R78" s="122"/>
      <c r="S78" s="122"/>
    </row>
    <row r="79" spans="2:19">
      <c r="B79" t="s">
        <v>562</v>
      </c>
      <c r="C79" s="133" t="s">
        <v>66</v>
      </c>
      <c r="D79" t="str">
        <f t="shared" si="4"/>
        <v>Rótulos estão iguais</v>
      </c>
      <c r="E79" s="363" t="s">
        <v>563</v>
      </c>
      <c r="F79" s="364">
        <f ca="1">+F80+F83+F87+F88+F97+F103</f>
        <v>913280508736</v>
      </c>
      <c r="G79" s="364">
        <f ca="1">+G80+G83+G87+G88+G97+G103</f>
        <v>913280508736</v>
      </c>
      <c r="H79" s="364">
        <f>+H80+H83+H87+H88+H97+H103</f>
        <v>0</v>
      </c>
      <c r="I79" s="365">
        <f t="shared" ca="1" si="16"/>
        <v>0</v>
      </c>
      <c r="J79" s="364">
        <f ca="1">+J80+J83+J87+J88+J97+J103</f>
        <v>298077672951</v>
      </c>
      <c r="K79" s="365">
        <f t="shared" ca="1" si="17"/>
        <v>32.64</v>
      </c>
      <c r="L79" s="366">
        <f t="shared" ca="1" si="18"/>
        <v>615202835785</v>
      </c>
      <c r="M79" s="122"/>
      <c r="N79" s="122"/>
      <c r="O79" s="122"/>
      <c r="P79" s="122"/>
      <c r="Q79" s="122"/>
      <c r="R79" s="122"/>
      <c r="S79" s="122"/>
    </row>
    <row r="80" spans="2:19">
      <c r="B80" t="s">
        <v>562</v>
      </c>
      <c r="C80" s="133" t="s">
        <v>67</v>
      </c>
      <c r="D80" t="str">
        <f t="shared" si="4"/>
        <v>Rótulos estão iguais</v>
      </c>
      <c r="E80" s="363" t="s">
        <v>564</v>
      </c>
      <c r="F80" s="364">
        <f ca="1">+F81+F82</f>
        <v>828770731093</v>
      </c>
      <c r="G80" s="364">
        <f ca="1">+G81+G82</f>
        <v>828770731093</v>
      </c>
      <c r="H80" s="364">
        <f>+H81+H82</f>
        <v>0</v>
      </c>
      <c r="I80" s="365">
        <f t="shared" ca="1" si="16"/>
        <v>0</v>
      </c>
      <c r="J80" s="364">
        <f ca="1">+J81+J82</f>
        <v>135626053053</v>
      </c>
      <c r="K80" s="365">
        <f t="shared" ca="1" si="17"/>
        <v>16.36</v>
      </c>
      <c r="L80" s="366">
        <f t="shared" ca="1" si="18"/>
        <v>693144678040</v>
      </c>
      <c r="M80" s="122"/>
      <c r="N80" s="122"/>
      <c r="O80" s="122"/>
      <c r="P80" s="122"/>
      <c r="Q80" s="122"/>
      <c r="R80" s="122"/>
      <c r="S80" s="122"/>
    </row>
    <row r="81" spans="2:19">
      <c r="B81" t="s">
        <v>562</v>
      </c>
      <c r="C81" s="133" t="s">
        <v>68</v>
      </c>
      <c r="D81" t="str">
        <f t="shared" si="4"/>
        <v>Rótulos estão iguais</v>
      </c>
      <c r="E81" s="367" t="s">
        <v>68</v>
      </c>
      <c r="F81" s="368">
        <f ca="1">IFERROR(TRUNC(ROUND(1000*VLOOKUP($C81,INDIRECT($B81),F$33,FALSE),2),2),0)</f>
        <v>825994152365</v>
      </c>
      <c r="G81" s="368">
        <f ca="1">IFERROR(TRUNC(ROUND(1000*VLOOKUP($C81,INDIRECT($B81),G$33,FALSE),2),2),0)</f>
        <v>825994152365</v>
      </c>
      <c r="H81" s="368">
        <f>TRUNC(ROUND(VLOOKUP($C81,siconfi_rec_capital,3,FALSE),2),2)</f>
        <v>0</v>
      </c>
      <c r="I81" s="369">
        <f t="shared" ca="1" si="16"/>
        <v>0</v>
      </c>
      <c r="J81" s="368">
        <f t="shared" ref="J81:J82" ca="1" si="22">IFERROR(TRUNC(ROUND(1000*VLOOKUP($C81,INDIRECT($B81),J$33,FALSE),2),2),0)</f>
        <v>111257597836</v>
      </c>
      <c r="K81" s="369">
        <f t="shared" ca="1" si="17"/>
        <v>13.47</v>
      </c>
      <c r="L81" s="370">
        <f t="shared" ca="1" si="18"/>
        <v>714736554529</v>
      </c>
      <c r="M81" s="122"/>
      <c r="N81" s="122"/>
      <c r="O81" s="122"/>
      <c r="P81" s="122"/>
      <c r="Q81" s="122"/>
      <c r="R81" s="122"/>
      <c r="S81" s="122"/>
    </row>
    <row r="82" spans="2:19">
      <c r="B82" t="s">
        <v>562</v>
      </c>
      <c r="C82" s="133" t="s">
        <v>69</v>
      </c>
      <c r="D82" t="str">
        <f t="shared" si="4"/>
        <v>Rótulos estão iguais</v>
      </c>
      <c r="E82" s="367" t="s">
        <v>69</v>
      </c>
      <c r="F82" s="368">
        <f ca="1">IFERROR(TRUNC(ROUND(1000*VLOOKUP($C82,INDIRECT($B82),F$33,FALSE),2),2),0)</f>
        <v>2776578728</v>
      </c>
      <c r="G82" s="368">
        <f ca="1">IFERROR(TRUNC(ROUND(1000*VLOOKUP($C82,INDIRECT($B82),G$33,FALSE),2),2),0)</f>
        <v>2776578728</v>
      </c>
      <c r="H82" s="368">
        <f>TRUNC(ROUND(VLOOKUP($C82,siconfi_rec_capital,3,FALSE),2),2)</f>
        <v>0</v>
      </c>
      <c r="I82" s="369">
        <f t="shared" ca="1" si="16"/>
        <v>0</v>
      </c>
      <c r="J82" s="368">
        <f t="shared" ca="1" si="22"/>
        <v>24368455217</v>
      </c>
      <c r="K82" s="369">
        <f t="shared" ca="1" si="17"/>
        <v>877.64</v>
      </c>
      <c r="L82" s="370">
        <f t="shared" ca="1" si="18"/>
        <v>-21591876489</v>
      </c>
      <c r="M82" s="122"/>
      <c r="N82" s="122"/>
      <c r="O82" s="122"/>
      <c r="P82" s="122"/>
      <c r="Q82" s="122"/>
      <c r="R82" s="122"/>
      <c r="S82" s="122"/>
    </row>
    <row r="83" spans="2:19">
      <c r="B83" t="s">
        <v>562</v>
      </c>
      <c r="C83" s="133" t="s">
        <v>70</v>
      </c>
      <c r="D83" t="str">
        <f t="shared" si="4"/>
        <v>Rótulos estão iguais</v>
      </c>
      <c r="E83" s="363" t="s">
        <v>565</v>
      </c>
      <c r="F83" s="364">
        <f ca="1">+F84+F85+F86</f>
        <v>1852197079</v>
      </c>
      <c r="G83" s="364">
        <f ca="1">+G84+G85+G86</f>
        <v>1852197079</v>
      </c>
      <c r="H83" s="364">
        <f>+H84+H85+H86</f>
        <v>0</v>
      </c>
      <c r="I83" s="365">
        <f t="shared" ca="1" si="16"/>
        <v>0</v>
      </c>
      <c r="J83" s="364">
        <f ca="1">+J84+J85+J86</f>
        <v>8120725865</v>
      </c>
      <c r="K83" s="365">
        <f t="shared" ca="1" si="17"/>
        <v>438.44</v>
      </c>
      <c r="L83" s="366">
        <f t="shared" ca="1" si="18"/>
        <v>-6268528786</v>
      </c>
      <c r="M83" s="122"/>
      <c r="N83" s="122"/>
      <c r="O83" s="122"/>
      <c r="P83" s="122"/>
      <c r="Q83" s="122"/>
      <c r="R83" s="122"/>
      <c r="S83" s="122"/>
    </row>
    <row r="84" spans="2:19">
      <c r="B84" t="s">
        <v>562</v>
      </c>
      <c r="C84" s="133" t="s">
        <v>71</v>
      </c>
      <c r="D84" t="str">
        <f t="shared" si="4"/>
        <v>Rótulos estão iguais</v>
      </c>
      <c r="E84" s="367" t="s">
        <v>566</v>
      </c>
      <c r="F84" s="368">
        <f t="shared" ref="F84:G87" ca="1" si="23">IFERROR(TRUNC(ROUND(1000*VLOOKUP($C84,INDIRECT($B84),F$33,FALSE),2),2),0)</f>
        <v>1421244553</v>
      </c>
      <c r="G84" s="368">
        <f t="shared" ca="1" si="23"/>
        <v>1421244553</v>
      </c>
      <c r="H84" s="368">
        <f>TRUNC(ROUND(VLOOKUP($C84,siconfi_rec_capital,3,FALSE),2),2)</f>
        <v>0</v>
      </c>
      <c r="I84" s="369">
        <f t="shared" ca="1" si="16"/>
        <v>0</v>
      </c>
      <c r="J84" s="368">
        <f t="shared" ref="J84:J87" ca="1" si="24">IFERROR(TRUNC(ROUND(1000*VLOOKUP($C84,INDIRECT($B84),J$33,FALSE),2),2),0)</f>
        <v>7871589305</v>
      </c>
      <c r="K84" s="369">
        <f t="shared" ca="1" si="17"/>
        <v>553.85</v>
      </c>
      <c r="L84" s="370">
        <f t="shared" ca="1" si="18"/>
        <v>-6450344752</v>
      </c>
      <c r="M84" s="122"/>
      <c r="N84" s="122"/>
      <c r="O84" s="122"/>
      <c r="P84" s="122"/>
      <c r="Q84" s="122"/>
      <c r="R84" s="122"/>
      <c r="S84" s="122"/>
    </row>
    <row r="85" spans="2:19">
      <c r="B85" t="s">
        <v>562</v>
      </c>
      <c r="C85" s="133" t="s">
        <v>72</v>
      </c>
      <c r="D85" t="str">
        <f t="shared" si="4"/>
        <v>Rótulos estão iguais</v>
      </c>
      <c r="E85" s="367" t="s">
        <v>567</v>
      </c>
      <c r="F85" s="368">
        <f t="shared" ca="1" si="23"/>
        <v>430952526</v>
      </c>
      <c r="G85" s="368">
        <f t="shared" ca="1" si="23"/>
        <v>430952526</v>
      </c>
      <c r="H85" s="368">
        <f>TRUNC(ROUND(VLOOKUP($C85,siconfi_rec_capital,3,FALSE),2),2)</f>
        <v>0</v>
      </c>
      <c r="I85" s="369">
        <f t="shared" ca="1" si="16"/>
        <v>0</v>
      </c>
      <c r="J85" s="368">
        <f t="shared" ca="1" si="24"/>
        <v>241784706</v>
      </c>
      <c r="K85" s="369">
        <f t="shared" ca="1" si="17"/>
        <v>56.1</v>
      </c>
      <c r="L85" s="370">
        <f t="shared" ca="1" si="18"/>
        <v>189167820</v>
      </c>
      <c r="M85" s="122"/>
      <c r="N85" s="122"/>
      <c r="O85" s="122"/>
      <c r="P85" s="122"/>
      <c r="Q85" s="122"/>
      <c r="R85" s="122"/>
      <c r="S85" s="122"/>
    </row>
    <row r="86" spans="2:19">
      <c r="B86" t="s">
        <v>562</v>
      </c>
      <c r="C86" s="133" t="s">
        <v>73</v>
      </c>
      <c r="D86" t="str">
        <f t="shared" si="4"/>
        <v>Rótulos estão iguais</v>
      </c>
      <c r="E86" s="367" t="s">
        <v>568</v>
      </c>
      <c r="F86" s="368">
        <f t="shared" ca="1" si="23"/>
        <v>0</v>
      </c>
      <c r="G86" s="368">
        <f t="shared" ca="1" si="23"/>
        <v>0</v>
      </c>
      <c r="H86" s="368">
        <f>TRUNC(ROUND(VLOOKUP($C86,siconfi_rec_capital,3,FALSE),2),2)</f>
        <v>0</v>
      </c>
      <c r="I86" s="369">
        <f t="shared" ca="1" si="16"/>
        <v>0</v>
      </c>
      <c r="J86" s="368">
        <f t="shared" ca="1" si="24"/>
        <v>7351854</v>
      </c>
      <c r="K86" s="369">
        <f t="shared" ca="1" si="17"/>
        <v>0</v>
      </c>
      <c r="L86" s="370">
        <f t="shared" ca="1" si="18"/>
        <v>-7351854</v>
      </c>
      <c r="M86" s="122"/>
      <c r="N86" s="122"/>
      <c r="O86" s="122"/>
      <c r="P86" s="122"/>
      <c r="Q86" s="122"/>
      <c r="R86" s="122"/>
      <c r="S86" s="122"/>
    </row>
    <row r="87" spans="2:19">
      <c r="B87" t="s">
        <v>562</v>
      </c>
      <c r="C87" s="133" t="s">
        <v>74</v>
      </c>
      <c r="D87" t="str">
        <f t="shared" si="4"/>
        <v>Rótulos estão iguais</v>
      </c>
      <c r="E87" s="367" t="s">
        <v>569</v>
      </c>
      <c r="F87" s="368">
        <f t="shared" ca="1" si="23"/>
        <v>40079406855</v>
      </c>
      <c r="G87" s="368">
        <f t="shared" ca="1" si="23"/>
        <v>40079406855</v>
      </c>
      <c r="H87" s="368">
        <f>TRUNC(ROUND(VLOOKUP($C87,siconfi_rec_capital,3,FALSE),2),2)</f>
        <v>0</v>
      </c>
      <c r="I87" s="369">
        <f t="shared" ca="1" si="16"/>
        <v>0</v>
      </c>
      <c r="J87" s="368">
        <f t="shared" ca="1" si="24"/>
        <v>83704059503</v>
      </c>
      <c r="K87" s="369">
        <f t="shared" ca="1" si="17"/>
        <v>208.85</v>
      </c>
      <c r="L87" s="370">
        <f t="shared" ca="1" si="18"/>
        <v>-43624652648</v>
      </c>
      <c r="M87" s="122"/>
      <c r="N87" s="122"/>
      <c r="O87" s="122"/>
      <c r="P87" s="122"/>
      <c r="Q87" s="122"/>
      <c r="R87" s="122"/>
      <c r="S87" s="122"/>
    </row>
    <row r="88" spans="2:19">
      <c r="B88" t="s">
        <v>562</v>
      </c>
      <c r="C88" s="133" t="s">
        <v>75</v>
      </c>
      <c r="D88" t="str">
        <f t="shared" si="4"/>
        <v>Rótulos estão iguais</v>
      </c>
      <c r="E88" s="363" t="s">
        <v>570</v>
      </c>
      <c r="F88" s="364">
        <f ca="1">+F89+F90+F91+F92+F93+F94+F96+F95</f>
        <v>77970943</v>
      </c>
      <c r="G88" s="364">
        <f ca="1">+G89+G90+G91+G92+G93+G94+G96+G95</f>
        <v>77970943</v>
      </c>
      <c r="H88" s="364">
        <f>+H89+H90+H91+H92+H93+H94+H96+H95</f>
        <v>0</v>
      </c>
      <c r="I88" s="365">
        <f t="shared" ca="1" si="16"/>
        <v>0</v>
      </c>
      <c r="J88" s="364">
        <f ca="1">+J89+J90+J91+J92+J93+J94+J96+J95</f>
        <v>729070</v>
      </c>
      <c r="K88" s="365">
        <f t="shared" ca="1" si="17"/>
        <v>0.94</v>
      </c>
      <c r="L88" s="366">
        <f t="shared" ca="1" si="18"/>
        <v>77241873</v>
      </c>
      <c r="M88" s="122"/>
      <c r="N88" s="122"/>
      <c r="O88" s="122"/>
      <c r="P88" s="122"/>
      <c r="Q88" s="122"/>
      <c r="R88" s="122"/>
      <c r="S88" s="122"/>
    </row>
    <row r="89" spans="2:19">
      <c r="B89" t="s">
        <v>562</v>
      </c>
      <c r="C89" s="133" t="s">
        <v>50</v>
      </c>
      <c r="D89" t="str">
        <f t="shared" si="4"/>
        <v>Rótulos estão iguais</v>
      </c>
      <c r="E89" s="367" t="s">
        <v>548</v>
      </c>
      <c r="F89" s="368">
        <f t="shared" ref="F89:G96" ca="1" si="25">IFERROR(TRUNC(ROUND(1000*VLOOKUP($C89,INDIRECT($B89),F$33,FALSE),2),2),0)</f>
        <v>1600000</v>
      </c>
      <c r="G89" s="368">
        <f t="shared" ca="1" si="25"/>
        <v>1600000</v>
      </c>
      <c r="H89" s="368">
        <f t="shared" ref="H89:H96" si="26">TRUNC(ROUND(VLOOKUP($C89,siconfi_rec_capital,3,FALSE),2),2)</f>
        <v>0</v>
      </c>
      <c r="I89" s="369">
        <f t="shared" ca="1" si="16"/>
        <v>0</v>
      </c>
      <c r="J89" s="368">
        <f t="shared" ref="J89:J96" ca="1" si="27">IFERROR(TRUNC(ROUND(1000*VLOOKUP($C89,INDIRECT($B89),J$33,FALSE),2),2),0)</f>
        <v>0</v>
      </c>
      <c r="K89" s="369">
        <f t="shared" ca="1" si="17"/>
        <v>0</v>
      </c>
      <c r="L89" s="370">
        <f t="shared" ca="1" si="18"/>
        <v>1600000</v>
      </c>
      <c r="M89" s="122"/>
      <c r="N89" s="122"/>
      <c r="O89" s="122"/>
      <c r="P89" s="122"/>
      <c r="Q89" s="122"/>
      <c r="R89" s="122"/>
      <c r="S89" s="122"/>
    </row>
    <row r="90" spans="2:19">
      <c r="B90" t="s">
        <v>562</v>
      </c>
      <c r="C90" s="133" t="s">
        <v>51</v>
      </c>
      <c r="D90" t="str">
        <f t="shared" si="4"/>
        <v>Rótulos estão iguais</v>
      </c>
      <c r="E90" s="367" t="s">
        <v>549</v>
      </c>
      <c r="F90" s="368">
        <f t="shared" ca="1" si="25"/>
        <v>23502265</v>
      </c>
      <c r="G90" s="368">
        <f t="shared" ca="1" si="25"/>
        <v>23502265</v>
      </c>
      <c r="H90" s="368">
        <f t="shared" si="26"/>
        <v>0</v>
      </c>
      <c r="I90" s="369">
        <f t="shared" ca="1" si="16"/>
        <v>0</v>
      </c>
      <c r="J90" s="368">
        <f t="shared" ca="1" si="27"/>
        <v>927783</v>
      </c>
      <c r="K90" s="369">
        <f t="shared" ca="1" si="17"/>
        <v>3.95</v>
      </c>
      <c r="L90" s="370">
        <f t="shared" ca="1" si="18"/>
        <v>22574482</v>
      </c>
      <c r="M90" s="122"/>
      <c r="N90" s="122"/>
      <c r="O90" s="122"/>
      <c r="P90" s="122"/>
      <c r="Q90" s="122"/>
      <c r="R90" s="122"/>
      <c r="S90" s="122"/>
    </row>
    <row r="91" spans="2:19">
      <c r="B91" t="s">
        <v>562</v>
      </c>
      <c r="C91" s="133" t="s">
        <v>52</v>
      </c>
      <c r="D91" t="str">
        <f t="shared" si="4"/>
        <v>Rótulos estão iguais</v>
      </c>
      <c r="E91" s="367" t="s">
        <v>550</v>
      </c>
      <c r="F91" s="368">
        <f t="shared" ca="1" si="25"/>
        <v>22047714</v>
      </c>
      <c r="G91" s="368">
        <f t="shared" ca="1" si="25"/>
        <v>22047714</v>
      </c>
      <c r="H91" s="368">
        <f t="shared" si="26"/>
        <v>0</v>
      </c>
      <c r="I91" s="369">
        <f t="shared" ca="1" si="16"/>
        <v>0</v>
      </c>
      <c r="J91" s="368">
        <f t="shared" ca="1" si="27"/>
        <v>286600</v>
      </c>
      <c r="K91" s="369">
        <f t="shared" ca="1" si="17"/>
        <v>1.3</v>
      </c>
      <c r="L91" s="370">
        <f t="shared" ca="1" si="18"/>
        <v>21761114</v>
      </c>
      <c r="M91" s="122"/>
      <c r="N91" s="122"/>
      <c r="O91" s="122"/>
      <c r="P91" s="122"/>
      <c r="Q91" s="122"/>
      <c r="R91" s="122"/>
      <c r="S91" s="122"/>
    </row>
    <row r="92" spans="2:19">
      <c r="B92" t="s">
        <v>562</v>
      </c>
      <c r="C92" s="133" t="s">
        <v>53</v>
      </c>
      <c r="D92" t="str">
        <f t="shared" si="4"/>
        <v>Rótulos estão iguais</v>
      </c>
      <c r="E92" s="367" t="s">
        <v>551</v>
      </c>
      <c r="F92" s="368">
        <f t="shared" ca="1" si="25"/>
        <v>29839723</v>
      </c>
      <c r="G92" s="368">
        <f t="shared" ca="1" si="25"/>
        <v>29839723</v>
      </c>
      <c r="H92" s="368">
        <f t="shared" si="26"/>
        <v>0</v>
      </c>
      <c r="I92" s="369">
        <f t="shared" ca="1" si="16"/>
        <v>0</v>
      </c>
      <c r="J92" s="368">
        <f t="shared" ca="1" si="27"/>
        <v>217300</v>
      </c>
      <c r="K92" s="369">
        <f t="shared" ca="1" si="17"/>
        <v>0.73</v>
      </c>
      <c r="L92" s="370">
        <f t="shared" ca="1" si="18"/>
        <v>29622423</v>
      </c>
      <c r="M92" s="122"/>
      <c r="N92" s="122"/>
      <c r="O92" s="122"/>
      <c r="P92" s="122"/>
      <c r="Q92" s="122"/>
      <c r="R92" s="122"/>
      <c r="S92" s="122"/>
    </row>
    <row r="93" spans="2:19">
      <c r="B93" t="s">
        <v>562</v>
      </c>
      <c r="C93" s="133" t="s">
        <v>54</v>
      </c>
      <c r="D93" t="str">
        <f t="shared" si="4"/>
        <v>Rótulos estão iguais</v>
      </c>
      <c r="E93" s="367" t="s">
        <v>552</v>
      </c>
      <c r="F93" s="368">
        <f t="shared" ca="1" si="25"/>
        <v>0</v>
      </c>
      <c r="G93" s="368">
        <f t="shared" ca="1" si="25"/>
        <v>0</v>
      </c>
      <c r="H93" s="368">
        <f t="shared" si="26"/>
        <v>0</v>
      </c>
      <c r="I93" s="369">
        <f t="shared" ca="1" si="16"/>
        <v>0</v>
      </c>
      <c r="J93" s="368">
        <f t="shared" ca="1" si="27"/>
        <v>0</v>
      </c>
      <c r="K93" s="369">
        <f t="shared" ca="1" si="17"/>
        <v>0</v>
      </c>
      <c r="L93" s="370">
        <f t="shared" ca="1" si="18"/>
        <v>0</v>
      </c>
      <c r="M93" s="122"/>
      <c r="N93" s="122"/>
      <c r="O93" s="122"/>
      <c r="P93" s="122"/>
      <c r="Q93" s="122"/>
      <c r="R93" s="122"/>
      <c r="S93" s="122"/>
    </row>
    <row r="94" spans="2:19">
      <c r="B94" t="s">
        <v>562</v>
      </c>
      <c r="C94" s="133" t="s">
        <v>55</v>
      </c>
      <c r="D94" t="str">
        <f t="shared" si="4"/>
        <v>Rótulos estão iguais</v>
      </c>
      <c r="E94" s="367" t="s">
        <v>553</v>
      </c>
      <c r="F94" s="368">
        <f t="shared" ca="1" si="25"/>
        <v>0</v>
      </c>
      <c r="G94" s="368">
        <f t="shared" ca="1" si="25"/>
        <v>0</v>
      </c>
      <c r="H94" s="368">
        <f t="shared" si="26"/>
        <v>0</v>
      </c>
      <c r="I94" s="369">
        <f t="shared" ca="1" si="16"/>
        <v>0</v>
      </c>
      <c r="J94" s="368">
        <f t="shared" ca="1" si="27"/>
        <v>-702613</v>
      </c>
      <c r="K94" s="369">
        <f t="shared" ca="1" si="17"/>
        <v>0</v>
      </c>
      <c r="L94" s="370">
        <f t="shared" ca="1" si="18"/>
        <v>702613</v>
      </c>
      <c r="M94" s="122"/>
      <c r="N94" s="122"/>
      <c r="O94" s="122"/>
      <c r="P94" s="122"/>
      <c r="Q94" s="122"/>
      <c r="R94" s="122"/>
      <c r="S94" s="122"/>
    </row>
    <row r="95" spans="2:19">
      <c r="B95" t="s">
        <v>562</v>
      </c>
      <c r="C95" s="133" t="s">
        <v>56</v>
      </c>
      <c r="D95" t="str">
        <f t="shared" si="4"/>
        <v>Rótulos estão iguais</v>
      </c>
      <c r="E95" s="367" t="s">
        <v>554</v>
      </c>
      <c r="F95" s="368">
        <f t="shared" ca="1" si="25"/>
        <v>981241</v>
      </c>
      <c r="G95" s="368">
        <f t="shared" ca="1" si="25"/>
        <v>981241</v>
      </c>
      <c r="H95" s="368">
        <f t="shared" si="26"/>
        <v>0</v>
      </c>
      <c r="I95" s="369">
        <f t="shared" ca="1" si="16"/>
        <v>0</v>
      </c>
      <c r="J95" s="368">
        <f t="shared" ca="1" si="27"/>
        <v>0</v>
      </c>
      <c r="K95" s="369">
        <f t="shared" ca="1" si="17"/>
        <v>0</v>
      </c>
      <c r="L95" s="370">
        <f t="shared" ca="1" si="18"/>
        <v>981241</v>
      </c>
      <c r="M95" s="122"/>
      <c r="N95" s="122"/>
      <c r="O95" s="122"/>
      <c r="P95" s="122"/>
      <c r="Q95" s="122"/>
      <c r="R95" s="122"/>
      <c r="S95" s="122"/>
    </row>
    <row r="96" spans="2:19">
      <c r="B96" t="s">
        <v>562</v>
      </c>
      <c r="C96" s="133" t="s">
        <v>57</v>
      </c>
      <c r="D96" t="str">
        <f t="shared" si="4"/>
        <v>Rótulos estão iguais</v>
      </c>
      <c r="E96" s="367" t="s">
        <v>555</v>
      </c>
      <c r="F96" s="368">
        <f t="shared" ca="1" si="25"/>
        <v>0</v>
      </c>
      <c r="G96" s="368">
        <f t="shared" ca="1" si="25"/>
        <v>0</v>
      </c>
      <c r="H96" s="368">
        <f t="shared" si="26"/>
        <v>0</v>
      </c>
      <c r="I96" s="369">
        <f t="shared" ca="1" si="16"/>
        <v>0</v>
      </c>
      <c r="J96" s="368">
        <f t="shared" ca="1" si="27"/>
        <v>0</v>
      </c>
      <c r="K96" s="369">
        <f t="shared" ca="1" si="17"/>
        <v>0</v>
      </c>
      <c r="L96" s="370">
        <f t="shared" ca="1" si="18"/>
        <v>0</v>
      </c>
      <c r="M96" s="122"/>
      <c r="N96" s="122"/>
      <c r="O96" s="122"/>
      <c r="P96" s="122"/>
      <c r="Q96" s="122"/>
      <c r="R96" s="122"/>
      <c r="S96" s="122"/>
    </row>
    <row r="97" spans="2:19">
      <c r="B97" t="s">
        <v>562</v>
      </c>
      <c r="C97" s="133" t="s">
        <v>76</v>
      </c>
      <c r="D97" t="str">
        <f t="shared" si="4"/>
        <v>Rótulos estão iguais</v>
      </c>
      <c r="E97" s="363" t="s">
        <v>571</v>
      </c>
      <c r="F97" s="364">
        <f ca="1">+F98+F102+F99+F100+F101</f>
        <v>42500202766</v>
      </c>
      <c r="G97" s="364">
        <f ca="1">+G98+G102+G99+G100+G101</f>
        <v>42500202766</v>
      </c>
      <c r="H97" s="364">
        <f>+H98+H102+H99+H100+H101</f>
        <v>0</v>
      </c>
      <c r="I97" s="365">
        <f t="shared" ca="1" si="16"/>
        <v>0</v>
      </c>
      <c r="J97" s="364">
        <f ca="1">+J98+J102+J99+J100+J101</f>
        <v>70626105460</v>
      </c>
      <c r="K97" s="365">
        <f t="shared" ca="1" si="17"/>
        <v>166.18</v>
      </c>
      <c r="L97" s="366">
        <f t="shared" ca="1" si="18"/>
        <v>-28125902694</v>
      </c>
      <c r="M97" s="122"/>
      <c r="N97" s="122"/>
      <c r="O97" s="122"/>
      <c r="P97" s="122"/>
      <c r="Q97" s="122"/>
      <c r="R97" s="122"/>
      <c r="S97" s="122"/>
    </row>
    <row r="98" spans="2:19">
      <c r="B98" t="s">
        <v>562</v>
      </c>
      <c r="C98" s="133" t="s">
        <v>77</v>
      </c>
      <c r="D98" t="str">
        <f t="shared" si="4"/>
        <v>Rótulos estão iguais</v>
      </c>
      <c r="E98" s="367" t="s">
        <v>572</v>
      </c>
      <c r="F98" s="368">
        <f t="shared" ref="F98:G103" ca="1" si="28">IFERROR(TRUNC(ROUND(1000*VLOOKUP($C98,INDIRECT($B98),F$33,FALSE),2),2),0)</f>
        <v>0</v>
      </c>
      <c r="G98" s="368">
        <f t="shared" ca="1" si="28"/>
        <v>0</v>
      </c>
      <c r="H98" s="368">
        <f t="shared" ref="H98:H103" si="29">TRUNC(ROUND(VLOOKUP($C98,siconfi_rec_capital,3,FALSE),2),2)</f>
        <v>0</v>
      </c>
      <c r="I98" s="369">
        <f t="shared" ca="1" si="16"/>
        <v>0</v>
      </c>
      <c r="J98" s="368">
        <f t="shared" ref="J98:J103" ca="1" si="30">IFERROR(TRUNC(ROUND(1000*VLOOKUP($C98,INDIRECT($B98),J$33,FALSE),2),2),0)</f>
        <v>0</v>
      </c>
      <c r="K98" s="369">
        <f t="shared" ca="1" si="17"/>
        <v>0</v>
      </c>
      <c r="L98" s="370">
        <f t="shared" ca="1" si="18"/>
        <v>0</v>
      </c>
      <c r="M98" s="122"/>
      <c r="N98" s="122"/>
      <c r="O98" s="122"/>
      <c r="P98" s="122"/>
      <c r="Q98" s="122"/>
      <c r="R98" s="122"/>
      <c r="S98" s="122"/>
    </row>
    <row r="99" spans="2:19">
      <c r="B99" t="s">
        <v>562</v>
      </c>
      <c r="C99" s="133" t="s">
        <v>78</v>
      </c>
      <c r="D99" t="str">
        <f t="shared" si="4"/>
        <v>Rótulos estão iguais</v>
      </c>
      <c r="E99" s="367" t="s">
        <v>573</v>
      </c>
      <c r="F99" s="368">
        <f t="shared" ca="1" si="28"/>
        <v>0</v>
      </c>
      <c r="G99" s="368">
        <f t="shared" ca="1" si="28"/>
        <v>0</v>
      </c>
      <c r="H99" s="368">
        <f t="shared" si="29"/>
        <v>0</v>
      </c>
      <c r="I99" s="369">
        <f t="shared" ca="1" si="16"/>
        <v>0</v>
      </c>
      <c r="J99" s="368">
        <f t="shared" ca="1" si="30"/>
        <v>0</v>
      </c>
      <c r="K99" s="369">
        <f t="shared" ca="1" si="17"/>
        <v>0</v>
      </c>
      <c r="L99" s="370">
        <f t="shared" ca="1" si="18"/>
        <v>0</v>
      </c>
      <c r="M99" s="122"/>
      <c r="N99" s="122"/>
      <c r="O99" s="122"/>
      <c r="P99" s="122"/>
      <c r="Q99" s="122"/>
      <c r="R99" s="122"/>
      <c r="S99" s="122"/>
    </row>
    <row r="100" spans="2:19">
      <c r="B100" t="s">
        <v>562</v>
      </c>
      <c r="C100" s="133" t="s">
        <v>79</v>
      </c>
      <c r="D100" t="str">
        <f t="shared" si="4"/>
        <v>Rótulos estão iguais</v>
      </c>
      <c r="E100" s="367" t="s">
        <v>574</v>
      </c>
      <c r="F100" s="368">
        <f t="shared" ca="1" si="28"/>
        <v>42500202766</v>
      </c>
      <c r="G100" s="368">
        <f t="shared" ca="1" si="28"/>
        <v>42500202766</v>
      </c>
      <c r="H100" s="368">
        <f t="shared" si="29"/>
        <v>0</v>
      </c>
      <c r="I100" s="369">
        <f t="shared" ca="1" si="16"/>
        <v>0</v>
      </c>
      <c r="J100" s="368">
        <f t="shared" ca="1" si="30"/>
        <v>70626105460</v>
      </c>
      <c r="K100" s="369">
        <f t="shared" ca="1" si="17"/>
        <v>166.18</v>
      </c>
      <c r="L100" s="370">
        <f t="shared" ca="1" si="18"/>
        <v>-28125902694</v>
      </c>
      <c r="M100" s="122"/>
      <c r="N100" s="122"/>
      <c r="O100" s="122"/>
      <c r="P100" s="122"/>
      <c r="Q100" s="122"/>
      <c r="R100" s="122"/>
      <c r="S100" s="122"/>
    </row>
    <row r="101" spans="2:19">
      <c r="B101" t="s">
        <v>562</v>
      </c>
      <c r="C101" s="133" t="s">
        <v>80</v>
      </c>
      <c r="D101" t="str">
        <f t="shared" si="4"/>
        <v>Rótulos estão iguais</v>
      </c>
      <c r="E101" s="367" t="s">
        <v>575</v>
      </c>
      <c r="F101" s="368">
        <f t="shared" ca="1" si="28"/>
        <v>0</v>
      </c>
      <c r="G101" s="368">
        <f t="shared" ca="1" si="28"/>
        <v>0</v>
      </c>
      <c r="H101" s="368">
        <f t="shared" si="29"/>
        <v>0</v>
      </c>
      <c r="I101" s="369">
        <f t="shared" ca="1" si="16"/>
        <v>0</v>
      </c>
      <c r="J101" s="368">
        <f t="shared" ca="1" si="30"/>
        <v>0</v>
      </c>
      <c r="K101" s="369">
        <f t="shared" ca="1" si="17"/>
        <v>0</v>
      </c>
      <c r="L101" s="370">
        <f t="shared" ca="1" si="18"/>
        <v>0</v>
      </c>
      <c r="M101" s="122"/>
      <c r="N101" s="122"/>
      <c r="O101" s="122"/>
      <c r="P101" s="122"/>
      <c r="Q101" s="122"/>
      <c r="R101" s="122"/>
      <c r="S101" s="122"/>
    </row>
    <row r="102" spans="2:19">
      <c r="B102" t="s">
        <v>562</v>
      </c>
      <c r="C102" s="133" t="s">
        <v>81</v>
      </c>
      <c r="D102" t="str">
        <f t="shared" si="4"/>
        <v>Rótulos estão iguais</v>
      </c>
      <c r="E102" s="367" t="s">
        <v>576</v>
      </c>
      <c r="F102" s="368">
        <f t="shared" ca="1" si="28"/>
        <v>0</v>
      </c>
      <c r="G102" s="368">
        <f t="shared" ca="1" si="28"/>
        <v>0</v>
      </c>
      <c r="H102" s="368">
        <f t="shared" si="29"/>
        <v>0</v>
      </c>
      <c r="I102" s="369">
        <f t="shared" ref="I102:I113" ca="1" si="31">IFERROR(ROUND(100*H102/G102,2),0)</f>
        <v>0</v>
      </c>
      <c r="J102" s="368">
        <f t="shared" ca="1" si="30"/>
        <v>0</v>
      </c>
      <c r="K102" s="369">
        <f t="shared" ref="K102:K113" ca="1" si="32">IFERROR(ROUND(100*J102/G102,2),0)</f>
        <v>0</v>
      </c>
      <c r="L102" s="370">
        <f t="shared" ref="L102:L113" ca="1" si="33">G102-J102</f>
        <v>0</v>
      </c>
      <c r="M102" s="122"/>
      <c r="N102" s="122"/>
      <c r="O102" s="122"/>
      <c r="P102" s="122"/>
      <c r="Q102" s="122"/>
      <c r="R102" s="122"/>
      <c r="S102" s="122"/>
    </row>
    <row r="103" spans="2:19">
      <c r="B103" t="s">
        <v>562</v>
      </c>
      <c r="C103" s="133" t="s">
        <v>82</v>
      </c>
      <c r="D103" t="str">
        <f t="shared" ref="D103:D120" si="34">IF(TRIM(C103)=TRIM(E103),"Rótulos estão iguais","Rótulos estão diferentes")</f>
        <v>Rótulos estão iguais</v>
      </c>
      <c r="E103" s="367" t="s">
        <v>577</v>
      </c>
      <c r="F103" s="368">
        <f t="shared" ca="1" si="28"/>
        <v>0</v>
      </c>
      <c r="G103" s="368">
        <f t="shared" ca="1" si="28"/>
        <v>0</v>
      </c>
      <c r="H103" s="368">
        <f t="shared" si="29"/>
        <v>0</v>
      </c>
      <c r="I103" s="369">
        <f t="shared" ca="1" si="31"/>
        <v>0</v>
      </c>
      <c r="J103" s="368">
        <f t="shared" ca="1" si="30"/>
        <v>0</v>
      </c>
      <c r="K103" s="369">
        <f t="shared" ca="1" si="32"/>
        <v>0</v>
      </c>
      <c r="L103" s="370">
        <f t="shared" ca="1" si="33"/>
        <v>0</v>
      </c>
      <c r="M103" s="122"/>
      <c r="N103" s="122"/>
      <c r="O103" s="122"/>
      <c r="P103" s="122"/>
      <c r="Q103" s="122"/>
      <c r="R103" s="122"/>
      <c r="S103" s="122"/>
    </row>
    <row r="104" spans="2:19">
      <c r="C104" s="133" t="s">
        <v>85</v>
      </c>
      <c r="D104" t="str">
        <f t="shared" si="34"/>
        <v>Rótulos estão iguais</v>
      </c>
      <c r="E104" s="367" t="s">
        <v>578</v>
      </c>
      <c r="F104" s="368">
        <f ca="1">+F165</f>
        <v>31381828490</v>
      </c>
      <c r="G104" s="368">
        <f t="shared" ref="G104:J104" ca="1" si="35">+G165</f>
        <v>31381828490</v>
      </c>
      <c r="H104" s="368">
        <f t="shared" si="35"/>
        <v>0</v>
      </c>
      <c r="I104" s="369">
        <f t="shared" ca="1" si="31"/>
        <v>0</v>
      </c>
      <c r="J104" s="368">
        <f t="shared" ca="1" si="35"/>
        <v>19458587968</v>
      </c>
      <c r="K104" s="369">
        <f t="shared" ca="1" si="32"/>
        <v>62.01</v>
      </c>
      <c r="L104" s="370">
        <f t="shared" ca="1" si="33"/>
        <v>11923240522</v>
      </c>
      <c r="M104" s="122"/>
      <c r="N104" s="122"/>
      <c r="O104" s="122"/>
      <c r="P104" s="122"/>
      <c r="Q104" s="122"/>
      <c r="R104" s="122"/>
      <c r="S104" s="122"/>
    </row>
    <row r="105" spans="2:19">
      <c r="C105" s="135" t="s">
        <v>89</v>
      </c>
      <c r="D105" t="str">
        <f t="shared" si="34"/>
        <v>Rótulos estão iguais</v>
      </c>
      <c r="E105" s="363" t="s">
        <v>579</v>
      </c>
      <c r="F105" s="364">
        <f ca="1">+F38+F104+F121</f>
        <v>2577482457792</v>
      </c>
      <c r="G105" s="364">
        <f ca="1">+G38+G104+G121</f>
        <v>2577482457792</v>
      </c>
      <c r="H105" s="364">
        <f>+H38+H104+H121</f>
        <v>0</v>
      </c>
      <c r="I105" s="365">
        <f t="shared" ca="1" si="31"/>
        <v>0</v>
      </c>
      <c r="J105" s="364">
        <f ca="1">+J38+J104+J121</f>
        <v>1580341775773</v>
      </c>
      <c r="K105" s="365">
        <f t="shared" ca="1" si="32"/>
        <v>61.31</v>
      </c>
      <c r="L105" s="366">
        <f t="shared" ca="1" si="33"/>
        <v>997140682019</v>
      </c>
      <c r="M105" s="122"/>
      <c r="N105" s="122"/>
      <c r="O105" s="122"/>
      <c r="P105" s="122"/>
      <c r="Q105" s="122"/>
      <c r="R105" s="122"/>
      <c r="S105" s="122"/>
    </row>
    <row r="106" spans="2:19">
      <c r="C106" s="133" t="s">
        <v>90</v>
      </c>
      <c r="D106" t="str">
        <f t="shared" si="34"/>
        <v>Rótulos estão diferentes</v>
      </c>
      <c r="E106" s="363" t="s">
        <v>580</v>
      </c>
      <c r="F106" s="364">
        <f ca="1">+F107+F110</f>
        <v>1603521711208</v>
      </c>
      <c r="G106" s="364">
        <f ca="1">+G107+G110</f>
        <v>1603521711208</v>
      </c>
      <c r="H106" s="364">
        <f>+H107+H110</f>
        <v>0</v>
      </c>
      <c r="I106" s="365">
        <f t="shared" ca="1" si="31"/>
        <v>0</v>
      </c>
      <c r="J106" s="364">
        <f ca="1">+J107+J110</f>
        <v>1240257429300</v>
      </c>
      <c r="K106" s="365">
        <f t="shared" ca="1" si="32"/>
        <v>77.349999999999994</v>
      </c>
      <c r="L106" s="366">
        <f t="shared" ca="1" si="33"/>
        <v>363264281908</v>
      </c>
      <c r="M106" s="122"/>
      <c r="N106" s="122"/>
      <c r="O106" s="122"/>
      <c r="P106" s="122"/>
      <c r="Q106" s="122"/>
      <c r="R106" s="122"/>
      <c r="S106" s="122"/>
    </row>
    <row r="107" spans="2:19">
      <c r="B107" t="s">
        <v>581</v>
      </c>
      <c r="C107" s="133" t="s">
        <v>91</v>
      </c>
      <c r="D107" t="str">
        <f t="shared" si="34"/>
        <v>Rótulos estão iguais</v>
      </c>
      <c r="E107" s="363" t="s">
        <v>91</v>
      </c>
      <c r="F107" s="364">
        <f ca="1">+F108+F109</f>
        <v>1603521711208</v>
      </c>
      <c r="G107" s="364">
        <f ca="1">+G108+G109</f>
        <v>1603521711208</v>
      </c>
      <c r="H107" s="364">
        <f>+H108+H109</f>
        <v>0</v>
      </c>
      <c r="I107" s="365">
        <f t="shared" ca="1" si="31"/>
        <v>0</v>
      </c>
      <c r="J107" s="364">
        <f ca="1">+J108+J109</f>
        <v>1237108583283</v>
      </c>
      <c r="K107" s="365">
        <f t="shared" ca="1" si="32"/>
        <v>77.150000000000006</v>
      </c>
      <c r="L107" s="366">
        <f t="shared" ca="1" si="33"/>
        <v>366413127925</v>
      </c>
      <c r="M107" s="122"/>
      <c r="N107" s="122"/>
      <c r="O107" s="122"/>
      <c r="P107" s="122"/>
      <c r="Q107" s="122"/>
      <c r="R107" s="122"/>
      <c r="S107" s="122"/>
    </row>
    <row r="108" spans="2:19">
      <c r="B108" t="s">
        <v>581</v>
      </c>
      <c r="C108" s="133" t="s">
        <v>92</v>
      </c>
      <c r="D108" t="str">
        <f t="shared" si="34"/>
        <v>Rótulos estão iguais</v>
      </c>
      <c r="E108" s="367" t="s">
        <v>582</v>
      </c>
      <c r="F108" s="368">
        <f t="shared" ref="F108:G109" ca="1" si="36">IFERROR(TRUNC(ROUND(1000*VLOOKUP($C108,INDIRECT($B108),F$33,FALSE),2),2),0)</f>
        <v>1603521711208</v>
      </c>
      <c r="G108" s="368">
        <f t="shared" ca="1" si="36"/>
        <v>1603521711208</v>
      </c>
      <c r="H108" s="368">
        <f>TRUNC(ROUND(VLOOKUP($C108,siconfi_rec_ref_mob_interna,3,FALSE),2),2)</f>
        <v>0</v>
      </c>
      <c r="I108" s="369">
        <f t="shared" ca="1" si="31"/>
        <v>0</v>
      </c>
      <c r="J108" s="368">
        <f t="shared" ref="J108:J109" ca="1" si="37">IFERROR(TRUNC(ROUND(1000*VLOOKUP($C108,INDIRECT($B108),J$33,FALSE),2),2),0)</f>
        <v>1237108583283</v>
      </c>
      <c r="K108" s="369">
        <f t="shared" ca="1" si="32"/>
        <v>77.150000000000006</v>
      </c>
      <c r="L108" s="370">
        <f t="shared" ca="1" si="33"/>
        <v>366413127925</v>
      </c>
      <c r="M108" s="122"/>
      <c r="N108" s="122"/>
      <c r="O108" s="122"/>
      <c r="P108" s="122"/>
      <c r="Q108" s="122"/>
      <c r="R108" s="122"/>
      <c r="S108" s="122"/>
    </row>
    <row r="109" spans="2:19">
      <c r="B109" t="s">
        <v>581</v>
      </c>
      <c r="C109" s="133" t="s">
        <v>481</v>
      </c>
      <c r="D109" t="str">
        <f t="shared" si="34"/>
        <v>Rótulos estão iguais</v>
      </c>
      <c r="E109" s="367" t="s">
        <v>583</v>
      </c>
      <c r="F109" s="368">
        <f t="shared" ca="1" si="36"/>
        <v>0</v>
      </c>
      <c r="G109" s="368">
        <f t="shared" ca="1" si="36"/>
        <v>0</v>
      </c>
      <c r="H109" s="368">
        <f>TRUNC(ROUND(VLOOKUP($C109,siconfi_rec_ref_mob_interna,3,FALSE),2),2)</f>
        <v>0</v>
      </c>
      <c r="I109" s="369">
        <f t="shared" ca="1" si="31"/>
        <v>0</v>
      </c>
      <c r="J109" s="368">
        <f t="shared" ca="1" si="37"/>
        <v>0</v>
      </c>
      <c r="K109" s="369">
        <f t="shared" ca="1" si="32"/>
        <v>0</v>
      </c>
      <c r="L109" s="370">
        <f t="shared" ca="1" si="33"/>
        <v>0</v>
      </c>
      <c r="M109" s="122"/>
      <c r="N109" s="122"/>
      <c r="O109" s="122"/>
      <c r="P109" s="122"/>
      <c r="Q109" s="122"/>
      <c r="R109" s="122"/>
      <c r="S109" s="122"/>
    </row>
    <row r="110" spans="2:19">
      <c r="B110" t="s">
        <v>584</v>
      </c>
      <c r="C110" s="133" t="s">
        <v>93</v>
      </c>
      <c r="D110" t="str">
        <f t="shared" si="34"/>
        <v>Rótulos estão iguais</v>
      </c>
      <c r="E110" s="363" t="s">
        <v>93</v>
      </c>
      <c r="F110" s="364">
        <f ca="1">+F111+F112</f>
        <v>0</v>
      </c>
      <c r="G110" s="364">
        <f ca="1">+G111+G112</f>
        <v>0</v>
      </c>
      <c r="H110" s="364">
        <f>+H111+H112</f>
        <v>0</v>
      </c>
      <c r="I110" s="365">
        <f t="shared" ca="1" si="31"/>
        <v>0</v>
      </c>
      <c r="J110" s="364">
        <f ca="1">+J111+J112</f>
        <v>3148846017</v>
      </c>
      <c r="K110" s="365">
        <f t="shared" ca="1" si="32"/>
        <v>0</v>
      </c>
      <c r="L110" s="366">
        <f t="shared" ca="1" si="33"/>
        <v>-3148846017</v>
      </c>
      <c r="M110" s="122"/>
      <c r="N110" s="122"/>
      <c r="O110" s="122"/>
      <c r="P110" s="122"/>
      <c r="Q110" s="122"/>
      <c r="R110" s="122"/>
      <c r="S110" s="122"/>
    </row>
    <row r="111" spans="2:19">
      <c r="B111" t="s">
        <v>584</v>
      </c>
      <c r="C111" s="133" t="s">
        <v>92</v>
      </c>
      <c r="D111" t="str">
        <f t="shared" si="34"/>
        <v>Rótulos estão iguais</v>
      </c>
      <c r="E111" s="367" t="s">
        <v>582</v>
      </c>
      <c r="F111" s="368">
        <f t="shared" ref="F111:G112" ca="1" si="38">IFERROR(TRUNC(ROUND(1000*VLOOKUP($C111,INDIRECT($B111),F$33,FALSE),2),2),0)</f>
        <v>0</v>
      </c>
      <c r="G111" s="368">
        <f t="shared" ca="1" si="38"/>
        <v>0</v>
      </c>
      <c r="H111" s="368">
        <f>TRUNC(ROUND(VLOOKUP($C111,siconfi_rec_ref_mob_externa,3,FALSE),2),2)</f>
        <v>0</v>
      </c>
      <c r="I111" s="369">
        <f t="shared" ca="1" si="31"/>
        <v>0</v>
      </c>
      <c r="J111" s="368">
        <f t="shared" ref="J111:J112" ca="1" si="39">IFERROR(TRUNC(ROUND(1000*VLOOKUP($C111,INDIRECT($B111),J$33,FALSE),2),2),0)</f>
        <v>3148846017</v>
      </c>
      <c r="K111" s="369">
        <f t="shared" ca="1" si="32"/>
        <v>0</v>
      </c>
      <c r="L111" s="370">
        <f t="shared" ca="1" si="33"/>
        <v>-3148846017</v>
      </c>
      <c r="M111" s="122"/>
      <c r="N111" s="122"/>
      <c r="O111" s="122"/>
      <c r="P111" s="122"/>
      <c r="Q111" s="122"/>
      <c r="R111" s="122"/>
      <c r="S111" s="122"/>
    </row>
    <row r="112" spans="2:19">
      <c r="B112" t="s">
        <v>584</v>
      </c>
      <c r="C112" s="133" t="s">
        <v>481</v>
      </c>
      <c r="D112" t="str">
        <f t="shared" si="34"/>
        <v>Rótulos estão iguais</v>
      </c>
      <c r="E112" s="367" t="s">
        <v>583</v>
      </c>
      <c r="F112" s="368">
        <f t="shared" ca="1" si="38"/>
        <v>0</v>
      </c>
      <c r="G112" s="368">
        <f t="shared" ca="1" si="38"/>
        <v>0</v>
      </c>
      <c r="H112" s="368">
        <f>TRUNC(ROUND(VLOOKUP($C112,siconfi_rec_ref_mob_externa,3,FALSE),2),2)</f>
        <v>0</v>
      </c>
      <c r="I112" s="369">
        <f t="shared" ca="1" si="31"/>
        <v>0</v>
      </c>
      <c r="J112" s="368">
        <f t="shared" ca="1" si="39"/>
        <v>0</v>
      </c>
      <c r="K112" s="369">
        <f t="shared" ca="1" si="32"/>
        <v>0</v>
      </c>
      <c r="L112" s="370">
        <f t="shared" ca="1" si="33"/>
        <v>0</v>
      </c>
      <c r="M112" s="122"/>
      <c r="N112" s="122"/>
      <c r="O112" s="122"/>
      <c r="P112" s="122"/>
      <c r="Q112" s="122"/>
      <c r="R112" s="122"/>
      <c r="S112" s="122"/>
    </row>
    <row r="113" spans="2:19">
      <c r="C113" s="133" t="s">
        <v>177</v>
      </c>
      <c r="D113" t="str">
        <f t="shared" si="34"/>
        <v>Rótulos estão iguais</v>
      </c>
      <c r="E113" s="363" t="s">
        <v>585</v>
      </c>
      <c r="F113" s="364">
        <f ca="1">+F105+F106</f>
        <v>4181004169000</v>
      </c>
      <c r="G113" s="364">
        <f ca="1">+G105+G106</f>
        <v>4181004169000</v>
      </c>
      <c r="H113" s="364">
        <f>+H105+H106</f>
        <v>0</v>
      </c>
      <c r="I113" s="365">
        <f t="shared" ca="1" si="31"/>
        <v>0</v>
      </c>
      <c r="J113" s="364">
        <f ca="1">+J105+J106</f>
        <v>2820599205073</v>
      </c>
      <c r="K113" s="365">
        <f t="shared" ca="1" si="32"/>
        <v>67.459999999999994</v>
      </c>
      <c r="L113" s="366">
        <f t="shared" ca="1" si="33"/>
        <v>1360404963927</v>
      </c>
      <c r="M113" s="122"/>
      <c r="N113" s="122"/>
      <c r="O113" s="122"/>
      <c r="P113" s="122"/>
      <c r="Q113" s="122"/>
      <c r="R113" s="122"/>
      <c r="S113" s="122"/>
    </row>
    <row r="114" spans="2:19">
      <c r="C114" s="133" t="s">
        <v>95</v>
      </c>
      <c r="D114" t="str">
        <f t="shared" si="34"/>
        <v>Rótulos estão iguais</v>
      </c>
      <c r="E114" s="367" t="s">
        <v>586</v>
      </c>
      <c r="F114" s="368"/>
      <c r="G114" s="368">
        <f ca="1">G117</f>
        <v>148300257585</v>
      </c>
      <c r="H114" s="368"/>
      <c r="I114" s="369"/>
      <c r="J114" s="368"/>
      <c r="K114" s="369"/>
      <c r="L114" s="370"/>
      <c r="M114" s="122"/>
      <c r="N114" s="122"/>
      <c r="O114" s="122"/>
      <c r="P114" s="122"/>
      <c r="Q114" s="122"/>
      <c r="R114" s="122"/>
      <c r="S114" s="122"/>
    </row>
    <row r="115" spans="2:19">
      <c r="B115" t="s">
        <v>587</v>
      </c>
      <c r="C115" s="133" t="s">
        <v>96</v>
      </c>
      <c r="D115" t="str">
        <f t="shared" si="34"/>
        <v>Rótulos estão iguais</v>
      </c>
      <c r="E115" s="367" t="s">
        <v>588</v>
      </c>
      <c r="F115" s="368"/>
      <c r="G115" s="368"/>
      <c r="H115" s="368"/>
      <c r="I115" s="369"/>
      <c r="J115" s="368">
        <f t="shared" ref="J115" ca="1" si="40">IFERROR(TRUNC(ROUND(1000*VLOOKUP($C115,INDIRECT($B115),J$33,FALSE),2),2),0)</f>
        <v>0</v>
      </c>
      <c r="K115" s="369"/>
      <c r="L115" s="370"/>
      <c r="M115" s="122"/>
      <c r="N115" s="122"/>
      <c r="O115" s="122"/>
      <c r="P115" s="122"/>
      <c r="Q115" s="122"/>
      <c r="R115" s="122"/>
      <c r="S115" s="122"/>
    </row>
    <row r="116" spans="2:19">
      <c r="C116" s="133" t="s">
        <v>589</v>
      </c>
      <c r="D116" t="str">
        <f t="shared" si="34"/>
        <v>Rótulos estão iguais</v>
      </c>
      <c r="E116" s="363" t="s">
        <v>590</v>
      </c>
      <c r="F116" s="364">
        <f ca="1">+F113+F114+F115</f>
        <v>4181004169000</v>
      </c>
      <c r="G116" s="364">
        <f t="shared" ref="G116:J116" ca="1" si="41">+G113+G114+G115</f>
        <v>4329304426585</v>
      </c>
      <c r="H116" s="364">
        <f t="shared" si="41"/>
        <v>0</v>
      </c>
      <c r="I116" s="365">
        <f ca="1">IFERROR(ROUND(100*H116/G116,2),0)</f>
        <v>0</v>
      </c>
      <c r="J116" s="364">
        <f t="shared" ca="1" si="41"/>
        <v>2820599205073</v>
      </c>
      <c r="K116" s="365">
        <f ca="1">IFERROR(ROUND(100*J116/G116,2),0)</f>
        <v>65.150000000000006</v>
      </c>
      <c r="L116" s="366">
        <f ca="1">G116-J116</f>
        <v>1508705221512</v>
      </c>
      <c r="M116" s="122"/>
      <c r="N116" s="122"/>
      <c r="O116" s="122"/>
      <c r="P116" s="122"/>
      <c r="Q116" s="122"/>
      <c r="R116" s="122"/>
      <c r="S116" s="122"/>
    </row>
    <row r="117" spans="2:19">
      <c r="C117" s="133" t="s">
        <v>99</v>
      </c>
      <c r="D117" t="str">
        <f t="shared" si="34"/>
        <v>Rótulos estão iguais</v>
      </c>
      <c r="E117" s="367" t="s">
        <v>591</v>
      </c>
      <c r="F117" s="374"/>
      <c r="G117" s="368">
        <f ca="1">+G118+G119+G120</f>
        <v>148300257585</v>
      </c>
      <c r="H117" s="374"/>
      <c r="I117" s="374"/>
      <c r="J117" s="374"/>
      <c r="K117" s="374"/>
      <c r="L117" s="375"/>
      <c r="M117" s="122"/>
      <c r="N117" s="122"/>
      <c r="O117" s="122"/>
      <c r="P117" s="122"/>
      <c r="Q117" s="122"/>
      <c r="R117" s="122"/>
      <c r="S117" s="122"/>
    </row>
    <row r="118" spans="2:19">
      <c r="B118" t="s">
        <v>592</v>
      </c>
      <c r="C118" s="133" t="s">
        <v>100</v>
      </c>
      <c r="D118" t="str">
        <f t="shared" si="34"/>
        <v>Rótulos estão iguais</v>
      </c>
      <c r="E118" s="367" t="s">
        <v>593</v>
      </c>
      <c r="F118" s="374"/>
      <c r="G118" s="368">
        <f t="shared" ref="G118:G120" ca="1" si="42">IFERROR(TRUNC(ROUND(1000*VLOOKUP($C118,INDIRECT($B118),G$33,FALSE),2),2),0)</f>
        <v>40111200802</v>
      </c>
      <c r="H118" s="374"/>
      <c r="I118" s="374"/>
      <c r="J118" s="374"/>
      <c r="K118" s="374"/>
      <c r="L118" s="375"/>
      <c r="M118" s="122"/>
      <c r="N118" s="122"/>
      <c r="O118" s="122"/>
      <c r="P118" s="122"/>
      <c r="Q118" s="122"/>
      <c r="R118" s="122"/>
      <c r="S118" s="122"/>
    </row>
    <row r="119" spans="2:19">
      <c r="B119" t="s">
        <v>592</v>
      </c>
      <c r="C119" s="133" t="s">
        <v>101</v>
      </c>
      <c r="D119" t="str">
        <f t="shared" si="34"/>
        <v>Rótulos estão iguais</v>
      </c>
      <c r="E119" s="367" t="s">
        <v>594</v>
      </c>
      <c r="F119" s="374"/>
      <c r="G119" s="368">
        <f t="shared" ca="1" si="42"/>
        <v>109015121805</v>
      </c>
      <c r="H119" s="374"/>
      <c r="I119" s="374"/>
      <c r="J119" s="374"/>
      <c r="K119" s="374"/>
      <c r="L119" s="375"/>
      <c r="M119" s="122"/>
      <c r="N119" s="122"/>
      <c r="O119" s="122"/>
      <c r="P119" s="122"/>
      <c r="Q119" s="122"/>
      <c r="R119" s="122"/>
      <c r="S119" s="122"/>
    </row>
    <row r="120" spans="2:19">
      <c r="B120" t="s">
        <v>592</v>
      </c>
      <c r="C120" s="133" t="s">
        <v>102</v>
      </c>
      <c r="D120" t="str">
        <f t="shared" si="34"/>
        <v>Rótulos estão iguais</v>
      </c>
      <c r="E120" s="367" t="s">
        <v>595</v>
      </c>
      <c r="F120" s="374"/>
      <c r="G120" s="368">
        <f t="shared" ca="1" si="42"/>
        <v>-826065022</v>
      </c>
      <c r="H120" s="374"/>
      <c r="I120" s="374"/>
      <c r="J120" s="374"/>
      <c r="K120" s="374"/>
      <c r="L120" s="375"/>
      <c r="M120" s="122"/>
      <c r="N120" s="122"/>
      <c r="O120" s="122"/>
      <c r="P120" s="122"/>
      <c r="Q120" s="122"/>
      <c r="R120" s="122"/>
      <c r="S120" s="122"/>
    </row>
    <row r="121" spans="2:19" ht="13.5" thickBot="1">
      <c r="E121" s="376" t="s">
        <v>596</v>
      </c>
      <c r="F121" s="377"/>
      <c r="G121" s="378">
        <v>0</v>
      </c>
      <c r="H121" s="377"/>
      <c r="I121" s="377"/>
      <c r="J121" s="377"/>
      <c r="K121" s="377"/>
      <c r="L121" s="379"/>
      <c r="M121" s="122"/>
      <c r="N121" s="122"/>
      <c r="O121" s="122"/>
      <c r="P121" s="122"/>
      <c r="Q121" s="122"/>
      <c r="R121" s="122"/>
      <c r="S121" s="122"/>
    </row>
    <row r="122" spans="2:19" ht="13.5" thickTop="1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9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9">
      <c r="E124" s="359" t="s">
        <v>505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9">
      <c r="E125" s="359" t="s">
        <v>597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9" ht="13.5" thickBot="1">
      <c r="E126" s="380" t="s">
        <v>507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9" ht="13.5" thickTop="1">
      <c r="E127" s="326" t="s">
        <v>598</v>
      </c>
      <c r="F127" s="327" t="s">
        <v>599</v>
      </c>
      <c r="G127" s="327"/>
      <c r="H127" s="327"/>
      <c r="I127" s="327"/>
      <c r="J127" s="327"/>
      <c r="K127" s="327"/>
      <c r="L127" s="327"/>
      <c r="M127" s="327"/>
      <c r="N127" s="327"/>
      <c r="O127" s="328"/>
    </row>
    <row r="128" spans="2:19" ht="22.5">
      <c r="E128" s="381"/>
      <c r="F128" s="382" t="s">
        <v>600</v>
      </c>
      <c r="G128" s="382" t="s">
        <v>601</v>
      </c>
      <c r="H128" s="382" t="s">
        <v>602</v>
      </c>
      <c r="I128" s="382" t="s">
        <v>603</v>
      </c>
      <c r="J128" s="382" t="s">
        <v>604</v>
      </c>
      <c r="K128" s="382" t="s">
        <v>605</v>
      </c>
      <c r="L128" s="382" t="s">
        <v>606</v>
      </c>
      <c r="M128" s="382" t="s">
        <v>607</v>
      </c>
      <c r="N128" s="382" t="s">
        <v>608</v>
      </c>
      <c r="O128" s="383" t="s">
        <v>609</v>
      </c>
    </row>
    <row r="129" spans="2:15">
      <c r="E129" s="367" t="s">
        <v>598</v>
      </c>
      <c r="F129" s="384"/>
      <c r="G129" s="384"/>
      <c r="H129" s="384"/>
      <c r="I129" s="384"/>
      <c r="J129" s="384"/>
      <c r="K129" s="384"/>
      <c r="L129" s="384"/>
      <c r="M129" s="384"/>
      <c r="N129" s="384"/>
      <c r="O129" s="385"/>
    </row>
    <row r="130" spans="2:15">
      <c r="B130" s="131" t="s">
        <v>610</v>
      </c>
      <c r="C130" s="133" t="s">
        <v>120</v>
      </c>
      <c r="D130" t="str">
        <f t="shared" ref="D130:D151" si="43">IF(TRIM(C130)=TRIM(E130),"Rótulos estão iguais","Rótulos estão diferentes")</f>
        <v>Rótulos estão iguais</v>
      </c>
      <c r="E130" s="363" t="s">
        <v>611</v>
      </c>
      <c r="F130" s="364">
        <f ca="1">+F131+F138+F142</f>
        <v>2628331921887</v>
      </c>
      <c r="G130" s="364">
        <f ca="1">+G131+G138+G142</f>
        <v>2771813754137</v>
      </c>
      <c r="H130" s="364">
        <f>+H131+H138+H142</f>
        <v>0</v>
      </c>
      <c r="I130" s="364">
        <f ca="1">+I131+I138+I142</f>
        <v>2119019488335</v>
      </c>
      <c r="J130" s="364">
        <f t="shared" ref="J130:J152" ca="1" si="44">G130-I130</f>
        <v>652794265802</v>
      </c>
      <c r="K130" s="364">
        <f>+K131+K138+K142</f>
        <v>0</v>
      </c>
      <c r="L130" s="364">
        <f ca="1">+L131+L138+L142</f>
        <v>1736030973276</v>
      </c>
      <c r="M130" s="364">
        <f t="shared" ref="M130:M152" ca="1" si="45">G130-L130</f>
        <v>1035782780861</v>
      </c>
      <c r="N130" s="364">
        <f ca="1">+N131+N138+N142</f>
        <v>1666924692076</v>
      </c>
      <c r="O130" s="366">
        <f ca="1">+O131+O138+O142</f>
        <v>0</v>
      </c>
    </row>
    <row r="131" spans="2:15">
      <c r="B131" s="131" t="s">
        <v>610</v>
      </c>
      <c r="C131" s="133" t="s">
        <v>121</v>
      </c>
      <c r="D131" t="str">
        <f t="shared" si="43"/>
        <v>Rótulos estão iguais</v>
      </c>
      <c r="E131" s="363" t="s">
        <v>612</v>
      </c>
      <c r="F131" s="364">
        <f ca="1">+F132+F133+F134</f>
        <v>2093313641851</v>
      </c>
      <c r="G131" s="364">
        <f ca="1">+G132+G133+G134</f>
        <v>2228934812404</v>
      </c>
      <c r="H131" s="364">
        <f>+H132+H133+H134</f>
        <v>0</v>
      </c>
      <c r="I131" s="364">
        <f ca="1">+I132+I133+I134</f>
        <v>1738158773250</v>
      </c>
      <c r="J131" s="364">
        <f t="shared" ca="1" si="44"/>
        <v>490776039154</v>
      </c>
      <c r="K131" s="364">
        <f>+K132+K133+K134</f>
        <v>0</v>
      </c>
      <c r="L131" s="364">
        <f ca="1">+L132+L133+L134</f>
        <v>1416697552191</v>
      </c>
      <c r="M131" s="364">
        <f t="shared" ca="1" si="45"/>
        <v>812237260213</v>
      </c>
      <c r="N131" s="364">
        <f ca="1">+N132+N133+N134</f>
        <v>1348297816368</v>
      </c>
      <c r="O131" s="366">
        <f ca="1">+O132+O133+O134</f>
        <v>0</v>
      </c>
    </row>
    <row r="132" spans="2:15">
      <c r="B132" s="131" t="s">
        <v>610</v>
      </c>
      <c r="C132" s="133" t="s">
        <v>122</v>
      </c>
      <c r="D132" t="str">
        <f t="shared" si="43"/>
        <v>Rótulos estão iguais</v>
      </c>
      <c r="E132" s="367" t="s">
        <v>613</v>
      </c>
      <c r="F132" s="368">
        <f t="shared" ref="F132:O142" ca="1" si="46">IFERROR(TRUNC(ROUND(1000*VLOOKUP($C132,INDIRECT($B132),F$33,FALSE),2),2),0)</f>
        <v>335155980078</v>
      </c>
      <c r="G132" s="368">
        <f t="shared" ca="1" si="46"/>
        <v>334301929035</v>
      </c>
      <c r="H132" s="368">
        <f>TRUNC(ROUND(VLOOKUP($C132,siconfi_desp,3,FALSE),2),2)</f>
        <v>0</v>
      </c>
      <c r="I132" s="368">
        <f ca="1">IFERROR(TRUNC(ROUND(1000*VLOOKUP($C132,INDIRECT($B132),I$33,FALSE),2),2),0)</f>
        <v>263299114776</v>
      </c>
      <c r="J132" s="368">
        <f t="shared" ca="1" si="44"/>
        <v>71002814259</v>
      </c>
      <c r="K132" s="368">
        <f>TRUNC(ROUND(VLOOKUP($C132,siconfi_desp,4,FALSE),2),2)</f>
        <v>0</v>
      </c>
      <c r="L132" s="368">
        <f ca="1">IFERROR(TRUNC(ROUND(1000*VLOOKUP($C132,INDIRECT($B132),L$33,FALSE),2),2),0)</f>
        <v>211032740202</v>
      </c>
      <c r="M132" s="368">
        <f t="shared" ca="1" si="45"/>
        <v>123269188833</v>
      </c>
      <c r="N132" s="368">
        <f ca="1">IFERROR(TRUNC(ROUND(1000*VLOOKUP($C132,INDIRECT($B132),N$33,FALSE),2),2),0)</f>
        <v>194872639605</v>
      </c>
      <c r="O132" s="370">
        <f ca="1">IFERROR(TRUNC(ROUND(1000*VLOOKUP($C132,INDIRECT($B132),O$33,FALSE),2),2),0)</f>
        <v>0</v>
      </c>
    </row>
    <row r="133" spans="2:15">
      <c r="B133" s="131" t="s">
        <v>610</v>
      </c>
      <c r="C133" s="133" t="s">
        <v>123</v>
      </c>
      <c r="D133" t="str">
        <f t="shared" si="43"/>
        <v>Rótulos estão iguais</v>
      </c>
      <c r="E133" s="367" t="s">
        <v>614</v>
      </c>
      <c r="F133" s="368">
        <f t="shared" ca="1" si="46"/>
        <v>362618215092</v>
      </c>
      <c r="G133" s="368">
        <f t="shared" ca="1" si="46"/>
        <v>362617890092</v>
      </c>
      <c r="H133" s="368">
        <f>TRUNC(ROUND(VLOOKUP($C133,siconfi_desp,3,FALSE),2),2)</f>
        <v>0</v>
      </c>
      <c r="I133" s="368">
        <f ca="1">IFERROR(TRUNC(ROUND(1000*VLOOKUP($C133,INDIRECT($B133),I$33,FALSE),2),2),0)</f>
        <v>232391038228</v>
      </c>
      <c r="J133" s="368">
        <f t="shared" ca="1" si="44"/>
        <v>130226851864</v>
      </c>
      <c r="K133" s="368">
        <f>TRUNC(ROUND(VLOOKUP($C133,siconfi_desp,4,FALSE),2),2)</f>
        <v>0</v>
      </c>
      <c r="L133" s="368">
        <f ca="1">IFERROR(TRUNC(ROUND(1000*VLOOKUP($C133,INDIRECT($B133),L$33,FALSE),2),2),0)</f>
        <v>194806232384</v>
      </c>
      <c r="M133" s="368">
        <f t="shared" ca="1" si="45"/>
        <v>167811657708</v>
      </c>
      <c r="N133" s="368">
        <f ca="1">IFERROR(TRUNC(ROUND(1000*VLOOKUP($C133,INDIRECT($B133),N$33,FALSE),2),2),0)</f>
        <v>194806002883</v>
      </c>
      <c r="O133" s="370">
        <f ca="1">IFERROR(TRUNC(ROUND(1000*VLOOKUP($C133,INDIRECT($B133),O$33,FALSE),2),2),0)</f>
        <v>0</v>
      </c>
    </row>
    <row r="134" spans="2:15">
      <c r="B134" s="131" t="s">
        <v>610</v>
      </c>
      <c r="C134" s="133" t="s">
        <v>124</v>
      </c>
      <c r="D134" t="str">
        <f t="shared" si="43"/>
        <v>Rótulos estão iguais</v>
      </c>
      <c r="E134" s="363" t="s">
        <v>615</v>
      </c>
      <c r="F134" s="364">
        <f ca="1">+F135+F136+F137</f>
        <v>1395539446681</v>
      </c>
      <c r="G134" s="364">
        <f ca="1">+G135+G136+G137</f>
        <v>1532014993277</v>
      </c>
      <c r="H134" s="364">
        <f>+H135+H136+H137</f>
        <v>0</v>
      </c>
      <c r="I134" s="364">
        <f ca="1">+I135+I136+I137</f>
        <v>1242468620246</v>
      </c>
      <c r="J134" s="364">
        <f t="shared" ca="1" si="44"/>
        <v>289546373031</v>
      </c>
      <c r="K134" s="364">
        <f>+K135+K136+K137</f>
        <v>0</v>
      </c>
      <c r="L134" s="364">
        <f ca="1">+L135+L136+L137</f>
        <v>1010858579605</v>
      </c>
      <c r="M134" s="364">
        <f t="shared" ca="1" si="45"/>
        <v>521156413672</v>
      </c>
      <c r="N134" s="364">
        <f ca="1">+N135+N136+N137</f>
        <v>958619173880</v>
      </c>
      <c r="O134" s="366">
        <f ca="1">+O135+O136+O137</f>
        <v>0</v>
      </c>
    </row>
    <row r="135" spans="2:15">
      <c r="B135" s="131" t="s">
        <v>610</v>
      </c>
      <c r="C135" s="133" t="s">
        <v>125</v>
      </c>
      <c r="D135" t="str">
        <f>IF(TRIM(C135)=TRIM(E135),"Rótulos estão iguais","Rótulos estão diferentes")</f>
        <v>Rótulos estão diferentes</v>
      </c>
      <c r="E135" s="367" t="s">
        <v>616</v>
      </c>
      <c r="F135" s="368">
        <f t="shared" ca="1" si="46"/>
        <v>410689204331</v>
      </c>
      <c r="G135" s="368">
        <f t="shared" ca="1" si="46"/>
        <v>423757050837</v>
      </c>
      <c r="H135" s="368">
        <f>TRUNC(ROUND(VLOOKUP($C135,siconfi_desp,3,FALSE),2),2)</f>
        <v>0</v>
      </c>
      <c r="I135" s="368">
        <f ca="1">IFERROR(TRUNC(ROUND(1000*VLOOKUP($C135,INDIRECT($B135),I$33,FALSE),2),2),0)</f>
        <v>378720072174</v>
      </c>
      <c r="J135" s="368">
        <f t="shared" ca="1" si="44"/>
        <v>45036978663</v>
      </c>
      <c r="K135" s="368">
        <f>TRUNC(ROUND(VLOOKUP($C135,siconfi_desp,4,FALSE),2),2)</f>
        <v>0</v>
      </c>
      <c r="L135" s="368">
        <f ca="1">IFERROR(TRUNC(ROUND(1000*VLOOKUP($C135,INDIRECT($B135),L$33,FALSE),2),2),0)</f>
        <v>288662167809</v>
      </c>
      <c r="M135" s="368">
        <f t="shared" ca="1" si="45"/>
        <v>135094883028</v>
      </c>
      <c r="N135" s="368">
        <f ca="1">IFERROR(TRUNC(ROUND(1000*VLOOKUP($C135,INDIRECT($B135),N$33,FALSE),2),2),0)</f>
        <v>284364822956</v>
      </c>
      <c r="O135" s="370">
        <f ca="1">IFERROR(TRUNC(ROUND(1000*VLOOKUP($C135,INDIRECT($B135),O$33,FALSE),2),2),0)</f>
        <v>0</v>
      </c>
    </row>
    <row r="136" spans="2:15">
      <c r="B136" s="131" t="s">
        <v>610</v>
      </c>
      <c r="C136" s="133" t="s">
        <v>126</v>
      </c>
      <c r="D136" t="str">
        <f t="shared" si="43"/>
        <v>Rótulos estão iguais</v>
      </c>
      <c r="E136" s="367" t="s">
        <v>617</v>
      </c>
      <c r="F136" s="368">
        <f t="shared" ca="1" si="46"/>
        <v>439859601248</v>
      </c>
      <c r="G136" s="368">
        <f t="shared" ca="1" si="46"/>
        <v>571654429866</v>
      </c>
      <c r="H136" s="368">
        <f>TRUNC(ROUND(VLOOKUP($C136,siconfi_desp,3,FALSE),2),2)</f>
        <v>0</v>
      </c>
      <c r="I136" s="368">
        <f t="shared" ca="1" si="46"/>
        <v>555217161681</v>
      </c>
      <c r="J136" s="368">
        <f t="shared" ca="1" si="44"/>
        <v>16437268185</v>
      </c>
      <c r="K136" s="368">
        <f>TRUNC(ROUND(VLOOKUP($C136,siconfi_desp,4,FALSE),2),2)</f>
        <v>0</v>
      </c>
      <c r="L136" s="368">
        <f t="shared" ca="1" si="46"/>
        <v>492408530279</v>
      </c>
      <c r="M136" s="368">
        <f t="shared" ca="1" si="45"/>
        <v>79245899587</v>
      </c>
      <c r="N136" s="368">
        <f t="shared" ca="1" si="46"/>
        <v>450776961498</v>
      </c>
      <c r="O136" s="370">
        <f t="shared" ca="1" si="46"/>
        <v>0</v>
      </c>
    </row>
    <row r="137" spans="2:15">
      <c r="B137" s="131" t="s">
        <v>610</v>
      </c>
      <c r="C137" s="133" t="s">
        <v>127</v>
      </c>
      <c r="D137" t="str">
        <f t="shared" si="43"/>
        <v>Rótulos estão iguais</v>
      </c>
      <c r="E137" s="367" t="s">
        <v>618</v>
      </c>
      <c r="F137" s="368">
        <f t="shared" ca="1" si="46"/>
        <v>544990641102</v>
      </c>
      <c r="G137" s="368">
        <f t="shared" ca="1" si="46"/>
        <v>536603512574</v>
      </c>
      <c r="H137" s="368">
        <f>TRUNC(ROUND(VLOOKUP($C137,siconfi_desp,3,FALSE),2),2)</f>
        <v>0</v>
      </c>
      <c r="I137" s="368">
        <f t="shared" ca="1" si="46"/>
        <v>308531386391</v>
      </c>
      <c r="J137" s="368">
        <f t="shared" ca="1" si="44"/>
        <v>228072126183</v>
      </c>
      <c r="K137" s="368">
        <f>TRUNC(ROUND(VLOOKUP($C137,siconfi_desp,4,FALSE),2),2)</f>
        <v>0</v>
      </c>
      <c r="L137" s="368">
        <f t="shared" ca="1" si="46"/>
        <v>229787881517</v>
      </c>
      <c r="M137" s="368">
        <f t="shared" ca="1" si="45"/>
        <v>306815631057</v>
      </c>
      <c r="N137" s="368">
        <f t="shared" ca="1" si="46"/>
        <v>223477389426</v>
      </c>
      <c r="O137" s="370">
        <f t="shared" ca="1" si="46"/>
        <v>0</v>
      </c>
    </row>
    <row r="138" spans="2:15">
      <c r="B138" s="131" t="s">
        <v>610</v>
      </c>
      <c r="C138" s="133" t="s">
        <v>128</v>
      </c>
      <c r="D138" t="str">
        <f t="shared" si="43"/>
        <v>Rótulos estão iguais</v>
      </c>
      <c r="E138" s="363" t="s">
        <v>619</v>
      </c>
      <c r="F138" s="364">
        <f ca="1">+F139+F140+F141</f>
        <v>493797603058</v>
      </c>
      <c r="G138" s="364">
        <f ca="1">+G139+G140+G141</f>
        <v>503961459350</v>
      </c>
      <c r="H138" s="364">
        <f>+H139+H140+H141</f>
        <v>0</v>
      </c>
      <c r="I138" s="364">
        <f ca="1">+I139+I140+I141</f>
        <v>380860715085</v>
      </c>
      <c r="J138" s="364">
        <f t="shared" ca="1" si="44"/>
        <v>123100744265</v>
      </c>
      <c r="K138" s="364">
        <f>+K139+K140+K141</f>
        <v>0</v>
      </c>
      <c r="L138" s="364">
        <f ca="1">+L139+L140+L141</f>
        <v>319333421085</v>
      </c>
      <c r="M138" s="364">
        <f t="shared" ca="1" si="45"/>
        <v>184628038265</v>
      </c>
      <c r="N138" s="364">
        <f ca="1">+N139+N140+N141</f>
        <v>318626875708</v>
      </c>
      <c r="O138" s="366">
        <f ca="1">+O139+O140+O141</f>
        <v>0</v>
      </c>
    </row>
    <row r="139" spans="2:15">
      <c r="B139" s="131" t="s">
        <v>610</v>
      </c>
      <c r="C139" s="133" t="s">
        <v>129</v>
      </c>
      <c r="D139" t="str">
        <f t="shared" si="43"/>
        <v>Rótulos estão iguais</v>
      </c>
      <c r="E139" s="367" t="s">
        <v>620</v>
      </c>
      <c r="F139" s="368">
        <f t="shared" ca="1" si="46"/>
        <v>38103056116</v>
      </c>
      <c r="G139" s="368">
        <f t="shared" ca="1" si="46"/>
        <v>40630958139</v>
      </c>
      <c r="H139" s="368">
        <f>TRUNC(ROUND(VLOOKUP($C139,siconfi_desp,3,FALSE),2),2)</f>
        <v>0</v>
      </c>
      <c r="I139" s="368">
        <f t="shared" ca="1" si="46"/>
        <v>20135703990</v>
      </c>
      <c r="J139" s="368">
        <f t="shared" ca="1" si="44"/>
        <v>20495254149</v>
      </c>
      <c r="K139" s="368">
        <f>TRUNC(ROUND(VLOOKUP($C139,siconfi_desp,4,FALSE),2),2)</f>
        <v>0</v>
      </c>
      <c r="L139" s="368">
        <f t="shared" ca="1" si="46"/>
        <v>6421135423</v>
      </c>
      <c r="M139" s="368">
        <f t="shared" ca="1" si="45"/>
        <v>34209822716</v>
      </c>
      <c r="N139" s="368">
        <f t="shared" ca="1" si="46"/>
        <v>5720106013</v>
      </c>
      <c r="O139" s="370">
        <f t="shared" ca="1" si="46"/>
        <v>0</v>
      </c>
    </row>
    <row r="140" spans="2:15">
      <c r="B140" s="131" t="s">
        <v>610</v>
      </c>
      <c r="C140" s="133" t="s">
        <v>130</v>
      </c>
      <c r="D140" t="str">
        <f t="shared" si="43"/>
        <v>Rótulos estão iguais</v>
      </c>
      <c r="E140" s="367" t="s">
        <v>621</v>
      </c>
      <c r="F140" s="368">
        <f t="shared" ca="1" si="46"/>
        <v>80600705427</v>
      </c>
      <c r="G140" s="368">
        <f t="shared" ca="1" si="46"/>
        <v>88236334696</v>
      </c>
      <c r="H140" s="368">
        <f>TRUNC(ROUND(VLOOKUP($C140,siconfi_desp,3,FALSE),2),2)</f>
        <v>0</v>
      </c>
      <c r="I140" s="368">
        <f t="shared" ca="1" si="46"/>
        <v>55534673823</v>
      </c>
      <c r="J140" s="368">
        <f t="shared" ca="1" si="44"/>
        <v>32701660873</v>
      </c>
      <c r="K140" s="368">
        <f>TRUNC(ROUND(VLOOKUP($C140,siconfi_desp,4,FALSE),2),2)</f>
        <v>0</v>
      </c>
      <c r="L140" s="368">
        <f t="shared" ca="1" si="46"/>
        <v>35874214191</v>
      </c>
      <c r="M140" s="368">
        <f t="shared" ca="1" si="45"/>
        <v>52362120505</v>
      </c>
      <c r="N140" s="368">
        <f t="shared" ca="1" si="46"/>
        <v>35869994106</v>
      </c>
      <c r="O140" s="370">
        <f t="shared" ca="1" si="46"/>
        <v>0</v>
      </c>
    </row>
    <row r="141" spans="2:15">
      <c r="B141" s="131" t="s">
        <v>610</v>
      </c>
      <c r="C141" s="133" t="s">
        <v>131</v>
      </c>
      <c r="D141" t="str">
        <f t="shared" si="43"/>
        <v>Rótulos estão iguais</v>
      </c>
      <c r="E141" s="367" t="s">
        <v>622</v>
      </c>
      <c r="F141" s="368">
        <f t="shared" ca="1" si="46"/>
        <v>375093841515</v>
      </c>
      <c r="G141" s="368">
        <f t="shared" ca="1" si="46"/>
        <v>375094166515</v>
      </c>
      <c r="H141" s="368">
        <f>TRUNC(ROUND(VLOOKUP($C141,siconfi_desp,3,FALSE),2),2)</f>
        <v>0</v>
      </c>
      <c r="I141" s="368">
        <f t="shared" ca="1" si="46"/>
        <v>305190337272</v>
      </c>
      <c r="J141" s="368">
        <f t="shared" ca="1" si="44"/>
        <v>69903829243</v>
      </c>
      <c r="K141" s="368">
        <f>TRUNC(ROUND(VLOOKUP($C141,siconfi_desp,4,FALSE),2),2)</f>
        <v>0</v>
      </c>
      <c r="L141" s="368">
        <f t="shared" ca="1" si="46"/>
        <v>277038071471</v>
      </c>
      <c r="M141" s="368">
        <f t="shared" ca="1" si="45"/>
        <v>98056095044</v>
      </c>
      <c r="N141" s="368">
        <f t="shared" ca="1" si="46"/>
        <v>277036775589</v>
      </c>
      <c r="O141" s="370">
        <f t="shared" ca="1" si="46"/>
        <v>0</v>
      </c>
    </row>
    <row r="142" spans="2:15">
      <c r="B142" s="131" t="s">
        <v>610</v>
      </c>
      <c r="C142" s="133" t="s">
        <v>132</v>
      </c>
      <c r="D142" t="str">
        <f t="shared" si="43"/>
        <v>Rótulos estão iguais</v>
      </c>
      <c r="E142" s="367" t="s">
        <v>623</v>
      </c>
      <c r="F142" s="368">
        <f t="shared" ca="1" si="46"/>
        <v>41220676978</v>
      </c>
      <c r="G142" s="368">
        <f t="shared" ca="1" si="46"/>
        <v>38917482383</v>
      </c>
      <c r="H142" s="368"/>
      <c r="I142" s="368"/>
      <c r="J142" s="368">
        <f t="shared" ca="1" si="44"/>
        <v>38917482383</v>
      </c>
      <c r="K142" s="368"/>
      <c r="L142" s="368"/>
      <c r="M142" s="368">
        <f t="shared" ca="1" si="45"/>
        <v>38917482383</v>
      </c>
      <c r="N142" s="368"/>
      <c r="O142" s="370"/>
    </row>
    <row r="143" spans="2:15">
      <c r="B143" s="131"/>
      <c r="C143" s="133" t="s">
        <v>133</v>
      </c>
      <c r="D143" t="str">
        <f t="shared" si="43"/>
        <v>Rótulos estão iguais</v>
      </c>
      <c r="E143" s="363" t="s">
        <v>624</v>
      </c>
      <c r="F143" s="364">
        <f ca="1">F239</f>
        <v>34213658640</v>
      </c>
      <c r="G143" s="364">
        <f ca="1">G239</f>
        <v>39032083975</v>
      </c>
      <c r="H143" s="364">
        <f t="shared" ref="H143:K143" si="47">+H239</f>
        <v>0</v>
      </c>
      <c r="I143" s="364">
        <f ca="1">+I239</f>
        <v>33544135262</v>
      </c>
      <c r="J143" s="364">
        <f t="shared" ca="1" si="44"/>
        <v>5487948713</v>
      </c>
      <c r="K143" s="364">
        <f t="shared" si="47"/>
        <v>0</v>
      </c>
      <c r="L143" s="364">
        <f t="shared" ref="L143:N143" ca="1" si="48">+L239</f>
        <v>22488036511</v>
      </c>
      <c r="M143" s="364">
        <f t="shared" ca="1" si="45"/>
        <v>16544047464</v>
      </c>
      <c r="N143" s="364">
        <f t="shared" ca="1" si="48"/>
        <v>22260569654</v>
      </c>
      <c r="O143" s="366">
        <f t="shared" ref="O143" ca="1" si="49">+O239</f>
        <v>0</v>
      </c>
    </row>
    <row r="144" spans="2:15">
      <c r="C144" s="133" t="s">
        <v>134</v>
      </c>
      <c r="D144" t="str">
        <f t="shared" si="43"/>
        <v>Rótulos estão iguais</v>
      </c>
      <c r="E144" s="363" t="s">
        <v>625</v>
      </c>
      <c r="F144" s="364">
        <f ca="1">+F130+F143</f>
        <v>2662545580527</v>
      </c>
      <c r="G144" s="364">
        <f ca="1">+G130+G143</f>
        <v>2810845838112</v>
      </c>
      <c r="H144" s="364">
        <f>+H130+H143</f>
        <v>0</v>
      </c>
      <c r="I144" s="364">
        <f ca="1">+I130+I143</f>
        <v>2152563623597</v>
      </c>
      <c r="J144" s="364">
        <f t="shared" ca="1" si="44"/>
        <v>658282214515</v>
      </c>
      <c r="K144" s="364">
        <f>+K130+K143</f>
        <v>0</v>
      </c>
      <c r="L144" s="364">
        <f ca="1">+L130+L143</f>
        <v>1758519009787</v>
      </c>
      <c r="M144" s="364">
        <f t="shared" ca="1" si="45"/>
        <v>1052326828325</v>
      </c>
      <c r="N144" s="364">
        <f ca="1">+N130+N143</f>
        <v>1689185261730</v>
      </c>
      <c r="O144" s="366">
        <f ca="1">+O130+O143</f>
        <v>0</v>
      </c>
    </row>
    <row r="145" spans="2:15">
      <c r="C145" s="133" t="s">
        <v>135</v>
      </c>
      <c r="D145" t="str">
        <f t="shared" si="43"/>
        <v>Rótulos estão diferentes</v>
      </c>
      <c r="E145" s="363" t="s">
        <v>626</v>
      </c>
      <c r="F145" s="364">
        <f ca="1">+F146+F149</f>
        <v>1498690968627</v>
      </c>
      <c r="G145" s="364">
        <f ca="1">+G146+G149</f>
        <v>1498690968627</v>
      </c>
      <c r="H145" s="364">
        <f>+H146+H149</f>
        <v>0</v>
      </c>
      <c r="I145" s="364">
        <f ca="1">+I146+I149</f>
        <v>1070073735220</v>
      </c>
      <c r="J145" s="364">
        <f t="shared" ca="1" si="44"/>
        <v>428617233407</v>
      </c>
      <c r="K145" s="364">
        <f>+K146+K149</f>
        <v>0</v>
      </c>
      <c r="L145" s="364">
        <f ca="1">+L146+L149</f>
        <v>749803100755</v>
      </c>
      <c r="M145" s="364">
        <f t="shared" ca="1" si="45"/>
        <v>748887867872</v>
      </c>
      <c r="N145" s="364">
        <f ca="1">+N146+N149</f>
        <v>749803100755</v>
      </c>
      <c r="O145" s="366">
        <f ca="1">+O146+O149</f>
        <v>0</v>
      </c>
    </row>
    <row r="146" spans="2:15">
      <c r="C146" s="133" t="s">
        <v>136</v>
      </c>
      <c r="D146" t="str">
        <f t="shared" si="43"/>
        <v>Rótulos estão iguais</v>
      </c>
      <c r="E146" s="363" t="s">
        <v>627</v>
      </c>
      <c r="F146" s="364">
        <f ca="1">+F147+F148</f>
        <v>1434393049397</v>
      </c>
      <c r="G146" s="364">
        <f ca="1">+G147+G148</f>
        <v>1434393049397</v>
      </c>
      <c r="H146" s="364">
        <f>+H147+H148</f>
        <v>0</v>
      </c>
      <c r="I146" s="364">
        <f ca="1">+I147+I148</f>
        <v>1045452809788</v>
      </c>
      <c r="J146" s="364">
        <f t="shared" ca="1" si="44"/>
        <v>388940239609</v>
      </c>
      <c r="K146" s="364">
        <f>+K147+K148</f>
        <v>0</v>
      </c>
      <c r="L146" s="364">
        <f ca="1">+L147+L148</f>
        <v>725232175323</v>
      </c>
      <c r="M146" s="364">
        <f t="shared" ca="1" si="45"/>
        <v>709160874074</v>
      </c>
      <c r="N146" s="364">
        <f ca="1">+N147+N148</f>
        <v>725232175323</v>
      </c>
      <c r="O146" s="366">
        <f ca="1">+O147+O148</f>
        <v>0</v>
      </c>
    </row>
    <row r="147" spans="2:15">
      <c r="B147" s="131" t="s">
        <v>628</v>
      </c>
      <c r="C147" s="133" t="s">
        <v>137</v>
      </c>
      <c r="D147" t="str">
        <f t="shared" si="43"/>
        <v>Rótulos estão iguais</v>
      </c>
      <c r="E147" s="367" t="s">
        <v>629</v>
      </c>
      <c r="F147" s="368">
        <f t="shared" ref="F147:G148" ca="1" si="50">IFERROR(TRUNC(ROUND(1000*VLOOKUP($C147,INDIRECT($B147),F$33,FALSE),2),2),0)</f>
        <v>1399235985553</v>
      </c>
      <c r="G147" s="368">
        <f t="shared" ca="1" si="50"/>
        <v>1399235985553</v>
      </c>
      <c r="H147" s="368">
        <f>TRUNC(ROUND(VLOOKUP($C147,siconfi_desp_ref_mob_int,3,FALSE),2),2)</f>
        <v>0</v>
      </c>
      <c r="I147" s="368">
        <f t="shared" ref="I147:O148" ca="1" si="51">IFERROR(TRUNC(ROUND(1000*VLOOKUP($C147,INDIRECT($B147),I$33,FALSE),2),2),0)</f>
        <v>1037469840497</v>
      </c>
      <c r="J147" s="368">
        <f t="shared" ca="1" si="44"/>
        <v>361766145056</v>
      </c>
      <c r="K147" s="368">
        <f>TRUNC(ROUND(VLOOKUP($C147,siconfi_desp_ref_mob_int,4,FALSE),2),2)</f>
        <v>0</v>
      </c>
      <c r="L147" s="368">
        <f t="shared" ca="1" si="51"/>
        <v>722727686032</v>
      </c>
      <c r="M147" s="368">
        <f t="shared" ca="1" si="45"/>
        <v>676508299521</v>
      </c>
      <c r="N147" s="368">
        <f t="shared" ca="1" si="51"/>
        <v>722727686032</v>
      </c>
      <c r="O147" s="370">
        <f t="shared" ca="1" si="51"/>
        <v>0</v>
      </c>
    </row>
    <row r="148" spans="2:15">
      <c r="B148" s="131" t="s">
        <v>628</v>
      </c>
      <c r="C148" s="133" t="s">
        <v>138</v>
      </c>
      <c r="D148" t="str">
        <f t="shared" si="43"/>
        <v>Rótulos estão iguais</v>
      </c>
      <c r="E148" s="367" t="s">
        <v>630</v>
      </c>
      <c r="F148" s="368">
        <f t="shared" ca="1" si="50"/>
        <v>35157063844</v>
      </c>
      <c r="G148" s="368">
        <f t="shared" ca="1" si="50"/>
        <v>35157063844</v>
      </c>
      <c r="H148" s="368">
        <f>TRUNC(ROUND(VLOOKUP($C148,siconfi_desp_ref_mob_int,3,FALSE),2),2)</f>
        <v>0</v>
      </c>
      <c r="I148" s="368">
        <f t="shared" ca="1" si="51"/>
        <v>7982969291</v>
      </c>
      <c r="J148" s="368">
        <f t="shared" ca="1" si="44"/>
        <v>27174094553</v>
      </c>
      <c r="K148" s="368">
        <f>TRUNC(ROUND(VLOOKUP($C148,siconfi_desp_ref_mob_int,4,FALSE),2),2)</f>
        <v>0</v>
      </c>
      <c r="L148" s="368">
        <f t="shared" ca="1" si="51"/>
        <v>2504489291</v>
      </c>
      <c r="M148" s="368">
        <f t="shared" ca="1" si="45"/>
        <v>32652574553</v>
      </c>
      <c r="N148" s="368">
        <f t="shared" ca="1" si="51"/>
        <v>2504489291</v>
      </c>
      <c r="O148" s="370">
        <f t="shared" ca="1" si="51"/>
        <v>0</v>
      </c>
    </row>
    <row r="149" spans="2:15">
      <c r="C149" s="133" t="s">
        <v>139</v>
      </c>
      <c r="D149" t="str">
        <f t="shared" si="43"/>
        <v>Rótulos estão iguais</v>
      </c>
      <c r="E149" s="363" t="s">
        <v>631</v>
      </c>
      <c r="F149" s="364">
        <f ca="1">+F150+F151</f>
        <v>64297919230</v>
      </c>
      <c r="G149" s="364">
        <f ca="1">+G150+G151</f>
        <v>64297919230</v>
      </c>
      <c r="H149" s="364">
        <f>+H150+H151</f>
        <v>0</v>
      </c>
      <c r="I149" s="364">
        <f ca="1">+I150+I151</f>
        <v>24620925432</v>
      </c>
      <c r="J149" s="364">
        <f t="shared" ca="1" si="44"/>
        <v>39676993798</v>
      </c>
      <c r="K149" s="364">
        <f>+K150+K151</f>
        <v>0</v>
      </c>
      <c r="L149" s="364">
        <f ca="1">+L150+L151</f>
        <v>24570925432</v>
      </c>
      <c r="M149" s="364">
        <f t="shared" ca="1" si="45"/>
        <v>39726993798</v>
      </c>
      <c r="N149" s="364">
        <f ca="1">+N150+N151</f>
        <v>24570925432</v>
      </c>
      <c r="O149" s="366">
        <f ca="1">+O150+O151</f>
        <v>0</v>
      </c>
    </row>
    <row r="150" spans="2:15">
      <c r="B150" s="131" t="s">
        <v>632</v>
      </c>
      <c r="C150" s="133" t="s">
        <v>137</v>
      </c>
      <c r="D150" t="str">
        <f t="shared" si="43"/>
        <v>Rótulos estão iguais</v>
      </c>
      <c r="E150" s="367" t="s">
        <v>629</v>
      </c>
      <c r="F150" s="368">
        <f t="shared" ref="F150:G151" ca="1" si="52">IFERROR(TRUNC(ROUND(1000*VLOOKUP($C150,INDIRECT($B150),F$33,FALSE),2),2),0)</f>
        <v>57037053651</v>
      </c>
      <c r="G150" s="368">
        <f t="shared" ca="1" si="52"/>
        <v>57037053651</v>
      </c>
      <c r="H150" s="368">
        <f>TRUNC(ROUND(VLOOKUP($C150,siconfi_desp_ref_mob_ext,3,FALSE),2),2)</f>
        <v>0</v>
      </c>
      <c r="I150" s="368">
        <f t="shared" ref="I150:O151" ca="1" si="53">IFERROR(TRUNC(ROUND(1000*VLOOKUP($C150,INDIRECT($B150),I$33,FALSE),2),2),0)</f>
        <v>21476304879</v>
      </c>
      <c r="J150" s="368">
        <f t="shared" ca="1" si="44"/>
        <v>35560748772</v>
      </c>
      <c r="K150" s="368">
        <f>TRUNC(ROUND(VLOOKUP($C150,siconfi_desp_ref_mob_ext,4,FALSE),2),2)</f>
        <v>0</v>
      </c>
      <c r="L150" s="368">
        <f t="shared" ca="1" si="53"/>
        <v>21426304879</v>
      </c>
      <c r="M150" s="368">
        <f t="shared" ca="1" si="45"/>
        <v>35610748772</v>
      </c>
      <c r="N150" s="368">
        <f t="shared" ca="1" si="53"/>
        <v>21426304879</v>
      </c>
      <c r="O150" s="370">
        <f t="shared" ca="1" si="53"/>
        <v>0</v>
      </c>
    </row>
    <row r="151" spans="2:15">
      <c r="B151" s="131" t="s">
        <v>632</v>
      </c>
      <c r="C151" s="133" t="s">
        <v>138</v>
      </c>
      <c r="D151" t="str">
        <f t="shared" si="43"/>
        <v>Rótulos estão iguais</v>
      </c>
      <c r="E151" s="367" t="s">
        <v>630</v>
      </c>
      <c r="F151" s="368">
        <f t="shared" ca="1" si="52"/>
        <v>7260865579</v>
      </c>
      <c r="G151" s="368">
        <f t="shared" ca="1" si="52"/>
        <v>7260865579</v>
      </c>
      <c r="H151" s="368">
        <f>TRUNC(ROUND(VLOOKUP($C151,siconfi_desp_ref_mob_ext,3,FALSE),2),2)</f>
        <v>0</v>
      </c>
      <c r="I151" s="368">
        <f t="shared" ca="1" si="53"/>
        <v>3144620553</v>
      </c>
      <c r="J151" s="368">
        <f t="shared" ca="1" si="44"/>
        <v>4116245026</v>
      </c>
      <c r="K151" s="368">
        <f>TRUNC(ROUND(VLOOKUP($C151,siconfi_desp_ref_mob_ext,4,FALSE),2),2)</f>
        <v>0</v>
      </c>
      <c r="L151" s="368">
        <f t="shared" ca="1" si="53"/>
        <v>3144620553</v>
      </c>
      <c r="M151" s="368">
        <f t="shared" ca="1" si="45"/>
        <v>4116245026</v>
      </c>
      <c r="N151" s="368">
        <f t="shared" ca="1" si="53"/>
        <v>3144620553</v>
      </c>
      <c r="O151" s="370">
        <f t="shared" ca="1" si="53"/>
        <v>0</v>
      </c>
    </row>
    <row r="152" spans="2:15">
      <c r="E152" s="363" t="s">
        <v>633</v>
      </c>
      <c r="F152" s="364">
        <f ca="1">+F144+F145</f>
        <v>4161236549154</v>
      </c>
      <c r="G152" s="364">
        <f ca="1">+G144+G145</f>
        <v>4309536806739</v>
      </c>
      <c r="H152" s="364">
        <f>+H144+H145</f>
        <v>0</v>
      </c>
      <c r="I152" s="364">
        <f ca="1">+I144+I145</f>
        <v>3222637358817</v>
      </c>
      <c r="J152" s="364">
        <f t="shared" ca="1" si="44"/>
        <v>1086899447922</v>
      </c>
      <c r="K152" s="364">
        <f>+K144+K145</f>
        <v>0</v>
      </c>
      <c r="L152" s="364">
        <f ca="1">+L144+L145</f>
        <v>2508322110542</v>
      </c>
      <c r="M152" s="364">
        <f t="shared" ca="1" si="45"/>
        <v>1801214696197</v>
      </c>
      <c r="N152" s="364">
        <f ca="1">+N144+N145</f>
        <v>2438988362485</v>
      </c>
      <c r="O152" s="366">
        <f ca="1">+O144+O145</f>
        <v>0</v>
      </c>
    </row>
    <row r="153" spans="2:15">
      <c r="E153" s="367" t="s">
        <v>634</v>
      </c>
      <c r="F153" s="368"/>
      <c r="G153" s="368"/>
      <c r="H153" s="368"/>
      <c r="I153" s="368"/>
      <c r="J153" s="368"/>
      <c r="K153" s="368"/>
      <c r="L153" s="368">
        <f>IF('Anexo 1 Desp'!H46="-","",'Anexo 1 Desp'!H46)</f>
        <v>312277094.53100014</v>
      </c>
      <c r="M153" s="368"/>
      <c r="N153" s="368"/>
      <c r="O153" s="370"/>
    </row>
    <row r="154" spans="2:15">
      <c r="E154" s="367" t="s">
        <v>635</v>
      </c>
      <c r="F154" s="368">
        <f ca="1">+F152</f>
        <v>4161236549154</v>
      </c>
      <c r="G154" s="368">
        <f ca="1">+G152</f>
        <v>4309536806739</v>
      </c>
      <c r="H154" s="368">
        <f>+H152</f>
        <v>0</v>
      </c>
      <c r="I154" s="368">
        <f ca="1">+I153+I152</f>
        <v>3222637358817</v>
      </c>
      <c r="J154" s="368"/>
      <c r="K154" s="368">
        <f>+K152</f>
        <v>0</v>
      </c>
      <c r="L154" s="368">
        <f ca="1">SUM(L153,L152)</f>
        <v>2508634387636.5308</v>
      </c>
      <c r="M154" s="368"/>
      <c r="N154" s="368">
        <f ca="1">+N153+N152</f>
        <v>2438988362485</v>
      </c>
      <c r="O154" s="370">
        <f ca="1">+O152</f>
        <v>0</v>
      </c>
    </row>
    <row r="155" spans="2:15" ht="13.5" thickBot="1">
      <c r="E155" s="376" t="s">
        <v>636</v>
      </c>
      <c r="F155" s="378"/>
      <c r="G155" s="378"/>
      <c r="H155" s="378"/>
      <c r="I155" s="378"/>
      <c r="J155" s="378"/>
      <c r="K155" s="378"/>
      <c r="L155" s="378"/>
      <c r="M155" s="378"/>
      <c r="N155" s="378"/>
      <c r="O155" s="386"/>
    </row>
    <row r="156" spans="2:15" ht="13.5" thickTop="1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>
      <c r="E158" s="359" t="s">
        <v>505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>
      <c r="E159" s="359" t="s">
        <v>637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ht="13.5" thickBot="1">
      <c r="E160" s="380" t="s">
        <v>507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ht="13.5" thickTop="1">
      <c r="E161" s="323" t="s">
        <v>638</v>
      </c>
      <c r="F161" s="324" t="s">
        <v>639</v>
      </c>
      <c r="G161" s="324"/>
      <c r="H161" s="324"/>
      <c r="I161" s="324"/>
      <c r="J161" s="324"/>
      <c r="K161" s="324"/>
      <c r="L161" s="325"/>
      <c r="M161" s="1"/>
      <c r="N161" s="1"/>
      <c r="O161" s="1"/>
    </row>
    <row r="162" spans="2:15">
      <c r="E162" s="387"/>
      <c r="F162" s="388" t="s">
        <v>511</v>
      </c>
      <c r="G162" s="388" t="s">
        <v>512</v>
      </c>
      <c r="H162" s="388" t="s">
        <v>513</v>
      </c>
      <c r="I162" s="388"/>
      <c r="J162" s="388"/>
      <c r="K162" s="388"/>
      <c r="L162" s="389" t="s">
        <v>514</v>
      </c>
      <c r="M162" s="1"/>
      <c r="N162" s="1"/>
      <c r="O162" s="1"/>
    </row>
    <row r="163" spans="2:15">
      <c r="E163" s="387"/>
      <c r="F163" s="390"/>
      <c r="G163" s="390"/>
      <c r="H163" s="391" t="s">
        <v>516</v>
      </c>
      <c r="I163" s="391" t="s">
        <v>517</v>
      </c>
      <c r="J163" s="391" t="s">
        <v>518</v>
      </c>
      <c r="K163" s="391" t="s">
        <v>519</v>
      </c>
      <c r="L163" s="392"/>
      <c r="M163" s="1"/>
      <c r="N163" s="1"/>
      <c r="O163" s="1"/>
    </row>
    <row r="164" spans="2:15">
      <c r="E164" s="393" t="s">
        <v>638</v>
      </c>
      <c r="F164" s="394"/>
      <c r="G164" s="394"/>
      <c r="H164" s="394"/>
      <c r="I164" s="394"/>
      <c r="J164" s="394"/>
      <c r="K164" s="394"/>
      <c r="L164" s="395"/>
      <c r="M164" s="1"/>
      <c r="N164" s="1"/>
      <c r="O164" s="1"/>
    </row>
    <row r="165" spans="2:15">
      <c r="B165" s="131" t="s">
        <v>640</v>
      </c>
      <c r="C165" s="133" t="s">
        <v>85</v>
      </c>
      <c r="D165" t="str">
        <f t="shared" ref="D165:D228" si="54">IF(TRIM(C165)=TRIM(E165),"Rótulos estão iguais","Rótulos estão diferentes")</f>
        <v>Rótulos estão iguais</v>
      </c>
      <c r="E165" s="363" t="s">
        <v>578</v>
      </c>
      <c r="F165" s="364">
        <f ca="1">+F166+F206</f>
        <v>31381828490</v>
      </c>
      <c r="G165" s="364">
        <f ca="1">+G166+G206</f>
        <v>31381828490</v>
      </c>
      <c r="H165" s="364">
        <f>+H166+H206</f>
        <v>0</v>
      </c>
      <c r="I165" s="365">
        <f t="shared" ref="I165:I196" ca="1" si="55">IFERROR(ROUND(100*H165/G165,2),0)</f>
        <v>0</v>
      </c>
      <c r="J165" s="364">
        <f ca="1">+J166+J206</f>
        <v>19458587968</v>
      </c>
      <c r="K165" s="365">
        <f t="shared" ref="K165:K196" ca="1" si="56">IFERROR(ROUND(100*J165/G165,2),0)</f>
        <v>62.01</v>
      </c>
      <c r="L165" s="366">
        <f t="shared" ref="L165:L196" ca="1" si="57">G165-J165</f>
        <v>11923240522</v>
      </c>
      <c r="M165" s="1"/>
      <c r="N165" s="1"/>
      <c r="O165" s="1"/>
    </row>
    <row r="166" spans="2:15">
      <c r="B166" s="131" t="s">
        <v>640</v>
      </c>
      <c r="C166" s="133" t="s">
        <v>25</v>
      </c>
      <c r="D166" t="str">
        <f t="shared" si="54"/>
        <v>Rótulos estão iguais</v>
      </c>
      <c r="E166" s="363" t="s">
        <v>523</v>
      </c>
      <c r="F166" s="364">
        <f ca="1">+F167+F171+F175+F183+F184+F185+F191+F200+F205</f>
        <v>31381828490</v>
      </c>
      <c r="G166" s="364">
        <f ca="1">+G167+G171+G175+G183+G184+G185+G191+G200+G205</f>
        <v>31381828490</v>
      </c>
      <c r="H166" s="364">
        <f>+H167+H171+H175+H183+H184+H185+H191+H200+H205</f>
        <v>0</v>
      </c>
      <c r="I166" s="365">
        <f t="shared" ca="1" si="55"/>
        <v>0</v>
      </c>
      <c r="J166" s="364">
        <f ca="1">+J167+J171+J175+J183+J184+J185+J191+J200+J205</f>
        <v>19458587968</v>
      </c>
      <c r="K166" s="365">
        <f t="shared" ca="1" si="56"/>
        <v>62.01</v>
      </c>
      <c r="L166" s="366">
        <f t="shared" ca="1" si="57"/>
        <v>11923240522</v>
      </c>
      <c r="M166" s="1"/>
      <c r="N166" s="1"/>
      <c r="O166" s="1"/>
    </row>
    <row r="167" spans="2:15">
      <c r="B167" s="131" t="s">
        <v>640</v>
      </c>
      <c r="C167" s="133" t="s">
        <v>26</v>
      </c>
      <c r="D167" t="str">
        <f t="shared" si="54"/>
        <v>Rótulos estão iguais</v>
      </c>
      <c r="E167" s="363" t="s">
        <v>524</v>
      </c>
      <c r="F167" s="364">
        <f ca="1">+F168+F169+F170</f>
        <v>990745</v>
      </c>
      <c r="G167" s="364">
        <f ca="1">+G168+G169+G170</f>
        <v>990745</v>
      </c>
      <c r="H167" s="364">
        <f>+H168+H169+H170</f>
        <v>0</v>
      </c>
      <c r="I167" s="365">
        <f t="shared" ca="1" si="55"/>
        <v>0</v>
      </c>
      <c r="J167" s="364">
        <f ca="1">+J168+J169+J170</f>
        <v>3235056</v>
      </c>
      <c r="K167" s="365">
        <f t="shared" ca="1" si="56"/>
        <v>326.52999999999997</v>
      </c>
      <c r="L167" s="366">
        <f t="shared" ca="1" si="57"/>
        <v>-2244311</v>
      </c>
      <c r="M167" s="1"/>
      <c r="N167" s="1"/>
      <c r="O167" s="1"/>
    </row>
    <row r="168" spans="2:15">
      <c r="B168" s="131" t="s">
        <v>640</v>
      </c>
      <c r="C168" s="133" t="s">
        <v>27</v>
      </c>
      <c r="D168" t="str">
        <f t="shared" si="54"/>
        <v>Rótulos estão iguais</v>
      </c>
      <c r="E168" s="367" t="s">
        <v>525</v>
      </c>
      <c r="F168" s="368">
        <f t="shared" ref="F168:G170" ca="1" si="58">IFERROR(TRUNC(ROUND(1000*VLOOKUP($C168,INDIRECT($B168),F$33,FALSE),2),2),0)</f>
        <v>0</v>
      </c>
      <c r="G168" s="368">
        <f t="shared" ca="1" si="58"/>
        <v>0</v>
      </c>
      <c r="H168" s="368">
        <f>+TRUNC(ROUND('Elaboração SICONFI'!D74,2),2)</f>
        <v>0</v>
      </c>
      <c r="I168" s="369">
        <f t="shared" ca="1" si="55"/>
        <v>0</v>
      </c>
      <c r="J168" s="368">
        <f t="shared" ref="J168:J170" ca="1" si="59">IFERROR(TRUNC(ROUND(1000*VLOOKUP($C168,INDIRECT($B168),J$33,FALSE),2),2),0)</f>
        <v>1086621</v>
      </c>
      <c r="K168" s="369">
        <f t="shared" ca="1" si="56"/>
        <v>0</v>
      </c>
      <c r="L168" s="370">
        <f t="shared" ca="1" si="57"/>
        <v>-1086621</v>
      </c>
      <c r="M168" s="1"/>
      <c r="N168" s="1"/>
      <c r="O168" s="1"/>
    </row>
    <row r="169" spans="2:15">
      <c r="B169" s="131" t="s">
        <v>640</v>
      </c>
      <c r="C169" s="133" t="s">
        <v>28</v>
      </c>
      <c r="D169" t="str">
        <f t="shared" si="54"/>
        <v>Rótulos estão iguais</v>
      </c>
      <c r="E169" s="367" t="s">
        <v>526</v>
      </c>
      <c r="F169" s="368">
        <f t="shared" ca="1" si="58"/>
        <v>990745</v>
      </c>
      <c r="G169" s="368">
        <f t="shared" ca="1" si="58"/>
        <v>990745</v>
      </c>
      <c r="H169" s="368">
        <f>+TRUNC(ROUND('Elaboração SICONFI'!D75,2),2)</f>
        <v>0</v>
      </c>
      <c r="I169" s="369">
        <f t="shared" ca="1" si="55"/>
        <v>0</v>
      </c>
      <c r="J169" s="368">
        <f t="shared" ca="1" si="59"/>
        <v>2148435</v>
      </c>
      <c r="K169" s="369">
        <f t="shared" ca="1" si="56"/>
        <v>216.85</v>
      </c>
      <c r="L169" s="370">
        <f t="shared" ca="1" si="57"/>
        <v>-1157690</v>
      </c>
      <c r="M169" s="1"/>
      <c r="N169" s="1"/>
      <c r="O169" s="1"/>
    </row>
    <row r="170" spans="2:15">
      <c r="B170" s="131" t="s">
        <v>640</v>
      </c>
      <c r="D170" t="str">
        <f t="shared" si="54"/>
        <v>Rótulos estão diferentes</v>
      </c>
      <c r="E170" s="367" t="s">
        <v>527</v>
      </c>
      <c r="F170" s="368">
        <f t="shared" ca="1" si="58"/>
        <v>0</v>
      </c>
      <c r="G170" s="368">
        <f t="shared" ca="1" si="58"/>
        <v>0</v>
      </c>
      <c r="H170" s="368"/>
      <c r="I170" s="369">
        <f t="shared" ca="1" si="55"/>
        <v>0</v>
      </c>
      <c r="J170" s="368">
        <f t="shared" ca="1" si="59"/>
        <v>0</v>
      </c>
      <c r="K170" s="369">
        <f t="shared" ca="1" si="56"/>
        <v>0</v>
      </c>
      <c r="L170" s="370">
        <f t="shared" ca="1" si="57"/>
        <v>0</v>
      </c>
      <c r="M170" s="1"/>
      <c r="N170" s="1"/>
      <c r="O170" s="1"/>
    </row>
    <row r="171" spans="2:15">
      <c r="B171" s="131" t="s">
        <v>640</v>
      </c>
      <c r="C171" s="133" t="s">
        <v>479</v>
      </c>
      <c r="D171" t="str">
        <f t="shared" si="54"/>
        <v>Rótulos estão iguais</v>
      </c>
      <c r="E171" s="363" t="s">
        <v>528</v>
      </c>
      <c r="F171" s="364">
        <f ca="1">+F172+F173+F174</f>
        <v>22787197275</v>
      </c>
      <c r="G171" s="364">
        <f ca="1">+G172+G173+G174</f>
        <v>22787197275</v>
      </c>
      <c r="H171" s="364">
        <f>+H172+H173+H174</f>
        <v>0</v>
      </c>
      <c r="I171" s="365">
        <f t="shared" ca="1" si="55"/>
        <v>0</v>
      </c>
      <c r="J171" s="364">
        <f ca="1">+J172+J173+J174</f>
        <v>14107797603</v>
      </c>
      <c r="K171" s="365">
        <f t="shared" ca="1" si="56"/>
        <v>61.91</v>
      </c>
      <c r="L171" s="366">
        <f t="shared" ca="1" si="57"/>
        <v>8679399672</v>
      </c>
      <c r="M171" s="1"/>
      <c r="N171" s="1"/>
      <c r="O171" s="1"/>
    </row>
    <row r="172" spans="2:15">
      <c r="B172" s="131" t="s">
        <v>640</v>
      </c>
      <c r="C172" s="133" t="s">
        <v>30</v>
      </c>
      <c r="D172" t="str">
        <f t="shared" si="54"/>
        <v>Rótulos estão iguais</v>
      </c>
      <c r="E172" s="367" t="s">
        <v>529</v>
      </c>
      <c r="F172" s="368">
        <f t="shared" ref="F172:G174" ca="1" si="60">IFERROR(TRUNC(ROUND(1000*VLOOKUP($C172,INDIRECT($B172),F$33,FALSE),2),2),0)</f>
        <v>22787134318</v>
      </c>
      <c r="G172" s="368">
        <f t="shared" ca="1" si="60"/>
        <v>22787134318</v>
      </c>
      <c r="H172" s="368">
        <f>+TRUNC(ROUND('Elaboração SICONFI'!D78,2),2)</f>
        <v>0</v>
      </c>
      <c r="I172" s="369">
        <f t="shared" ca="1" si="55"/>
        <v>0</v>
      </c>
      <c r="J172" s="368">
        <f t="shared" ref="J172:J174" ca="1" si="61">IFERROR(TRUNC(ROUND(1000*VLOOKUP($C172,INDIRECT($B172),J$33,FALSE),2),2),0)</f>
        <v>14106135486</v>
      </c>
      <c r="K172" s="369">
        <f t="shared" ca="1" si="56"/>
        <v>61.9</v>
      </c>
      <c r="L172" s="370">
        <f t="shared" ca="1" si="57"/>
        <v>8680998832</v>
      </c>
      <c r="M172" s="1"/>
      <c r="N172" s="1"/>
      <c r="O172" s="1"/>
    </row>
    <row r="173" spans="2:15">
      <c r="B173" s="131" t="s">
        <v>640</v>
      </c>
      <c r="C173" s="133" t="s">
        <v>31</v>
      </c>
      <c r="D173" t="str">
        <f t="shared" si="54"/>
        <v>Rótulos estão iguais</v>
      </c>
      <c r="E173" s="367" t="s">
        <v>641</v>
      </c>
      <c r="F173" s="368">
        <f t="shared" ca="1" si="60"/>
        <v>62957</v>
      </c>
      <c r="G173" s="368">
        <f t="shared" ca="1" si="60"/>
        <v>62957</v>
      </c>
      <c r="H173" s="368">
        <f>+TRUNC(ROUND('Elaboração SICONFI'!D79,2),2)</f>
        <v>0</v>
      </c>
      <c r="I173" s="369">
        <f t="shared" ca="1" si="55"/>
        <v>0</v>
      </c>
      <c r="J173" s="368">
        <f t="shared" ca="1" si="61"/>
        <v>1662117</v>
      </c>
      <c r="K173" s="369">
        <f t="shared" ca="1" si="56"/>
        <v>2640.08</v>
      </c>
      <c r="L173" s="370">
        <f t="shared" ca="1" si="57"/>
        <v>-1599160</v>
      </c>
      <c r="M173" s="1"/>
      <c r="N173" s="1"/>
      <c r="O173" s="1"/>
    </row>
    <row r="174" spans="2:15" ht="27.75">
      <c r="B174" s="131" t="s">
        <v>640</v>
      </c>
      <c r="C174" s="167" t="s">
        <v>32</v>
      </c>
      <c r="D174" t="str">
        <f t="shared" si="54"/>
        <v>Rótulos estão iguais</v>
      </c>
      <c r="E174" s="367" t="s">
        <v>32</v>
      </c>
      <c r="F174" s="368">
        <f t="shared" ca="1" si="60"/>
        <v>0</v>
      </c>
      <c r="G174" s="368">
        <f t="shared" ca="1" si="60"/>
        <v>0</v>
      </c>
      <c r="H174" s="368">
        <f>+TRUNC(ROUND(1000*'Anexo 1 Rec Intra'!D20,2),2)</f>
        <v>0</v>
      </c>
      <c r="I174" s="369">
        <f t="shared" ca="1" si="55"/>
        <v>0</v>
      </c>
      <c r="J174" s="368">
        <f t="shared" ca="1" si="61"/>
        <v>0</v>
      </c>
      <c r="K174" s="369">
        <f t="shared" ca="1" si="56"/>
        <v>0</v>
      </c>
      <c r="L174" s="370">
        <f t="shared" ca="1" si="57"/>
        <v>0</v>
      </c>
      <c r="M174" s="1"/>
      <c r="N174" s="1"/>
      <c r="O174" s="1"/>
    </row>
    <row r="175" spans="2:15">
      <c r="B175" s="131" t="s">
        <v>640</v>
      </c>
      <c r="C175" s="133" t="s">
        <v>33</v>
      </c>
      <c r="D175" t="str">
        <f t="shared" si="54"/>
        <v>Rótulos estão iguais</v>
      </c>
      <c r="E175" s="363" t="s">
        <v>531</v>
      </c>
      <c r="F175" s="364">
        <f ca="1">+F176+F177+F178+F181+F182+F179+F180</f>
        <v>754002</v>
      </c>
      <c r="G175" s="364">
        <f ca="1">+G176+G177+G178+G181+G182+G179+G180</f>
        <v>754002</v>
      </c>
      <c r="H175" s="364">
        <f>+H176+H177+H178+H181+H182+H179+H180</f>
        <v>0</v>
      </c>
      <c r="I175" s="365">
        <f t="shared" ca="1" si="55"/>
        <v>0</v>
      </c>
      <c r="J175" s="364">
        <f ca="1">+J176+J177+J178+J181+J182+J179+J180</f>
        <v>2817697</v>
      </c>
      <c r="K175" s="365">
        <f t="shared" ca="1" si="56"/>
        <v>373.7</v>
      </c>
      <c r="L175" s="366">
        <f t="shared" ca="1" si="57"/>
        <v>-2063695</v>
      </c>
      <c r="M175" s="1"/>
      <c r="N175" s="1"/>
      <c r="O175" s="1"/>
    </row>
    <row r="176" spans="2:15">
      <c r="B176" s="131" t="s">
        <v>640</v>
      </c>
      <c r="C176" s="133" t="s">
        <v>34</v>
      </c>
      <c r="D176" t="str">
        <f t="shared" si="54"/>
        <v>Rótulos estão iguais</v>
      </c>
      <c r="E176" s="367" t="s">
        <v>532</v>
      </c>
      <c r="F176" s="368">
        <f t="shared" ref="F176:G184" ca="1" si="62">IFERROR(TRUNC(ROUND(1000*VLOOKUP($C176,INDIRECT($B176),F$33,FALSE),2),2),0)</f>
        <v>754002</v>
      </c>
      <c r="G176" s="368">
        <f t="shared" ca="1" si="62"/>
        <v>754002</v>
      </c>
      <c r="H176" s="368">
        <f>+TRUNC(ROUND('Elaboração SICONFI'!D82,2),2)</f>
        <v>0</v>
      </c>
      <c r="I176" s="369">
        <f t="shared" ca="1" si="55"/>
        <v>0</v>
      </c>
      <c r="J176" s="368">
        <f t="shared" ref="J176:J184" ca="1" si="63">IFERROR(TRUNC(ROUND(1000*VLOOKUP($C176,INDIRECT($B176),J$33,FALSE),2),2),0)</f>
        <v>2801312</v>
      </c>
      <c r="K176" s="369">
        <f t="shared" ca="1" si="56"/>
        <v>371.53</v>
      </c>
      <c r="L176" s="370">
        <f t="shared" ca="1" si="57"/>
        <v>-2047310</v>
      </c>
      <c r="M176" s="1"/>
      <c r="N176" s="1"/>
      <c r="O176" s="1"/>
    </row>
    <row r="177" spans="2:15">
      <c r="B177" s="131" t="s">
        <v>640</v>
      </c>
      <c r="C177" s="133" t="s">
        <v>35</v>
      </c>
      <c r="D177" t="str">
        <f t="shared" si="54"/>
        <v>Rótulos estão iguais</v>
      </c>
      <c r="E177" s="367" t="s">
        <v>533</v>
      </c>
      <c r="F177" s="368">
        <f t="shared" ca="1" si="62"/>
        <v>0</v>
      </c>
      <c r="G177" s="368">
        <f t="shared" ca="1" si="62"/>
        <v>0</v>
      </c>
      <c r="H177" s="368">
        <f>+TRUNC(ROUND('Elaboração SICONFI'!D83,2),2)</f>
        <v>0</v>
      </c>
      <c r="I177" s="369">
        <f t="shared" ca="1" si="55"/>
        <v>0</v>
      </c>
      <c r="J177" s="368">
        <f t="shared" ca="1" si="63"/>
        <v>0</v>
      </c>
      <c r="K177" s="369">
        <f t="shared" ca="1" si="56"/>
        <v>0</v>
      </c>
      <c r="L177" s="370">
        <f t="shared" ca="1" si="57"/>
        <v>0</v>
      </c>
      <c r="M177" s="1"/>
      <c r="N177" s="1"/>
      <c r="O177" s="1"/>
    </row>
    <row r="178" spans="2:15">
      <c r="B178" s="131" t="s">
        <v>640</v>
      </c>
      <c r="C178" s="133" t="s">
        <v>36</v>
      </c>
      <c r="D178" t="str">
        <f t="shared" si="54"/>
        <v>Rótulos estão iguais</v>
      </c>
      <c r="E178" s="367" t="s">
        <v>534</v>
      </c>
      <c r="F178" s="368">
        <f t="shared" ca="1" si="62"/>
        <v>0</v>
      </c>
      <c r="G178" s="368">
        <f t="shared" ca="1" si="62"/>
        <v>0</v>
      </c>
      <c r="H178" s="368">
        <f>+TRUNC(ROUND('Elaboração SICONFI'!D84,2),2)</f>
        <v>0</v>
      </c>
      <c r="I178" s="369">
        <f t="shared" ca="1" si="55"/>
        <v>0</v>
      </c>
      <c r="J178" s="368">
        <f t="shared" ca="1" si="63"/>
        <v>16385</v>
      </c>
      <c r="K178" s="369">
        <f t="shared" ca="1" si="56"/>
        <v>0</v>
      </c>
      <c r="L178" s="370">
        <f t="shared" ca="1" si="57"/>
        <v>-16385</v>
      </c>
      <c r="M178" s="1"/>
      <c r="N178" s="1"/>
      <c r="O178" s="1"/>
    </row>
    <row r="179" spans="2:15">
      <c r="B179" s="131" t="s">
        <v>640</v>
      </c>
      <c r="C179" s="133" t="s">
        <v>37</v>
      </c>
      <c r="D179" t="str">
        <f t="shared" si="54"/>
        <v>Rótulos estão iguais</v>
      </c>
      <c r="E179" s="367" t="s">
        <v>535</v>
      </c>
      <c r="F179" s="368">
        <f t="shared" ca="1" si="62"/>
        <v>0</v>
      </c>
      <c r="G179" s="368">
        <f t="shared" ca="1" si="62"/>
        <v>0</v>
      </c>
      <c r="H179" s="368"/>
      <c r="I179" s="369">
        <f t="shared" ca="1" si="55"/>
        <v>0</v>
      </c>
      <c r="J179" s="368">
        <f t="shared" ca="1" si="63"/>
        <v>0</v>
      </c>
      <c r="K179" s="369">
        <f t="shared" ca="1" si="56"/>
        <v>0</v>
      </c>
      <c r="L179" s="370">
        <f t="shared" ca="1" si="57"/>
        <v>0</v>
      </c>
      <c r="M179" s="1"/>
      <c r="N179" s="1"/>
      <c r="O179" s="1"/>
    </row>
    <row r="180" spans="2:15">
      <c r="B180" s="131" t="s">
        <v>640</v>
      </c>
      <c r="C180" s="133" t="s">
        <v>38</v>
      </c>
      <c r="D180" t="str">
        <f t="shared" si="54"/>
        <v>Rótulos estão iguais</v>
      </c>
      <c r="E180" s="367" t="s">
        <v>536</v>
      </c>
      <c r="F180" s="368">
        <f t="shared" ca="1" si="62"/>
        <v>0</v>
      </c>
      <c r="G180" s="368">
        <f t="shared" ca="1" si="62"/>
        <v>0</v>
      </c>
      <c r="H180" s="368"/>
      <c r="I180" s="369">
        <f t="shared" ca="1" si="55"/>
        <v>0</v>
      </c>
      <c r="J180" s="368">
        <f t="shared" ca="1" si="63"/>
        <v>0</v>
      </c>
      <c r="K180" s="369">
        <f t="shared" ca="1" si="56"/>
        <v>0</v>
      </c>
      <c r="L180" s="370">
        <f t="shared" ca="1" si="57"/>
        <v>0</v>
      </c>
      <c r="M180" s="1"/>
      <c r="N180" s="1"/>
      <c r="O180" s="1"/>
    </row>
    <row r="181" spans="2:15">
      <c r="B181" s="131" t="s">
        <v>640</v>
      </c>
      <c r="C181" s="133" t="s">
        <v>39</v>
      </c>
      <c r="D181" t="str">
        <f t="shared" si="54"/>
        <v>Rótulos estão iguais</v>
      </c>
      <c r="E181" s="367" t="s">
        <v>537</v>
      </c>
      <c r="F181" s="368">
        <f t="shared" ca="1" si="62"/>
        <v>0</v>
      </c>
      <c r="G181" s="368">
        <f t="shared" ca="1" si="62"/>
        <v>0</v>
      </c>
      <c r="H181" s="368"/>
      <c r="I181" s="369">
        <f t="shared" ca="1" si="55"/>
        <v>0</v>
      </c>
      <c r="J181" s="368">
        <f t="shared" ca="1" si="63"/>
        <v>0</v>
      </c>
      <c r="K181" s="369">
        <f t="shared" ca="1" si="56"/>
        <v>0</v>
      </c>
      <c r="L181" s="370">
        <f t="shared" ca="1" si="57"/>
        <v>0</v>
      </c>
      <c r="M181" s="1"/>
      <c r="N181" s="1"/>
      <c r="O181" s="1"/>
    </row>
    <row r="182" spans="2:15">
      <c r="B182" s="131" t="s">
        <v>640</v>
      </c>
      <c r="C182" s="133" t="s">
        <v>40</v>
      </c>
      <c r="D182" t="str">
        <f t="shared" si="54"/>
        <v>Rótulos estão iguais</v>
      </c>
      <c r="E182" s="367" t="s">
        <v>538</v>
      </c>
      <c r="F182" s="368">
        <f t="shared" ca="1" si="62"/>
        <v>0</v>
      </c>
      <c r="G182" s="368">
        <f t="shared" ca="1" si="62"/>
        <v>0</v>
      </c>
      <c r="H182" s="368"/>
      <c r="I182" s="369">
        <f t="shared" ca="1" si="55"/>
        <v>0</v>
      </c>
      <c r="J182" s="368">
        <f t="shared" ca="1" si="63"/>
        <v>0</v>
      </c>
      <c r="K182" s="369">
        <f t="shared" ca="1" si="56"/>
        <v>0</v>
      </c>
      <c r="L182" s="370">
        <f t="shared" ca="1" si="57"/>
        <v>0</v>
      </c>
      <c r="M182" s="1"/>
      <c r="N182" s="1"/>
      <c r="O182" s="1"/>
    </row>
    <row r="183" spans="2:15">
      <c r="B183" s="131" t="s">
        <v>640</v>
      </c>
      <c r="C183" s="133" t="s">
        <v>41</v>
      </c>
      <c r="D183" t="str">
        <f t="shared" si="54"/>
        <v>Rótulos estão iguais</v>
      </c>
      <c r="E183" s="367" t="s">
        <v>539</v>
      </c>
      <c r="F183" s="368">
        <f t="shared" ca="1" si="62"/>
        <v>0</v>
      </c>
      <c r="G183" s="368">
        <f t="shared" ca="1" si="62"/>
        <v>0</v>
      </c>
      <c r="H183" s="368">
        <f>+TRUNC(ROUND('Elaboração SICONFI'!D89,2),2)</f>
        <v>0</v>
      </c>
      <c r="I183" s="369">
        <f t="shared" ca="1" si="55"/>
        <v>0</v>
      </c>
      <c r="J183" s="368">
        <f t="shared" ca="1" si="63"/>
        <v>0</v>
      </c>
      <c r="K183" s="369">
        <f t="shared" ca="1" si="56"/>
        <v>0</v>
      </c>
      <c r="L183" s="370">
        <f t="shared" ca="1" si="57"/>
        <v>0</v>
      </c>
      <c r="M183" s="1"/>
      <c r="N183" s="1"/>
      <c r="O183" s="1"/>
    </row>
    <row r="184" spans="2:15">
      <c r="B184" s="131" t="s">
        <v>640</v>
      </c>
      <c r="C184" s="133" t="s">
        <v>42</v>
      </c>
      <c r="D184" t="str">
        <f t="shared" si="54"/>
        <v>Rótulos estão iguais</v>
      </c>
      <c r="E184" s="367" t="s">
        <v>540</v>
      </c>
      <c r="F184" s="368">
        <f t="shared" ca="1" si="62"/>
        <v>49534181</v>
      </c>
      <c r="G184" s="368">
        <f t="shared" ca="1" si="62"/>
        <v>49534181</v>
      </c>
      <c r="H184" s="368">
        <f>+TRUNC(ROUND('Elaboração SICONFI'!D90,2),2)</f>
        <v>0</v>
      </c>
      <c r="I184" s="369">
        <f t="shared" ca="1" si="55"/>
        <v>0</v>
      </c>
      <c r="J184" s="368">
        <f t="shared" ca="1" si="63"/>
        <v>18028269</v>
      </c>
      <c r="K184" s="369">
        <f t="shared" ca="1" si="56"/>
        <v>36.4</v>
      </c>
      <c r="L184" s="370">
        <f t="shared" ca="1" si="57"/>
        <v>31505912</v>
      </c>
      <c r="M184" s="1"/>
      <c r="N184" s="1"/>
      <c r="O184" s="1"/>
    </row>
    <row r="185" spans="2:15">
      <c r="B185" s="131" t="s">
        <v>640</v>
      </c>
      <c r="C185" s="133" t="s">
        <v>43</v>
      </c>
      <c r="D185" t="str">
        <f t="shared" si="54"/>
        <v>Rótulos estão iguais</v>
      </c>
      <c r="E185" s="363" t="s">
        <v>541</v>
      </c>
      <c r="F185" s="364">
        <f ca="1">+F186+F187+F188+F189+F190</f>
        <v>396733450</v>
      </c>
      <c r="G185" s="364">
        <f ca="1">+G186+G187+G188+G189+G190</f>
        <v>396733450</v>
      </c>
      <c r="H185" s="364">
        <f>+H186+H187+H188+H189+H190</f>
        <v>0</v>
      </c>
      <c r="I185" s="365">
        <f t="shared" ca="1" si="55"/>
        <v>0</v>
      </c>
      <c r="J185" s="364">
        <f ca="1">+J186+J187+J188+J189+J190</f>
        <v>97365054</v>
      </c>
      <c r="K185" s="365">
        <f t="shared" ca="1" si="56"/>
        <v>24.54</v>
      </c>
      <c r="L185" s="366">
        <f t="shared" ca="1" si="57"/>
        <v>299368396</v>
      </c>
      <c r="M185" s="1"/>
      <c r="N185" s="1"/>
      <c r="O185" s="1"/>
    </row>
    <row r="186" spans="2:15">
      <c r="B186" s="131" t="s">
        <v>640</v>
      </c>
      <c r="C186" s="133" t="s">
        <v>44</v>
      </c>
      <c r="D186" t="str">
        <f t="shared" si="54"/>
        <v>Rótulos estão iguais</v>
      </c>
      <c r="E186" s="367" t="s">
        <v>542</v>
      </c>
      <c r="F186" s="368">
        <f t="shared" ref="F186:G190" ca="1" si="64">IFERROR(TRUNC(ROUND(1000*VLOOKUP($C186,INDIRECT($B186),F$33,FALSE),2),2),0)</f>
        <v>333386899</v>
      </c>
      <c r="G186" s="368">
        <f t="shared" ca="1" si="64"/>
        <v>333386899</v>
      </c>
      <c r="H186" s="368">
        <f>+TRUNC(ROUND('Elaboração SICONFI'!D92,2),2)</f>
        <v>0</v>
      </c>
      <c r="I186" s="369">
        <f t="shared" ca="1" si="55"/>
        <v>0</v>
      </c>
      <c r="J186" s="368">
        <f t="shared" ref="J186:J190" ca="1" si="65">IFERROR(TRUNC(ROUND(1000*VLOOKUP($C186,INDIRECT($B186),J$33,FALSE),2),2),0)</f>
        <v>60419402</v>
      </c>
      <c r="K186" s="369">
        <f t="shared" ca="1" si="56"/>
        <v>18.12</v>
      </c>
      <c r="L186" s="370">
        <f t="shared" ca="1" si="57"/>
        <v>272967497</v>
      </c>
      <c r="M186" s="1"/>
      <c r="N186" s="1"/>
      <c r="O186" s="1"/>
    </row>
    <row r="187" spans="2:15">
      <c r="B187" s="131" t="s">
        <v>640</v>
      </c>
      <c r="C187" s="133" t="s">
        <v>45</v>
      </c>
      <c r="D187" t="str">
        <f t="shared" si="54"/>
        <v>Rótulos estão iguais</v>
      </c>
      <c r="E187" s="367" t="s">
        <v>543</v>
      </c>
      <c r="F187" s="368">
        <f t="shared" ca="1" si="64"/>
        <v>0</v>
      </c>
      <c r="G187" s="368">
        <f t="shared" ca="1" si="64"/>
        <v>0</v>
      </c>
      <c r="H187" s="368">
        <f>+TRUNC(ROUND('Elaboração SICONFI'!D93,2),2)</f>
        <v>0</v>
      </c>
      <c r="I187" s="369">
        <f t="shared" ca="1" si="55"/>
        <v>0</v>
      </c>
      <c r="J187" s="368">
        <f t="shared" ca="1" si="65"/>
        <v>0</v>
      </c>
      <c r="K187" s="369">
        <f t="shared" ca="1" si="56"/>
        <v>0</v>
      </c>
      <c r="L187" s="370">
        <f t="shared" ca="1" si="57"/>
        <v>0</v>
      </c>
      <c r="M187" s="1"/>
      <c r="N187" s="1"/>
      <c r="O187" s="1"/>
    </row>
    <row r="188" spans="2:15">
      <c r="B188" s="131" t="s">
        <v>640</v>
      </c>
      <c r="C188" s="133" t="s">
        <v>46</v>
      </c>
      <c r="D188" t="str">
        <f t="shared" si="54"/>
        <v>Rótulos estão iguais</v>
      </c>
      <c r="E188" s="367" t="s">
        <v>544</v>
      </c>
      <c r="F188" s="368">
        <f t="shared" ca="1" si="64"/>
        <v>63346551</v>
      </c>
      <c r="G188" s="368">
        <f t="shared" ca="1" si="64"/>
        <v>63346551</v>
      </c>
      <c r="H188" s="368">
        <f>+TRUNC(ROUND('Elaboração SICONFI'!D94,2),2)</f>
        <v>0</v>
      </c>
      <c r="I188" s="369">
        <f t="shared" ca="1" si="55"/>
        <v>0</v>
      </c>
      <c r="J188" s="368">
        <f t="shared" ca="1" si="65"/>
        <v>36692740</v>
      </c>
      <c r="K188" s="369">
        <f t="shared" ca="1" si="56"/>
        <v>57.92</v>
      </c>
      <c r="L188" s="370">
        <f t="shared" ca="1" si="57"/>
        <v>26653811</v>
      </c>
      <c r="M188" s="1"/>
      <c r="N188" s="1"/>
      <c r="O188" s="1"/>
    </row>
    <row r="189" spans="2:15">
      <c r="B189" s="131" t="s">
        <v>640</v>
      </c>
      <c r="C189" s="133" t="s">
        <v>47</v>
      </c>
      <c r="D189" t="str">
        <f t="shared" si="54"/>
        <v>Rótulos estão iguais</v>
      </c>
      <c r="E189" s="367" t="s">
        <v>545</v>
      </c>
      <c r="F189" s="368">
        <f t="shared" ca="1" si="64"/>
        <v>0</v>
      </c>
      <c r="G189" s="368">
        <f t="shared" ca="1" si="64"/>
        <v>0</v>
      </c>
      <c r="H189" s="368">
        <f>+TRUNC(ROUND('Elaboração SICONFI'!D95,2),2)</f>
        <v>0</v>
      </c>
      <c r="I189" s="369">
        <f t="shared" ca="1" si="55"/>
        <v>0</v>
      </c>
      <c r="J189" s="368">
        <f t="shared" ca="1" si="65"/>
        <v>0</v>
      </c>
      <c r="K189" s="369">
        <f t="shared" ca="1" si="56"/>
        <v>0</v>
      </c>
      <c r="L189" s="370">
        <f t="shared" ca="1" si="57"/>
        <v>0</v>
      </c>
      <c r="M189" s="1"/>
      <c r="N189" s="1"/>
      <c r="O189" s="1"/>
    </row>
    <row r="190" spans="2:15">
      <c r="B190" s="131" t="s">
        <v>640</v>
      </c>
      <c r="C190" s="133" t="s">
        <v>48</v>
      </c>
      <c r="D190" t="str">
        <f t="shared" si="54"/>
        <v>Rótulos estão iguais</v>
      </c>
      <c r="E190" s="367" t="s">
        <v>546</v>
      </c>
      <c r="F190" s="368">
        <f t="shared" ca="1" si="64"/>
        <v>0</v>
      </c>
      <c r="G190" s="368">
        <f t="shared" ca="1" si="64"/>
        <v>0</v>
      </c>
      <c r="H190" s="368">
        <f>+TRUNC(ROUND('Elaboração SICONFI'!D96,2),2)</f>
        <v>0</v>
      </c>
      <c r="I190" s="369">
        <f t="shared" ca="1" si="55"/>
        <v>0</v>
      </c>
      <c r="J190" s="368">
        <f t="shared" ca="1" si="65"/>
        <v>252912</v>
      </c>
      <c r="K190" s="369">
        <f t="shared" ca="1" si="56"/>
        <v>0</v>
      </c>
      <c r="L190" s="370">
        <f t="shared" ca="1" si="57"/>
        <v>-252912</v>
      </c>
      <c r="M190" s="1"/>
      <c r="N190" s="1"/>
      <c r="O190" s="1"/>
    </row>
    <row r="191" spans="2:15">
      <c r="B191" s="131" t="s">
        <v>640</v>
      </c>
      <c r="C191" s="133" t="s">
        <v>49</v>
      </c>
      <c r="D191" t="str">
        <f t="shared" si="54"/>
        <v>Rótulos estão iguais</v>
      </c>
      <c r="E191" s="363" t="s">
        <v>547</v>
      </c>
      <c r="F191" s="364">
        <f ca="1">+F192+F193+F194+F195+F196+F197+F198+F199</f>
        <v>0</v>
      </c>
      <c r="G191" s="364">
        <f ca="1">+G192+G193+G194+G195+G196+G197+G198+G199</f>
        <v>0</v>
      </c>
      <c r="H191" s="364">
        <f>+H192+H193+H194+H195+H196+H197+H198+H199</f>
        <v>0</v>
      </c>
      <c r="I191" s="365">
        <f t="shared" ca="1" si="55"/>
        <v>0</v>
      </c>
      <c r="J191" s="364">
        <f ca="1">+J192+J193+J194+J195+J196+J197+J198+J199</f>
        <v>0</v>
      </c>
      <c r="K191" s="365">
        <f t="shared" ca="1" si="56"/>
        <v>0</v>
      </c>
      <c r="L191" s="366">
        <f t="shared" ca="1" si="57"/>
        <v>0</v>
      </c>
      <c r="M191" s="1"/>
      <c r="N191" s="1"/>
      <c r="O191" s="1"/>
    </row>
    <row r="192" spans="2:15">
      <c r="B192" s="131" t="s">
        <v>640</v>
      </c>
      <c r="C192" s="133" t="s">
        <v>50</v>
      </c>
      <c r="D192" t="str">
        <f t="shared" si="54"/>
        <v>Rótulos estão iguais</v>
      </c>
      <c r="E192" s="367" t="s">
        <v>548</v>
      </c>
      <c r="F192" s="368">
        <f t="shared" ref="F192:G199" ca="1" si="66">IFERROR(TRUNC(ROUND(1000*VLOOKUP($C192,INDIRECT($B192),F$33,FALSE),2),2),0)</f>
        <v>0</v>
      </c>
      <c r="G192" s="368">
        <f t="shared" ca="1" si="66"/>
        <v>0</v>
      </c>
      <c r="H192" s="368">
        <f>+TRUNC(ROUND('Elaboração SICONFI'!D98,2),2)</f>
        <v>0</v>
      </c>
      <c r="I192" s="369">
        <f t="shared" ca="1" si="55"/>
        <v>0</v>
      </c>
      <c r="J192" s="368">
        <f t="shared" ref="J192:J199" ca="1" si="67">IFERROR(TRUNC(ROUND(1000*VLOOKUP($C192,INDIRECT($B192),J$33,FALSE),2),2),0)</f>
        <v>0</v>
      </c>
      <c r="K192" s="369">
        <f t="shared" ca="1" si="56"/>
        <v>0</v>
      </c>
      <c r="L192" s="370">
        <f t="shared" ca="1" si="57"/>
        <v>0</v>
      </c>
      <c r="M192" s="1"/>
      <c r="N192" s="1"/>
      <c r="O192" s="1"/>
    </row>
    <row r="193" spans="2:15">
      <c r="B193" s="131" t="s">
        <v>640</v>
      </c>
      <c r="C193" s="133" t="s">
        <v>51</v>
      </c>
      <c r="D193" t="str">
        <f t="shared" si="54"/>
        <v>Rótulos estão iguais</v>
      </c>
      <c r="E193" s="367" t="s">
        <v>549</v>
      </c>
      <c r="F193" s="368">
        <f t="shared" ca="1" si="66"/>
        <v>0</v>
      </c>
      <c r="G193" s="368">
        <f t="shared" ca="1" si="66"/>
        <v>0</v>
      </c>
      <c r="H193" s="368">
        <f>+TRUNC(ROUND('Elaboração SICONFI'!D99,2),2)</f>
        <v>0</v>
      </c>
      <c r="I193" s="369">
        <f t="shared" ca="1" si="55"/>
        <v>0</v>
      </c>
      <c r="J193" s="368">
        <f t="shared" ca="1" si="67"/>
        <v>0</v>
      </c>
      <c r="K193" s="369">
        <f t="shared" ca="1" si="56"/>
        <v>0</v>
      </c>
      <c r="L193" s="370">
        <f t="shared" ca="1" si="57"/>
        <v>0</v>
      </c>
      <c r="M193" s="1"/>
      <c r="N193" s="1"/>
      <c r="O193" s="1"/>
    </row>
    <row r="194" spans="2:15">
      <c r="B194" s="131" t="s">
        <v>640</v>
      </c>
      <c r="C194" s="133" t="s">
        <v>52</v>
      </c>
      <c r="D194" t="str">
        <f t="shared" si="54"/>
        <v>Rótulos estão iguais</v>
      </c>
      <c r="E194" s="367" t="s">
        <v>550</v>
      </c>
      <c r="F194" s="368">
        <f t="shared" ca="1" si="66"/>
        <v>0</v>
      </c>
      <c r="G194" s="368">
        <f t="shared" ca="1" si="66"/>
        <v>0</v>
      </c>
      <c r="H194" s="368"/>
      <c r="I194" s="369">
        <f t="shared" ca="1" si="55"/>
        <v>0</v>
      </c>
      <c r="J194" s="368">
        <f t="shared" ca="1" si="67"/>
        <v>0</v>
      </c>
      <c r="K194" s="369">
        <f t="shared" ca="1" si="56"/>
        <v>0</v>
      </c>
      <c r="L194" s="370">
        <f t="shared" ca="1" si="57"/>
        <v>0</v>
      </c>
      <c r="M194" s="1"/>
      <c r="N194" s="1"/>
      <c r="O194" s="1"/>
    </row>
    <row r="195" spans="2:15">
      <c r="B195" s="131" t="s">
        <v>640</v>
      </c>
      <c r="C195" s="133" t="s">
        <v>53</v>
      </c>
      <c r="D195" t="str">
        <f t="shared" si="54"/>
        <v>Rótulos estão iguais</v>
      </c>
      <c r="E195" s="367" t="s">
        <v>551</v>
      </c>
      <c r="F195" s="368">
        <f t="shared" ca="1" si="66"/>
        <v>0</v>
      </c>
      <c r="G195" s="368">
        <f t="shared" ca="1" si="66"/>
        <v>0</v>
      </c>
      <c r="H195" s="368">
        <f>+TRUNC(ROUND('Elaboração SICONFI'!D101,2),2)</f>
        <v>0</v>
      </c>
      <c r="I195" s="369">
        <f t="shared" ca="1" si="55"/>
        <v>0</v>
      </c>
      <c r="J195" s="368">
        <f t="shared" ca="1" si="67"/>
        <v>0</v>
      </c>
      <c r="K195" s="369">
        <f t="shared" ca="1" si="56"/>
        <v>0</v>
      </c>
      <c r="L195" s="370">
        <f t="shared" ca="1" si="57"/>
        <v>0</v>
      </c>
      <c r="M195" s="1"/>
      <c r="N195" s="1"/>
      <c r="O195" s="1"/>
    </row>
    <row r="196" spans="2:15">
      <c r="B196" s="131" t="s">
        <v>640</v>
      </c>
      <c r="C196" s="133" t="s">
        <v>54</v>
      </c>
      <c r="D196" t="str">
        <f t="shared" si="54"/>
        <v>Rótulos estão iguais</v>
      </c>
      <c r="E196" s="367" t="s">
        <v>552</v>
      </c>
      <c r="F196" s="368">
        <f t="shared" ca="1" si="66"/>
        <v>0</v>
      </c>
      <c r="G196" s="368">
        <f t="shared" ca="1" si="66"/>
        <v>0</v>
      </c>
      <c r="H196" s="368">
        <f>+TRUNC(ROUND('Elaboração SICONFI'!D102,2),2)</f>
        <v>0</v>
      </c>
      <c r="I196" s="369">
        <f t="shared" ca="1" si="55"/>
        <v>0</v>
      </c>
      <c r="J196" s="368">
        <f t="shared" ca="1" si="67"/>
        <v>0</v>
      </c>
      <c r="K196" s="369">
        <f t="shared" ca="1" si="56"/>
        <v>0</v>
      </c>
      <c r="L196" s="370">
        <f t="shared" ca="1" si="57"/>
        <v>0</v>
      </c>
      <c r="M196" s="1"/>
      <c r="N196" s="1"/>
      <c r="O196" s="1"/>
    </row>
    <row r="197" spans="2:15">
      <c r="B197" s="131" t="s">
        <v>640</v>
      </c>
      <c r="C197" s="133" t="s">
        <v>55</v>
      </c>
      <c r="D197" t="str">
        <f t="shared" si="54"/>
        <v>Rótulos estão iguais</v>
      </c>
      <c r="E197" s="367" t="s">
        <v>553</v>
      </c>
      <c r="F197" s="368">
        <f t="shared" ca="1" si="66"/>
        <v>0</v>
      </c>
      <c r="G197" s="368">
        <f t="shared" ca="1" si="66"/>
        <v>0</v>
      </c>
      <c r="H197" s="368">
        <f>+TRUNC(ROUND('Elaboração SICONFI'!D103,2),2)</f>
        <v>0</v>
      </c>
      <c r="I197" s="369">
        <f t="shared" ref="I197:I228" ca="1" si="68">IFERROR(ROUND(100*H197/G197,2),0)</f>
        <v>0</v>
      </c>
      <c r="J197" s="368">
        <f t="shared" ca="1" si="67"/>
        <v>0</v>
      </c>
      <c r="K197" s="369">
        <f t="shared" ref="K197:K228" ca="1" si="69">IFERROR(ROUND(100*J197/G197,2),0)</f>
        <v>0</v>
      </c>
      <c r="L197" s="370">
        <f t="shared" ref="L197:L230" ca="1" si="70">G197-J197</f>
        <v>0</v>
      </c>
      <c r="M197" s="1"/>
      <c r="N197" s="1"/>
      <c r="O197" s="1"/>
    </row>
    <row r="198" spans="2:15">
      <c r="B198" s="131" t="s">
        <v>640</v>
      </c>
      <c r="C198" s="133" t="s">
        <v>56</v>
      </c>
      <c r="D198" t="str">
        <f t="shared" si="54"/>
        <v>Rótulos estão iguais</v>
      </c>
      <c r="E198" s="367" t="s">
        <v>554</v>
      </c>
      <c r="F198" s="368">
        <f t="shared" ca="1" si="66"/>
        <v>0</v>
      </c>
      <c r="G198" s="368">
        <f t="shared" ca="1" si="66"/>
        <v>0</v>
      </c>
      <c r="H198" s="368">
        <f>+TRUNC(ROUND('Elaboração SICONFI'!D104,2),2)</f>
        <v>0</v>
      </c>
      <c r="I198" s="369">
        <f t="shared" ca="1" si="68"/>
        <v>0</v>
      </c>
      <c r="J198" s="368">
        <f t="shared" ca="1" si="67"/>
        <v>0</v>
      </c>
      <c r="K198" s="369">
        <f t="shared" ca="1" si="69"/>
        <v>0</v>
      </c>
      <c r="L198" s="370">
        <f t="shared" ca="1" si="70"/>
        <v>0</v>
      </c>
      <c r="M198" s="1"/>
      <c r="N198" s="1"/>
      <c r="O198" s="1"/>
    </row>
    <row r="199" spans="2:15">
      <c r="B199" s="131" t="s">
        <v>640</v>
      </c>
      <c r="C199" s="133" t="s">
        <v>57</v>
      </c>
      <c r="D199" t="str">
        <f t="shared" si="54"/>
        <v>Rótulos estão iguais</v>
      </c>
      <c r="E199" s="367" t="s">
        <v>555</v>
      </c>
      <c r="F199" s="368">
        <f t="shared" ca="1" si="66"/>
        <v>0</v>
      </c>
      <c r="G199" s="368">
        <f t="shared" ca="1" si="66"/>
        <v>0</v>
      </c>
      <c r="H199" s="368">
        <f>+TRUNC(ROUND('Elaboração SICONFI'!D105,2),2)</f>
        <v>0</v>
      </c>
      <c r="I199" s="369">
        <f t="shared" ca="1" si="68"/>
        <v>0</v>
      </c>
      <c r="J199" s="368">
        <f t="shared" ca="1" si="67"/>
        <v>0</v>
      </c>
      <c r="K199" s="369">
        <f t="shared" ca="1" si="69"/>
        <v>0</v>
      </c>
      <c r="L199" s="370">
        <f t="shared" ca="1" si="70"/>
        <v>0</v>
      </c>
      <c r="M199" s="1"/>
      <c r="N199" s="1"/>
      <c r="O199" s="1"/>
    </row>
    <row r="200" spans="2:15">
      <c r="B200" s="131" t="s">
        <v>640</v>
      </c>
      <c r="C200" s="133" t="s">
        <v>58</v>
      </c>
      <c r="D200" t="str">
        <f t="shared" si="54"/>
        <v>Rótulos estão iguais</v>
      </c>
      <c r="E200" s="363" t="s">
        <v>556</v>
      </c>
      <c r="F200" s="364">
        <f ca="1">+F201+F204+F202+F203</f>
        <v>8146618837</v>
      </c>
      <c r="G200" s="364">
        <f ca="1">+G201+G204+G202+G203</f>
        <v>8146618837</v>
      </c>
      <c r="H200" s="364">
        <f>+H201+H204+H202+H203</f>
        <v>0</v>
      </c>
      <c r="I200" s="365">
        <f t="shared" ca="1" si="68"/>
        <v>0</v>
      </c>
      <c r="J200" s="364">
        <f ca="1">+J201+J204+J202+J203</f>
        <v>5229344289</v>
      </c>
      <c r="K200" s="365">
        <f t="shared" ca="1" si="69"/>
        <v>64.19</v>
      </c>
      <c r="L200" s="366">
        <f t="shared" ca="1" si="70"/>
        <v>2917274548</v>
      </c>
      <c r="M200" s="1"/>
      <c r="N200" s="1"/>
      <c r="O200" s="1"/>
    </row>
    <row r="201" spans="2:15">
      <c r="B201" s="131" t="s">
        <v>640</v>
      </c>
      <c r="C201" s="133" t="s">
        <v>59</v>
      </c>
      <c r="D201" t="str">
        <f t="shared" si="54"/>
        <v>Rótulos estão iguais</v>
      </c>
      <c r="E201" s="367" t="s">
        <v>557</v>
      </c>
      <c r="F201" s="368">
        <f t="shared" ref="F201:G205" ca="1" si="71">IFERROR(TRUNC(ROUND(1000*VLOOKUP($C201,INDIRECT($B201),F$33,FALSE),2),2),0)</f>
        <v>0</v>
      </c>
      <c r="G201" s="368">
        <f t="shared" ca="1" si="71"/>
        <v>0</v>
      </c>
      <c r="H201" s="368">
        <f>+TRUNC(ROUND('Elaboração SICONFI'!D107,2),2)</f>
        <v>0</v>
      </c>
      <c r="I201" s="369">
        <f t="shared" ca="1" si="68"/>
        <v>0</v>
      </c>
      <c r="J201" s="368">
        <f t="shared" ref="J201:J205" ca="1" si="72">IFERROR(TRUNC(ROUND(1000*VLOOKUP($C201,INDIRECT($B201),J$33,FALSE),2),2),0)</f>
        <v>-4210</v>
      </c>
      <c r="K201" s="369">
        <f t="shared" ca="1" si="69"/>
        <v>0</v>
      </c>
      <c r="L201" s="370">
        <f t="shared" ca="1" si="70"/>
        <v>4210</v>
      </c>
      <c r="M201" s="1"/>
      <c r="N201" s="1"/>
      <c r="O201" s="1"/>
    </row>
    <row r="202" spans="2:15">
      <c r="B202" s="131" t="s">
        <v>640</v>
      </c>
      <c r="C202" s="133" t="s">
        <v>60</v>
      </c>
      <c r="D202" t="str">
        <f t="shared" si="54"/>
        <v>Rótulos estão iguais</v>
      </c>
      <c r="E202" s="367" t="s">
        <v>558</v>
      </c>
      <c r="F202" s="368">
        <f t="shared" ca="1" si="71"/>
        <v>716347</v>
      </c>
      <c r="G202" s="368">
        <f t="shared" ca="1" si="71"/>
        <v>716347</v>
      </c>
      <c r="H202" s="368">
        <f>+TRUNC(ROUND('Elaboração SICONFI'!D108,2),2)</f>
        <v>0</v>
      </c>
      <c r="I202" s="369">
        <f t="shared" ca="1" si="68"/>
        <v>0</v>
      </c>
      <c r="J202" s="368">
        <f t="shared" ca="1" si="72"/>
        <v>132081</v>
      </c>
      <c r="K202" s="369">
        <f t="shared" ca="1" si="69"/>
        <v>18.440000000000001</v>
      </c>
      <c r="L202" s="370">
        <f t="shared" ca="1" si="70"/>
        <v>584266</v>
      </c>
      <c r="M202" s="1"/>
      <c r="N202" s="1"/>
      <c r="O202" s="1"/>
    </row>
    <row r="203" spans="2:15">
      <c r="B203" s="131" t="s">
        <v>640</v>
      </c>
      <c r="C203" s="133" t="s">
        <v>61</v>
      </c>
      <c r="D203" t="str">
        <f t="shared" si="54"/>
        <v>Rótulos estão iguais</v>
      </c>
      <c r="E203" s="367" t="s">
        <v>559</v>
      </c>
      <c r="F203" s="368">
        <f t="shared" ca="1" si="71"/>
        <v>0</v>
      </c>
      <c r="G203" s="368">
        <f t="shared" ca="1" si="71"/>
        <v>0</v>
      </c>
      <c r="H203" s="368">
        <f>+TRUNC(ROUND('Elaboração SICONFI'!D109,2),2)</f>
        <v>0</v>
      </c>
      <c r="I203" s="369">
        <f t="shared" ca="1" si="68"/>
        <v>0</v>
      </c>
      <c r="J203" s="368">
        <f t="shared" ca="1" si="72"/>
        <v>0</v>
      </c>
      <c r="K203" s="369">
        <f t="shared" ca="1" si="69"/>
        <v>0</v>
      </c>
      <c r="L203" s="370">
        <f t="shared" ca="1" si="70"/>
        <v>0</v>
      </c>
      <c r="M203" s="1"/>
      <c r="N203" s="1"/>
      <c r="O203" s="1"/>
    </row>
    <row r="204" spans="2:15">
      <c r="B204" s="131" t="s">
        <v>640</v>
      </c>
      <c r="C204" s="133" t="s">
        <v>62</v>
      </c>
      <c r="D204" t="str">
        <f t="shared" si="54"/>
        <v>Rótulos estão iguais</v>
      </c>
      <c r="E204" s="367" t="s">
        <v>560</v>
      </c>
      <c r="F204" s="368">
        <f t="shared" ca="1" si="71"/>
        <v>8145902490</v>
      </c>
      <c r="G204" s="368">
        <f t="shared" ca="1" si="71"/>
        <v>8145902490</v>
      </c>
      <c r="H204" s="368">
        <f>+TRUNC(ROUND('Elaboração SICONFI'!D110,2),2)</f>
        <v>0</v>
      </c>
      <c r="I204" s="369">
        <f t="shared" ca="1" si="68"/>
        <v>0</v>
      </c>
      <c r="J204" s="368">
        <f t="shared" ca="1" si="72"/>
        <v>5229216418</v>
      </c>
      <c r="K204" s="369">
        <f t="shared" ca="1" si="69"/>
        <v>64.19</v>
      </c>
      <c r="L204" s="370">
        <f t="shared" ca="1" si="70"/>
        <v>2916686072</v>
      </c>
      <c r="M204" s="1"/>
      <c r="N204" s="1"/>
      <c r="O204" s="1"/>
    </row>
    <row r="205" spans="2:15">
      <c r="B205" s="131" t="s">
        <v>640</v>
      </c>
      <c r="C205" s="133" t="s">
        <v>63</v>
      </c>
      <c r="D205" t="str">
        <f t="shared" si="54"/>
        <v>Rótulos estão iguais</v>
      </c>
      <c r="E205" s="367" t="s">
        <v>561</v>
      </c>
      <c r="F205" s="368">
        <f t="shared" ca="1" si="71"/>
        <v>0</v>
      </c>
      <c r="G205" s="368">
        <f t="shared" ca="1" si="71"/>
        <v>0</v>
      </c>
      <c r="H205" s="368"/>
      <c r="I205" s="369">
        <f t="shared" ca="1" si="68"/>
        <v>0</v>
      </c>
      <c r="J205" s="368">
        <f t="shared" ca="1" si="72"/>
        <v>0</v>
      </c>
      <c r="K205" s="369">
        <f t="shared" ca="1" si="69"/>
        <v>0</v>
      </c>
      <c r="L205" s="370">
        <f t="shared" ca="1" si="70"/>
        <v>0</v>
      </c>
      <c r="M205" s="1"/>
      <c r="N205" s="1"/>
      <c r="O205" s="1"/>
    </row>
    <row r="206" spans="2:15">
      <c r="B206" s="131" t="s">
        <v>640</v>
      </c>
      <c r="C206" s="133" t="s">
        <v>66</v>
      </c>
      <c r="D206" t="str">
        <f t="shared" si="54"/>
        <v>Rótulos estão iguais</v>
      </c>
      <c r="E206" s="363" t="s">
        <v>563</v>
      </c>
      <c r="F206" s="364">
        <f ca="1">+F207+F210+F214+F215+F224+F230</f>
        <v>0</v>
      </c>
      <c r="G206" s="364">
        <f ca="1">+G207+G210+G214+G215+G224+G230</f>
        <v>0</v>
      </c>
      <c r="H206" s="364">
        <f>+H207+H210+H214+H215+H224+H230</f>
        <v>0</v>
      </c>
      <c r="I206" s="365">
        <f t="shared" ca="1" si="68"/>
        <v>0</v>
      </c>
      <c r="J206" s="364">
        <f ca="1">+J207+J210+J214+J215+J224+J230</f>
        <v>0</v>
      </c>
      <c r="K206" s="365">
        <f t="shared" ca="1" si="69"/>
        <v>0</v>
      </c>
      <c r="L206" s="366">
        <f t="shared" ca="1" si="70"/>
        <v>0</v>
      </c>
      <c r="M206" s="1"/>
      <c r="N206" s="1"/>
      <c r="O206" s="1"/>
    </row>
    <row r="207" spans="2:15">
      <c r="B207" s="131" t="s">
        <v>640</v>
      </c>
      <c r="C207" s="133" t="s">
        <v>67</v>
      </c>
      <c r="D207" t="str">
        <f t="shared" si="54"/>
        <v>Rótulos estão iguais</v>
      </c>
      <c r="E207" s="363" t="s">
        <v>564</v>
      </c>
      <c r="F207" s="364">
        <f ca="1">+F208+F209</f>
        <v>0</v>
      </c>
      <c r="G207" s="364">
        <f ca="1">+G208+G209</f>
        <v>0</v>
      </c>
      <c r="H207" s="364">
        <f>+H208+H209</f>
        <v>0</v>
      </c>
      <c r="I207" s="365">
        <f t="shared" ca="1" si="68"/>
        <v>0</v>
      </c>
      <c r="J207" s="364">
        <f ca="1">+J208+J209</f>
        <v>0</v>
      </c>
      <c r="K207" s="365">
        <f t="shared" ca="1" si="69"/>
        <v>0</v>
      </c>
      <c r="L207" s="366">
        <f t="shared" ca="1" si="70"/>
        <v>0</v>
      </c>
      <c r="M207" s="1"/>
      <c r="N207" s="1"/>
      <c r="O207" s="1"/>
    </row>
    <row r="208" spans="2:15">
      <c r="B208" s="131" t="s">
        <v>640</v>
      </c>
      <c r="C208" s="133" t="s">
        <v>68</v>
      </c>
      <c r="D208" t="str">
        <f t="shared" si="54"/>
        <v>Rótulos estão iguais</v>
      </c>
      <c r="E208" s="367" t="s">
        <v>68</v>
      </c>
      <c r="F208" s="368">
        <f t="shared" ref="F208:G209" ca="1" si="73">IFERROR(TRUNC(ROUND(1000*VLOOKUP($C208,INDIRECT($B208),F$33,FALSE),2),2),0)</f>
        <v>0</v>
      </c>
      <c r="G208" s="368">
        <f t="shared" ca="1" si="73"/>
        <v>0</v>
      </c>
      <c r="H208" s="368"/>
      <c r="I208" s="369">
        <f t="shared" ca="1" si="68"/>
        <v>0</v>
      </c>
      <c r="J208" s="368">
        <f t="shared" ref="J208:J209" ca="1" si="74">IFERROR(TRUNC(ROUND(1000*VLOOKUP($C208,INDIRECT($B208),J$33,FALSE),2),2),0)</f>
        <v>0</v>
      </c>
      <c r="K208" s="369">
        <f t="shared" ca="1" si="69"/>
        <v>0</v>
      </c>
      <c r="L208" s="370">
        <f t="shared" ca="1" si="70"/>
        <v>0</v>
      </c>
      <c r="M208" s="1"/>
      <c r="N208" s="1"/>
      <c r="O208" s="1"/>
    </row>
    <row r="209" spans="2:15">
      <c r="B209" s="131" t="s">
        <v>640</v>
      </c>
      <c r="C209" s="133" t="s">
        <v>69</v>
      </c>
      <c r="D209" t="str">
        <f t="shared" si="54"/>
        <v>Rótulos estão iguais</v>
      </c>
      <c r="E209" s="367" t="s">
        <v>69</v>
      </c>
      <c r="F209" s="368">
        <f t="shared" ca="1" si="73"/>
        <v>0</v>
      </c>
      <c r="G209" s="368">
        <f t="shared" ca="1" si="73"/>
        <v>0</v>
      </c>
      <c r="H209" s="368"/>
      <c r="I209" s="369">
        <f t="shared" ca="1" si="68"/>
        <v>0</v>
      </c>
      <c r="J209" s="368">
        <f t="shared" ca="1" si="74"/>
        <v>0</v>
      </c>
      <c r="K209" s="369">
        <f t="shared" ca="1" si="69"/>
        <v>0</v>
      </c>
      <c r="L209" s="370">
        <f t="shared" ca="1" si="70"/>
        <v>0</v>
      </c>
      <c r="M209" s="1"/>
      <c r="N209" s="1"/>
      <c r="O209" s="1"/>
    </row>
    <row r="210" spans="2:15">
      <c r="B210" s="131" t="s">
        <v>640</v>
      </c>
      <c r="C210" s="133" t="s">
        <v>70</v>
      </c>
      <c r="D210" t="str">
        <f t="shared" si="54"/>
        <v>Rótulos estão iguais</v>
      </c>
      <c r="E210" s="363" t="s">
        <v>565</v>
      </c>
      <c r="F210" s="364">
        <f ca="1">+F211+F212+F213</f>
        <v>0</v>
      </c>
      <c r="G210" s="364">
        <f ca="1">+G211+G212+G213</f>
        <v>0</v>
      </c>
      <c r="H210" s="364">
        <f>+H211+H212+H213</f>
        <v>0</v>
      </c>
      <c r="I210" s="365">
        <f t="shared" ca="1" si="68"/>
        <v>0</v>
      </c>
      <c r="J210" s="364">
        <f ca="1">+J211+J212+J213</f>
        <v>0</v>
      </c>
      <c r="K210" s="365">
        <f t="shared" ca="1" si="69"/>
        <v>0</v>
      </c>
      <c r="L210" s="366">
        <f t="shared" ca="1" si="70"/>
        <v>0</v>
      </c>
      <c r="M210" s="1"/>
      <c r="N210" s="1"/>
      <c r="O210" s="1"/>
    </row>
    <row r="211" spans="2:15">
      <c r="B211" s="131" t="s">
        <v>640</v>
      </c>
      <c r="C211" s="133" t="s">
        <v>71</v>
      </c>
      <c r="D211" t="str">
        <f t="shared" si="54"/>
        <v>Rótulos estão iguais</v>
      </c>
      <c r="E211" s="367" t="s">
        <v>566</v>
      </c>
      <c r="F211" s="368">
        <f t="shared" ref="F211:G214" ca="1" si="75">IFERROR(TRUNC(ROUND(1000*VLOOKUP($C211,INDIRECT($B211),F$33,FALSE),2),2),0)</f>
        <v>0</v>
      </c>
      <c r="G211" s="368">
        <f t="shared" ca="1" si="75"/>
        <v>0</v>
      </c>
      <c r="H211" s="368"/>
      <c r="I211" s="369">
        <f t="shared" ca="1" si="68"/>
        <v>0</v>
      </c>
      <c r="J211" s="368">
        <f t="shared" ref="J211:J214" ca="1" si="76">IFERROR(TRUNC(ROUND(1000*VLOOKUP($C211,INDIRECT($B211),J$33,FALSE),2),2),0)</f>
        <v>0</v>
      </c>
      <c r="K211" s="369">
        <f t="shared" ca="1" si="69"/>
        <v>0</v>
      </c>
      <c r="L211" s="370">
        <f t="shared" ca="1" si="70"/>
        <v>0</v>
      </c>
      <c r="M211" s="1"/>
      <c r="N211" s="1"/>
      <c r="O211" s="1"/>
    </row>
    <row r="212" spans="2:15">
      <c r="B212" s="131" t="s">
        <v>640</v>
      </c>
      <c r="C212" s="133" t="s">
        <v>72</v>
      </c>
      <c r="D212" t="str">
        <f t="shared" si="54"/>
        <v>Rótulos estão iguais</v>
      </c>
      <c r="E212" s="367" t="s">
        <v>567</v>
      </c>
      <c r="F212" s="368">
        <f t="shared" ca="1" si="75"/>
        <v>0</v>
      </c>
      <c r="G212" s="368">
        <f t="shared" ca="1" si="75"/>
        <v>0</v>
      </c>
      <c r="H212" s="368"/>
      <c r="I212" s="369">
        <f t="shared" ca="1" si="68"/>
        <v>0</v>
      </c>
      <c r="J212" s="368">
        <f t="shared" ca="1" si="76"/>
        <v>0</v>
      </c>
      <c r="K212" s="369">
        <f t="shared" ca="1" si="69"/>
        <v>0</v>
      </c>
      <c r="L212" s="370">
        <f t="shared" ca="1" si="70"/>
        <v>0</v>
      </c>
      <c r="M212" s="1"/>
      <c r="N212" s="1"/>
      <c r="O212" s="1"/>
    </row>
    <row r="213" spans="2:15">
      <c r="B213" s="131" t="s">
        <v>640</v>
      </c>
      <c r="C213" s="133" t="s">
        <v>73</v>
      </c>
      <c r="D213" t="str">
        <f t="shared" si="54"/>
        <v>Rótulos estão iguais</v>
      </c>
      <c r="E213" s="367" t="s">
        <v>568</v>
      </c>
      <c r="F213" s="368">
        <f t="shared" ca="1" si="75"/>
        <v>0</v>
      </c>
      <c r="G213" s="368">
        <f t="shared" ca="1" si="75"/>
        <v>0</v>
      </c>
      <c r="H213" s="368"/>
      <c r="I213" s="369">
        <f t="shared" ca="1" si="68"/>
        <v>0</v>
      </c>
      <c r="J213" s="368">
        <f t="shared" ca="1" si="76"/>
        <v>0</v>
      </c>
      <c r="K213" s="369">
        <f t="shared" ca="1" si="69"/>
        <v>0</v>
      </c>
      <c r="L213" s="370">
        <f t="shared" ca="1" si="70"/>
        <v>0</v>
      </c>
      <c r="M213" s="1"/>
      <c r="N213" s="1"/>
      <c r="O213" s="1"/>
    </row>
    <row r="214" spans="2:15">
      <c r="B214" s="131" t="s">
        <v>640</v>
      </c>
      <c r="C214" s="133" t="s">
        <v>74</v>
      </c>
      <c r="D214" t="str">
        <f t="shared" si="54"/>
        <v>Rótulos estão iguais</v>
      </c>
      <c r="E214" s="367" t="s">
        <v>569</v>
      </c>
      <c r="F214" s="368">
        <f t="shared" ca="1" si="75"/>
        <v>0</v>
      </c>
      <c r="G214" s="368">
        <f t="shared" ca="1" si="75"/>
        <v>0</v>
      </c>
      <c r="H214" s="368"/>
      <c r="I214" s="369">
        <f t="shared" ca="1" si="68"/>
        <v>0</v>
      </c>
      <c r="J214" s="368">
        <f t="shared" ca="1" si="76"/>
        <v>0</v>
      </c>
      <c r="K214" s="369">
        <f t="shared" ca="1" si="69"/>
        <v>0</v>
      </c>
      <c r="L214" s="370">
        <f t="shared" ca="1" si="70"/>
        <v>0</v>
      </c>
      <c r="M214" s="1"/>
      <c r="N214" s="1"/>
      <c r="O214" s="1"/>
    </row>
    <row r="215" spans="2:15">
      <c r="B215" s="131" t="s">
        <v>640</v>
      </c>
      <c r="C215" s="133" t="s">
        <v>75</v>
      </c>
      <c r="D215" t="str">
        <f t="shared" si="54"/>
        <v>Rótulos estão iguais</v>
      </c>
      <c r="E215" s="363" t="s">
        <v>570</v>
      </c>
      <c r="F215" s="364">
        <f ca="1">+F216+F217+F218+F219+F220+F221+F223+F222</f>
        <v>0</v>
      </c>
      <c r="G215" s="364">
        <f ca="1">+G216+G217+G218+G219+G220+G221+G223+G222</f>
        <v>0</v>
      </c>
      <c r="H215" s="364">
        <f>+H216+H217+H218+H219+H220+H221+H223+H222</f>
        <v>0</v>
      </c>
      <c r="I215" s="365">
        <f t="shared" ca="1" si="68"/>
        <v>0</v>
      </c>
      <c r="J215" s="364">
        <f ca="1">+J216+J217+J218+J219+J220+J221+J223+J222</f>
        <v>0</v>
      </c>
      <c r="K215" s="365">
        <f t="shared" ca="1" si="69"/>
        <v>0</v>
      </c>
      <c r="L215" s="366">
        <f t="shared" ca="1" si="70"/>
        <v>0</v>
      </c>
      <c r="M215" s="1"/>
      <c r="N215" s="1"/>
      <c r="O215" s="1"/>
    </row>
    <row r="216" spans="2:15">
      <c r="B216" s="131" t="s">
        <v>640</v>
      </c>
      <c r="C216" s="133" t="s">
        <v>50</v>
      </c>
      <c r="D216" t="str">
        <f t="shared" si="54"/>
        <v>Rótulos estão iguais</v>
      </c>
      <c r="E216" s="367" t="s">
        <v>548</v>
      </c>
      <c r="F216" s="368">
        <f t="shared" ref="F216:G223" ca="1" si="77">IFERROR(TRUNC(ROUND(1000*VLOOKUP($C216,INDIRECT($B216),F$33,FALSE),2),2),0)</f>
        <v>0</v>
      </c>
      <c r="G216" s="368">
        <f t="shared" ca="1" si="77"/>
        <v>0</v>
      </c>
      <c r="H216" s="368"/>
      <c r="I216" s="369">
        <f t="shared" ca="1" si="68"/>
        <v>0</v>
      </c>
      <c r="J216" s="368">
        <f t="shared" ref="J216:J223" ca="1" si="78">IFERROR(TRUNC(ROUND(1000*VLOOKUP($C216,INDIRECT($B216),J$33,FALSE),2),2),0)</f>
        <v>0</v>
      </c>
      <c r="K216" s="369">
        <f t="shared" ca="1" si="69"/>
        <v>0</v>
      </c>
      <c r="L216" s="370">
        <f t="shared" ca="1" si="70"/>
        <v>0</v>
      </c>
      <c r="M216" s="1"/>
      <c r="N216" s="1"/>
      <c r="O216" s="1"/>
    </row>
    <row r="217" spans="2:15">
      <c r="B217" s="131" t="s">
        <v>640</v>
      </c>
      <c r="C217" s="133" t="s">
        <v>51</v>
      </c>
      <c r="D217" t="str">
        <f t="shared" si="54"/>
        <v>Rótulos estão iguais</v>
      </c>
      <c r="E217" s="367" t="s">
        <v>549</v>
      </c>
      <c r="F217" s="368">
        <f t="shared" ca="1" si="77"/>
        <v>0</v>
      </c>
      <c r="G217" s="368">
        <f t="shared" ca="1" si="77"/>
        <v>0</v>
      </c>
      <c r="H217" s="368"/>
      <c r="I217" s="369">
        <f t="shared" ca="1" si="68"/>
        <v>0</v>
      </c>
      <c r="J217" s="368">
        <f t="shared" ca="1" si="78"/>
        <v>0</v>
      </c>
      <c r="K217" s="369">
        <f t="shared" ca="1" si="69"/>
        <v>0</v>
      </c>
      <c r="L217" s="370">
        <f t="shared" ca="1" si="70"/>
        <v>0</v>
      </c>
      <c r="M217" s="1"/>
      <c r="N217" s="1"/>
      <c r="O217" s="1"/>
    </row>
    <row r="218" spans="2:15">
      <c r="B218" s="131" t="s">
        <v>640</v>
      </c>
      <c r="C218" s="133" t="s">
        <v>52</v>
      </c>
      <c r="D218" t="str">
        <f t="shared" si="54"/>
        <v>Rótulos estão iguais</v>
      </c>
      <c r="E218" s="367" t="s">
        <v>550</v>
      </c>
      <c r="F218" s="368">
        <f t="shared" ca="1" si="77"/>
        <v>0</v>
      </c>
      <c r="G218" s="368">
        <f t="shared" ca="1" si="77"/>
        <v>0</v>
      </c>
      <c r="H218" s="368"/>
      <c r="I218" s="369">
        <f t="shared" ca="1" si="68"/>
        <v>0</v>
      </c>
      <c r="J218" s="368">
        <f t="shared" ca="1" si="78"/>
        <v>0</v>
      </c>
      <c r="K218" s="369">
        <f t="shared" ca="1" si="69"/>
        <v>0</v>
      </c>
      <c r="L218" s="370">
        <f t="shared" ca="1" si="70"/>
        <v>0</v>
      </c>
      <c r="M218" s="1"/>
      <c r="N218" s="1"/>
      <c r="O218" s="1"/>
    </row>
    <row r="219" spans="2:15">
      <c r="B219" s="131" t="s">
        <v>640</v>
      </c>
      <c r="C219" s="133" t="s">
        <v>53</v>
      </c>
      <c r="D219" t="str">
        <f t="shared" si="54"/>
        <v>Rótulos estão iguais</v>
      </c>
      <c r="E219" s="367" t="s">
        <v>551</v>
      </c>
      <c r="F219" s="368">
        <f t="shared" ca="1" si="77"/>
        <v>0</v>
      </c>
      <c r="G219" s="368">
        <f t="shared" ca="1" si="77"/>
        <v>0</v>
      </c>
      <c r="H219" s="368"/>
      <c r="I219" s="369">
        <f t="shared" ca="1" si="68"/>
        <v>0</v>
      </c>
      <c r="J219" s="368">
        <f t="shared" ca="1" si="78"/>
        <v>0</v>
      </c>
      <c r="K219" s="369">
        <f t="shared" ca="1" si="69"/>
        <v>0</v>
      </c>
      <c r="L219" s="370">
        <f t="shared" ca="1" si="70"/>
        <v>0</v>
      </c>
      <c r="M219" s="1"/>
      <c r="N219" s="1"/>
      <c r="O219" s="1"/>
    </row>
    <row r="220" spans="2:15">
      <c r="B220" s="131" t="s">
        <v>640</v>
      </c>
      <c r="C220" s="133" t="s">
        <v>54</v>
      </c>
      <c r="D220" t="str">
        <f t="shared" si="54"/>
        <v>Rótulos estão iguais</v>
      </c>
      <c r="E220" s="367" t="s">
        <v>552</v>
      </c>
      <c r="F220" s="368">
        <f t="shared" ca="1" si="77"/>
        <v>0</v>
      </c>
      <c r="G220" s="368">
        <f t="shared" ca="1" si="77"/>
        <v>0</v>
      </c>
      <c r="H220" s="368"/>
      <c r="I220" s="369">
        <f t="shared" ca="1" si="68"/>
        <v>0</v>
      </c>
      <c r="J220" s="368">
        <f t="shared" ca="1" si="78"/>
        <v>0</v>
      </c>
      <c r="K220" s="369">
        <f t="shared" ca="1" si="69"/>
        <v>0</v>
      </c>
      <c r="L220" s="370">
        <f t="shared" ca="1" si="70"/>
        <v>0</v>
      </c>
      <c r="M220" s="1"/>
      <c r="N220" s="1"/>
      <c r="O220" s="1"/>
    </row>
    <row r="221" spans="2:15">
      <c r="B221" s="131" t="s">
        <v>640</v>
      </c>
      <c r="C221" s="133" t="s">
        <v>55</v>
      </c>
      <c r="D221" t="str">
        <f t="shared" si="54"/>
        <v>Rótulos estão iguais</v>
      </c>
      <c r="E221" s="367" t="s">
        <v>553</v>
      </c>
      <c r="F221" s="368">
        <f t="shared" ca="1" si="77"/>
        <v>0</v>
      </c>
      <c r="G221" s="368">
        <f t="shared" ca="1" si="77"/>
        <v>0</v>
      </c>
      <c r="H221" s="368"/>
      <c r="I221" s="369">
        <f t="shared" ca="1" si="68"/>
        <v>0</v>
      </c>
      <c r="J221" s="368">
        <f t="shared" ca="1" si="78"/>
        <v>0</v>
      </c>
      <c r="K221" s="369">
        <f t="shared" ca="1" si="69"/>
        <v>0</v>
      </c>
      <c r="L221" s="370">
        <f t="shared" ca="1" si="70"/>
        <v>0</v>
      </c>
      <c r="M221" s="1"/>
      <c r="N221" s="1"/>
      <c r="O221" s="1"/>
    </row>
    <row r="222" spans="2:15">
      <c r="B222" s="131" t="s">
        <v>640</v>
      </c>
      <c r="C222" s="133" t="s">
        <v>56</v>
      </c>
      <c r="D222" t="str">
        <f t="shared" si="54"/>
        <v>Rótulos estão iguais</v>
      </c>
      <c r="E222" s="367" t="s">
        <v>554</v>
      </c>
      <c r="F222" s="368">
        <f t="shared" ca="1" si="77"/>
        <v>0</v>
      </c>
      <c r="G222" s="368">
        <f t="shared" ca="1" si="77"/>
        <v>0</v>
      </c>
      <c r="H222" s="368"/>
      <c r="I222" s="369">
        <f t="shared" ca="1" si="68"/>
        <v>0</v>
      </c>
      <c r="J222" s="368">
        <f t="shared" ca="1" si="78"/>
        <v>0</v>
      </c>
      <c r="K222" s="369">
        <f t="shared" ca="1" si="69"/>
        <v>0</v>
      </c>
      <c r="L222" s="370">
        <f t="shared" ca="1" si="70"/>
        <v>0</v>
      </c>
      <c r="M222" s="1"/>
      <c r="N222" s="1"/>
      <c r="O222" s="1"/>
    </row>
    <row r="223" spans="2:15">
      <c r="B223" s="131" t="s">
        <v>640</v>
      </c>
      <c r="C223" s="133" t="s">
        <v>57</v>
      </c>
      <c r="D223" t="str">
        <f t="shared" si="54"/>
        <v>Rótulos estão iguais</v>
      </c>
      <c r="E223" s="367" t="s">
        <v>555</v>
      </c>
      <c r="F223" s="368">
        <f t="shared" ca="1" si="77"/>
        <v>0</v>
      </c>
      <c r="G223" s="368">
        <f t="shared" ca="1" si="77"/>
        <v>0</v>
      </c>
      <c r="H223" s="368"/>
      <c r="I223" s="369">
        <f t="shared" ca="1" si="68"/>
        <v>0</v>
      </c>
      <c r="J223" s="368">
        <f t="shared" ca="1" si="78"/>
        <v>0</v>
      </c>
      <c r="K223" s="369">
        <f t="shared" ca="1" si="69"/>
        <v>0</v>
      </c>
      <c r="L223" s="370">
        <f t="shared" ca="1" si="70"/>
        <v>0</v>
      </c>
      <c r="M223" s="1"/>
      <c r="N223" s="1"/>
      <c r="O223" s="1"/>
    </row>
    <row r="224" spans="2:15">
      <c r="B224" s="131" t="s">
        <v>640</v>
      </c>
      <c r="C224" s="133" t="s">
        <v>76</v>
      </c>
      <c r="D224" t="str">
        <f t="shared" si="54"/>
        <v>Rótulos estão iguais</v>
      </c>
      <c r="E224" s="363" t="s">
        <v>571</v>
      </c>
      <c r="F224" s="364">
        <f ca="1">+F225+F229+F226+F227+F228</f>
        <v>0</v>
      </c>
      <c r="G224" s="364">
        <f ca="1">+G225+G229+G226+G227+G228</f>
        <v>0</v>
      </c>
      <c r="H224" s="364">
        <f>+H225+H229+H226+H227+H228</f>
        <v>0</v>
      </c>
      <c r="I224" s="365">
        <f t="shared" ca="1" si="68"/>
        <v>0</v>
      </c>
      <c r="J224" s="364">
        <f ca="1">+J225+J229+J226+J227+J228</f>
        <v>0</v>
      </c>
      <c r="K224" s="365">
        <f t="shared" ca="1" si="69"/>
        <v>0</v>
      </c>
      <c r="L224" s="366">
        <f t="shared" ca="1" si="70"/>
        <v>0</v>
      </c>
      <c r="M224" s="1"/>
      <c r="N224" s="1"/>
      <c r="O224" s="1"/>
    </row>
    <row r="225" spans="2:15">
      <c r="B225" s="131" t="s">
        <v>640</v>
      </c>
      <c r="C225" s="133" t="s">
        <v>77</v>
      </c>
      <c r="D225" t="str">
        <f t="shared" si="54"/>
        <v>Rótulos estão iguais</v>
      </c>
      <c r="E225" s="367" t="s">
        <v>572</v>
      </c>
      <c r="F225" s="368">
        <f t="shared" ref="F225:G230" ca="1" si="79">IFERROR(TRUNC(ROUND(1000*VLOOKUP($C225,INDIRECT($B225),F$33,FALSE),2),2),0)</f>
        <v>0</v>
      </c>
      <c r="G225" s="368">
        <f t="shared" ca="1" si="79"/>
        <v>0</v>
      </c>
      <c r="H225" s="368"/>
      <c r="I225" s="369">
        <f t="shared" ca="1" si="68"/>
        <v>0</v>
      </c>
      <c r="J225" s="368">
        <f t="shared" ref="J225:J230" ca="1" si="80">IFERROR(TRUNC(ROUND(1000*VLOOKUP($C225,INDIRECT($B225),J$33,FALSE),2),2),0)</f>
        <v>0</v>
      </c>
      <c r="K225" s="369">
        <f t="shared" ca="1" si="69"/>
        <v>0</v>
      </c>
      <c r="L225" s="370">
        <f t="shared" ca="1" si="70"/>
        <v>0</v>
      </c>
      <c r="M225" s="1"/>
      <c r="N225" s="1"/>
      <c r="O225" s="1"/>
    </row>
    <row r="226" spans="2:15">
      <c r="B226" s="131" t="s">
        <v>640</v>
      </c>
      <c r="C226" s="133" t="s">
        <v>78</v>
      </c>
      <c r="D226" t="str">
        <f t="shared" si="54"/>
        <v>Rótulos estão iguais</v>
      </c>
      <c r="E226" s="367" t="s">
        <v>573</v>
      </c>
      <c r="F226" s="368">
        <f t="shared" ca="1" si="79"/>
        <v>0</v>
      </c>
      <c r="G226" s="368">
        <f t="shared" ca="1" si="79"/>
        <v>0</v>
      </c>
      <c r="H226" s="368"/>
      <c r="I226" s="369">
        <f t="shared" ca="1" si="68"/>
        <v>0</v>
      </c>
      <c r="J226" s="368">
        <f t="shared" ca="1" si="80"/>
        <v>0</v>
      </c>
      <c r="K226" s="369">
        <f t="shared" ca="1" si="69"/>
        <v>0</v>
      </c>
      <c r="L226" s="370">
        <f t="shared" ca="1" si="70"/>
        <v>0</v>
      </c>
      <c r="M226" s="1"/>
      <c r="N226" s="1"/>
      <c r="O226" s="1"/>
    </row>
    <row r="227" spans="2:15">
      <c r="B227" s="131" t="s">
        <v>640</v>
      </c>
      <c r="C227" s="133" t="s">
        <v>79</v>
      </c>
      <c r="D227" t="str">
        <f t="shared" si="54"/>
        <v>Rótulos estão iguais</v>
      </c>
      <c r="E227" s="367" t="s">
        <v>574</v>
      </c>
      <c r="F227" s="368">
        <f t="shared" ca="1" si="79"/>
        <v>0</v>
      </c>
      <c r="G227" s="368">
        <f t="shared" ca="1" si="79"/>
        <v>0</v>
      </c>
      <c r="H227" s="368"/>
      <c r="I227" s="369">
        <f t="shared" ca="1" si="68"/>
        <v>0</v>
      </c>
      <c r="J227" s="368">
        <f t="shared" ca="1" si="80"/>
        <v>0</v>
      </c>
      <c r="K227" s="369">
        <f t="shared" ca="1" si="69"/>
        <v>0</v>
      </c>
      <c r="L227" s="370">
        <f t="shared" ca="1" si="70"/>
        <v>0</v>
      </c>
      <c r="M227" s="1"/>
      <c r="N227" s="1"/>
      <c r="O227" s="1"/>
    </row>
    <row r="228" spans="2:15">
      <c r="B228" s="131" t="s">
        <v>640</v>
      </c>
      <c r="C228" s="133" t="s">
        <v>80</v>
      </c>
      <c r="D228" t="str">
        <f t="shared" si="54"/>
        <v>Rótulos estão iguais</v>
      </c>
      <c r="E228" s="367" t="s">
        <v>575</v>
      </c>
      <c r="F228" s="368">
        <f t="shared" ca="1" si="79"/>
        <v>0</v>
      </c>
      <c r="G228" s="368">
        <f t="shared" ca="1" si="79"/>
        <v>0</v>
      </c>
      <c r="H228" s="368"/>
      <c r="I228" s="369">
        <f t="shared" ca="1" si="68"/>
        <v>0</v>
      </c>
      <c r="J228" s="368">
        <f t="shared" ca="1" si="80"/>
        <v>0</v>
      </c>
      <c r="K228" s="369">
        <f t="shared" ca="1" si="69"/>
        <v>0</v>
      </c>
      <c r="L228" s="370">
        <f t="shared" ca="1" si="70"/>
        <v>0</v>
      </c>
      <c r="M228" s="1"/>
      <c r="N228" s="1"/>
      <c r="O228" s="1"/>
    </row>
    <row r="229" spans="2:15">
      <c r="B229" s="131" t="s">
        <v>640</v>
      </c>
      <c r="C229" s="133" t="s">
        <v>81</v>
      </c>
      <c r="D229" t="str">
        <f t="shared" ref="D229:D230" si="81">IF(TRIM(C229)=TRIM(E229),"Rótulos estão iguais","Rótulos estão diferentes")</f>
        <v>Rótulos estão iguais</v>
      </c>
      <c r="E229" s="367" t="s">
        <v>576</v>
      </c>
      <c r="F229" s="368">
        <f t="shared" ca="1" si="79"/>
        <v>0</v>
      </c>
      <c r="G229" s="368">
        <f t="shared" ca="1" si="79"/>
        <v>0</v>
      </c>
      <c r="H229" s="368"/>
      <c r="I229" s="369">
        <f t="shared" ref="I229:I230" ca="1" si="82">IFERROR(ROUND(100*H229/G229,2),0)</f>
        <v>0</v>
      </c>
      <c r="J229" s="368">
        <f t="shared" ca="1" si="80"/>
        <v>0</v>
      </c>
      <c r="K229" s="369">
        <f t="shared" ref="K229:K230" ca="1" si="83">IFERROR(ROUND(100*J229/G229,2),0)</f>
        <v>0</v>
      </c>
      <c r="L229" s="370">
        <f t="shared" ca="1" si="70"/>
        <v>0</v>
      </c>
      <c r="M229" s="1"/>
      <c r="N229" s="1"/>
      <c r="O229" s="1"/>
    </row>
    <row r="230" spans="2:15" ht="13.5" thickBot="1">
      <c r="B230" s="131" t="s">
        <v>640</v>
      </c>
      <c r="C230" s="133" t="s">
        <v>82</v>
      </c>
      <c r="D230" t="str">
        <f t="shared" si="81"/>
        <v>Rótulos estão iguais</v>
      </c>
      <c r="E230" s="376" t="s">
        <v>577</v>
      </c>
      <c r="F230" s="378">
        <f t="shared" ca="1" si="79"/>
        <v>0</v>
      </c>
      <c r="G230" s="378">
        <f t="shared" ca="1" si="79"/>
        <v>0</v>
      </c>
      <c r="H230" s="378"/>
      <c r="I230" s="396">
        <f t="shared" ca="1" si="82"/>
        <v>0</v>
      </c>
      <c r="J230" s="378">
        <f t="shared" ca="1" si="80"/>
        <v>0</v>
      </c>
      <c r="K230" s="396">
        <f t="shared" ca="1" si="83"/>
        <v>0</v>
      </c>
      <c r="L230" s="386">
        <f t="shared" ca="1" si="70"/>
        <v>0</v>
      </c>
      <c r="M230" s="1"/>
      <c r="N230" s="1"/>
      <c r="O230" s="1"/>
    </row>
    <row r="231" spans="2:15" ht="13.5" thickTop="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>
      <c r="E233" s="359" t="s">
        <v>505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>
      <c r="E234" s="359" t="s">
        <v>642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ht="13.5" thickBot="1">
      <c r="E235" s="380" t="s">
        <v>507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ht="13.5" thickTop="1">
      <c r="E236" s="323" t="s">
        <v>643</v>
      </c>
      <c r="F236" s="324" t="s">
        <v>644</v>
      </c>
      <c r="G236" s="324"/>
      <c r="H236" s="324"/>
      <c r="I236" s="324"/>
      <c r="J236" s="324"/>
      <c r="K236" s="324"/>
      <c r="L236" s="324"/>
      <c r="M236" s="324"/>
      <c r="N236" s="324"/>
      <c r="O236" s="325"/>
    </row>
    <row r="237" spans="2:15" ht="22.5">
      <c r="E237" s="387"/>
      <c r="F237" s="391" t="s">
        <v>600</v>
      </c>
      <c r="G237" s="391" t="s">
        <v>601</v>
      </c>
      <c r="H237" s="391" t="s">
        <v>602</v>
      </c>
      <c r="I237" s="391" t="s">
        <v>603</v>
      </c>
      <c r="J237" s="391" t="s">
        <v>604</v>
      </c>
      <c r="K237" s="391" t="s">
        <v>605</v>
      </c>
      <c r="L237" s="391" t="s">
        <v>606</v>
      </c>
      <c r="M237" s="391" t="s">
        <v>607</v>
      </c>
      <c r="N237" s="391" t="s">
        <v>608</v>
      </c>
      <c r="O237" s="397" t="s">
        <v>609</v>
      </c>
    </row>
    <row r="238" spans="2:15">
      <c r="B238" s="131" t="s">
        <v>645</v>
      </c>
      <c r="E238" s="367" t="s">
        <v>643</v>
      </c>
      <c r="F238" s="384"/>
      <c r="G238" s="384"/>
      <c r="H238" s="384"/>
      <c r="I238" s="384"/>
      <c r="J238" s="384"/>
      <c r="K238" s="384"/>
      <c r="L238" s="384"/>
      <c r="M238" s="384"/>
      <c r="N238" s="384"/>
      <c r="O238" s="385"/>
    </row>
    <row r="239" spans="2:15">
      <c r="B239" s="131" t="s">
        <v>645</v>
      </c>
      <c r="C239" s="133" t="s">
        <v>133</v>
      </c>
      <c r="D239" t="str">
        <f t="shared" ref="D239:D248" si="84">IF(TRIM(C239)=TRIM(E239),"Rótulos estão iguais","Rótulos estão diferentes")</f>
        <v>Rótulos estão iguais</v>
      </c>
      <c r="E239" s="363" t="s">
        <v>624</v>
      </c>
      <c r="F239" s="364">
        <f ca="1">+F240+F244+F248</f>
        <v>34213658640</v>
      </c>
      <c r="G239" s="364">
        <f ca="1">+G240+G244+G248</f>
        <v>39032083975</v>
      </c>
      <c r="H239" s="364">
        <f>+H240+H244+H248</f>
        <v>0</v>
      </c>
      <c r="I239" s="364">
        <f ca="1">+I240+I244+I248</f>
        <v>33544135262</v>
      </c>
      <c r="J239" s="364">
        <f t="shared" ref="J239:J248" ca="1" si="85">G239-I239</f>
        <v>5487948713</v>
      </c>
      <c r="K239" s="364">
        <f>+K240+K244+K248</f>
        <v>0</v>
      </c>
      <c r="L239" s="364">
        <f ca="1">+L240+L244+L248</f>
        <v>22488036511</v>
      </c>
      <c r="M239" s="364">
        <f t="shared" ref="M239:M248" ca="1" si="86">G239-L239</f>
        <v>16544047464</v>
      </c>
      <c r="N239" s="364">
        <f ca="1">+N240+N244+N248</f>
        <v>22260569654</v>
      </c>
      <c r="O239" s="366">
        <f ca="1">+O240+O244+O248</f>
        <v>0</v>
      </c>
    </row>
    <row r="240" spans="2:15">
      <c r="B240" s="131" t="s">
        <v>645</v>
      </c>
      <c r="C240" s="133" t="s">
        <v>121</v>
      </c>
      <c r="D240" t="str">
        <f t="shared" si="84"/>
        <v>Rótulos estão iguais</v>
      </c>
      <c r="E240" s="363" t="s">
        <v>612</v>
      </c>
      <c r="F240" s="364">
        <f ca="1">+F241+F242+F243</f>
        <v>33631902629</v>
      </c>
      <c r="G240" s="364">
        <f ca="1">+G241+G242+G243</f>
        <v>38450354475</v>
      </c>
      <c r="H240" s="364">
        <f>+H241+H242+H243</f>
        <v>0</v>
      </c>
      <c r="I240" s="364">
        <f ca="1">+I241+I242+I243</f>
        <v>32965547287</v>
      </c>
      <c r="J240" s="364">
        <f t="shared" ca="1" si="85"/>
        <v>5484807188</v>
      </c>
      <c r="K240" s="364">
        <f>+K241+K242+K243</f>
        <v>0</v>
      </c>
      <c r="L240" s="364">
        <f ca="1">+L241+L242+L243</f>
        <v>22316449922</v>
      </c>
      <c r="M240" s="364">
        <f t="shared" ca="1" si="86"/>
        <v>16133904553</v>
      </c>
      <c r="N240" s="364">
        <f ca="1">+N241+N242+N243</f>
        <v>22088986049</v>
      </c>
      <c r="O240" s="366">
        <f ca="1">+O241+O242+O243</f>
        <v>0</v>
      </c>
    </row>
    <row r="241" spans="2:15">
      <c r="B241" s="131" t="s">
        <v>645</v>
      </c>
      <c r="C241" s="133" t="s">
        <v>122</v>
      </c>
      <c r="D241" t="str">
        <f t="shared" si="84"/>
        <v>Rótulos estão iguais</v>
      </c>
      <c r="E241" s="367" t="s">
        <v>613</v>
      </c>
      <c r="F241" s="368">
        <f t="shared" ref="F241:G243" ca="1" si="87">IFERROR(TRUNC(ROUND(1000*VLOOKUP($C241,INDIRECT($B241),F$33,FALSE),2),2),0)</f>
        <v>28495609996</v>
      </c>
      <c r="G241" s="368">
        <f t="shared" ca="1" si="87"/>
        <v>28454296667</v>
      </c>
      <c r="H241" s="368">
        <f>TRUNC(ROUND(VLOOKUP($C241,siconfi_desp_intra,3,FALSE),2),2)</f>
        <v>0</v>
      </c>
      <c r="I241" s="368">
        <f ca="1">IFERROR(TRUNC(ROUND(1000*VLOOKUP($C241,INDIRECT($B241),I$33,FALSE),2),2),0)</f>
        <v>23185252522</v>
      </c>
      <c r="J241" s="368">
        <f t="shared" ca="1" si="85"/>
        <v>5269044145</v>
      </c>
      <c r="K241" s="368">
        <f>TRUNC(ROUND(VLOOKUP($C241,siconfi_desp_intra,4,FALSE),2),2)</f>
        <v>0</v>
      </c>
      <c r="L241" s="368">
        <f t="shared" ref="L241:O243" ca="1" si="88">IFERROR(TRUNC(ROUND(1000*VLOOKUP($C241,INDIRECT($B241),L$33,FALSE),2),2),0)</f>
        <v>16276231499</v>
      </c>
      <c r="M241" s="368">
        <f t="shared" ca="1" si="86"/>
        <v>12178065168</v>
      </c>
      <c r="N241" s="368">
        <f t="shared" ca="1" si="88"/>
        <v>16056125348</v>
      </c>
      <c r="O241" s="370">
        <f t="shared" ca="1" si="88"/>
        <v>0</v>
      </c>
    </row>
    <row r="242" spans="2:15">
      <c r="B242" s="131" t="s">
        <v>645</v>
      </c>
      <c r="C242" s="133" t="s">
        <v>123</v>
      </c>
      <c r="D242" t="str">
        <f t="shared" si="84"/>
        <v>Rótulos estão iguais</v>
      </c>
      <c r="E242" s="367" t="s">
        <v>614</v>
      </c>
      <c r="F242" s="368">
        <f t="shared" ca="1" si="87"/>
        <v>0</v>
      </c>
      <c r="G242" s="368">
        <f t="shared" ca="1" si="87"/>
        <v>0</v>
      </c>
      <c r="H242" s="368">
        <f>TRUNC(ROUND(VLOOKUP($C242,siconfi_desp_intra,3,FALSE),2),2)</f>
        <v>0</v>
      </c>
      <c r="I242" s="368">
        <f ca="1">IFERROR(TRUNC(ROUND(1000*VLOOKUP($C242,INDIRECT($B242),I$33,FALSE),2),2),0)</f>
        <v>0</v>
      </c>
      <c r="J242" s="368">
        <f t="shared" ca="1" si="85"/>
        <v>0</v>
      </c>
      <c r="K242" s="368">
        <f>TRUNC(ROUND(VLOOKUP($C242,siconfi_desp_intra,4,FALSE),2),2)</f>
        <v>0</v>
      </c>
      <c r="L242" s="368">
        <f t="shared" ca="1" si="88"/>
        <v>0</v>
      </c>
      <c r="M242" s="368">
        <f t="shared" ca="1" si="86"/>
        <v>0</v>
      </c>
      <c r="N242" s="368">
        <f t="shared" ca="1" si="88"/>
        <v>0</v>
      </c>
      <c r="O242" s="370">
        <f t="shared" ca="1" si="88"/>
        <v>0</v>
      </c>
    </row>
    <row r="243" spans="2:15">
      <c r="B243" s="131" t="s">
        <v>645</v>
      </c>
      <c r="C243" s="133" t="s">
        <v>124</v>
      </c>
      <c r="D243" t="str">
        <f t="shared" si="84"/>
        <v>Rótulos estão iguais</v>
      </c>
      <c r="E243" s="367" t="s">
        <v>615</v>
      </c>
      <c r="F243" s="368">
        <f t="shared" ca="1" si="87"/>
        <v>5136292633</v>
      </c>
      <c r="G243" s="368">
        <f t="shared" ca="1" si="87"/>
        <v>9996057808</v>
      </c>
      <c r="H243" s="368">
        <f>TRUNC(ROUND(VLOOKUP($C243,siconfi_desp_intra,3,FALSE),2),2)</f>
        <v>0</v>
      </c>
      <c r="I243" s="368">
        <f ca="1">IFERROR(TRUNC(ROUND(1000*VLOOKUP($C243,INDIRECT($B243),I$33,FALSE),2),2),0)</f>
        <v>9780294765</v>
      </c>
      <c r="J243" s="368">
        <f t="shared" ca="1" si="85"/>
        <v>215763043</v>
      </c>
      <c r="K243" s="368">
        <f>TRUNC(ROUND(VLOOKUP($C243,siconfi_desp_intra,4,FALSE),2),2)</f>
        <v>0</v>
      </c>
      <c r="L243" s="368">
        <f t="shared" ca="1" si="88"/>
        <v>6040218423</v>
      </c>
      <c r="M243" s="368">
        <f t="shared" ca="1" si="86"/>
        <v>3955839385</v>
      </c>
      <c r="N243" s="368">
        <f t="shared" ca="1" si="88"/>
        <v>6032860701</v>
      </c>
      <c r="O243" s="370">
        <f t="shared" ca="1" si="88"/>
        <v>0</v>
      </c>
    </row>
    <row r="244" spans="2:15">
      <c r="B244" s="131" t="s">
        <v>645</v>
      </c>
      <c r="C244" s="133" t="s">
        <v>128</v>
      </c>
      <c r="D244" t="str">
        <f t="shared" si="84"/>
        <v>Rótulos estão iguais</v>
      </c>
      <c r="E244" s="363" t="s">
        <v>619</v>
      </c>
      <c r="F244" s="364">
        <f ca="1">+F245+F246+F247</f>
        <v>581756011</v>
      </c>
      <c r="G244" s="364">
        <f ca="1">+G245+G246+G247</f>
        <v>581729500</v>
      </c>
      <c r="H244" s="364">
        <f>+H245+H246+H247</f>
        <v>0</v>
      </c>
      <c r="I244" s="364">
        <f ca="1">+I245+I246+I247</f>
        <v>578587975</v>
      </c>
      <c r="J244" s="364">
        <f t="shared" ca="1" si="85"/>
        <v>3141525</v>
      </c>
      <c r="K244" s="364">
        <f>+K245+K246+K247</f>
        <v>0</v>
      </c>
      <c r="L244" s="364">
        <f ca="1">+L245+L246+L247</f>
        <v>171586589</v>
      </c>
      <c r="M244" s="364">
        <f t="shared" ca="1" si="86"/>
        <v>410142911</v>
      </c>
      <c r="N244" s="364">
        <f ca="1">+N245+N246+N247</f>
        <v>171583605</v>
      </c>
      <c r="O244" s="366">
        <f ca="1">+O245+O246+O247</f>
        <v>0</v>
      </c>
    </row>
    <row r="245" spans="2:15">
      <c r="B245" s="131" t="s">
        <v>645</v>
      </c>
      <c r="C245" s="133" t="s">
        <v>129</v>
      </c>
      <c r="D245" t="str">
        <f t="shared" si="84"/>
        <v>Rótulos estão iguais</v>
      </c>
      <c r="E245" s="367" t="s">
        <v>620</v>
      </c>
      <c r="F245" s="368">
        <f t="shared" ref="F245:I248" ca="1" si="89">IFERROR(TRUNC(ROUND(1000*VLOOKUP($C245,INDIRECT($B245),F$33,FALSE),2),2),0)</f>
        <v>25823831</v>
      </c>
      <c r="G245" s="368">
        <f t="shared" ca="1" si="89"/>
        <v>25797320</v>
      </c>
      <c r="H245" s="368">
        <f>TRUNC(ROUND(VLOOKUP($C245,siconfi_desp_intra,3,FALSE),2),2)</f>
        <v>0</v>
      </c>
      <c r="I245" s="368">
        <f t="shared" ca="1" si="89"/>
        <v>22655795</v>
      </c>
      <c r="J245" s="368">
        <f t="shared" ca="1" si="85"/>
        <v>3141525</v>
      </c>
      <c r="K245" s="368">
        <f>TRUNC(ROUND(VLOOKUP($C245,siconfi_desp_intra,4,FALSE),2),2)</f>
        <v>0</v>
      </c>
      <c r="L245" s="368">
        <f t="shared" ref="L245:O247" ca="1" si="90">IFERROR(TRUNC(ROUND(1000*VLOOKUP($C245,INDIRECT($B245),L$33,FALSE),2),2),0)</f>
        <v>8421460</v>
      </c>
      <c r="M245" s="368">
        <f t="shared" ca="1" si="86"/>
        <v>17375860</v>
      </c>
      <c r="N245" s="368">
        <f t="shared" ca="1" si="90"/>
        <v>8418476</v>
      </c>
      <c r="O245" s="370">
        <f t="shared" ca="1" si="90"/>
        <v>0</v>
      </c>
    </row>
    <row r="246" spans="2:15">
      <c r="B246" s="131" t="s">
        <v>645</v>
      </c>
      <c r="C246" s="133" t="s">
        <v>130</v>
      </c>
      <c r="D246" t="str">
        <f t="shared" si="84"/>
        <v>Rótulos estão iguais</v>
      </c>
      <c r="E246" s="367" t="s">
        <v>621</v>
      </c>
      <c r="F246" s="368">
        <f t="shared" ca="1" si="89"/>
        <v>555932180</v>
      </c>
      <c r="G246" s="368">
        <f t="shared" ca="1" si="89"/>
        <v>555932180</v>
      </c>
      <c r="H246" s="368">
        <f>TRUNC(ROUND(VLOOKUP($C246,siconfi_desp_intra,3,FALSE),2),2)</f>
        <v>0</v>
      </c>
      <c r="I246" s="368">
        <f t="shared" ca="1" si="89"/>
        <v>555932180</v>
      </c>
      <c r="J246" s="368">
        <f t="shared" ca="1" si="85"/>
        <v>0</v>
      </c>
      <c r="K246" s="368">
        <f>TRUNC(ROUND(VLOOKUP($C246,siconfi_desp_intra,4,FALSE),2),2)</f>
        <v>0</v>
      </c>
      <c r="L246" s="368">
        <f t="shared" ca="1" si="90"/>
        <v>163165129</v>
      </c>
      <c r="M246" s="368">
        <f t="shared" ca="1" si="86"/>
        <v>392767051</v>
      </c>
      <c r="N246" s="368">
        <f t="shared" ca="1" si="90"/>
        <v>163165129</v>
      </c>
      <c r="O246" s="370">
        <f t="shared" ca="1" si="90"/>
        <v>0</v>
      </c>
    </row>
    <row r="247" spans="2:15">
      <c r="B247" s="131" t="s">
        <v>645</v>
      </c>
      <c r="C247" s="133" t="s">
        <v>131</v>
      </c>
      <c r="D247" t="str">
        <f t="shared" si="84"/>
        <v>Rótulos estão iguais</v>
      </c>
      <c r="E247" s="367" t="s">
        <v>622</v>
      </c>
      <c r="F247" s="368">
        <f t="shared" ca="1" si="89"/>
        <v>0</v>
      </c>
      <c r="G247" s="368">
        <f t="shared" ca="1" si="89"/>
        <v>0</v>
      </c>
      <c r="H247" s="368">
        <f>TRUNC(ROUND(VLOOKUP($C247,siconfi_desp_intra,3,FALSE),2),2)</f>
        <v>0</v>
      </c>
      <c r="I247" s="368">
        <f t="shared" ca="1" si="89"/>
        <v>0</v>
      </c>
      <c r="J247" s="368">
        <f t="shared" ca="1" si="85"/>
        <v>0</v>
      </c>
      <c r="K247" s="368">
        <f>TRUNC(ROUND(VLOOKUP($C247,siconfi_desp_intra,4,FALSE),2),2)</f>
        <v>0</v>
      </c>
      <c r="L247" s="368">
        <f t="shared" ca="1" si="90"/>
        <v>0</v>
      </c>
      <c r="M247" s="368">
        <f t="shared" ca="1" si="86"/>
        <v>0</v>
      </c>
      <c r="N247" s="368">
        <f t="shared" ca="1" si="90"/>
        <v>0</v>
      </c>
      <c r="O247" s="370">
        <f t="shared" ca="1" si="90"/>
        <v>0</v>
      </c>
    </row>
    <row r="248" spans="2:15" ht="13.5" thickBot="1">
      <c r="B248" s="131" t="s">
        <v>645</v>
      </c>
      <c r="C248" s="133" t="s">
        <v>132</v>
      </c>
      <c r="D248" t="str">
        <f t="shared" si="84"/>
        <v>Rótulos estão iguais</v>
      </c>
      <c r="E248" s="376" t="s">
        <v>623</v>
      </c>
      <c r="F248" s="378">
        <f t="shared" ca="1" si="89"/>
        <v>0</v>
      </c>
      <c r="G248" s="378">
        <f t="shared" ca="1" si="89"/>
        <v>0</v>
      </c>
      <c r="H248" s="378"/>
      <c r="I248" s="378"/>
      <c r="J248" s="378">
        <f t="shared" ca="1" si="85"/>
        <v>0</v>
      </c>
      <c r="K248" s="378"/>
      <c r="L248" s="378"/>
      <c r="M248" s="378">
        <f t="shared" ca="1" si="86"/>
        <v>0</v>
      </c>
      <c r="N248" s="378"/>
      <c r="O248" s="386"/>
    </row>
    <row r="249" spans="2:15" ht="13.5" thickTop="1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>
      <c r="E251" s="359" t="s">
        <v>505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>
      <c r="E252" s="359" t="s">
        <v>646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>
      <c r="E253" s="359" t="s">
        <v>507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>
      <c r="E254" s="398" t="s">
        <v>647</v>
      </c>
      <c r="F254" s="399" t="s">
        <v>648</v>
      </c>
      <c r="G254" s="1"/>
      <c r="H254" s="1"/>
      <c r="I254" s="1"/>
      <c r="J254" s="1"/>
      <c r="K254" s="1"/>
      <c r="L254" s="1"/>
      <c r="M254" s="1"/>
      <c r="N254" s="1"/>
      <c r="O254" s="1"/>
    </row>
    <row r="255" spans="2:15">
      <c r="E255" s="400"/>
      <c r="F255" s="399" t="s">
        <v>649</v>
      </c>
      <c r="G255" s="1"/>
      <c r="H255" s="1"/>
      <c r="I255" s="1"/>
      <c r="J255" s="1"/>
      <c r="K255" s="1"/>
      <c r="L255" s="1"/>
      <c r="M255" s="1"/>
      <c r="N255" s="1"/>
      <c r="O255" s="1"/>
    </row>
    <row r="256" spans="2:15">
      <c r="E256" s="401" t="s">
        <v>647</v>
      </c>
      <c r="F256" s="384"/>
      <c r="G256" s="1"/>
      <c r="H256" s="1"/>
      <c r="I256" s="1"/>
      <c r="J256" s="1"/>
      <c r="K256" s="1"/>
      <c r="L256" s="1"/>
      <c r="M256" s="1"/>
      <c r="N256" s="1"/>
      <c r="O256" s="1"/>
    </row>
    <row r="257" spans="5:15" ht="168.75">
      <c r="E257" s="402" t="s">
        <v>650</v>
      </c>
      <c r="F257" s="403" t="str">
        <f>+'Anexo 1 Desp'!$A$50</f>
        <v>Nota: 
1) Durante o exercício, somente as despesas liquidadas são consideradas executadas. No encerramento do exercício, as despesas não liquidadas inscritas em restos a pagar não processados são também consideradas.
2) A diferença entre a dotação e a previsão da receita se deve a vetos na Lei Orçamentária Anual, no valor de R$ 19,8 bilhões.</v>
      </c>
      <c r="G257" s="1"/>
      <c r="H257" s="1"/>
      <c r="I257" s="1"/>
      <c r="J257" s="1"/>
      <c r="K257" s="1"/>
      <c r="L257" s="1"/>
      <c r="M257" s="1"/>
      <c r="N257" s="1"/>
      <c r="O257" s="1"/>
    </row>
  </sheetData>
  <mergeCells count="18">
    <mergeCell ref="E236:E237"/>
    <mergeCell ref="F236:O236"/>
    <mergeCell ref="E254:E255"/>
    <mergeCell ref="E127:E128"/>
    <mergeCell ref="F127:O127"/>
    <mergeCell ref="E161:E163"/>
    <mergeCell ref="F161:L161"/>
    <mergeCell ref="F162:F163"/>
    <mergeCell ref="G162:G163"/>
    <mergeCell ref="H162:K162"/>
    <mergeCell ref="L162:L163"/>
    <mergeCell ref="C35:C36"/>
    <mergeCell ref="E34:E36"/>
    <mergeCell ref="F34:L34"/>
    <mergeCell ref="F35:F36"/>
    <mergeCell ref="G35:G36"/>
    <mergeCell ref="H35:K35"/>
    <mergeCell ref="L35:L36"/>
  </mergeCells>
  <conditionalFormatting sqref="F38">
    <cfRule type="expression" dxfId="12" priority="14">
      <formula>"SE($C$21=""SUBTOTAL"";""SUBTOTAL"")"</formula>
    </cfRule>
  </conditionalFormatting>
  <conditionalFormatting sqref="D38:D120">
    <cfRule type="cellIs" dxfId="11" priority="12" operator="equal">
      <formula>"Rótulos estão diferentes"</formula>
    </cfRule>
    <cfRule type="cellIs" dxfId="10" priority="13" operator="equal">
      <formula>"Rótulos estão iguais"</formula>
    </cfRule>
  </conditionalFormatting>
  <conditionalFormatting sqref="D130:D151">
    <cfRule type="cellIs" dxfId="9" priority="10" operator="equal">
      <formula>"Rótulos estão diferentes"</formula>
    </cfRule>
    <cfRule type="cellIs" dxfId="8" priority="11" operator="equal">
      <formula>"Rótulos estão iguais"</formula>
    </cfRule>
  </conditionalFormatting>
  <conditionalFormatting sqref="D165:D181">
    <cfRule type="cellIs" dxfId="7" priority="8" operator="equal">
      <formula>"Rótulos estão diferentes"</formula>
    </cfRule>
    <cfRule type="cellIs" dxfId="6" priority="9" operator="equal">
      <formula>"Rótulos estão iguais"</formula>
    </cfRule>
  </conditionalFormatting>
  <conditionalFormatting sqref="D182:D230">
    <cfRule type="cellIs" dxfId="5" priority="6" operator="equal">
      <formula>"Rótulos estão diferentes"</formula>
    </cfRule>
    <cfRule type="cellIs" dxfId="4" priority="7" operator="equal">
      <formula>"Rótulos estão iguais"</formula>
    </cfRule>
  </conditionalFormatting>
  <conditionalFormatting sqref="D239:D248">
    <cfRule type="cellIs" dxfId="3" priority="4" operator="equal">
      <formula>"Rótulos estão diferentes"</formula>
    </cfRule>
    <cfRule type="cellIs" dxfId="2" priority="5" operator="equal">
      <formula>"Rótulos estão iguais"</formula>
    </cfRule>
  </conditionalFormatting>
  <conditionalFormatting sqref="D3:D26">
    <cfRule type="cellIs" dxfId="1" priority="2" operator="lessThan">
      <formula>-10</formula>
    </cfRule>
    <cfRule type="cellIs" dxfId="0" priority="3" operator="greaterThan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M130:M152 J130:J152 J171:J175 H244 M239:M248 J239:J248 H143:H146 H138 H149 H1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 filterMode="1">
    <tabColor indexed="44"/>
  </sheetPr>
  <dimension ref="A1:S200"/>
  <sheetViews>
    <sheetView topLeftCell="A55" workbookViewId="0">
      <selection activeCell="B64" sqref="B64"/>
    </sheetView>
  </sheetViews>
  <sheetFormatPr defaultColWidth="9.140625" defaultRowHeight="11.25" customHeight="1"/>
  <cols>
    <col min="1" max="1" width="64.85546875" style="88" bestFit="1" customWidth="1"/>
    <col min="2" max="4" width="12.85546875" style="20" customWidth="1"/>
    <col min="5" max="5" width="10.85546875" style="89" bestFit="1" customWidth="1"/>
    <col min="6" max="6" width="12.140625" style="20" customWidth="1"/>
    <col min="7" max="7" width="9.42578125" style="20" customWidth="1"/>
    <col min="8" max="8" width="12.85546875" style="20" customWidth="1"/>
    <col min="9" max="9" width="9.140625" style="20"/>
    <col min="10" max="11" width="9.140625" style="2"/>
    <col min="12" max="12" width="28.140625" style="2" customWidth="1"/>
    <col min="13" max="13" width="9.140625" style="2"/>
    <col min="14" max="16" width="9.42578125" style="2" bestFit="1" customWidth="1"/>
    <col min="17" max="17" width="2.5703125" style="2" bestFit="1" customWidth="1"/>
    <col min="18" max="18" width="9.42578125" style="2" bestFit="1" customWidth="1"/>
    <col min="19" max="16384" width="9.140625" style="2"/>
  </cols>
  <sheetData>
    <row r="1" spans="1:12" ht="11.25" customHeight="1">
      <c r="H1" s="72" t="s">
        <v>84</v>
      </c>
    </row>
    <row r="2" spans="1:12" ht="11.25" customHeight="1">
      <c r="A2" s="302" t="s">
        <v>0</v>
      </c>
      <c r="B2" s="302"/>
      <c r="C2" s="302"/>
      <c r="D2" s="302"/>
      <c r="E2" s="302"/>
      <c r="F2" s="302"/>
      <c r="G2" s="302"/>
      <c r="H2" s="302"/>
      <c r="I2" s="29"/>
      <c r="J2" s="4"/>
    </row>
    <row r="3" spans="1:12" s="4" customFormat="1" ht="11.25" customHeight="1">
      <c r="A3" s="302" t="s">
        <v>1</v>
      </c>
      <c r="B3" s="302"/>
      <c r="C3" s="302"/>
      <c r="D3" s="302"/>
      <c r="E3" s="302"/>
      <c r="F3" s="302"/>
      <c r="G3" s="302"/>
      <c r="H3" s="302"/>
      <c r="I3" s="29"/>
    </row>
    <row r="4" spans="1:12" s="4" customFormat="1" ht="11.25" customHeight="1">
      <c r="A4" s="303" t="s">
        <v>2</v>
      </c>
      <c r="B4" s="303"/>
      <c r="C4" s="303"/>
      <c r="D4" s="303"/>
      <c r="E4" s="303"/>
      <c r="F4" s="303"/>
      <c r="G4" s="303"/>
      <c r="H4" s="303"/>
      <c r="I4" s="29"/>
    </row>
    <row r="5" spans="1:12" s="4" customFormat="1" ht="11.25" customHeight="1">
      <c r="A5" s="302" t="s">
        <v>3</v>
      </c>
      <c r="B5" s="302"/>
      <c r="C5" s="302"/>
      <c r="D5" s="302"/>
      <c r="E5" s="302"/>
      <c r="F5" s="302"/>
      <c r="G5" s="302"/>
      <c r="H5" s="302"/>
      <c r="I5" s="29"/>
    </row>
    <row r="6" spans="1:12" s="4" customFormat="1" ht="11.25" customHeight="1">
      <c r="A6" s="299" t="str">
        <f>'Anexo 1 Rec'!A5:H5</f>
        <v>JANEIRO A AGOSTO DE 2021</v>
      </c>
      <c r="B6" s="299"/>
      <c r="C6" s="299"/>
      <c r="D6" s="299"/>
      <c r="E6" s="299"/>
      <c r="F6" s="299"/>
      <c r="G6" s="299"/>
      <c r="H6" s="299"/>
      <c r="I6" s="29"/>
    </row>
    <row r="7" spans="1:12" s="4" customFormat="1" ht="11.25" customHeight="1">
      <c r="A7" s="245"/>
      <c r="B7" s="245"/>
      <c r="C7" s="245"/>
      <c r="D7" s="245"/>
      <c r="E7" s="245"/>
      <c r="F7" s="245"/>
      <c r="G7" s="245"/>
      <c r="H7" s="245"/>
      <c r="I7" s="29"/>
    </row>
    <row r="8" spans="1:12" ht="11.25" customHeight="1">
      <c r="A8" s="74" t="s">
        <v>4</v>
      </c>
      <c r="B8" s="29"/>
      <c r="C8" s="29"/>
      <c r="D8" s="29"/>
      <c r="E8" s="90"/>
      <c r="F8" s="29"/>
      <c r="G8" s="29"/>
      <c r="H8" s="91" t="s">
        <v>5</v>
      </c>
      <c r="I8" s="29"/>
      <c r="J8" s="4"/>
    </row>
    <row r="9" spans="1:12" ht="11.25" customHeight="1">
      <c r="A9" s="332"/>
      <c r="B9" s="333" t="s">
        <v>6</v>
      </c>
      <c r="C9" s="333" t="s">
        <v>7</v>
      </c>
      <c r="D9" s="300" t="s">
        <v>8</v>
      </c>
      <c r="E9" s="334"/>
      <c r="F9" s="334"/>
      <c r="G9" s="301"/>
      <c r="H9" s="260" t="s">
        <v>9</v>
      </c>
      <c r="I9" s="29"/>
      <c r="J9" s="4"/>
    </row>
    <row r="10" spans="1:12" s="8" customFormat="1" ht="11.25" customHeight="1">
      <c r="A10" s="92" t="s">
        <v>10</v>
      </c>
      <c r="B10" s="93" t="s">
        <v>11</v>
      </c>
      <c r="C10" s="93" t="s">
        <v>12</v>
      </c>
      <c r="D10" s="94" t="s">
        <v>13</v>
      </c>
      <c r="E10" s="95" t="s">
        <v>14</v>
      </c>
      <c r="F10" s="250" t="s">
        <v>15</v>
      </c>
      <c r="G10" s="96" t="s">
        <v>14</v>
      </c>
      <c r="H10" s="97" t="s">
        <v>16</v>
      </c>
      <c r="I10" s="98"/>
      <c r="J10" s="5"/>
    </row>
    <row r="11" spans="1:12" s="8" customFormat="1" ht="11.25" customHeight="1">
      <c r="A11" s="99"/>
      <c r="B11" s="100"/>
      <c r="C11" s="100" t="s">
        <v>17</v>
      </c>
      <c r="D11" s="101" t="s">
        <v>18</v>
      </c>
      <c r="E11" s="102" t="s">
        <v>19</v>
      </c>
      <c r="F11" s="101" t="s">
        <v>20</v>
      </c>
      <c r="G11" s="101" t="s">
        <v>21</v>
      </c>
      <c r="H11" s="101" t="s">
        <v>22</v>
      </c>
      <c r="I11" s="98"/>
      <c r="J11" s="5"/>
      <c r="L11" s="71" t="s">
        <v>23</v>
      </c>
    </row>
    <row r="12" spans="1:12" s="8" customFormat="1" ht="11.25" customHeight="1">
      <c r="A12" s="103" t="s">
        <v>85</v>
      </c>
      <c r="B12" s="31">
        <f>SUM(B13,B39)</f>
        <v>31381828.490000002</v>
      </c>
      <c r="C12" s="31">
        <f>SUM(C13,C39)</f>
        <v>31381828.490000002</v>
      </c>
      <c r="D12" s="31">
        <f>SUM(D13,D39)</f>
        <v>2447633.8389999997</v>
      </c>
      <c r="E12" s="335">
        <f>IF(C12&lt;&gt;0,(D12/C12)*100,"-")</f>
        <v>7.7995258937188821</v>
      </c>
      <c r="F12" s="31">
        <f>SUM(F13,F39)</f>
        <v>19458587.967999998</v>
      </c>
      <c r="G12" s="335">
        <f>IF(C12&lt;&gt;0,(F12/C12)*100,"-")</f>
        <v>62.005908846900326</v>
      </c>
      <c r="H12" s="240">
        <f>SUM(H13,H39)</f>
        <v>11923240.522</v>
      </c>
      <c r="I12" s="98"/>
      <c r="J12" s="5"/>
      <c r="L12" s="71" t="str">
        <f>IFERROR(IF(AND(OR(_xlfn.ISFORMULA(B12),_xlfn.ISFORMULA(D12),_xlfn.ISFORMULA(F12),_xlfn.ISFORMULA(H12)),
SUM(ABS(B12),ABS(C12),ABS(D12),ABS(F12),ABS(H12))=0),
"NÃO EXIBIR", "EXIBIR"
),"EXIBIR")</f>
        <v>EXIBIR</v>
      </c>
    </row>
    <row r="13" spans="1:12" s="8" customFormat="1" ht="11.25" customHeight="1">
      <c r="A13" s="13" t="s">
        <v>25</v>
      </c>
      <c r="B13" s="31">
        <f>SUM(B14,B17,B21,B25,B26,B27,B33,B34)</f>
        <v>31381828.490000002</v>
      </c>
      <c r="C13" s="31">
        <f>SUM(C14,C17,C21,C25,C26,C27,C33,C34)</f>
        <v>31381828.490000002</v>
      </c>
      <c r="D13" s="31">
        <f>SUM(D14,D17,D21,D25,D26,D27,D33,D34)</f>
        <v>2447633.8389999997</v>
      </c>
      <c r="E13" s="53">
        <f t="shared" ref="E13:E57" si="0">IF(C13&lt;&gt;0,(D13/C13)*100,"-")</f>
        <v>7.7995258937188821</v>
      </c>
      <c r="F13" s="31">
        <f>SUM(F14,F17,F21,F25,F26,F27,F33,F34)</f>
        <v>19458587.967999998</v>
      </c>
      <c r="G13" s="53">
        <f t="shared" ref="G13:G57" si="1">IF(C13&lt;&gt;0,(F13/C13)*100,"-")</f>
        <v>62.005908846900326</v>
      </c>
      <c r="H13" s="240">
        <f>SUM(H14,H17,H21,H25,H26,H27,H33,H34)</f>
        <v>11923240.522</v>
      </c>
      <c r="I13" s="98"/>
      <c r="J13" s="5"/>
      <c r="L13" s="71" t="str">
        <f t="shared" ref="L13:L76" si="2">IFERROR(IF(AND(OR(_xlfn.ISFORMULA(B13),_xlfn.ISFORMULA(D13),_xlfn.ISFORMULA(F13),_xlfn.ISFORMULA(H13)),
SUM(ABS(B13),ABS(C13),ABS(D13),ABS(F13),ABS(H13))=0),
"NÃO EXIBIR", "EXIBIR"
),"EXIBIR")</f>
        <v>EXIBIR</v>
      </c>
    </row>
    <row r="14" spans="1:12" s="8" customFormat="1" ht="11.25" customHeight="1">
      <c r="A14" s="13" t="s">
        <v>26</v>
      </c>
      <c r="B14" s="31">
        <f>SUM(B15:B16)</f>
        <v>990.745</v>
      </c>
      <c r="C14" s="31">
        <f>SUM(C15:C16)</f>
        <v>990.745</v>
      </c>
      <c r="D14" s="31">
        <f>SUM(D15:D16)</f>
        <v>133.27799999999999</v>
      </c>
      <c r="E14" s="53">
        <f t="shared" si="0"/>
        <v>13.452301046182416</v>
      </c>
      <c r="F14" s="31">
        <f>SUM(F15:F16)</f>
        <v>3235.056</v>
      </c>
      <c r="G14" s="53">
        <f t="shared" si="1"/>
        <v>326.52761305885974</v>
      </c>
      <c r="H14" s="240">
        <f>SUM(H15:H16)</f>
        <v>-2244.3110000000001</v>
      </c>
      <c r="I14" s="98"/>
      <c r="J14" s="5"/>
      <c r="L14" s="71" t="str">
        <f t="shared" si="2"/>
        <v>EXIBIR</v>
      </c>
    </row>
    <row r="15" spans="1:12" ht="11.25" customHeight="1">
      <c r="A15" s="13" t="s">
        <v>27</v>
      </c>
      <c r="B15" s="31">
        <f>'Elaboração RECEITA'!C75</f>
        <v>0</v>
      </c>
      <c r="C15" s="31">
        <f>'Elaboração RECEITA'!D75</f>
        <v>0</v>
      </c>
      <c r="D15" s="31">
        <f>'Elaboração RECEITA'!E75</f>
        <v>74.567999999999998</v>
      </c>
      <c r="E15" s="53" t="str">
        <f t="shared" si="0"/>
        <v>-</v>
      </c>
      <c r="F15" s="31">
        <f>'Elaboração RECEITA'!F75</f>
        <v>1086.6210000000001</v>
      </c>
      <c r="G15" s="53" t="str">
        <f t="shared" si="1"/>
        <v>-</v>
      </c>
      <c r="H15" s="240">
        <f>C15-F15</f>
        <v>-1086.6210000000001</v>
      </c>
      <c r="I15" s="29"/>
      <c r="J15" s="4"/>
      <c r="L15" s="71" t="str">
        <f t="shared" si="2"/>
        <v>EXIBIR</v>
      </c>
    </row>
    <row r="16" spans="1:12" ht="11.25" customHeight="1">
      <c r="A16" s="13" t="s">
        <v>28</v>
      </c>
      <c r="B16" s="31">
        <f>'Elaboração RECEITA'!C76</f>
        <v>990.745</v>
      </c>
      <c r="C16" s="31">
        <f>'Elaboração RECEITA'!D76</f>
        <v>990.745</v>
      </c>
      <c r="D16" s="31">
        <f>'Elaboração RECEITA'!E76</f>
        <v>58.71</v>
      </c>
      <c r="E16" s="53">
        <f t="shared" si="0"/>
        <v>5.9258436832888384</v>
      </c>
      <c r="F16" s="31">
        <f>'Elaboração RECEITA'!F76</f>
        <v>2148.4349999999999</v>
      </c>
      <c r="G16" s="53">
        <f t="shared" si="1"/>
        <v>216.85045092329509</v>
      </c>
      <c r="H16" s="240">
        <f>C16-F16</f>
        <v>-1157.69</v>
      </c>
      <c r="I16" s="29"/>
      <c r="J16" s="4"/>
      <c r="L16" s="71" t="str">
        <f t="shared" si="2"/>
        <v>EXIBIR</v>
      </c>
    </row>
    <row r="17" spans="1:15" ht="11.25" customHeight="1">
      <c r="A17" s="13" t="s">
        <v>29</v>
      </c>
      <c r="B17" s="31">
        <f>SUM(B18:B19)</f>
        <v>22787197.274999999</v>
      </c>
      <c r="C17" s="31">
        <f>SUM(C18:C19)</f>
        <v>22787197.274999999</v>
      </c>
      <c r="D17" s="31">
        <f>SUM(D18:D19)</f>
        <v>1929566.621</v>
      </c>
      <c r="E17" s="53">
        <f t="shared" si="0"/>
        <v>8.4677663413961923</v>
      </c>
      <c r="F17" s="31">
        <f>SUM(F18:F19)</f>
        <v>14107797.603</v>
      </c>
      <c r="G17" s="53">
        <f t="shared" si="1"/>
        <v>61.911069767574133</v>
      </c>
      <c r="H17" s="240">
        <f>SUM(H18:H19)</f>
        <v>8679399.6720000003</v>
      </c>
      <c r="I17" s="29"/>
      <c r="J17" s="4"/>
      <c r="L17" s="71" t="str">
        <f t="shared" si="2"/>
        <v>EXIBIR</v>
      </c>
    </row>
    <row r="18" spans="1:15" ht="11.25" customHeight="1">
      <c r="A18" s="13" t="s">
        <v>30</v>
      </c>
      <c r="B18" s="31">
        <f>'Elaboração RECEITA'!C78</f>
        <v>22787134.318</v>
      </c>
      <c r="C18" s="31">
        <f>'Elaboração RECEITA'!D78</f>
        <v>22787134.318</v>
      </c>
      <c r="D18" s="31">
        <f>'Elaboração RECEITA'!E78</f>
        <v>1929403.879</v>
      </c>
      <c r="E18" s="53">
        <f t="shared" si="0"/>
        <v>8.4670755526987271</v>
      </c>
      <c r="F18" s="31">
        <f>'Elaboração RECEITA'!F78</f>
        <v>14106135.486</v>
      </c>
      <c r="G18" s="53">
        <f t="shared" si="1"/>
        <v>61.90394671460416</v>
      </c>
      <c r="H18" s="240">
        <f>C18-F18</f>
        <v>8680998.8320000004</v>
      </c>
      <c r="I18" s="29"/>
      <c r="J18" s="4"/>
      <c r="K18" s="8"/>
      <c r="L18" s="71" t="str">
        <f t="shared" si="2"/>
        <v>EXIBIR</v>
      </c>
      <c r="M18" s="8"/>
      <c r="N18" s="8"/>
      <c r="O18" s="8"/>
    </row>
    <row r="19" spans="1:15" ht="11.25" customHeight="1">
      <c r="A19" s="13" t="s">
        <v>31</v>
      </c>
      <c r="B19" s="31">
        <f>'Elaboração RECEITA'!C79</f>
        <v>62.957000000000001</v>
      </c>
      <c r="C19" s="31">
        <f>'Elaboração RECEITA'!D79</f>
        <v>62.957000000000001</v>
      </c>
      <c r="D19" s="31">
        <f>'Elaboração RECEITA'!E79</f>
        <v>162.74199999999999</v>
      </c>
      <c r="E19" s="53">
        <f t="shared" si="0"/>
        <v>258.49706942833996</v>
      </c>
      <c r="F19" s="31">
        <f>'Elaboração RECEITA'!F79</f>
        <v>1662.117</v>
      </c>
      <c r="G19" s="53">
        <f t="shared" si="1"/>
        <v>2640.0829137347714</v>
      </c>
      <c r="H19" s="240">
        <f>C19-F19</f>
        <v>-1599.1599999999999</v>
      </c>
      <c r="I19" s="29"/>
      <c r="J19" s="4"/>
      <c r="L19" s="71" t="str">
        <f t="shared" si="2"/>
        <v>EXIBIR</v>
      </c>
    </row>
    <row r="20" spans="1:15" ht="11.25" customHeight="1">
      <c r="A20" s="59" t="s">
        <v>32</v>
      </c>
      <c r="B20" s="31"/>
      <c r="C20" s="31"/>
      <c r="D20" s="31"/>
      <c r="E20" s="53"/>
      <c r="F20" s="31"/>
      <c r="G20" s="53"/>
      <c r="H20" s="240"/>
      <c r="I20" s="29"/>
      <c r="J20" s="4"/>
      <c r="L20" s="71" t="str">
        <f>IFERROR(IF(AND(OR(_xlfn.ISFORMULA(B20),_xlfn.ISFORMULA(D20),_xlfn.ISFORMULA(F20),_xlfn.ISFORMULA(H20)),
SUM(ABS(B20),ABS(C20),ABS(D20),ABS(F20),ABS(H20))=0),
"NÃO EXIBIR", "EXIBIR"
),"EXIBIR")</f>
        <v>EXIBIR</v>
      </c>
    </row>
    <row r="21" spans="1:15" ht="11.25" customHeight="1">
      <c r="A21" s="13" t="s">
        <v>33</v>
      </c>
      <c r="B21" s="31">
        <f>SUM(B22:B24)</f>
        <v>754.00199999999995</v>
      </c>
      <c r="C21" s="31">
        <f>SUM(C22:C24)</f>
        <v>754.00199999999995</v>
      </c>
      <c r="D21" s="31">
        <f>SUM(D22:D24)</f>
        <v>464.78999999999996</v>
      </c>
      <c r="E21" s="53">
        <f t="shared" si="0"/>
        <v>61.643072564794252</v>
      </c>
      <c r="F21" s="31">
        <f>SUM(F22:F24)</f>
        <v>2817.6970000000001</v>
      </c>
      <c r="G21" s="53">
        <f t="shared" si="1"/>
        <v>373.6988761303021</v>
      </c>
      <c r="H21" s="240">
        <f>SUM(H22:H24)</f>
        <v>-2063.6950000000002</v>
      </c>
      <c r="I21" s="29"/>
      <c r="J21" s="4"/>
      <c r="L21" s="71" t="str">
        <f t="shared" si="2"/>
        <v>EXIBIR</v>
      </c>
    </row>
    <row r="22" spans="1:15" ht="11.25" customHeight="1">
      <c r="A22" s="13" t="s">
        <v>34</v>
      </c>
      <c r="B22" s="31">
        <f>'Elaboração RECEITA'!C82</f>
        <v>754.00199999999995</v>
      </c>
      <c r="C22" s="31">
        <f>'Elaboração RECEITA'!D82</f>
        <v>754.00199999999995</v>
      </c>
      <c r="D22" s="31">
        <f>'Elaboração RECEITA'!E82</f>
        <v>464.54399999999998</v>
      </c>
      <c r="E22" s="53">
        <f t="shared" si="0"/>
        <v>61.610446656640171</v>
      </c>
      <c r="F22" s="31">
        <f>'Elaboração RECEITA'!F82</f>
        <v>2801.3119999999999</v>
      </c>
      <c r="G22" s="53">
        <f t="shared" si="1"/>
        <v>371.5258049713396</v>
      </c>
      <c r="H22" s="240">
        <f t="shared" ref="H22:H27" si="3">C22-F22</f>
        <v>-2047.31</v>
      </c>
      <c r="I22" s="29"/>
      <c r="J22" s="4"/>
      <c r="L22" s="71" t="str">
        <f t="shared" si="2"/>
        <v>EXIBIR</v>
      </c>
    </row>
    <row r="23" spans="1:15" ht="11.25" hidden="1" customHeight="1">
      <c r="A23" s="13" t="s">
        <v>35</v>
      </c>
      <c r="B23" s="14">
        <f>'Elaboração RECEITA'!C83</f>
        <v>0</v>
      </c>
      <c r="C23" s="14">
        <f>'Elaboração RECEITA'!D83</f>
        <v>0</v>
      </c>
      <c r="D23" s="14">
        <f>'Elaboração RECEITA'!E83</f>
        <v>0</v>
      </c>
      <c r="E23" s="53" t="str">
        <f t="shared" si="0"/>
        <v>-</v>
      </c>
      <c r="F23" s="14">
        <f>'Elaboração RECEITA'!F83</f>
        <v>0</v>
      </c>
      <c r="G23" s="53" t="str">
        <f t="shared" si="1"/>
        <v>-</v>
      </c>
      <c r="H23" s="15">
        <f t="shared" si="3"/>
        <v>0</v>
      </c>
      <c r="I23" s="29"/>
      <c r="J23" s="4"/>
      <c r="L23" s="71" t="str">
        <f t="shared" si="2"/>
        <v>NÃO EXIBIR</v>
      </c>
    </row>
    <row r="24" spans="1:15" ht="11.25" customHeight="1">
      <c r="A24" s="13" t="s">
        <v>36</v>
      </c>
      <c r="B24" s="31">
        <f>'Elaboração RECEITA'!C84</f>
        <v>0</v>
      </c>
      <c r="C24" s="31">
        <f>'Elaboração RECEITA'!D84</f>
        <v>0</v>
      </c>
      <c r="D24" s="31">
        <f>'Elaboração RECEITA'!E84</f>
        <v>0.246</v>
      </c>
      <c r="E24" s="53" t="str">
        <f t="shared" si="0"/>
        <v>-</v>
      </c>
      <c r="F24" s="31">
        <f>'Elaboração RECEITA'!F84</f>
        <v>16.385000000000002</v>
      </c>
      <c r="G24" s="53" t="str">
        <f t="shared" si="1"/>
        <v>-</v>
      </c>
      <c r="H24" s="240">
        <f t="shared" si="3"/>
        <v>-16.385000000000002</v>
      </c>
      <c r="I24" s="29"/>
      <c r="J24" s="4"/>
      <c r="L24" s="71" t="str">
        <f t="shared" si="2"/>
        <v>EXIBIR</v>
      </c>
    </row>
    <row r="25" spans="1:15" ht="11.25" hidden="1" customHeight="1">
      <c r="A25" s="13" t="s">
        <v>41</v>
      </c>
      <c r="B25" s="14">
        <f>'Elaboração RECEITA'!C85</f>
        <v>0</v>
      </c>
      <c r="C25" s="14">
        <f>'Elaboração RECEITA'!D85</f>
        <v>0</v>
      </c>
      <c r="D25" s="14">
        <f>'Elaboração RECEITA'!E85</f>
        <v>0</v>
      </c>
      <c r="E25" s="53" t="str">
        <f t="shared" si="0"/>
        <v>-</v>
      </c>
      <c r="F25" s="14">
        <f>'Elaboração RECEITA'!F85</f>
        <v>0</v>
      </c>
      <c r="G25" s="53" t="str">
        <f t="shared" si="1"/>
        <v>-</v>
      </c>
      <c r="H25" s="15">
        <f t="shared" si="3"/>
        <v>0</v>
      </c>
      <c r="I25" s="29"/>
      <c r="J25" s="4"/>
      <c r="L25" s="71" t="str">
        <f t="shared" si="2"/>
        <v>NÃO EXIBIR</v>
      </c>
    </row>
    <row r="26" spans="1:15" ht="11.25" customHeight="1">
      <c r="A26" s="13" t="s">
        <v>42</v>
      </c>
      <c r="B26" s="31">
        <f>'Elaboração RECEITA'!C86</f>
        <v>49534.180999999997</v>
      </c>
      <c r="C26" s="31">
        <f>'Elaboração RECEITA'!D86</f>
        <v>49534.180999999997</v>
      </c>
      <c r="D26" s="31">
        <f>'Elaboração RECEITA'!E86</f>
        <v>1320.5039999999999</v>
      </c>
      <c r="E26" s="53">
        <f>IF(C26&lt;&gt;0,(D26/C26)*100,"-")</f>
        <v>2.6658440158725951</v>
      </c>
      <c r="F26" s="31">
        <f>'Elaboração RECEITA'!F86</f>
        <v>18028.269</v>
      </c>
      <c r="G26" s="53">
        <f>IF(C26&lt;&gt;0,(F26/C26)*100,"-")</f>
        <v>36.395613364436166</v>
      </c>
      <c r="H26" s="240">
        <f t="shared" si="3"/>
        <v>31505.911999999997</v>
      </c>
      <c r="I26" s="29"/>
      <c r="J26" s="4"/>
      <c r="L26" s="71" t="str">
        <f t="shared" si="2"/>
        <v>EXIBIR</v>
      </c>
    </row>
    <row r="27" spans="1:15" ht="11.25" customHeight="1">
      <c r="A27" s="13" t="s">
        <v>43</v>
      </c>
      <c r="B27" s="31">
        <f>SUM(B28:B32)</f>
        <v>396733.44999999995</v>
      </c>
      <c r="C27" s="31">
        <f>SUM(C28:C32)</f>
        <v>396733.44999999995</v>
      </c>
      <c r="D27" s="31">
        <f>SUM(D28:D32)</f>
        <v>16931.329000000002</v>
      </c>
      <c r="E27" s="53">
        <f t="shared" si="0"/>
        <v>4.2676837559323531</v>
      </c>
      <c r="F27" s="31">
        <f>SUM(F28:F32)</f>
        <v>97365.053999999989</v>
      </c>
      <c r="G27" s="53">
        <f t="shared" si="1"/>
        <v>24.541680062520566</v>
      </c>
      <c r="H27" s="240">
        <f t="shared" si="3"/>
        <v>299368.39599999995</v>
      </c>
      <c r="I27" s="29"/>
      <c r="J27" s="4"/>
      <c r="L27" s="71" t="str">
        <f t="shared" si="2"/>
        <v>EXIBIR</v>
      </c>
    </row>
    <row r="28" spans="1:15" ht="11.25" customHeight="1">
      <c r="A28" s="13" t="s">
        <v>44</v>
      </c>
      <c r="B28" s="31">
        <f>'Elaboração RECEITA'!C88</f>
        <v>333386.89899999998</v>
      </c>
      <c r="C28" s="31">
        <f>'Elaboração RECEITA'!D88</f>
        <v>333386.89899999998</v>
      </c>
      <c r="D28" s="31">
        <f>'Elaboração RECEITA'!E88</f>
        <v>10902.255999999999</v>
      </c>
      <c r="E28" s="53">
        <f t="shared" si="0"/>
        <v>3.2701512964971071</v>
      </c>
      <c r="F28" s="31">
        <f>'Elaboração RECEITA'!F88</f>
        <v>60419.402000000002</v>
      </c>
      <c r="G28" s="53">
        <f t="shared" si="1"/>
        <v>18.122908303004433</v>
      </c>
      <c r="H28" s="240">
        <f t="shared" ref="H28:H33" si="4">C28-F28</f>
        <v>272967.49699999997</v>
      </c>
      <c r="I28" s="29"/>
      <c r="J28" s="4"/>
      <c r="L28" s="71" t="str">
        <f t="shared" si="2"/>
        <v>EXIBIR</v>
      </c>
    </row>
    <row r="29" spans="1:15" ht="11.25" hidden="1" customHeight="1">
      <c r="A29" s="13" t="s">
        <v>45</v>
      </c>
      <c r="B29" s="14">
        <f>'Elaboração RECEITA'!C89</f>
        <v>0</v>
      </c>
      <c r="C29" s="14">
        <f>'Elaboração RECEITA'!D89</f>
        <v>0</v>
      </c>
      <c r="D29" s="14">
        <f>'Elaboração RECEITA'!E89</f>
        <v>0</v>
      </c>
      <c r="E29" s="53" t="str">
        <f t="shared" si="0"/>
        <v>-</v>
      </c>
      <c r="F29" s="14">
        <f>'Elaboração RECEITA'!F89</f>
        <v>0</v>
      </c>
      <c r="G29" s="53" t="str">
        <f t="shared" si="1"/>
        <v>-</v>
      </c>
      <c r="H29" s="15">
        <f t="shared" si="4"/>
        <v>0</v>
      </c>
      <c r="I29" s="29"/>
      <c r="J29" s="4"/>
      <c r="L29" s="71" t="str">
        <f t="shared" si="2"/>
        <v>NÃO EXIBIR</v>
      </c>
    </row>
    <row r="30" spans="1:15" ht="11.25" customHeight="1">
      <c r="A30" s="13" t="s">
        <v>46</v>
      </c>
      <c r="B30" s="31">
        <f>'Elaboração RECEITA'!C90</f>
        <v>63346.550999999999</v>
      </c>
      <c r="C30" s="31">
        <f>'Elaboração RECEITA'!D90</f>
        <v>63346.550999999999</v>
      </c>
      <c r="D30" s="31">
        <f>'Elaboração RECEITA'!E90</f>
        <v>6002.0889999999999</v>
      </c>
      <c r="E30" s="53">
        <f t="shared" si="0"/>
        <v>9.4750051979941254</v>
      </c>
      <c r="F30" s="31">
        <f>'Elaboração RECEITA'!F90</f>
        <v>36692.74</v>
      </c>
      <c r="G30" s="53">
        <f t="shared" si="1"/>
        <v>57.923816562641271</v>
      </c>
      <c r="H30" s="240">
        <f t="shared" si="4"/>
        <v>26653.811000000002</v>
      </c>
      <c r="I30" s="29"/>
      <c r="J30" s="4"/>
      <c r="L30" s="71" t="str">
        <f t="shared" si="2"/>
        <v>EXIBIR</v>
      </c>
    </row>
    <row r="31" spans="1:15" ht="11.25" hidden="1" customHeight="1">
      <c r="A31" s="13" t="s">
        <v>47</v>
      </c>
      <c r="B31" s="14">
        <f>'Elaboração RECEITA'!C91</f>
        <v>0</v>
      </c>
      <c r="C31" s="14">
        <f>'Elaboração RECEITA'!D91</f>
        <v>0</v>
      </c>
      <c r="D31" s="14">
        <f>'Elaboração RECEITA'!E91</f>
        <v>0</v>
      </c>
      <c r="E31" s="53" t="str">
        <f t="shared" si="0"/>
        <v>-</v>
      </c>
      <c r="F31" s="14">
        <f>'Elaboração RECEITA'!F91</f>
        <v>0</v>
      </c>
      <c r="G31" s="53" t="str">
        <f t="shared" si="1"/>
        <v>-</v>
      </c>
      <c r="H31" s="15">
        <f t="shared" si="4"/>
        <v>0</v>
      </c>
      <c r="I31" s="29"/>
      <c r="J31" s="4"/>
      <c r="L31" s="71" t="str">
        <f t="shared" si="2"/>
        <v>NÃO EXIBIR</v>
      </c>
    </row>
    <row r="32" spans="1:15" ht="11.25" customHeight="1">
      <c r="A32" s="13" t="s">
        <v>48</v>
      </c>
      <c r="B32" s="14">
        <f>'Elaboração RECEITA'!C92</f>
        <v>0</v>
      </c>
      <c r="C32" s="14">
        <f>'Elaboração RECEITA'!D92</f>
        <v>0</v>
      </c>
      <c r="D32" s="14">
        <f>'Elaboração RECEITA'!E92</f>
        <v>26.984000000000002</v>
      </c>
      <c r="E32" s="53" t="str">
        <f t="shared" si="0"/>
        <v>-</v>
      </c>
      <c r="F32" s="14">
        <f>'Elaboração RECEITA'!F92</f>
        <v>252.91200000000001</v>
      </c>
      <c r="G32" s="53" t="str">
        <f>IF(C32&lt;&gt;0,(F32/C32)*100,"-")</f>
        <v>-</v>
      </c>
      <c r="H32" s="15">
        <f t="shared" si="4"/>
        <v>-252.91200000000001</v>
      </c>
      <c r="I32" s="29"/>
      <c r="J32" s="4"/>
      <c r="L32" s="71" t="str">
        <f t="shared" si="2"/>
        <v>EXIBIR</v>
      </c>
    </row>
    <row r="33" spans="1:19" ht="11.25" hidden="1" customHeight="1">
      <c r="A33" s="13" t="s">
        <v>49</v>
      </c>
      <c r="B33" s="14">
        <f>'Elaboração RECEITA'!C93</f>
        <v>0</v>
      </c>
      <c r="C33" s="14">
        <f>'Elaboração RECEITA'!D93</f>
        <v>0</v>
      </c>
      <c r="D33" s="14">
        <f>'Elaboração RECEITA'!E93</f>
        <v>0</v>
      </c>
      <c r="E33" s="53" t="str">
        <f t="shared" si="0"/>
        <v>-</v>
      </c>
      <c r="F33" s="14">
        <f>'Elaboração RECEITA'!F93</f>
        <v>0</v>
      </c>
      <c r="G33" s="53" t="str">
        <f t="shared" si="1"/>
        <v>-</v>
      </c>
      <c r="H33" s="15">
        <f t="shared" si="4"/>
        <v>0</v>
      </c>
      <c r="I33" s="29"/>
      <c r="J33" s="4"/>
      <c r="L33" s="71" t="str">
        <f t="shared" si="2"/>
        <v>NÃO EXIBIR</v>
      </c>
    </row>
    <row r="34" spans="1:19" ht="11.25" customHeight="1">
      <c r="A34" s="13" t="s">
        <v>58</v>
      </c>
      <c r="B34" s="31">
        <f>SUM(B35:B38)</f>
        <v>8146618.8370000003</v>
      </c>
      <c r="C34" s="31">
        <f>SUM(C35:C38)</f>
        <v>8146618.8370000003</v>
      </c>
      <c r="D34" s="31">
        <f>SUM(D35:D38)</f>
        <v>499217.31699999998</v>
      </c>
      <c r="E34" s="53">
        <f t="shared" si="0"/>
        <v>6.1279081173243792</v>
      </c>
      <c r="F34" s="31">
        <f>SUM(F35:F38)</f>
        <v>5229344.2889999999</v>
      </c>
      <c r="G34" s="53">
        <f t="shared" si="1"/>
        <v>64.190364047100928</v>
      </c>
      <c r="H34" s="240">
        <f>SUM(H35:H38)</f>
        <v>2917274.5480000004</v>
      </c>
      <c r="I34" s="29"/>
      <c r="J34" s="4"/>
      <c r="L34" s="71" t="str">
        <f t="shared" si="2"/>
        <v>EXIBIR</v>
      </c>
    </row>
    <row r="35" spans="1:19" ht="11.25" customHeight="1">
      <c r="A35" s="13" t="s">
        <v>59</v>
      </c>
      <c r="B35" s="31">
        <f>'Elaboração RECEITA'!C103</f>
        <v>0</v>
      </c>
      <c r="C35" s="31">
        <f>'Elaboração RECEITA'!D103</f>
        <v>0</v>
      </c>
      <c r="D35" s="31">
        <f>'Elaboração RECEITA'!E103</f>
        <v>10.778</v>
      </c>
      <c r="E35" s="53" t="str">
        <f t="shared" si="0"/>
        <v>-</v>
      </c>
      <c r="F35" s="31">
        <f>'Elaboração RECEITA'!F103</f>
        <v>-4.21</v>
      </c>
      <c r="G35" s="53" t="str">
        <f t="shared" si="1"/>
        <v>-</v>
      </c>
      <c r="H35" s="240">
        <f t="shared" ref="H35:H48" si="5">C35-F35</f>
        <v>4.21</v>
      </c>
      <c r="I35" s="29"/>
      <c r="J35" s="4"/>
      <c r="L35" s="71" t="str">
        <f t="shared" si="2"/>
        <v>EXIBIR</v>
      </c>
    </row>
    <row r="36" spans="1:19" ht="11.25" customHeight="1">
      <c r="A36" s="13" t="s">
        <v>60</v>
      </c>
      <c r="B36" s="31">
        <f>'Elaboração RECEITA'!C104</f>
        <v>716.34699999999998</v>
      </c>
      <c r="C36" s="31">
        <f>'Elaboração RECEITA'!D104</f>
        <v>716.34699999999998</v>
      </c>
      <c r="D36" s="31">
        <f>'Elaboração RECEITA'!E104</f>
        <v>14.484</v>
      </c>
      <c r="E36" s="53">
        <f t="shared" si="0"/>
        <v>2.0219251284642779</v>
      </c>
      <c r="F36" s="31">
        <f>'Elaboração RECEITA'!F104</f>
        <v>132.08099999999999</v>
      </c>
      <c r="G36" s="53">
        <f t="shared" si="1"/>
        <v>18.438131240865111</v>
      </c>
      <c r="H36" s="240">
        <f t="shared" si="5"/>
        <v>584.26599999999996</v>
      </c>
      <c r="I36" s="29"/>
      <c r="J36" s="4"/>
      <c r="L36" s="71" t="str">
        <f t="shared" si="2"/>
        <v>EXIBIR</v>
      </c>
      <c r="N36" s="11"/>
      <c r="O36" s="11"/>
      <c r="P36" s="11"/>
      <c r="Q36" s="11"/>
      <c r="R36" s="11"/>
      <c r="S36" s="11"/>
    </row>
    <row r="37" spans="1:19" ht="10.5" hidden="1" customHeight="1">
      <c r="A37" s="13" t="s">
        <v>61</v>
      </c>
      <c r="B37" s="14">
        <f>'Elaboração RECEITA'!C105</f>
        <v>0</v>
      </c>
      <c r="C37" s="14">
        <f>'Elaboração RECEITA'!D105</f>
        <v>0</v>
      </c>
      <c r="D37" s="14">
        <f>'Elaboração RECEITA'!E105</f>
        <v>0</v>
      </c>
      <c r="E37" s="53" t="str">
        <f t="shared" si="0"/>
        <v>-</v>
      </c>
      <c r="F37" s="14">
        <f>'Elaboração RECEITA'!F105</f>
        <v>0</v>
      </c>
      <c r="G37" s="53" t="str">
        <f t="shared" si="1"/>
        <v>-</v>
      </c>
      <c r="H37" s="15">
        <f t="shared" si="5"/>
        <v>0</v>
      </c>
      <c r="I37" s="29"/>
      <c r="J37" s="4"/>
      <c r="L37" s="71" t="str">
        <f t="shared" si="2"/>
        <v>NÃO EXIBIR</v>
      </c>
    </row>
    <row r="38" spans="1:19" ht="11.25" customHeight="1">
      <c r="A38" s="13" t="s">
        <v>62</v>
      </c>
      <c r="B38" s="31">
        <f>'Elaboração RECEITA'!C106</f>
        <v>8145902.4900000002</v>
      </c>
      <c r="C38" s="31">
        <f>'Elaboração RECEITA'!D106</f>
        <v>8145902.4900000002</v>
      </c>
      <c r="D38" s="31">
        <f>'Elaboração RECEITA'!E106</f>
        <v>499192.05499999999</v>
      </c>
      <c r="E38" s="53">
        <f t="shared" si="0"/>
        <v>6.1281368837008996</v>
      </c>
      <c r="F38" s="31">
        <f>'Elaboração RECEITA'!F106</f>
        <v>5229216.4179999996</v>
      </c>
      <c r="G38" s="53">
        <f t="shared" si="1"/>
        <v>64.19443916029492</v>
      </c>
      <c r="H38" s="240">
        <f>C38-F38</f>
        <v>2916686.0720000006</v>
      </c>
      <c r="I38" s="29"/>
      <c r="J38" s="4"/>
      <c r="L38" s="71" t="str">
        <f t="shared" si="2"/>
        <v>EXIBIR</v>
      </c>
    </row>
    <row r="39" spans="1:19" ht="28.5" hidden="1" customHeight="1">
      <c r="A39" s="13" t="s">
        <v>66</v>
      </c>
      <c r="B39" s="14">
        <f>SUM(B40,B43,B47,B48,B49)</f>
        <v>0</v>
      </c>
      <c r="C39" s="14">
        <f>SUM(C40,C43,C47,C48,C49)</f>
        <v>0</v>
      </c>
      <c r="D39" s="14">
        <f>SUM(D40,D43,D47,D48,D49)</f>
        <v>0</v>
      </c>
      <c r="E39" s="53" t="str">
        <f t="shared" si="0"/>
        <v>-</v>
      </c>
      <c r="F39" s="14">
        <f>SUM(F40,F43,F47,F48,F49)</f>
        <v>0</v>
      </c>
      <c r="G39" s="53" t="str">
        <f t="shared" si="1"/>
        <v>-</v>
      </c>
      <c r="H39" s="15">
        <f t="shared" si="5"/>
        <v>0</v>
      </c>
      <c r="I39" s="29"/>
      <c r="J39" s="4"/>
      <c r="L39" s="71" t="str">
        <f t="shared" si="2"/>
        <v>NÃO EXIBIR</v>
      </c>
    </row>
    <row r="40" spans="1:19" ht="34.5" hidden="1" customHeight="1">
      <c r="A40" s="13" t="s">
        <v>67</v>
      </c>
      <c r="B40" s="14">
        <f>SUM(B41,B42)</f>
        <v>0</v>
      </c>
      <c r="C40" s="14">
        <f>SUM(C41,C42)</f>
        <v>0</v>
      </c>
      <c r="D40" s="14">
        <f>SUM(D41,D42)</f>
        <v>0</v>
      </c>
      <c r="E40" s="53" t="str">
        <f t="shared" si="0"/>
        <v>-</v>
      </c>
      <c r="F40" s="14">
        <f>SUM(F41,F42)</f>
        <v>0</v>
      </c>
      <c r="G40" s="53" t="str">
        <f t="shared" si="1"/>
        <v>-</v>
      </c>
      <c r="H40" s="15">
        <f t="shared" si="5"/>
        <v>0</v>
      </c>
      <c r="I40" s="29"/>
      <c r="J40" s="4"/>
      <c r="L40" s="71" t="str">
        <f t="shared" si="2"/>
        <v>NÃO EXIBIR</v>
      </c>
    </row>
    <row r="41" spans="1:19" ht="42" hidden="1" customHeight="1">
      <c r="A41" s="13" t="s">
        <v>86</v>
      </c>
      <c r="B41" s="14">
        <f>'Elaboração RECEITA'!C109</f>
        <v>0</v>
      </c>
      <c r="C41" s="14">
        <f>'Elaboração RECEITA'!D109</f>
        <v>0</v>
      </c>
      <c r="D41" s="14">
        <f>'Elaboração RECEITA'!E109</f>
        <v>0</v>
      </c>
      <c r="E41" s="53" t="str">
        <f t="shared" si="0"/>
        <v>-</v>
      </c>
      <c r="F41" s="14">
        <f>'Elaboração RECEITA'!F109</f>
        <v>0</v>
      </c>
      <c r="G41" s="53" t="str">
        <f t="shared" si="1"/>
        <v>-</v>
      </c>
      <c r="H41" s="15">
        <f t="shared" si="5"/>
        <v>0</v>
      </c>
      <c r="I41" s="29"/>
      <c r="J41" s="4"/>
      <c r="L41" s="71" t="str">
        <f t="shared" si="2"/>
        <v>NÃO EXIBIR</v>
      </c>
    </row>
    <row r="42" spans="1:19" ht="32.25" hidden="1" customHeight="1">
      <c r="A42" s="13" t="s">
        <v>87</v>
      </c>
      <c r="B42" s="14">
        <f>'Elaboração RECEITA'!C110</f>
        <v>0</v>
      </c>
      <c r="C42" s="14">
        <f>'Elaboração RECEITA'!D110</f>
        <v>0</v>
      </c>
      <c r="D42" s="14">
        <f>'Elaboração RECEITA'!E110</f>
        <v>0</v>
      </c>
      <c r="E42" s="53" t="str">
        <f t="shared" si="0"/>
        <v>-</v>
      </c>
      <c r="F42" s="14">
        <f>'Elaboração RECEITA'!F110</f>
        <v>0</v>
      </c>
      <c r="G42" s="53" t="str">
        <f t="shared" si="1"/>
        <v>-</v>
      </c>
      <c r="H42" s="15">
        <f t="shared" si="5"/>
        <v>0</v>
      </c>
      <c r="I42" s="29"/>
      <c r="J42" s="4"/>
      <c r="L42" s="71" t="str">
        <f t="shared" si="2"/>
        <v>NÃO EXIBIR</v>
      </c>
    </row>
    <row r="43" spans="1:19" ht="49.5" hidden="1" customHeight="1">
      <c r="A43" s="13" t="s">
        <v>70</v>
      </c>
      <c r="B43" s="14">
        <f>SUM(B44:B45)</f>
        <v>0</v>
      </c>
      <c r="C43" s="14">
        <f>SUM(C44:C45)</f>
        <v>0</v>
      </c>
      <c r="D43" s="14">
        <f>SUM(D44:D45)</f>
        <v>0</v>
      </c>
      <c r="E43" s="53" t="str">
        <f t="shared" si="0"/>
        <v>-</v>
      </c>
      <c r="F43" s="14">
        <f>SUM(F44:F45)</f>
        <v>0</v>
      </c>
      <c r="G43" s="53" t="str">
        <f t="shared" si="1"/>
        <v>-</v>
      </c>
      <c r="H43" s="15">
        <f t="shared" si="5"/>
        <v>0</v>
      </c>
      <c r="I43" s="29"/>
      <c r="J43" s="4"/>
      <c r="L43" s="71" t="str">
        <f t="shared" si="2"/>
        <v>NÃO EXIBIR</v>
      </c>
    </row>
    <row r="44" spans="1:19" ht="63.75" hidden="1" customHeight="1">
      <c r="A44" s="13" t="s">
        <v>71</v>
      </c>
      <c r="B44" s="14">
        <f>'Elaboração RECEITA'!C112</f>
        <v>0</v>
      </c>
      <c r="C44" s="14">
        <f>'Elaboração RECEITA'!D112</f>
        <v>0</v>
      </c>
      <c r="D44" s="14">
        <f>'Elaboração RECEITA'!E112</f>
        <v>0</v>
      </c>
      <c r="E44" s="53" t="str">
        <f t="shared" si="0"/>
        <v>-</v>
      </c>
      <c r="F44" s="14">
        <f>'Elaboração RECEITA'!F112</f>
        <v>0</v>
      </c>
      <c r="G44" s="53" t="str">
        <f t="shared" si="1"/>
        <v>-</v>
      </c>
      <c r="H44" s="15">
        <f t="shared" si="5"/>
        <v>0</v>
      </c>
      <c r="I44" s="29"/>
      <c r="J44" s="4"/>
      <c r="L44" s="71" t="str">
        <f t="shared" si="2"/>
        <v>NÃO EXIBIR</v>
      </c>
    </row>
    <row r="45" spans="1:19" ht="46.5" hidden="1" customHeight="1">
      <c r="A45" s="13" t="s">
        <v>72</v>
      </c>
      <c r="B45" s="14">
        <f>'Elaboração RECEITA'!C113</f>
        <v>0</v>
      </c>
      <c r="C45" s="14">
        <f>'Elaboração RECEITA'!D113</f>
        <v>0</v>
      </c>
      <c r="D45" s="14">
        <f>'Elaboração RECEITA'!E113</f>
        <v>0</v>
      </c>
      <c r="E45" s="53" t="str">
        <f t="shared" si="0"/>
        <v>-</v>
      </c>
      <c r="F45" s="14">
        <f>'Elaboração RECEITA'!F113</f>
        <v>0</v>
      </c>
      <c r="G45" s="53" t="str">
        <f t="shared" si="1"/>
        <v>-</v>
      </c>
      <c r="H45" s="15">
        <f t="shared" si="5"/>
        <v>0</v>
      </c>
      <c r="I45" s="29"/>
      <c r="J45" s="4"/>
      <c r="L45" s="71" t="str">
        <f t="shared" si="2"/>
        <v>NÃO EXIBIR</v>
      </c>
    </row>
    <row r="46" spans="1:19" ht="40.5" hidden="1" customHeight="1">
      <c r="A46" s="13" t="s">
        <v>73</v>
      </c>
      <c r="B46" s="14">
        <f>'Elaboração RECEITA'!C114</f>
        <v>0</v>
      </c>
      <c r="C46" s="14">
        <f>'Elaboração RECEITA'!D114</f>
        <v>0</v>
      </c>
      <c r="D46" s="14">
        <f>'Elaboração RECEITA'!E114</f>
        <v>0</v>
      </c>
      <c r="E46" s="53" t="str">
        <f>IF(C46&lt;&gt;0,(D46/C46)*100,"-")</f>
        <v>-</v>
      </c>
      <c r="F46" s="14">
        <f>'Elaboração RECEITA'!F114</f>
        <v>0</v>
      </c>
      <c r="G46" s="53" t="str">
        <f>IF(C46&lt;&gt;0,(F46/C46)*100,"-")</f>
        <v>-</v>
      </c>
      <c r="H46" s="15">
        <f>C46-F46</f>
        <v>0</v>
      </c>
      <c r="I46" s="29"/>
      <c r="J46" s="4"/>
      <c r="L46" s="71" t="str">
        <f t="shared" si="2"/>
        <v>NÃO EXIBIR</v>
      </c>
    </row>
    <row r="47" spans="1:19" ht="8.25" hidden="1" customHeight="1">
      <c r="A47" s="13" t="s">
        <v>74</v>
      </c>
      <c r="B47" s="14">
        <f>'Elaboração RECEITA'!C115</f>
        <v>0</v>
      </c>
      <c r="C47" s="14">
        <f>'Elaboração RECEITA'!D115</f>
        <v>0</v>
      </c>
      <c r="D47" s="14">
        <f>'Elaboração RECEITA'!E115</f>
        <v>0</v>
      </c>
      <c r="E47" s="53" t="str">
        <f t="shared" si="0"/>
        <v>-</v>
      </c>
      <c r="F47" s="14">
        <f>'Elaboração RECEITA'!G115</f>
        <v>0</v>
      </c>
      <c r="G47" s="53" t="str">
        <f t="shared" si="1"/>
        <v>-</v>
      </c>
      <c r="H47" s="15">
        <f t="shared" si="5"/>
        <v>0</v>
      </c>
      <c r="I47" s="29"/>
      <c r="J47" s="4"/>
      <c r="L47" s="71" t="str">
        <f t="shared" si="2"/>
        <v>NÃO EXIBIR</v>
      </c>
    </row>
    <row r="48" spans="1:19" ht="15" hidden="1" customHeight="1">
      <c r="A48" s="13" t="s">
        <v>88</v>
      </c>
      <c r="B48" s="14">
        <f>'Elaboração RECEITA'!C117</f>
        <v>0</v>
      </c>
      <c r="C48" s="14">
        <f>'Elaboração RECEITA'!D117</f>
        <v>0</v>
      </c>
      <c r="D48" s="14">
        <f>'Elaboração RECEITA'!E117</f>
        <v>0</v>
      </c>
      <c r="E48" s="53" t="str">
        <f t="shared" si="0"/>
        <v>-</v>
      </c>
      <c r="F48" s="14">
        <f>'Elaboração RECEITA'!G117</f>
        <v>0</v>
      </c>
      <c r="G48" s="53" t="str">
        <f t="shared" si="1"/>
        <v>-</v>
      </c>
      <c r="H48" s="15">
        <f t="shared" si="5"/>
        <v>0</v>
      </c>
      <c r="I48" s="104"/>
      <c r="J48" s="6"/>
      <c r="L48" s="71" t="str">
        <f t="shared" si="2"/>
        <v>NÃO EXIBIR</v>
      </c>
    </row>
    <row r="49" spans="1:12" hidden="1">
      <c r="A49" s="13" t="s">
        <v>76</v>
      </c>
      <c r="B49" s="14">
        <f>SUM(B50:B54)</f>
        <v>0</v>
      </c>
      <c r="C49" s="14">
        <f>SUM(C50:C54)</f>
        <v>0</v>
      </c>
      <c r="D49" s="14">
        <f>SUM(D50:D54)</f>
        <v>0</v>
      </c>
      <c r="E49" s="53" t="str">
        <f t="shared" si="0"/>
        <v>-</v>
      </c>
      <c r="F49" s="14">
        <f>SUM(F50:F54)</f>
        <v>0</v>
      </c>
      <c r="G49" s="53" t="str">
        <f t="shared" si="1"/>
        <v>-</v>
      </c>
      <c r="H49" s="15">
        <f>SUM(H50:H54)</f>
        <v>0</v>
      </c>
      <c r="I49" s="29"/>
      <c r="J49" s="4"/>
      <c r="L49" s="71" t="str">
        <f t="shared" si="2"/>
        <v>NÃO EXIBIR</v>
      </c>
    </row>
    <row r="50" spans="1:12" ht="29.25" hidden="1" customHeight="1">
      <c r="A50" s="59" t="s">
        <v>77</v>
      </c>
      <c r="B50" s="14">
        <f>'Elaboração RECEITA'!C127</f>
        <v>0</v>
      </c>
      <c r="C50" s="14">
        <f>'Elaboração RECEITA'!D127</f>
        <v>0</v>
      </c>
      <c r="D50" s="14">
        <f>'Elaboração RECEITA'!E127</f>
        <v>0</v>
      </c>
      <c r="E50" s="53" t="str">
        <f t="shared" si="0"/>
        <v>-</v>
      </c>
      <c r="F50" s="14">
        <f>'Elaboração RECEITA'!G127</f>
        <v>0</v>
      </c>
      <c r="G50" s="53" t="str">
        <f t="shared" si="1"/>
        <v>-</v>
      </c>
      <c r="H50" s="15">
        <f>C50-F50</f>
        <v>0</v>
      </c>
      <c r="I50" s="29"/>
      <c r="J50" s="4"/>
      <c r="L50" s="71" t="str">
        <f t="shared" si="2"/>
        <v>NÃO EXIBIR</v>
      </c>
    </row>
    <row r="51" spans="1:12" hidden="1">
      <c r="A51" s="59" t="s">
        <v>78</v>
      </c>
      <c r="B51" s="14">
        <f>'Elaboração RECEITA'!C128</f>
        <v>0</v>
      </c>
      <c r="C51" s="14">
        <f>'Elaboração RECEITA'!D128</f>
        <v>0</v>
      </c>
      <c r="D51" s="14">
        <f>'Elaboração RECEITA'!E128</f>
        <v>0</v>
      </c>
      <c r="E51" s="53" t="str">
        <f t="shared" si="0"/>
        <v>-</v>
      </c>
      <c r="F51" s="14">
        <f>'Elaboração RECEITA'!G128</f>
        <v>0</v>
      </c>
      <c r="G51" s="53" t="str">
        <f t="shared" si="1"/>
        <v>-</v>
      </c>
      <c r="H51" s="15">
        <f>C51-F51</f>
        <v>0</v>
      </c>
      <c r="I51" s="29"/>
      <c r="J51" s="4"/>
      <c r="L51" s="71" t="str">
        <f t="shared" si="2"/>
        <v>NÃO EXIBIR</v>
      </c>
    </row>
    <row r="52" spans="1:12" ht="19.5" hidden="1" customHeight="1">
      <c r="A52" s="59" t="s">
        <v>79</v>
      </c>
      <c r="B52" s="14">
        <f>'Elaboração RECEITA'!C129</f>
        <v>0</v>
      </c>
      <c r="C52" s="14">
        <f>'Elaboração RECEITA'!D129</f>
        <v>0</v>
      </c>
      <c r="D52" s="14">
        <f>'Elaboração RECEITA'!E129</f>
        <v>0</v>
      </c>
      <c r="E52" s="53" t="str">
        <f t="shared" si="0"/>
        <v>-</v>
      </c>
      <c r="F52" s="14">
        <f>'Elaboração RECEITA'!G129</f>
        <v>0</v>
      </c>
      <c r="G52" s="53" t="str">
        <f t="shared" si="1"/>
        <v>-</v>
      </c>
      <c r="H52" s="15">
        <f>C52-F52</f>
        <v>0</v>
      </c>
      <c r="I52" s="29"/>
      <c r="J52" s="4"/>
      <c r="L52" s="71" t="str">
        <f t="shared" si="2"/>
        <v>NÃO EXIBIR</v>
      </c>
    </row>
    <row r="53" spans="1:12" ht="18.75" hidden="1" customHeight="1">
      <c r="A53" s="59" t="s">
        <v>80</v>
      </c>
      <c r="B53" s="14">
        <f>'Elaboração RECEITA'!C130</f>
        <v>0</v>
      </c>
      <c r="C53" s="14">
        <f>'Elaboração RECEITA'!D130</f>
        <v>0</v>
      </c>
      <c r="D53" s="14">
        <f>'Elaboração RECEITA'!E130</f>
        <v>0</v>
      </c>
      <c r="E53" s="53" t="str">
        <f t="shared" si="0"/>
        <v>-</v>
      </c>
      <c r="F53" s="14">
        <f>'Elaboração RECEITA'!G130</f>
        <v>0</v>
      </c>
      <c r="G53" s="53" t="str">
        <f t="shared" si="1"/>
        <v>-</v>
      </c>
      <c r="H53" s="15">
        <f>C53-F53</f>
        <v>0</v>
      </c>
      <c r="I53" s="29"/>
      <c r="J53" s="4"/>
      <c r="L53" s="71" t="str">
        <f t="shared" si="2"/>
        <v>NÃO EXIBIR</v>
      </c>
    </row>
    <row r="54" spans="1:12" s="20" customFormat="1" ht="7.5" hidden="1" customHeight="1">
      <c r="A54" s="59" t="s">
        <v>81</v>
      </c>
      <c r="B54" s="14">
        <f>'Elaboração RECEITA'!C131</f>
        <v>0</v>
      </c>
      <c r="C54" s="14">
        <f>'Elaboração RECEITA'!D131</f>
        <v>0</v>
      </c>
      <c r="D54" s="14">
        <f>'Elaboração RECEITA'!E131</f>
        <v>0</v>
      </c>
      <c r="E54" s="53" t="str">
        <f t="shared" si="0"/>
        <v>-</v>
      </c>
      <c r="F54" s="14">
        <f>'Elaboração RECEITA'!G131</f>
        <v>0</v>
      </c>
      <c r="G54" s="53" t="str">
        <f t="shared" si="1"/>
        <v>-</v>
      </c>
      <c r="H54" s="15">
        <f>C54-F54</f>
        <v>0</v>
      </c>
      <c r="I54" s="29"/>
      <c r="J54" s="29"/>
      <c r="L54" s="71" t="str">
        <f t="shared" si="2"/>
        <v>NÃO EXIBIR</v>
      </c>
    </row>
    <row r="55" spans="1:12" ht="11.25" customHeight="1">
      <c r="A55" s="62" t="s">
        <v>89</v>
      </c>
      <c r="B55" s="63">
        <f>SUM('Anexo 1 Rec'!B11,B12)</f>
        <v>2577482457.7920003</v>
      </c>
      <c r="C55" s="63">
        <f>SUM('Anexo 1 Rec'!C11,C12)</f>
        <v>2577482457.7920003</v>
      </c>
      <c r="D55" s="63">
        <f>'Anexo 1 Rec'!D11+'Anexo 1 Rec Intra'!D12</f>
        <v>174726746.01199999</v>
      </c>
      <c r="E55" s="64">
        <f t="shared" si="0"/>
        <v>6.778969357629677</v>
      </c>
      <c r="F55" s="63">
        <f>'Anexo 1 Rec'!F11+'Anexo 1 Rec Intra'!F12</f>
        <v>1580341775.7729998</v>
      </c>
      <c r="G55" s="64">
        <f t="shared" si="1"/>
        <v>61.313386284956493</v>
      </c>
      <c r="H55" s="239">
        <f>SUM('Anexo 1 Rec'!H11,H12)</f>
        <v>997140682.01899993</v>
      </c>
      <c r="I55" s="29"/>
      <c r="J55" s="4"/>
      <c r="L55" s="71" t="str">
        <f t="shared" si="2"/>
        <v>EXIBIR</v>
      </c>
    </row>
    <row r="56" spans="1:12" ht="11.25" customHeight="1">
      <c r="A56" s="261" t="s">
        <v>90</v>
      </c>
      <c r="B56" s="336">
        <f>SUM(B57,B59)</f>
        <v>1603521711.2079999</v>
      </c>
      <c r="C56" s="336">
        <f>SUM(C57,C59)</f>
        <v>1603521711.2079999</v>
      </c>
      <c r="D56" s="336">
        <f>SUM(D57,D59)</f>
        <v>70659604.479000002</v>
      </c>
      <c r="E56" s="53">
        <f t="shared" si="0"/>
        <v>4.4065262094748414</v>
      </c>
      <c r="F56" s="336">
        <f>SUM(F57,F59)</f>
        <v>1240257429.3</v>
      </c>
      <c r="G56" s="53">
        <f t="shared" si="1"/>
        <v>77.34584574883381</v>
      </c>
      <c r="H56" s="336">
        <f>SUM(H57,H59)</f>
        <v>363264281.90799993</v>
      </c>
      <c r="I56" s="29"/>
      <c r="J56" s="4"/>
      <c r="L56" s="71" t="str">
        <f t="shared" si="2"/>
        <v>EXIBIR</v>
      </c>
    </row>
    <row r="57" spans="1:12" ht="11.25" customHeight="1">
      <c r="A57" s="82" t="s">
        <v>91</v>
      </c>
      <c r="B57" s="240">
        <f>SUM(B58)</f>
        <v>1603521711.2079999</v>
      </c>
      <c r="C57" s="240">
        <f>SUM(C58)</f>
        <v>1603521711.2079999</v>
      </c>
      <c r="D57" s="240">
        <f>SUM(D58)</f>
        <v>70659604.479000002</v>
      </c>
      <c r="E57" s="53">
        <f t="shared" si="0"/>
        <v>4.4065262094748414</v>
      </c>
      <c r="F57" s="240">
        <f>SUM(F58)</f>
        <v>1237108583.283</v>
      </c>
      <c r="G57" s="53">
        <f t="shared" si="1"/>
        <v>77.149475098222055</v>
      </c>
      <c r="H57" s="240">
        <f>C57-F57</f>
        <v>366413127.92499995</v>
      </c>
      <c r="I57" s="29"/>
      <c r="J57" s="4"/>
      <c r="L57" s="71" t="str">
        <f t="shared" si="2"/>
        <v>EXIBIR</v>
      </c>
    </row>
    <row r="58" spans="1:12" ht="11.25" customHeight="1">
      <c r="A58" s="82" t="s">
        <v>92</v>
      </c>
      <c r="B58" s="240">
        <f>'Elaboração RECEITA'!C135</f>
        <v>1603521711.2079999</v>
      </c>
      <c r="C58" s="240">
        <f>'Elaboração RECEITA'!D135</f>
        <v>1603521711.2079999</v>
      </c>
      <c r="D58" s="240">
        <f>'Elaboração RECEITA'!E135</f>
        <v>70659604.479000002</v>
      </c>
      <c r="E58" s="53">
        <f>IF(C58&lt;&gt;0,(D58/C58)*100,"-")</f>
        <v>4.4065262094748414</v>
      </c>
      <c r="F58" s="240">
        <f>'Elaboração RECEITA'!F135</f>
        <v>1237108583.283</v>
      </c>
      <c r="G58" s="53">
        <f>IF(C58&lt;&gt;0,(F58/C58)*100,"-")</f>
        <v>77.149475098222055</v>
      </c>
      <c r="H58" s="240">
        <f>C58-F58</f>
        <v>366413127.92499995</v>
      </c>
      <c r="I58" s="29"/>
      <c r="J58" s="4"/>
      <c r="L58" s="71" t="str">
        <f>IFERROR(IF(AND(OR(_xlfn.ISFORMULA(B58),_xlfn.ISFORMULA(D58),_xlfn.ISFORMULA(F58),_xlfn.ISFORMULA(H58)),
SUM(ABS(B58),ABS(C58),ABS(D58),ABS(F58),ABS(H58))=0),
"NÃO EXIBIR", "EXIBIR"
),"EXIBIR")</f>
        <v>EXIBIR</v>
      </c>
    </row>
    <row r="59" spans="1:12" ht="11.25" customHeight="1">
      <c r="A59" s="82" t="s">
        <v>93</v>
      </c>
      <c r="B59" s="240">
        <f>SUM(B60)</f>
        <v>0</v>
      </c>
      <c r="C59" s="240">
        <f>SUM(C60)</f>
        <v>0</v>
      </c>
      <c r="D59" s="240">
        <f>SUM(D60)</f>
        <v>0</v>
      </c>
      <c r="E59" s="53" t="str">
        <f>IF(C59&lt;&gt;0,(D59/C59)*100,"-")</f>
        <v>-</v>
      </c>
      <c r="F59" s="240">
        <f>SUM(F60)</f>
        <v>3148846.017</v>
      </c>
      <c r="G59" s="53" t="str">
        <f>IF(C59&lt;&gt;0,(F59/C59)*100,"-")</f>
        <v>-</v>
      </c>
      <c r="H59" s="240">
        <f>C59-F59</f>
        <v>-3148846.017</v>
      </c>
      <c r="I59" s="29"/>
      <c r="J59" s="4"/>
      <c r="L59" s="71" t="str">
        <f t="shared" si="2"/>
        <v>EXIBIR</v>
      </c>
    </row>
    <row r="60" spans="1:12" ht="11.25" customHeight="1">
      <c r="A60" s="82" t="s">
        <v>92</v>
      </c>
      <c r="B60" s="240">
        <f>'Elaboração RECEITA'!C137</f>
        <v>0</v>
      </c>
      <c r="C60" s="240">
        <f>'Elaboração RECEITA'!D137</f>
        <v>0</v>
      </c>
      <c r="D60" s="240">
        <f>'Elaboração RECEITA'!E137</f>
        <v>0</v>
      </c>
      <c r="E60" s="53" t="str">
        <f>IF(C60&lt;&gt;0,(D60/C60)*100,"-")</f>
        <v>-</v>
      </c>
      <c r="F60" s="240">
        <f>'Elaboração RECEITA'!F137</f>
        <v>3148846.017</v>
      </c>
      <c r="G60" s="53" t="str">
        <f>IF(C60&lt;&gt;0,(F60/C60)*100,"-")</f>
        <v>-</v>
      </c>
      <c r="H60" s="240">
        <f>C60-F60</f>
        <v>-3148846.017</v>
      </c>
      <c r="I60" s="29"/>
      <c r="J60" s="4"/>
      <c r="L60" s="71" t="str">
        <f t="shared" si="2"/>
        <v>EXIBIR</v>
      </c>
    </row>
    <row r="61" spans="1:12" ht="11.25" customHeight="1">
      <c r="A61" s="337" t="s">
        <v>94</v>
      </c>
      <c r="B61" s="63">
        <f>SUM(B55:B56)</f>
        <v>4181004169</v>
      </c>
      <c r="C61" s="63">
        <f>SUM(C55:C56)</f>
        <v>4181004169</v>
      </c>
      <c r="D61" s="63">
        <f>SUM(D55:D56)</f>
        <v>245386350.491</v>
      </c>
      <c r="E61" s="64">
        <f>IF(C61&lt;&gt;0,(D61/C61)*100,"-")</f>
        <v>5.869076914833375</v>
      </c>
      <c r="F61" s="63">
        <f>SUM(F55:F56)</f>
        <v>2820599205.073</v>
      </c>
      <c r="G61" s="64">
        <f>IF(C61&lt;&gt;0,(F61/C61)*100,"-")</f>
        <v>67.462243304761458</v>
      </c>
      <c r="H61" s="239">
        <f>SUM(H55:H56)</f>
        <v>1360404963.9269998</v>
      </c>
      <c r="I61" s="29"/>
      <c r="J61" s="4"/>
      <c r="L61" s="71" t="str">
        <f t="shared" si="2"/>
        <v>EXIBIR</v>
      </c>
    </row>
    <row r="62" spans="1:12" s="20" customFormat="1" ht="11.25" customHeight="1">
      <c r="A62" s="337" t="s">
        <v>95</v>
      </c>
      <c r="B62" s="239"/>
      <c r="C62" s="239">
        <f>SUM(C66:C68)</f>
        <v>148300257.58499998</v>
      </c>
      <c r="D62" s="239"/>
      <c r="E62" s="52"/>
      <c r="F62" s="63"/>
      <c r="G62" s="52"/>
      <c r="H62" s="239"/>
      <c r="I62" s="29"/>
      <c r="J62" s="29"/>
      <c r="K62" s="49"/>
      <c r="L62" s="71" t="str">
        <f t="shared" si="2"/>
        <v>EXIBIR</v>
      </c>
    </row>
    <row r="63" spans="1:12" ht="11.25" customHeight="1">
      <c r="A63" s="337" t="s">
        <v>96</v>
      </c>
      <c r="B63" s="239" t="s">
        <v>97</v>
      </c>
      <c r="C63" s="239" t="s">
        <v>97</v>
      </c>
      <c r="D63" s="239" t="s">
        <v>97</v>
      </c>
      <c r="E63" s="105" t="s">
        <v>97</v>
      </c>
      <c r="F63" s="60" t="str">
        <f>IF(('Anexo 1 Desp'!H45+'Anexo 1 Desp'!K45-F61)&gt;0,'Anexo 1 Desp'!H45+'Anexo 1 Desp'!K45-F61,"-")</f>
        <v>-</v>
      </c>
      <c r="G63" s="105" t="s">
        <v>97</v>
      </c>
      <c r="H63" s="239" t="s">
        <v>97</v>
      </c>
      <c r="I63" s="29"/>
      <c r="J63" s="4"/>
      <c r="L63" s="71" t="str">
        <f t="shared" si="2"/>
        <v>EXIBIR</v>
      </c>
    </row>
    <row r="64" spans="1:12" s="7" customFormat="1" ht="11.25" customHeight="1">
      <c r="A64" s="249" t="s">
        <v>98</v>
      </c>
      <c r="B64" s="239">
        <f>SUM(B61:B63)</f>
        <v>4181004169</v>
      </c>
      <c r="C64" s="239">
        <f>SUM(C61:C63)</f>
        <v>4329304426.585</v>
      </c>
      <c r="D64" s="239">
        <f>SUM(D61:D63)</f>
        <v>245386350.491</v>
      </c>
      <c r="E64" s="53">
        <f>IF(C64&lt;&gt;0,(D64/C64)*100,"-")</f>
        <v>5.6680317739762938</v>
      </c>
      <c r="F64" s="239">
        <f>SUM(F61:F63)</f>
        <v>2820599205.073</v>
      </c>
      <c r="G64" s="64">
        <f>IF(C64&lt;&gt;0,(F64/C64)*100,"-")</f>
        <v>65.151325181766381</v>
      </c>
      <c r="H64" s="239">
        <f>C64-F64</f>
        <v>1508705221.5120001</v>
      </c>
      <c r="I64" s="106"/>
      <c r="J64" s="3"/>
      <c r="L64" s="71" t="str">
        <f t="shared" si="2"/>
        <v>EXIBIR</v>
      </c>
    </row>
    <row r="65" spans="1:12" s="30" customFormat="1" ht="11.25" customHeight="1">
      <c r="A65" s="338" t="s">
        <v>99</v>
      </c>
      <c r="B65" s="339" t="s">
        <v>97</v>
      </c>
      <c r="C65" s="336">
        <f>+C66+C67+C68</f>
        <v>148300257.58499998</v>
      </c>
      <c r="D65" s="339" t="s">
        <v>97</v>
      </c>
      <c r="E65" s="335" t="s">
        <v>97</v>
      </c>
      <c r="F65" s="340" t="s">
        <v>97</v>
      </c>
      <c r="G65" s="335" t="s">
        <v>97</v>
      </c>
      <c r="H65" s="336" t="s">
        <v>97</v>
      </c>
      <c r="I65" s="29"/>
      <c r="J65" s="29"/>
      <c r="L65" s="71" t="str">
        <f t="shared" si="2"/>
        <v>EXIBIR</v>
      </c>
    </row>
    <row r="66" spans="1:12" s="30" customFormat="1" ht="11.25" customHeight="1">
      <c r="A66" s="13" t="s">
        <v>100</v>
      </c>
      <c r="B66" s="31"/>
      <c r="C66" s="31">
        <f>'Elaboração RECEITA'!C145</f>
        <v>40111200.802000001</v>
      </c>
      <c r="D66" s="31"/>
      <c r="E66" s="53"/>
      <c r="F66" s="32"/>
      <c r="G66" s="53"/>
      <c r="H66" s="240"/>
      <c r="I66" s="29"/>
      <c r="J66" s="29"/>
      <c r="L66" s="71" t="str">
        <f t="shared" si="2"/>
        <v>EXIBIR</v>
      </c>
    </row>
    <row r="67" spans="1:12" s="30" customFormat="1" ht="11.25" customHeight="1">
      <c r="A67" s="13" t="s">
        <v>101</v>
      </c>
      <c r="B67" s="31"/>
      <c r="C67" s="31">
        <f>'Elaboração RECEITA'!C146</f>
        <v>109015121.80500001</v>
      </c>
      <c r="D67" s="31"/>
      <c r="E67" s="53"/>
      <c r="F67" s="32"/>
      <c r="G67" s="53"/>
      <c r="H67" s="240"/>
      <c r="I67" s="29"/>
      <c r="J67" s="29"/>
      <c r="L67" s="71" t="str">
        <f t="shared" si="2"/>
        <v>EXIBIR</v>
      </c>
    </row>
    <row r="68" spans="1:12" s="30" customFormat="1" ht="11.25" customHeight="1">
      <c r="A68" s="33" t="s">
        <v>102</v>
      </c>
      <c r="B68" s="34"/>
      <c r="C68" s="34">
        <f>'Elaboração RECEITA'!C147</f>
        <v>-826065.022</v>
      </c>
      <c r="D68" s="34"/>
      <c r="E68" s="54"/>
      <c r="F68" s="35"/>
      <c r="G68" s="54"/>
      <c r="H68" s="241"/>
      <c r="I68" s="29"/>
      <c r="J68" s="29"/>
      <c r="L68" s="71" t="str">
        <f t="shared" si="2"/>
        <v>EXIBIR</v>
      </c>
    </row>
    <row r="69" spans="1:12" s="30" customFormat="1" ht="11.25" customHeight="1">
      <c r="A69" s="62" t="s">
        <v>103</v>
      </c>
      <c r="B69" s="63"/>
      <c r="C69" s="63"/>
      <c r="D69" s="63"/>
      <c r="E69" s="64"/>
      <c r="F69" s="65"/>
      <c r="G69" s="64"/>
      <c r="H69" s="239"/>
      <c r="I69" s="29"/>
      <c r="J69" s="29"/>
      <c r="L69" s="71" t="str">
        <f t="shared" si="2"/>
        <v>EXIBIR</v>
      </c>
    </row>
    <row r="70" spans="1:12" s="7" customFormat="1" ht="11.25" customHeight="1">
      <c r="A70" s="74" t="s">
        <v>64</v>
      </c>
      <c r="B70" s="104"/>
      <c r="C70" s="104"/>
      <c r="D70" s="104"/>
      <c r="E70" s="107"/>
      <c r="F70" s="108"/>
      <c r="G70" s="109"/>
      <c r="H70" s="91" t="s">
        <v>104</v>
      </c>
      <c r="I70" s="106"/>
      <c r="J70" s="3"/>
      <c r="L70" s="71" t="str">
        <f t="shared" si="2"/>
        <v>EXIBIR</v>
      </c>
    </row>
    <row r="71" spans="1:12" ht="11.25" customHeight="1">
      <c r="A71" s="341"/>
      <c r="B71" s="341"/>
      <c r="C71" s="110"/>
      <c r="D71" s="29"/>
      <c r="E71" s="29"/>
      <c r="F71" s="111"/>
      <c r="G71" s="29"/>
      <c r="I71" s="29"/>
      <c r="J71" s="4"/>
      <c r="L71" s="71" t="str">
        <f t="shared" si="2"/>
        <v>EXIBIR</v>
      </c>
    </row>
    <row r="72" spans="1:12" ht="11.25" customHeight="1">
      <c r="A72" s="304"/>
      <c r="B72" s="304"/>
      <c r="C72" s="29"/>
      <c r="D72" s="29"/>
      <c r="E72" s="29"/>
      <c r="F72" s="29"/>
      <c r="G72" s="29"/>
      <c r="H72" s="29"/>
      <c r="I72" s="29"/>
      <c r="J72" s="4"/>
      <c r="L72" s="71" t="str">
        <f t="shared" si="2"/>
        <v>EXIBIR</v>
      </c>
    </row>
    <row r="73" spans="1:12" ht="11.25" customHeight="1">
      <c r="A73" s="298"/>
      <c r="B73" s="298"/>
      <c r="C73" s="298"/>
      <c r="D73" s="298"/>
      <c r="E73" s="298"/>
      <c r="F73" s="298"/>
      <c r="G73" s="298"/>
      <c r="H73" s="298"/>
      <c r="I73" s="29"/>
      <c r="J73" s="4"/>
      <c r="L73" s="71" t="str">
        <f t="shared" si="2"/>
        <v>EXIBIR</v>
      </c>
    </row>
    <row r="74" spans="1:12" ht="11.25" customHeight="1">
      <c r="L74" s="71" t="str">
        <f t="shared" si="2"/>
        <v>EXIBIR</v>
      </c>
    </row>
    <row r="75" spans="1:12" ht="11.25" customHeight="1">
      <c r="L75" s="71" t="str">
        <f t="shared" si="2"/>
        <v>EXIBIR</v>
      </c>
    </row>
    <row r="76" spans="1:12" ht="11.25" customHeight="1">
      <c r="C76" s="112"/>
      <c r="L76" s="71" t="str">
        <f t="shared" si="2"/>
        <v>EXIBIR</v>
      </c>
    </row>
    <row r="77" spans="1:12" ht="11.25" customHeight="1">
      <c r="C77" s="49"/>
      <c r="L77" s="71" t="str">
        <f t="shared" ref="L77:L140" si="6">IFERROR(IF(AND(OR(_xlfn.ISFORMULA(B77),_xlfn.ISFORMULA(D77),_xlfn.ISFORMULA(F77),_xlfn.ISFORMULA(H77)),
SUM(ABS(B77),ABS(C77),ABS(D77),ABS(F77),ABS(H77))=0),
"NÃO EXIBIR", "EXIBIR"
),"EXIBIR")</f>
        <v>EXIBIR</v>
      </c>
    </row>
    <row r="78" spans="1:12" ht="11.25" customHeight="1">
      <c r="C78" s="112"/>
      <c r="L78" s="71" t="str">
        <f t="shared" si="6"/>
        <v>EXIBIR</v>
      </c>
    </row>
    <row r="79" spans="1:12" ht="11.25" customHeight="1">
      <c r="L79" s="71" t="str">
        <f t="shared" si="6"/>
        <v>EXIBIR</v>
      </c>
    </row>
    <row r="80" spans="1:12" ht="11.25" customHeight="1">
      <c r="L80" s="71" t="str">
        <f t="shared" si="6"/>
        <v>EXIBIR</v>
      </c>
    </row>
    <row r="81" spans="12:12" ht="11.25" customHeight="1">
      <c r="L81" s="71" t="str">
        <f t="shared" si="6"/>
        <v>EXIBIR</v>
      </c>
    </row>
    <row r="82" spans="12:12" ht="11.25" customHeight="1">
      <c r="L82" s="71" t="str">
        <f t="shared" si="6"/>
        <v>EXIBIR</v>
      </c>
    </row>
    <row r="83" spans="12:12" ht="11.25" customHeight="1">
      <c r="L83" s="71" t="str">
        <f t="shared" si="6"/>
        <v>EXIBIR</v>
      </c>
    </row>
    <row r="84" spans="12:12" ht="11.25" customHeight="1">
      <c r="L84" s="71" t="str">
        <f t="shared" si="6"/>
        <v>EXIBIR</v>
      </c>
    </row>
    <row r="85" spans="12:12" ht="11.25" customHeight="1">
      <c r="L85" s="71" t="str">
        <f t="shared" si="6"/>
        <v>EXIBIR</v>
      </c>
    </row>
    <row r="86" spans="12:12" ht="11.25" customHeight="1">
      <c r="L86" s="71" t="str">
        <f t="shared" si="6"/>
        <v>EXIBIR</v>
      </c>
    </row>
    <row r="87" spans="12:12" ht="11.25" customHeight="1">
      <c r="L87" s="71" t="str">
        <f t="shared" si="6"/>
        <v>EXIBIR</v>
      </c>
    </row>
    <row r="88" spans="12:12" ht="11.25" customHeight="1">
      <c r="L88" s="71" t="str">
        <f t="shared" si="6"/>
        <v>EXIBIR</v>
      </c>
    </row>
    <row r="89" spans="12:12" ht="11.25" customHeight="1">
      <c r="L89" s="71" t="str">
        <f t="shared" si="6"/>
        <v>EXIBIR</v>
      </c>
    </row>
    <row r="90" spans="12:12" ht="11.25" customHeight="1">
      <c r="L90" s="71" t="str">
        <f t="shared" si="6"/>
        <v>EXIBIR</v>
      </c>
    </row>
    <row r="91" spans="12:12" ht="11.25" customHeight="1">
      <c r="L91" s="71" t="str">
        <f t="shared" si="6"/>
        <v>EXIBIR</v>
      </c>
    </row>
    <row r="92" spans="12:12" ht="11.25" customHeight="1">
      <c r="L92" s="71" t="str">
        <f t="shared" si="6"/>
        <v>EXIBIR</v>
      </c>
    </row>
    <row r="93" spans="12:12" ht="11.25" customHeight="1">
      <c r="L93" s="71" t="str">
        <f t="shared" si="6"/>
        <v>EXIBIR</v>
      </c>
    </row>
    <row r="94" spans="12:12" ht="11.25" customHeight="1">
      <c r="L94" s="71" t="str">
        <f t="shared" si="6"/>
        <v>EXIBIR</v>
      </c>
    </row>
    <row r="95" spans="12:12" ht="11.25" customHeight="1">
      <c r="L95" s="71" t="str">
        <f t="shared" si="6"/>
        <v>EXIBIR</v>
      </c>
    </row>
    <row r="96" spans="12:12" ht="11.25" customHeight="1">
      <c r="L96" s="71" t="str">
        <f t="shared" si="6"/>
        <v>EXIBIR</v>
      </c>
    </row>
    <row r="97" spans="12:12" ht="11.25" customHeight="1">
      <c r="L97" s="71" t="str">
        <f t="shared" si="6"/>
        <v>EXIBIR</v>
      </c>
    </row>
    <row r="98" spans="12:12" ht="11.25" customHeight="1">
      <c r="L98" s="71" t="str">
        <f t="shared" si="6"/>
        <v>EXIBIR</v>
      </c>
    </row>
    <row r="99" spans="12:12" ht="11.25" customHeight="1">
      <c r="L99" s="71" t="str">
        <f t="shared" si="6"/>
        <v>EXIBIR</v>
      </c>
    </row>
    <row r="100" spans="12:12" ht="11.25" customHeight="1">
      <c r="L100" s="71" t="str">
        <f t="shared" si="6"/>
        <v>EXIBIR</v>
      </c>
    </row>
    <row r="101" spans="12:12" ht="11.25" customHeight="1">
      <c r="L101" s="71" t="str">
        <f t="shared" si="6"/>
        <v>EXIBIR</v>
      </c>
    </row>
    <row r="102" spans="12:12" ht="11.25" customHeight="1">
      <c r="L102" s="71" t="str">
        <f t="shared" si="6"/>
        <v>EXIBIR</v>
      </c>
    </row>
    <row r="103" spans="12:12" ht="11.25" customHeight="1">
      <c r="L103" s="71" t="str">
        <f t="shared" si="6"/>
        <v>EXIBIR</v>
      </c>
    </row>
    <row r="104" spans="12:12" ht="11.25" customHeight="1">
      <c r="L104" s="71" t="str">
        <f t="shared" si="6"/>
        <v>EXIBIR</v>
      </c>
    </row>
    <row r="105" spans="12:12" ht="11.25" customHeight="1">
      <c r="L105" s="71" t="str">
        <f t="shared" si="6"/>
        <v>EXIBIR</v>
      </c>
    </row>
    <row r="106" spans="12:12" ht="11.25" customHeight="1">
      <c r="L106" s="71" t="str">
        <f t="shared" si="6"/>
        <v>EXIBIR</v>
      </c>
    </row>
    <row r="107" spans="12:12" ht="11.25" customHeight="1">
      <c r="L107" s="71" t="str">
        <f t="shared" si="6"/>
        <v>EXIBIR</v>
      </c>
    </row>
    <row r="108" spans="12:12" ht="11.25" customHeight="1">
      <c r="L108" s="71" t="str">
        <f t="shared" si="6"/>
        <v>EXIBIR</v>
      </c>
    </row>
    <row r="109" spans="12:12" ht="11.25" customHeight="1">
      <c r="L109" s="71" t="str">
        <f t="shared" si="6"/>
        <v>EXIBIR</v>
      </c>
    </row>
    <row r="110" spans="12:12" ht="11.25" customHeight="1">
      <c r="L110" s="71" t="str">
        <f t="shared" si="6"/>
        <v>EXIBIR</v>
      </c>
    </row>
    <row r="111" spans="12:12" ht="11.25" customHeight="1">
      <c r="L111" s="71" t="str">
        <f t="shared" si="6"/>
        <v>EXIBIR</v>
      </c>
    </row>
    <row r="112" spans="12:12" ht="11.25" customHeight="1">
      <c r="L112" s="71" t="str">
        <f t="shared" si="6"/>
        <v>EXIBIR</v>
      </c>
    </row>
    <row r="113" spans="12:12" ht="11.25" customHeight="1">
      <c r="L113" s="71" t="str">
        <f t="shared" si="6"/>
        <v>EXIBIR</v>
      </c>
    </row>
    <row r="114" spans="12:12" ht="11.25" customHeight="1">
      <c r="L114" s="71" t="str">
        <f t="shared" si="6"/>
        <v>EXIBIR</v>
      </c>
    </row>
    <row r="115" spans="12:12" ht="11.25" customHeight="1">
      <c r="L115" s="71" t="str">
        <f t="shared" si="6"/>
        <v>EXIBIR</v>
      </c>
    </row>
    <row r="116" spans="12:12" ht="11.25" customHeight="1">
      <c r="L116" s="71" t="str">
        <f t="shared" si="6"/>
        <v>EXIBIR</v>
      </c>
    </row>
    <row r="117" spans="12:12" ht="11.25" customHeight="1">
      <c r="L117" s="71" t="str">
        <f t="shared" si="6"/>
        <v>EXIBIR</v>
      </c>
    </row>
    <row r="118" spans="12:12" ht="11.25" customHeight="1">
      <c r="L118" s="71" t="str">
        <f t="shared" si="6"/>
        <v>EXIBIR</v>
      </c>
    </row>
    <row r="119" spans="12:12" ht="11.25" customHeight="1">
      <c r="L119" s="71" t="str">
        <f t="shared" si="6"/>
        <v>EXIBIR</v>
      </c>
    </row>
    <row r="120" spans="12:12" ht="11.25" customHeight="1">
      <c r="L120" s="71" t="str">
        <f t="shared" si="6"/>
        <v>EXIBIR</v>
      </c>
    </row>
    <row r="121" spans="12:12" ht="11.25" customHeight="1">
      <c r="L121" s="71" t="str">
        <f t="shared" si="6"/>
        <v>EXIBIR</v>
      </c>
    </row>
    <row r="122" spans="12:12" ht="11.25" customHeight="1">
      <c r="L122" s="71" t="str">
        <f t="shared" si="6"/>
        <v>EXIBIR</v>
      </c>
    </row>
    <row r="123" spans="12:12" ht="11.25" customHeight="1">
      <c r="L123" s="71" t="str">
        <f t="shared" si="6"/>
        <v>EXIBIR</v>
      </c>
    </row>
    <row r="124" spans="12:12" ht="11.25" customHeight="1">
      <c r="L124" s="71" t="str">
        <f t="shared" si="6"/>
        <v>EXIBIR</v>
      </c>
    </row>
    <row r="125" spans="12:12" ht="11.25" customHeight="1">
      <c r="L125" s="71" t="str">
        <f t="shared" si="6"/>
        <v>EXIBIR</v>
      </c>
    </row>
    <row r="126" spans="12:12" ht="11.25" customHeight="1">
      <c r="L126" s="71" t="str">
        <f t="shared" si="6"/>
        <v>EXIBIR</v>
      </c>
    </row>
    <row r="127" spans="12:12" ht="11.25" customHeight="1">
      <c r="L127" s="71" t="str">
        <f t="shared" si="6"/>
        <v>EXIBIR</v>
      </c>
    </row>
    <row r="128" spans="12:12" ht="11.25" customHeight="1">
      <c r="L128" s="71" t="str">
        <f t="shared" si="6"/>
        <v>EXIBIR</v>
      </c>
    </row>
    <row r="129" spans="12:12" ht="11.25" customHeight="1">
      <c r="L129" s="71" t="str">
        <f t="shared" si="6"/>
        <v>EXIBIR</v>
      </c>
    </row>
    <row r="130" spans="12:12" ht="11.25" customHeight="1">
      <c r="L130" s="71" t="str">
        <f t="shared" si="6"/>
        <v>EXIBIR</v>
      </c>
    </row>
    <row r="131" spans="12:12" ht="11.25" customHeight="1">
      <c r="L131" s="71" t="str">
        <f t="shared" si="6"/>
        <v>EXIBIR</v>
      </c>
    </row>
    <row r="132" spans="12:12" ht="11.25" customHeight="1">
      <c r="L132" s="71" t="str">
        <f t="shared" si="6"/>
        <v>EXIBIR</v>
      </c>
    </row>
    <row r="133" spans="12:12" ht="11.25" customHeight="1">
      <c r="L133" s="71" t="str">
        <f t="shared" si="6"/>
        <v>EXIBIR</v>
      </c>
    </row>
    <row r="134" spans="12:12" ht="11.25" customHeight="1">
      <c r="L134" s="71" t="str">
        <f t="shared" si="6"/>
        <v>EXIBIR</v>
      </c>
    </row>
    <row r="135" spans="12:12" ht="11.25" customHeight="1">
      <c r="L135" s="71" t="str">
        <f t="shared" si="6"/>
        <v>EXIBIR</v>
      </c>
    </row>
    <row r="136" spans="12:12" ht="11.25" customHeight="1">
      <c r="L136" s="71" t="str">
        <f t="shared" si="6"/>
        <v>EXIBIR</v>
      </c>
    </row>
    <row r="137" spans="12:12" ht="11.25" customHeight="1">
      <c r="L137" s="71" t="str">
        <f t="shared" si="6"/>
        <v>EXIBIR</v>
      </c>
    </row>
    <row r="138" spans="12:12" ht="11.25" customHeight="1">
      <c r="L138" s="71" t="str">
        <f t="shared" si="6"/>
        <v>EXIBIR</v>
      </c>
    </row>
    <row r="139" spans="12:12" ht="11.25" customHeight="1">
      <c r="L139" s="71" t="str">
        <f t="shared" si="6"/>
        <v>EXIBIR</v>
      </c>
    </row>
    <row r="140" spans="12:12" ht="11.25" customHeight="1">
      <c r="L140" s="71" t="str">
        <f t="shared" si="6"/>
        <v>EXIBIR</v>
      </c>
    </row>
    <row r="141" spans="12:12" ht="11.25" customHeight="1">
      <c r="L141" s="71" t="str">
        <f t="shared" ref="L141:L200" si="7">IFERROR(IF(AND(OR(_xlfn.ISFORMULA(B141),_xlfn.ISFORMULA(D141),_xlfn.ISFORMULA(F141),_xlfn.ISFORMULA(H141)),
SUM(ABS(B141),ABS(C141),ABS(D141),ABS(F141),ABS(H141))=0),
"NÃO EXIBIR", "EXIBIR"
),"EXIBIR")</f>
        <v>EXIBIR</v>
      </c>
    </row>
    <row r="142" spans="12:12" ht="11.25" customHeight="1">
      <c r="L142" s="71" t="str">
        <f t="shared" si="7"/>
        <v>EXIBIR</v>
      </c>
    </row>
    <row r="143" spans="12:12" ht="11.25" customHeight="1">
      <c r="L143" s="71" t="str">
        <f t="shared" si="7"/>
        <v>EXIBIR</v>
      </c>
    </row>
    <row r="144" spans="12:12" ht="11.25" customHeight="1">
      <c r="L144" s="71" t="str">
        <f t="shared" si="7"/>
        <v>EXIBIR</v>
      </c>
    </row>
    <row r="145" spans="12:12" ht="11.25" customHeight="1">
      <c r="L145" s="71" t="str">
        <f t="shared" si="7"/>
        <v>EXIBIR</v>
      </c>
    </row>
    <row r="146" spans="12:12" ht="11.25" customHeight="1">
      <c r="L146" s="71" t="str">
        <f t="shared" si="7"/>
        <v>EXIBIR</v>
      </c>
    </row>
    <row r="147" spans="12:12" ht="11.25" customHeight="1">
      <c r="L147" s="71" t="str">
        <f t="shared" si="7"/>
        <v>EXIBIR</v>
      </c>
    </row>
    <row r="148" spans="12:12" ht="11.25" customHeight="1">
      <c r="L148" s="71" t="str">
        <f t="shared" si="7"/>
        <v>EXIBIR</v>
      </c>
    </row>
    <row r="149" spans="12:12" ht="11.25" customHeight="1">
      <c r="L149" s="71" t="str">
        <f t="shared" si="7"/>
        <v>EXIBIR</v>
      </c>
    </row>
    <row r="150" spans="12:12" ht="11.25" customHeight="1">
      <c r="L150" s="71" t="str">
        <f t="shared" si="7"/>
        <v>EXIBIR</v>
      </c>
    </row>
    <row r="151" spans="12:12" ht="11.25" customHeight="1">
      <c r="L151" s="71" t="str">
        <f t="shared" si="7"/>
        <v>EXIBIR</v>
      </c>
    </row>
    <row r="152" spans="12:12" ht="11.25" customHeight="1">
      <c r="L152" s="71" t="str">
        <f t="shared" si="7"/>
        <v>EXIBIR</v>
      </c>
    </row>
    <row r="153" spans="12:12" ht="11.25" customHeight="1">
      <c r="L153" s="71" t="str">
        <f t="shared" si="7"/>
        <v>EXIBIR</v>
      </c>
    </row>
    <row r="154" spans="12:12" ht="11.25" customHeight="1">
      <c r="L154" s="71" t="str">
        <f t="shared" si="7"/>
        <v>EXIBIR</v>
      </c>
    </row>
    <row r="155" spans="12:12" ht="11.25" customHeight="1">
      <c r="L155" s="71" t="str">
        <f t="shared" si="7"/>
        <v>EXIBIR</v>
      </c>
    </row>
    <row r="156" spans="12:12" ht="11.25" customHeight="1">
      <c r="L156" s="71" t="str">
        <f t="shared" si="7"/>
        <v>EXIBIR</v>
      </c>
    </row>
    <row r="157" spans="12:12" ht="11.25" customHeight="1">
      <c r="L157" s="71" t="str">
        <f t="shared" si="7"/>
        <v>EXIBIR</v>
      </c>
    </row>
    <row r="158" spans="12:12" ht="11.25" customHeight="1">
      <c r="L158" s="71" t="str">
        <f t="shared" si="7"/>
        <v>EXIBIR</v>
      </c>
    </row>
    <row r="159" spans="12:12" ht="11.25" customHeight="1">
      <c r="L159" s="71" t="str">
        <f t="shared" si="7"/>
        <v>EXIBIR</v>
      </c>
    </row>
    <row r="160" spans="12:12" ht="11.25" customHeight="1">
      <c r="L160" s="71" t="str">
        <f t="shared" si="7"/>
        <v>EXIBIR</v>
      </c>
    </row>
    <row r="161" spans="12:12" ht="11.25" customHeight="1">
      <c r="L161" s="71" t="str">
        <f t="shared" si="7"/>
        <v>EXIBIR</v>
      </c>
    </row>
    <row r="162" spans="12:12" ht="11.25" customHeight="1">
      <c r="L162" s="71" t="str">
        <f t="shared" si="7"/>
        <v>EXIBIR</v>
      </c>
    </row>
    <row r="163" spans="12:12" ht="11.25" customHeight="1">
      <c r="L163" s="71" t="str">
        <f t="shared" si="7"/>
        <v>EXIBIR</v>
      </c>
    </row>
    <row r="164" spans="12:12" ht="11.25" customHeight="1">
      <c r="L164" s="71" t="str">
        <f t="shared" si="7"/>
        <v>EXIBIR</v>
      </c>
    </row>
    <row r="165" spans="12:12" ht="11.25" customHeight="1">
      <c r="L165" s="71" t="str">
        <f t="shared" si="7"/>
        <v>EXIBIR</v>
      </c>
    </row>
    <row r="166" spans="12:12" ht="11.25" customHeight="1">
      <c r="L166" s="71" t="str">
        <f t="shared" si="7"/>
        <v>EXIBIR</v>
      </c>
    </row>
    <row r="167" spans="12:12" ht="11.25" customHeight="1">
      <c r="L167" s="71" t="str">
        <f t="shared" si="7"/>
        <v>EXIBIR</v>
      </c>
    </row>
    <row r="168" spans="12:12" ht="11.25" customHeight="1">
      <c r="L168" s="71" t="str">
        <f t="shared" si="7"/>
        <v>EXIBIR</v>
      </c>
    </row>
    <row r="169" spans="12:12" ht="11.25" customHeight="1">
      <c r="L169" s="71" t="str">
        <f t="shared" si="7"/>
        <v>EXIBIR</v>
      </c>
    </row>
    <row r="170" spans="12:12" ht="11.25" customHeight="1">
      <c r="L170" s="71" t="str">
        <f t="shared" si="7"/>
        <v>EXIBIR</v>
      </c>
    </row>
    <row r="171" spans="12:12" ht="11.25" customHeight="1">
      <c r="L171" s="71" t="str">
        <f t="shared" si="7"/>
        <v>EXIBIR</v>
      </c>
    </row>
    <row r="172" spans="12:12" ht="11.25" customHeight="1">
      <c r="L172" s="71" t="str">
        <f t="shared" si="7"/>
        <v>EXIBIR</v>
      </c>
    </row>
    <row r="173" spans="12:12" ht="11.25" customHeight="1">
      <c r="L173" s="71" t="str">
        <f t="shared" si="7"/>
        <v>EXIBIR</v>
      </c>
    </row>
    <row r="174" spans="12:12" ht="11.25" customHeight="1">
      <c r="L174" s="71" t="str">
        <f t="shared" si="7"/>
        <v>EXIBIR</v>
      </c>
    </row>
    <row r="175" spans="12:12" ht="11.25" customHeight="1">
      <c r="L175" s="71" t="str">
        <f t="shared" si="7"/>
        <v>EXIBIR</v>
      </c>
    </row>
    <row r="176" spans="12:12" ht="11.25" customHeight="1">
      <c r="L176" s="71" t="str">
        <f t="shared" si="7"/>
        <v>EXIBIR</v>
      </c>
    </row>
    <row r="177" spans="12:12" ht="11.25" customHeight="1">
      <c r="L177" s="71" t="str">
        <f t="shared" si="7"/>
        <v>EXIBIR</v>
      </c>
    </row>
    <row r="178" spans="12:12" ht="11.25" customHeight="1">
      <c r="L178" s="71" t="str">
        <f t="shared" si="7"/>
        <v>EXIBIR</v>
      </c>
    </row>
    <row r="179" spans="12:12" ht="11.25" customHeight="1">
      <c r="L179" s="71" t="str">
        <f t="shared" si="7"/>
        <v>EXIBIR</v>
      </c>
    </row>
    <row r="180" spans="12:12" ht="11.25" customHeight="1">
      <c r="L180" s="71" t="str">
        <f t="shared" si="7"/>
        <v>EXIBIR</v>
      </c>
    </row>
    <row r="181" spans="12:12" ht="11.25" customHeight="1">
      <c r="L181" s="71" t="str">
        <f t="shared" si="7"/>
        <v>EXIBIR</v>
      </c>
    </row>
    <row r="182" spans="12:12" ht="11.25" customHeight="1">
      <c r="L182" s="71" t="str">
        <f t="shared" si="7"/>
        <v>EXIBIR</v>
      </c>
    </row>
    <row r="183" spans="12:12" ht="11.25" customHeight="1">
      <c r="L183" s="71" t="str">
        <f t="shared" si="7"/>
        <v>EXIBIR</v>
      </c>
    </row>
    <row r="184" spans="12:12" ht="11.25" customHeight="1">
      <c r="L184" s="71" t="str">
        <f t="shared" si="7"/>
        <v>EXIBIR</v>
      </c>
    </row>
    <row r="185" spans="12:12" ht="11.25" customHeight="1">
      <c r="L185" s="71" t="str">
        <f t="shared" si="7"/>
        <v>EXIBIR</v>
      </c>
    </row>
    <row r="186" spans="12:12" ht="11.25" customHeight="1">
      <c r="L186" s="71" t="str">
        <f t="shared" si="7"/>
        <v>EXIBIR</v>
      </c>
    </row>
    <row r="187" spans="12:12" ht="11.25" customHeight="1">
      <c r="L187" s="71" t="str">
        <f t="shared" si="7"/>
        <v>EXIBIR</v>
      </c>
    </row>
    <row r="188" spans="12:12" ht="11.25" customHeight="1">
      <c r="L188" s="71" t="str">
        <f t="shared" si="7"/>
        <v>EXIBIR</v>
      </c>
    </row>
    <row r="189" spans="12:12" ht="11.25" customHeight="1">
      <c r="L189" s="71" t="str">
        <f t="shared" si="7"/>
        <v>EXIBIR</v>
      </c>
    </row>
    <row r="190" spans="12:12" ht="11.25" customHeight="1">
      <c r="L190" s="71" t="str">
        <f t="shared" si="7"/>
        <v>EXIBIR</v>
      </c>
    </row>
    <row r="191" spans="12:12" ht="11.25" customHeight="1">
      <c r="L191" s="71" t="str">
        <f t="shared" si="7"/>
        <v>EXIBIR</v>
      </c>
    </row>
    <row r="192" spans="12:12" ht="11.25" customHeight="1">
      <c r="L192" s="71" t="str">
        <f t="shared" si="7"/>
        <v>EXIBIR</v>
      </c>
    </row>
    <row r="193" spans="12:12" ht="11.25" customHeight="1">
      <c r="L193" s="71" t="str">
        <f t="shared" si="7"/>
        <v>EXIBIR</v>
      </c>
    </row>
    <row r="194" spans="12:12" ht="11.25" customHeight="1">
      <c r="L194" s="71" t="str">
        <f t="shared" si="7"/>
        <v>EXIBIR</v>
      </c>
    </row>
    <row r="195" spans="12:12" ht="11.25" customHeight="1">
      <c r="L195" s="71" t="str">
        <f t="shared" si="7"/>
        <v>EXIBIR</v>
      </c>
    </row>
    <row r="196" spans="12:12" ht="11.25" customHeight="1">
      <c r="L196" s="71" t="str">
        <f t="shared" si="7"/>
        <v>EXIBIR</v>
      </c>
    </row>
    <row r="197" spans="12:12" ht="11.25" customHeight="1">
      <c r="L197" s="71" t="str">
        <f t="shared" si="7"/>
        <v>EXIBIR</v>
      </c>
    </row>
    <row r="198" spans="12:12" ht="11.25" customHeight="1">
      <c r="L198" s="71" t="str">
        <f t="shared" si="7"/>
        <v>EXIBIR</v>
      </c>
    </row>
    <row r="199" spans="12:12" ht="11.25" customHeight="1">
      <c r="L199" s="71" t="str">
        <f t="shared" si="7"/>
        <v>EXIBIR</v>
      </c>
    </row>
    <row r="200" spans="12:12" ht="11.25" customHeight="1">
      <c r="L200" s="71" t="str">
        <f t="shared" si="7"/>
        <v>EXIBIR</v>
      </c>
    </row>
  </sheetData>
  <autoFilter ref="L11:L200" xr:uid="{00000000-0009-0000-0000-000001000000}">
    <filterColumn colId="0">
      <customFilters>
        <customFilter operator="notEqual" val="NÃO EXIBIR"/>
      </customFilters>
    </filterColumn>
  </autoFilter>
  <mergeCells count="9">
    <mergeCell ref="A73:H73"/>
    <mergeCell ref="A6:H6"/>
    <mergeCell ref="D9:G9"/>
    <mergeCell ref="A2:H2"/>
    <mergeCell ref="A3:H3"/>
    <mergeCell ref="A4:H4"/>
    <mergeCell ref="A5:H5"/>
    <mergeCell ref="A71:B71"/>
    <mergeCell ref="A72:B72"/>
  </mergeCells>
  <phoneticPr fontId="0" type="noConversion"/>
  <conditionalFormatting sqref="L12">
    <cfRule type="cellIs" dxfId="52" priority="3" operator="equal">
      <formula>"EXIBIR"</formula>
    </cfRule>
    <cfRule type="cellIs" dxfId="51" priority="4" operator="equal">
      <formula>"NÃO EXIBIR"</formula>
    </cfRule>
  </conditionalFormatting>
  <conditionalFormatting sqref="L13:L200">
    <cfRule type="cellIs" dxfId="50" priority="1" operator="equal">
      <formula>"EXIBIR"</formula>
    </cfRule>
    <cfRule type="cellIs" dxfId="49" priority="2" operator="equal">
      <formula>"NÃO EXIBIR"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ignoredErrors>
    <ignoredError sqref="H17 H21 H34 B58:D58 F58 G56:G64 H49 G12:G19 E12:E19 E21:E25 G21:G25 G27 E27 E47 G47 G33:G45 E33:E45 E48 G48 E49:E54 G49:G54 E55:E6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 filterMode="1">
    <tabColor indexed="44"/>
  </sheetPr>
  <dimension ref="A1:P199"/>
  <sheetViews>
    <sheetView zoomScaleNormal="100" workbookViewId="0">
      <selection activeCell="A2" sqref="A2:J54"/>
    </sheetView>
  </sheetViews>
  <sheetFormatPr defaultColWidth="9.140625" defaultRowHeight="11.25" customHeight="1"/>
  <cols>
    <col min="1" max="1" width="42.42578125" style="82" customWidth="1"/>
    <col min="2" max="4" width="11.42578125" style="20" bestFit="1" customWidth="1"/>
    <col min="5" max="5" width="11.42578125" style="20" customWidth="1"/>
    <col min="6" max="6" width="11.42578125" style="20" bestFit="1" customWidth="1"/>
    <col min="7" max="7" width="10.140625" style="20" bestFit="1" customWidth="1"/>
    <col min="8" max="8" width="14.85546875" style="20" customWidth="1"/>
    <col min="9" max="9" width="13.85546875" style="20" customWidth="1"/>
    <col min="10" max="10" width="14" style="20" bestFit="1" customWidth="1"/>
    <col min="11" max="11" width="9.42578125" style="20" hidden="1" customWidth="1"/>
    <col min="12" max="12" width="26" style="20" customWidth="1"/>
    <col min="13" max="13" width="39" style="129" bestFit="1" customWidth="1"/>
    <col min="14" max="14" width="10.140625" style="2" bestFit="1" customWidth="1"/>
    <col min="15" max="16384" width="9.140625" style="2"/>
  </cols>
  <sheetData>
    <row r="1" spans="1:14" ht="11.25" customHeight="1">
      <c r="A1" s="20"/>
      <c r="I1" s="72"/>
      <c r="J1" s="72" t="s">
        <v>84</v>
      </c>
      <c r="K1" s="72" t="s">
        <v>84</v>
      </c>
      <c r="L1" s="72"/>
    </row>
    <row r="2" spans="1:14" ht="11.25" customHeight="1">
      <c r="A2" s="313" t="str">
        <f>'Anexo 1 Rec'!A1:H1</f>
        <v>GOVERNO FEDERAL</v>
      </c>
      <c r="B2" s="313"/>
      <c r="C2" s="313"/>
      <c r="D2" s="313"/>
      <c r="E2" s="313"/>
      <c r="F2" s="313"/>
      <c r="G2" s="313"/>
      <c r="H2" s="313"/>
      <c r="I2" s="313"/>
      <c r="J2" s="313"/>
      <c r="K2" s="82"/>
      <c r="L2" s="246"/>
    </row>
    <row r="3" spans="1:14" ht="11.25" customHeight="1">
      <c r="A3" s="313" t="str">
        <f>'Anexo 1 Rec'!A2:H2</f>
        <v>RELATÓRIO RESUMIDO DA EXECUÇÃO ORÇAMENTÁRIA</v>
      </c>
      <c r="B3" s="313"/>
      <c r="C3" s="313"/>
      <c r="D3" s="313"/>
      <c r="E3" s="313"/>
      <c r="F3" s="313"/>
      <c r="G3" s="313"/>
      <c r="H3" s="313"/>
      <c r="I3" s="313"/>
      <c r="J3" s="313"/>
      <c r="K3" s="82"/>
      <c r="L3" s="246"/>
    </row>
    <row r="4" spans="1:14" ht="11.25" customHeight="1">
      <c r="A4" s="314" t="str">
        <f>'Anexo 1 Rec'!A3:H3</f>
        <v>BALANÇO ORÇAMENTÁRIO</v>
      </c>
      <c r="B4" s="314"/>
      <c r="C4" s="314"/>
      <c r="D4" s="314"/>
      <c r="E4" s="314"/>
      <c r="F4" s="314"/>
      <c r="G4" s="314"/>
      <c r="H4" s="314"/>
      <c r="I4" s="314"/>
      <c r="J4" s="314"/>
      <c r="K4" s="286"/>
      <c r="L4" s="247"/>
    </row>
    <row r="5" spans="1:14" ht="11.25" customHeight="1">
      <c r="A5" s="313" t="str">
        <f>'Anexo 1 Rec'!A4:H4</f>
        <v>ORÇAMENTOS FISCAL E DA SEGURIDADE SOCIAL</v>
      </c>
      <c r="B5" s="313"/>
      <c r="C5" s="313"/>
      <c r="D5" s="313"/>
      <c r="E5" s="313"/>
      <c r="F5" s="313"/>
      <c r="G5" s="313"/>
      <c r="H5" s="313"/>
      <c r="I5" s="313"/>
      <c r="J5" s="313"/>
      <c r="K5" s="82"/>
      <c r="L5" s="246"/>
    </row>
    <row r="6" spans="1:14" ht="11.25" customHeight="1">
      <c r="A6" s="313" t="str">
        <f>'Anexo 1 Rec'!A5:H5</f>
        <v>JANEIRO A AGOSTO DE 2021</v>
      </c>
      <c r="B6" s="313"/>
      <c r="C6" s="313"/>
      <c r="D6" s="313"/>
      <c r="E6" s="313"/>
      <c r="F6" s="313"/>
      <c r="G6" s="313"/>
      <c r="H6" s="313"/>
      <c r="I6" s="313"/>
      <c r="J6" s="313"/>
      <c r="K6" s="82"/>
      <c r="L6" s="246"/>
    </row>
    <row r="7" spans="1:14" ht="11.25" customHeight="1">
      <c r="A7" s="73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</row>
    <row r="8" spans="1:14" ht="11.25" customHeight="1">
      <c r="A8" s="74" t="s">
        <v>4</v>
      </c>
      <c r="B8" s="246"/>
      <c r="C8" s="246"/>
      <c r="D8" s="246"/>
      <c r="E8" s="246"/>
      <c r="F8" s="246"/>
      <c r="G8" s="246"/>
      <c r="H8" s="246"/>
      <c r="I8" s="72"/>
      <c r="J8" s="72" t="s">
        <v>5</v>
      </c>
      <c r="K8" s="72" t="s">
        <v>5</v>
      </c>
      <c r="L8" s="72"/>
    </row>
    <row r="9" spans="1:14" ht="11.25" customHeight="1">
      <c r="A9" s="262"/>
      <c r="B9" s="342" t="s">
        <v>105</v>
      </c>
      <c r="C9" s="342" t="s">
        <v>105</v>
      </c>
      <c r="D9" s="308" t="s">
        <v>106</v>
      </c>
      <c r="E9" s="343"/>
      <c r="F9" s="342" t="s">
        <v>107</v>
      </c>
      <c r="G9" s="308" t="s">
        <v>108</v>
      </c>
      <c r="H9" s="344"/>
      <c r="I9" s="345" t="s">
        <v>107</v>
      </c>
      <c r="J9" s="75" t="s">
        <v>109</v>
      </c>
      <c r="K9" s="346" t="s">
        <v>110</v>
      </c>
      <c r="L9" s="76"/>
    </row>
    <row r="10" spans="1:14" ht="21.75" customHeight="1">
      <c r="A10" s="73" t="s">
        <v>111</v>
      </c>
      <c r="B10" s="77" t="s">
        <v>11</v>
      </c>
      <c r="C10" s="77" t="s">
        <v>12</v>
      </c>
      <c r="D10" s="347"/>
      <c r="E10" s="347"/>
      <c r="F10" s="73"/>
      <c r="G10" s="348" t="s">
        <v>13</v>
      </c>
      <c r="H10" s="349" t="s">
        <v>112</v>
      </c>
      <c r="I10" s="78"/>
      <c r="J10" s="350" t="s">
        <v>113</v>
      </c>
      <c r="K10" s="309"/>
      <c r="L10" s="76"/>
      <c r="M10" s="10"/>
    </row>
    <row r="11" spans="1:14">
      <c r="A11" s="79"/>
      <c r="B11" s="80" t="s">
        <v>114</v>
      </c>
      <c r="C11" s="80" t="s">
        <v>115</v>
      </c>
      <c r="D11" s="81" t="s">
        <v>13</v>
      </c>
      <c r="E11" s="81" t="s">
        <v>116</v>
      </c>
      <c r="F11" s="81" t="s">
        <v>117</v>
      </c>
      <c r="G11" s="310"/>
      <c r="H11" s="311"/>
      <c r="I11" s="251" t="s">
        <v>118</v>
      </c>
      <c r="J11" s="312"/>
      <c r="K11" s="251" t="s">
        <v>119</v>
      </c>
      <c r="L11" s="73"/>
      <c r="M11" s="130" t="s">
        <v>23</v>
      </c>
    </row>
    <row r="12" spans="1:14" ht="11.25" customHeight="1">
      <c r="A12" s="20" t="s">
        <v>120</v>
      </c>
      <c r="B12" s="31">
        <f>SUM(B13,B20,B24)</f>
        <v>2628331921.8870001</v>
      </c>
      <c r="C12" s="31">
        <f>SUM(C13,C20,C24)</f>
        <v>2771813754.1370001</v>
      </c>
      <c r="D12" s="31">
        <f>SUM(D13,D20,D24)</f>
        <v>246350927.39899999</v>
      </c>
      <c r="E12" s="31">
        <f>SUM(E13,E20,E24)</f>
        <v>2119019488.335</v>
      </c>
      <c r="F12" s="31">
        <f>C12-E12</f>
        <v>652794265.80200005</v>
      </c>
      <c r="G12" s="31">
        <f>SUM(G13,G20,G24)</f>
        <v>193378148.89300001</v>
      </c>
      <c r="H12" s="31">
        <f>SUM(H13,H20,H24)</f>
        <v>1736030973.276</v>
      </c>
      <c r="I12" s="240">
        <f>SUM(I13,I20,I24)</f>
        <v>1035782780.8609999</v>
      </c>
      <c r="J12" s="240">
        <f>SUM(J13,J20,J24)</f>
        <v>1666924692.076</v>
      </c>
      <c r="K12" s="126">
        <f>SUM(K13,K20,K24)</f>
        <v>0</v>
      </c>
      <c r="L12" s="49"/>
      <c r="M12" s="71" t="str">
        <f>IFERROR(IF(AND(OR(_xlfn.ISFORMULA(B12),_xlfn.ISFORMULA(D12),_xlfn.ISFORMULA(F12),_xlfn.ISFORMULA(H12),_xlfn.ISFORMULA(I12),_xlfn.ISFORMULA(J12)),
SUM(ABS(B12),ABS(C12),ABS(D12),ABS(F12),ABS(H12),ABS(I12),ABS(J12),ABS(K12))=0),
"NÃO EXIBIR", "EXIBIR"
),"EXIBIR")</f>
        <v>EXIBIR</v>
      </c>
    </row>
    <row r="13" spans="1:14" ht="11.25" customHeight="1">
      <c r="A13" s="20" t="s">
        <v>121</v>
      </c>
      <c r="B13" s="31">
        <f>SUM(B14:B16)</f>
        <v>2093313641.8510001</v>
      </c>
      <c r="C13" s="31">
        <f t="shared" ref="C13:H13" si="0">SUM(C14:C16)</f>
        <v>2228934812.4040003</v>
      </c>
      <c r="D13" s="31">
        <f>SUM(D14:D16)</f>
        <v>214570253.741</v>
      </c>
      <c r="E13" s="31">
        <f t="shared" si="0"/>
        <v>1738158773.25</v>
      </c>
      <c r="F13" s="31">
        <f t="shared" ref="F13:F36" si="1">C13-E13</f>
        <v>490776039.15400028</v>
      </c>
      <c r="G13" s="31">
        <f t="shared" si="0"/>
        <v>188183641.24400002</v>
      </c>
      <c r="H13" s="31">
        <f t="shared" si="0"/>
        <v>1416697552.191</v>
      </c>
      <c r="I13" s="240">
        <f>SUM(I14:I16)</f>
        <v>812237260.21299994</v>
      </c>
      <c r="J13" s="240">
        <f>SUM(J14:J16)</f>
        <v>1348297816.368</v>
      </c>
      <c r="K13" s="126">
        <f>SUM(K14:K16)</f>
        <v>0</v>
      </c>
      <c r="L13" s="49"/>
      <c r="M13" s="71" t="str">
        <f t="shared" ref="M13:M76" si="2">IFERROR(IF(AND(OR(_xlfn.ISFORMULA(B13),_xlfn.ISFORMULA(D13),_xlfn.ISFORMULA(F13),_xlfn.ISFORMULA(H13),_xlfn.ISFORMULA(I13),_xlfn.ISFORMULA(J13)),
SUM(ABS(B13),ABS(C13),ABS(D13),ABS(F13),ABS(H13),ABS(I13),ABS(J13),ABS(K13))=0),
"NÃO EXIBIR", "EXIBIR"
),"EXIBIR")</f>
        <v>EXIBIR</v>
      </c>
    </row>
    <row r="14" spans="1:14" s="7" customFormat="1" ht="11.25" customHeight="1">
      <c r="A14" s="20" t="s">
        <v>122</v>
      </c>
      <c r="B14" s="31">
        <f>'Elaboração DESPESA'!C8</f>
        <v>335155980.07800001</v>
      </c>
      <c r="C14" s="31">
        <f>'Elaboração DESPESA'!D8</f>
        <v>334301929.03500003</v>
      </c>
      <c r="D14" s="31">
        <f>'Elaboração DESPESA'!E8</f>
        <v>11699502.818</v>
      </c>
      <c r="E14" s="31">
        <f>'Elaboração DESPESA'!F8</f>
        <v>263299114.77599999</v>
      </c>
      <c r="F14" s="31">
        <f t="shared" si="1"/>
        <v>71002814.259000033</v>
      </c>
      <c r="G14" s="31">
        <f>'Elaboração DESPESA'!G8</f>
        <v>24654325.861000001</v>
      </c>
      <c r="H14" s="31">
        <f>'Elaboração DESPESA'!H8</f>
        <v>211032740.20199999</v>
      </c>
      <c r="I14" s="240">
        <f t="shared" ref="I14:I19" si="3">C14-H14</f>
        <v>123269188.83300003</v>
      </c>
      <c r="J14" s="240">
        <f>'Elaboração DESPESA'!I8</f>
        <v>194872639.60499999</v>
      </c>
      <c r="K14" s="126">
        <f>'Elaboração DESPESA'!J8</f>
        <v>0</v>
      </c>
      <c r="L14" s="49"/>
      <c r="M14" s="71" t="str">
        <f t="shared" si="2"/>
        <v>EXIBIR</v>
      </c>
      <c r="N14" s="2"/>
    </row>
    <row r="15" spans="1:14" ht="11.25" customHeight="1">
      <c r="A15" s="20" t="s">
        <v>123</v>
      </c>
      <c r="B15" s="31">
        <f>'Elaboração DESPESA'!C9</f>
        <v>362618215.09200001</v>
      </c>
      <c r="C15" s="31">
        <f>'Elaboração DESPESA'!D9</f>
        <v>362617890.09200001</v>
      </c>
      <c r="D15" s="31">
        <f>'Elaboração DESPESA'!E9</f>
        <v>64475125.457999997</v>
      </c>
      <c r="E15" s="31">
        <f>'Elaboração DESPESA'!F9</f>
        <v>232391038.22799999</v>
      </c>
      <c r="F15" s="31">
        <f t="shared" si="1"/>
        <v>130226851.86400002</v>
      </c>
      <c r="G15" s="31">
        <f>'Elaboração DESPESA'!G9</f>
        <v>32230125.660999998</v>
      </c>
      <c r="H15" s="31">
        <f>'Elaboração DESPESA'!H9</f>
        <v>194806232.384</v>
      </c>
      <c r="I15" s="240">
        <f t="shared" si="3"/>
        <v>167811657.708</v>
      </c>
      <c r="J15" s="240">
        <f>'Elaboração DESPESA'!I9</f>
        <v>194806002.88299999</v>
      </c>
      <c r="K15" s="126">
        <f>'Elaboração DESPESA'!J9</f>
        <v>0</v>
      </c>
      <c r="L15" s="49"/>
      <c r="M15" s="71" t="str">
        <f t="shared" si="2"/>
        <v>EXIBIR</v>
      </c>
    </row>
    <row r="16" spans="1:14" ht="11.25" customHeight="1">
      <c r="A16" s="20" t="s">
        <v>124</v>
      </c>
      <c r="B16" s="31">
        <f>SUM(B17:B19)</f>
        <v>1395539446.681</v>
      </c>
      <c r="C16" s="31">
        <f>SUM(C17:C19)</f>
        <v>1532014993.277</v>
      </c>
      <c r="D16" s="31">
        <f>SUM(D17:D19)</f>
        <v>138395625.465</v>
      </c>
      <c r="E16" s="31">
        <f>SUM(E17:E19)</f>
        <v>1242468620.2460001</v>
      </c>
      <c r="F16" s="31">
        <f t="shared" si="1"/>
        <v>289546373.0309999</v>
      </c>
      <c r="G16" s="31">
        <f>SUM(G17:G19)</f>
        <v>131299189.722</v>
      </c>
      <c r="H16" s="31">
        <f>SUM(H17:H19)</f>
        <v>1010858579.605</v>
      </c>
      <c r="I16" s="240">
        <f t="shared" si="3"/>
        <v>521156413.67199993</v>
      </c>
      <c r="J16" s="240">
        <f>SUM(J17:J19)</f>
        <v>958619173.88</v>
      </c>
      <c r="K16" s="126">
        <f>SUM(K17:K19)</f>
        <v>0</v>
      </c>
      <c r="L16" s="49"/>
      <c r="M16" s="71" t="str">
        <f t="shared" si="2"/>
        <v>EXIBIR</v>
      </c>
    </row>
    <row r="17" spans="1:16" s="7" customFormat="1" ht="11.25" customHeight="1">
      <c r="A17" s="20" t="s">
        <v>125</v>
      </c>
      <c r="B17" s="31">
        <f>'Elaboração DESPESA'!C11</f>
        <v>410689204.33099997</v>
      </c>
      <c r="C17" s="31">
        <f>'Elaboração DESPESA'!D11</f>
        <v>423757050.83700001</v>
      </c>
      <c r="D17" s="31">
        <f>'Elaboração DESPESA'!E11</f>
        <v>19332044.227000002</v>
      </c>
      <c r="E17" s="31">
        <f>'Elaboração DESPESA'!F11</f>
        <v>378720072.17400002</v>
      </c>
      <c r="F17" s="31">
        <f t="shared" si="1"/>
        <v>45036978.662999988</v>
      </c>
      <c r="G17" s="31">
        <f>'Elaboração DESPESA'!G11</f>
        <v>45848610.366999999</v>
      </c>
      <c r="H17" s="31">
        <f>'Elaboração DESPESA'!H11</f>
        <v>288662167.80900002</v>
      </c>
      <c r="I17" s="240">
        <f t="shared" si="3"/>
        <v>135094883.028</v>
      </c>
      <c r="J17" s="240">
        <f>'Elaboração DESPESA'!I11</f>
        <v>284364822.95599997</v>
      </c>
      <c r="K17" s="126">
        <f>'Elaboração DESPESA'!J11</f>
        <v>0</v>
      </c>
      <c r="L17" s="49"/>
      <c r="M17" s="71" t="str">
        <f t="shared" si="2"/>
        <v>EXIBIR</v>
      </c>
    </row>
    <row r="18" spans="1:16" ht="11.25" customHeight="1">
      <c r="A18" s="20" t="s">
        <v>126</v>
      </c>
      <c r="B18" s="31">
        <f>'Elaboração DESPESA'!C12</f>
        <v>439859601.24800003</v>
      </c>
      <c r="C18" s="31">
        <f>'Elaboração DESPESA'!D12</f>
        <v>571654429.86600006</v>
      </c>
      <c r="D18" s="31">
        <f>'Elaboração DESPESA'!E12</f>
        <v>99116488.783000007</v>
      </c>
      <c r="E18" s="31">
        <f>'Elaboração DESPESA'!F12</f>
        <v>555217161.68099999</v>
      </c>
      <c r="F18" s="31">
        <f t="shared" si="1"/>
        <v>16437268.185000062</v>
      </c>
      <c r="G18" s="31">
        <f>'Elaboração DESPESA'!G12</f>
        <v>53622610.339000002</v>
      </c>
      <c r="H18" s="31">
        <f>'Elaboração DESPESA'!H12</f>
        <v>492408530.27899998</v>
      </c>
      <c r="I18" s="240">
        <f t="shared" si="3"/>
        <v>79245899.587000072</v>
      </c>
      <c r="J18" s="240">
        <f>'Elaboração DESPESA'!I12</f>
        <v>450776961.49800003</v>
      </c>
      <c r="K18" s="126">
        <f>'Elaboração DESPESA'!J12</f>
        <v>0</v>
      </c>
      <c r="L18" s="49"/>
      <c r="M18" s="71" t="str">
        <f t="shared" si="2"/>
        <v>EXIBIR</v>
      </c>
    </row>
    <row r="19" spans="1:16" ht="11.25" customHeight="1">
      <c r="A19" s="20" t="s">
        <v>127</v>
      </c>
      <c r="B19" s="31">
        <f>'Elaboração DESPESA'!C13</f>
        <v>544990641.102</v>
      </c>
      <c r="C19" s="31">
        <f>'Elaboração DESPESA'!D13</f>
        <v>536603512.574</v>
      </c>
      <c r="D19" s="31">
        <f>'Elaboração DESPESA'!E13</f>
        <v>19947092.454999998</v>
      </c>
      <c r="E19" s="31">
        <f>'Elaboração DESPESA'!F13</f>
        <v>308531386.39099997</v>
      </c>
      <c r="F19" s="31">
        <f t="shared" si="1"/>
        <v>228072126.18300003</v>
      </c>
      <c r="G19" s="31">
        <f>'Elaboração DESPESA'!G13</f>
        <v>31827969.015999999</v>
      </c>
      <c r="H19" s="31">
        <f>'Elaboração DESPESA'!H13</f>
        <v>229787881.51699999</v>
      </c>
      <c r="I19" s="240">
        <f t="shared" si="3"/>
        <v>306815631.05700004</v>
      </c>
      <c r="J19" s="240">
        <f>'Elaboração DESPESA'!I13</f>
        <v>223477389.426</v>
      </c>
      <c r="K19" s="126">
        <f>'Elaboração DESPESA'!J13</f>
        <v>0</v>
      </c>
      <c r="L19" s="49"/>
      <c r="M19" s="71" t="str">
        <f t="shared" si="2"/>
        <v>EXIBIR</v>
      </c>
    </row>
    <row r="20" spans="1:16" ht="11.25" customHeight="1">
      <c r="A20" s="20" t="s">
        <v>128</v>
      </c>
      <c r="B20" s="31">
        <f>SUM(B21:B23)</f>
        <v>493797603.05799997</v>
      </c>
      <c r="C20" s="31">
        <f t="shared" ref="C20:I20" si="4">SUM(C21:C23)</f>
        <v>503961459.34999996</v>
      </c>
      <c r="D20" s="31">
        <f>SUM(D21:D23)</f>
        <v>31780673.658</v>
      </c>
      <c r="E20" s="31">
        <f t="shared" si="4"/>
        <v>380860715.08500004</v>
      </c>
      <c r="F20" s="31">
        <f t="shared" si="1"/>
        <v>123100744.26499993</v>
      </c>
      <c r="G20" s="31">
        <f t="shared" si="4"/>
        <v>5194507.6489999993</v>
      </c>
      <c r="H20" s="31">
        <f>SUM(H21:H23)</f>
        <v>319333421.08500004</v>
      </c>
      <c r="I20" s="240">
        <f t="shared" si="4"/>
        <v>184628038.26499996</v>
      </c>
      <c r="J20" s="240">
        <f>SUM(J21:J23)</f>
        <v>318626875.708</v>
      </c>
      <c r="K20" s="126">
        <f>SUM(K21:K23)</f>
        <v>0</v>
      </c>
      <c r="L20" s="49"/>
      <c r="M20" s="71" t="str">
        <f t="shared" si="2"/>
        <v>EXIBIR</v>
      </c>
    </row>
    <row r="21" spans="1:16" ht="11.25" customHeight="1">
      <c r="A21" s="20" t="s">
        <v>129</v>
      </c>
      <c r="B21" s="31">
        <f>'Elaboração DESPESA'!C15</f>
        <v>38103056.115999997</v>
      </c>
      <c r="C21" s="31">
        <f>'Elaboração DESPESA'!D15</f>
        <v>40630958.138999999</v>
      </c>
      <c r="D21" s="31">
        <f>'Elaboração DESPESA'!E15</f>
        <v>5052162.7180000003</v>
      </c>
      <c r="E21" s="31">
        <f>'Elaboração DESPESA'!F15</f>
        <v>20135703.989999998</v>
      </c>
      <c r="F21" s="31">
        <f t="shared" si="1"/>
        <v>20495254.149</v>
      </c>
      <c r="G21" s="31">
        <f>'Elaboração DESPESA'!G15</f>
        <v>1479743.993</v>
      </c>
      <c r="H21" s="31">
        <f>'Elaboração DESPESA'!H15</f>
        <v>6421135.4230000004</v>
      </c>
      <c r="I21" s="240">
        <f>C21-H21</f>
        <v>34209822.715999998</v>
      </c>
      <c r="J21" s="240">
        <f>'Elaboração DESPESA'!I15</f>
        <v>5720106.0130000003</v>
      </c>
      <c r="K21" s="126">
        <f>'Elaboração DESPESA'!J15</f>
        <v>0</v>
      </c>
      <c r="L21" s="49"/>
      <c r="M21" s="71" t="str">
        <f t="shared" si="2"/>
        <v>EXIBIR</v>
      </c>
    </row>
    <row r="22" spans="1:16" ht="11.25" customHeight="1">
      <c r="A22" s="20" t="s">
        <v>130</v>
      </c>
      <c r="B22" s="31">
        <f>'Elaboração DESPESA'!C16</f>
        <v>80600705.427000001</v>
      </c>
      <c r="C22" s="31">
        <f>'Elaboração DESPESA'!D16</f>
        <v>88236334.695999995</v>
      </c>
      <c r="D22" s="31">
        <f>'Elaboração DESPESA'!E16</f>
        <v>-1122758.138</v>
      </c>
      <c r="E22" s="31">
        <f>'Elaboração DESPESA'!F16</f>
        <v>55534673.822999999</v>
      </c>
      <c r="F22" s="31">
        <f t="shared" si="1"/>
        <v>32701660.872999996</v>
      </c>
      <c r="G22" s="31">
        <f>'Elaboração DESPESA'!G16</f>
        <v>3701362.0959999999</v>
      </c>
      <c r="H22" s="31">
        <f>'Elaboração DESPESA'!H16</f>
        <v>35874214.191</v>
      </c>
      <c r="I22" s="240">
        <f>C22-H22</f>
        <v>52362120.504999995</v>
      </c>
      <c r="J22" s="240">
        <f>'Elaboração DESPESA'!I16</f>
        <v>35869994.105999999</v>
      </c>
      <c r="K22" s="126">
        <f>'Elaboração DESPESA'!J16</f>
        <v>0</v>
      </c>
      <c r="L22" s="49"/>
      <c r="M22" s="71" t="str">
        <f t="shared" si="2"/>
        <v>EXIBIR</v>
      </c>
    </row>
    <row r="23" spans="1:16" ht="11.25" customHeight="1">
      <c r="A23" s="20" t="s">
        <v>131</v>
      </c>
      <c r="B23" s="31">
        <f>'Elaboração DESPESA'!C17</f>
        <v>375093841.51499999</v>
      </c>
      <c r="C23" s="31">
        <f>'Elaboração DESPESA'!D17</f>
        <v>375094166.51499999</v>
      </c>
      <c r="D23" s="31">
        <f>'Elaboração DESPESA'!E17</f>
        <v>27851269.078000002</v>
      </c>
      <c r="E23" s="31">
        <f>'Elaboração DESPESA'!F17</f>
        <v>305190337.27200001</v>
      </c>
      <c r="F23" s="31">
        <f t="shared" si="1"/>
        <v>69903829.242999971</v>
      </c>
      <c r="G23" s="31">
        <f>'Elaboração DESPESA'!G17</f>
        <v>13401.56</v>
      </c>
      <c r="H23" s="31">
        <f>'Elaboração DESPESA'!H17</f>
        <v>277038071.47100002</v>
      </c>
      <c r="I23" s="240">
        <f>C23-H23</f>
        <v>98056095.04399997</v>
      </c>
      <c r="J23" s="240">
        <f>'Elaboração DESPESA'!I17</f>
        <v>277036775.58899999</v>
      </c>
      <c r="K23" s="126">
        <f>'Elaboração DESPESA'!J17</f>
        <v>0</v>
      </c>
      <c r="L23" s="49"/>
      <c r="M23" s="71" t="str">
        <f t="shared" si="2"/>
        <v>EXIBIR</v>
      </c>
    </row>
    <row r="24" spans="1:16" ht="11.25" customHeight="1">
      <c r="A24" s="20" t="s">
        <v>132</v>
      </c>
      <c r="B24" s="31">
        <f>'Elaboração DESPESA'!C18</f>
        <v>41220676.978</v>
      </c>
      <c r="C24" s="31">
        <f>'Elaboração DESPESA'!D18</f>
        <v>38917482.383000001</v>
      </c>
      <c r="D24" s="31">
        <f>'Elaboração DESPESA'!E18</f>
        <v>0</v>
      </c>
      <c r="E24" s="31">
        <f>'Elaboração DESPESA'!F18</f>
        <v>0</v>
      </c>
      <c r="F24" s="31">
        <f t="shared" si="1"/>
        <v>38917482.383000001</v>
      </c>
      <c r="G24" s="31">
        <f>'Elaboração DESPESA'!G18</f>
        <v>0</v>
      </c>
      <c r="H24" s="31">
        <f>'Elaboração DESPESA'!H18</f>
        <v>0</v>
      </c>
      <c r="I24" s="240">
        <f>C24-H24</f>
        <v>38917482.383000001</v>
      </c>
      <c r="J24" s="240">
        <f>'Elaboração DESPESA'!I18</f>
        <v>0</v>
      </c>
      <c r="K24" s="126">
        <f>'Elaboração DESPESA'!J18</f>
        <v>0</v>
      </c>
      <c r="L24" s="49"/>
      <c r="M24" s="71" t="str">
        <f t="shared" si="2"/>
        <v>EXIBIR</v>
      </c>
    </row>
    <row r="25" spans="1:16" ht="11.25" customHeight="1">
      <c r="A25" s="20" t="s">
        <v>133</v>
      </c>
      <c r="B25" s="31">
        <f>SUM(B26,B32,B36)</f>
        <v>34213658.640000001</v>
      </c>
      <c r="C25" s="31">
        <f>SUM(C26,C32,C36)</f>
        <v>39032083.975000001</v>
      </c>
      <c r="D25" s="31">
        <f>SUM(D26,D32,D36)</f>
        <v>957825.72600000002</v>
      </c>
      <c r="E25" s="31">
        <f>SUM(E26,E32,E36)</f>
        <v>33544135.262000002</v>
      </c>
      <c r="F25" s="31">
        <f t="shared" si="1"/>
        <v>5487948.7129999995</v>
      </c>
      <c r="G25" s="31">
        <f>SUM(G26,G32,G36)</f>
        <v>2833972.8820000002</v>
      </c>
      <c r="H25" s="31">
        <f>SUM(H26,H32,H36)</f>
        <v>22488036.511</v>
      </c>
      <c r="I25" s="240">
        <f>SUM(I26,I32,I36)</f>
        <v>16544047.464</v>
      </c>
      <c r="J25" s="240">
        <f>SUM(J26,J32,J36)</f>
        <v>22260569.653999999</v>
      </c>
      <c r="K25" s="126">
        <f>SUM(K26,K32,K36)</f>
        <v>0</v>
      </c>
      <c r="L25" s="49"/>
      <c r="M25" s="71" t="str">
        <f t="shared" si="2"/>
        <v>EXIBIR</v>
      </c>
    </row>
    <row r="26" spans="1:16" ht="11.25" customHeight="1">
      <c r="A26" s="20" t="s">
        <v>121</v>
      </c>
      <c r="B26" s="31">
        <f t="shared" ref="B26:H26" si="5">SUM(B27:B29)</f>
        <v>33631902.629000001</v>
      </c>
      <c r="C26" s="31">
        <f t="shared" si="5"/>
        <v>38450354.475000001</v>
      </c>
      <c r="D26" s="31">
        <f>SUM(D27:D29)</f>
        <v>960587.31700000004</v>
      </c>
      <c r="E26" s="31">
        <f>SUM(E27:E29)</f>
        <v>32965547.287</v>
      </c>
      <c r="F26" s="31">
        <f t="shared" si="1"/>
        <v>5484807.188000001</v>
      </c>
      <c r="G26" s="31">
        <f t="shared" si="5"/>
        <v>2809196.0440000002</v>
      </c>
      <c r="H26" s="31">
        <f t="shared" si="5"/>
        <v>22316449.921999998</v>
      </c>
      <c r="I26" s="240">
        <f>SUM(I27:I29)</f>
        <v>16133904.552999999</v>
      </c>
      <c r="J26" s="240">
        <f>SUM(J27:J29)</f>
        <v>22088986.048999999</v>
      </c>
      <c r="K26" s="126">
        <f>SUM(K27:K29)</f>
        <v>0</v>
      </c>
      <c r="L26" s="49"/>
      <c r="M26" s="71" t="str">
        <f t="shared" si="2"/>
        <v>EXIBIR</v>
      </c>
    </row>
    <row r="27" spans="1:16" ht="11.25" customHeight="1">
      <c r="A27" s="20" t="s">
        <v>122</v>
      </c>
      <c r="B27" s="31">
        <f>'Elaboração DESPESA'!C21</f>
        <v>28495609.995999999</v>
      </c>
      <c r="C27" s="31">
        <f>'Elaboração DESPESA'!D21</f>
        <v>28454296.666999999</v>
      </c>
      <c r="D27" s="31">
        <f>'Elaboração DESPESA'!E21</f>
        <v>738473.56700000004</v>
      </c>
      <c r="E27" s="31">
        <f>'Elaboração DESPESA'!F21</f>
        <v>23185252.522</v>
      </c>
      <c r="F27" s="31">
        <f t="shared" si="1"/>
        <v>5269044.1449999996</v>
      </c>
      <c r="G27" s="31">
        <f>'Elaboração DESPESA'!G21</f>
        <v>2177683.6910000001</v>
      </c>
      <c r="H27" s="31">
        <f>'Elaboração DESPESA'!H21</f>
        <v>16276231.499</v>
      </c>
      <c r="I27" s="240">
        <f>C27-H27</f>
        <v>12178065.168</v>
      </c>
      <c r="J27" s="240">
        <f>'Elaboração DESPESA'!I21</f>
        <v>16056125.347999999</v>
      </c>
      <c r="K27" s="126">
        <f>'Elaboração DESPESA'!J21</f>
        <v>0</v>
      </c>
      <c r="L27" s="49"/>
      <c r="M27" s="71" t="str">
        <f t="shared" si="2"/>
        <v>EXIBIR</v>
      </c>
      <c r="N27" s="11"/>
      <c r="O27" s="11"/>
      <c r="P27" s="11"/>
    </row>
    <row r="28" spans="1:16" ht="11.25" hidden="1" customHeight="1">
      <c r="A28" s="20" t="s">
        <v>123</v>
      </c>
      <c r="B28" s="47">
        <f>'Elaboração DESPESA'!C22</f>
        <v>0</v>
      </c>
      <c r="C28" s="47">
        <f>'Elaboração DESPESA'!D22</f>
        <v>0</v>
      </c>
      <c r="D28" s="47">
        <f>'Elaboração DESPESA'!E22</f>
        <v>0</v>
      </c>
      <c r="E28" s="47">
        <f>'Elaboração DESPESA'!F22</f>
        <v>0</v>
      </c>
      <c r="F28" s="47">
        <f t="shared" si="1"/>
        <v>0</v>
      </c>
      <c r="G28" s="47"/>
      <c r="H28" s="47"/>
      <c r="I28" s="48">
        <f>C28-H28</f>
        <v>0</v>
      </c>
      <c r="J28" s="48">
        <f>'Elaboração DESPESA'!I22</f>
        <v>0</v>
      </c>
      <c r="K28" s="126">
        <f>'Elaboração DESPESA'!J22</f>
        <v>0</v>
      </c>
      <c r="L28" s="49"/>
      <c r="M28" s="71" t="str">
        <f t="shared" si="2"/>
        <v>NÃO EXIBIR</v>
      </c>
    </row>
    <row r="29" spans="1:16" ht="11.25" customHeight="1">
      <c r="A29" s="20" t="s">
        <v>124</v>
      </c>
      <c r="B29" s="31">
        <f>'Elaboração DESPESA'!C23</f>
        <v>5136292.6330000004</v>
      </c>
      <c r="C29" s="31">
        <f>'Elaboração DESPESA'!D23</f>
        <v>9996057.8080000002</v>
      </c>
      <c r="D29" s="31">
        <f>'Elaboração DESPESA'!E23</f>
        <v>222113.75</v>
      </c>
      <c r="E29" s="31">
        <f>'Elaboração DESPESA'!F23</f>
        <v>9780294.7650000006</v>
      </c>
      <c r="F29" s="31">
        <f t="shared" si="1"/>
        <v>215763.0429999996</v>
      </c>
      <c r="G29" s="31">
        <f>'Elaboração DESPESA'!G23</f>
        <v>631512.353</v>
      </c>
      <c r="H29" s="31">
        <f>'Elaboração DESPESA'!H23</f>
        <v>6040218.4230000004</v>
      </c>
      <c r="I29" s="240">
        <f>C29-H29</f>
        <v>3955839.3849999998</v>
      </c>
      <c r="J29" s="240">
        <f>'Elaboração DESPESA'!I23</f>
        <v>6032860.7010000004</v>
      </c>
      <c r="K29" s="126">
        <f>'Elaboração DESPESA'!J23</f>
        <v>0</v>
      </c>
      <c r="L29" s="49"/>
      <c r="M29" s="71" t="str">
        <f t="shared" si="2"/>
        <v>EXIBIR</v>
      </c>
    </row>
    <row r="30" spans="1:16" ht="11.25" hidden="1" customHeight="1">
      <c r="A30" s="20" t="s">
        <v>126</v>
      </c>
      <c r="B30" s="47"/>
      <c r="C30" s="47"/>
      <c r="D30" s="47"/>
      <c r="E30" s="47"/>
      <c r="F30" s="47">
        <f t="shared" si="1"/>
        <v>0</v>
      </c>
      <c r="G30" s="47"/>
      <c r="H30" s="47"/>
      <c r="I30" s="48">
        <f>C30-H30</f>
        <v>0</v>
      </c>
      <c r="J30" s="48"/>
      <c r="K30" s="126"/>
      <c r="L30" s="49"/>
      <c r="M30" s="71" t="str">
        <f t="shared" si="2"/>
        <v>NÃO EXIBIR</v>
      </c>
    </row>
    <row r="31" spans="1:16" ht="11.25" customHeight="1">
      <c r="A31" s="20" t="s">
        <v>127</v>
      </c>
      <c r="B31" s="31">
        <f>B29-B30</f>
        <v>5136292.6330000004</v>
      </c>
      <c r="C31" s="31">
        <f>C29-C30</f>
        <v>9996057.8080000002</v>
      </c>
      <c r="D31" s="31">
        <f>D29-D30</f>
        <v>222113.75</v>
      </c>
      <c r="E31" s="31">
        <f>E29-E30</f>
        <v>9780294.7650000006</v>
      </c>
      <c r="F31" s="31">
        <f t="shared" si="1"/>
        <v>215763.0429999996</v>
      </c>
      <c r="G31" s="31">
        <f>G29-G30</f>
        <v>631512.353</v>
      </c>
      <c r="H31" s="31">
        <f>H29-H30</f>
        <v>6040218.4230000004</v>
      </c>
      <c r="I31" s="240">
        <f>C31-H31</f>
        <v>3955839.3849999998</v>
      </c>
      <c r="J31" s="240">
        <f>J29-J30</f>
        <v>6032860.7010000004</v>
      </c>
      <c r="K31" s="126">
        <f>K29-K30</f>
        <v>0</v>
      </c>
      <c r="L31" s="49"/>
      <c r="M31" s="71" t="str">
        <f t="shared" si="2"/>
        <v>EXIBIR</v>
      </c>
    </row>
    <row r="32" spans="1:16" ht="11.25" customHeight="1">
      <c r="A32" s="20" t="s">
        <v>128</v>
      </c>
      <c r="B32" s="31">
        <f t="shared" ref="B32:H32" si="6">SUM(B33:B35)</f>
        <v>581756.01100000006</v>
      </c>
      <c r="C32" s="31">
        <f t="shared" si="6"/>
        <v>581729.5</v>
      </c>
      <c r="D32" s="31">
        <f t="shared" si="6"/>
        <v>-2761.5909999999999</v>
      </c>
      <c r="E32" s="31">
        <f t="shared" si="6"/>
        <v>578587.97500000009</v>
      </c>
      <c r="F32" s="31">
        <f t="shared" si="1"/>
        <v>3141.5249999999069</v>
      </c>
      <c r="G32" s="31">
        <f>SUM(G33:G35)</f>
        <v>24776.838</v>
      </c>
      <c r="H32" s="31">
        <f t="shared" si="6"/>
        <v>171586.58899999998</v>
      </c>
      <c r="I32" s="240">
        <f>SUM(I33:I35)</f>
        <v>410142.91100000008</v>
      </c>
      <c r="J32" s="240">
        <f>SUM(J33:J35)</f>
        <v>171583.60499999998</v>
      </c>
      <c r="K32" s="126">
        <f>SUM(K33:K35)</f>
        <v>0</v>
      </c>
      <c r="L32" s="49"/>
      <c r="M32" s="71" t="str">
        <f t="shared" si="2"/>
        <v>EXIBIR</v>
      </c>
    </row>
    <row r="33" spans="1:13" ht="11.25" customHeight="1">
      <c r="A33" s="20" t="s">
        <v>129</v>
      </c>
      <c r="B33" s="31">
        <f>'Elaboração DESPESA'!C25</f>
        <v>25823.830999999998</v>
      </c>
      <c r="C33" s="31">
        <f>'Elaboração DESPESA'!D25</f>
        <v>25797.32</v>
      </c>
      <c r="D33" s="31">
        <f>'Elaboração DESPESA'!E25</f>
        <v>-2761.5909999999999</v>
      </c>
      <c r="E33" s="31">
        <f>'Elaboração DESPESA'!F25</f>
        <v>22655.794999999998</v>
      </c>
      <c r="F33" s="31">
        <f t="shared" si="1"/>
        <v>3141.5250000000015</v>
      </c>
      <c r="G33" s="31">
        <f>'Elaboração DESPESA'!G25</f>
        <v>3006.6750000000002</v>
      </c>
      <c r="H33" s="31">
        <f>'Elaboração DESPESA'!H25</f>
        <v>8421.4599999999991</v>
      </c>
      <c r="I33" s="240">
        <f>C33-H33</f>
        <v>17375.86</v>
      </c>
      <c r="J33" s="240">
        <f>'Elaboração DESPESA'!I25</f>
        <v>8418.4760000000006</v>
      </c>
      <c r="K33" s="126">
        <f>'Elaboração DESPESA'!J25</f>
        <v>0</v>
      </c>
      <c r="L33" s="49"/>
      <c r="M33" s="71" t="str">
        <f t="shared" si="2"/>
        <v>EXIBIR</v>
      </c>
    </row>
    <row r="34" spans="1:13">
      <c r="A34" s="20" t="s">
        <v>130</v>
      </c>
      <c r="B34" s="31">
        <f>'Elaboração DESPESA'!C26</f>
        <v>555932.18000000005</v>
      </c>
      <c r="C34" s="31">
        <f>'Elaboração DESPESA'!D26</f>
        <v>555932.18000000005</v>
      </c>
      <c r="D34" s="31">
        <f>'Elaboração DESPESA'!E26</f>
        <v>0</v>
      </c>
      <c r="E34" s="31">
        <f>'Elaboração DESPESA'!F26</f>
        <v>555932.18000000005</v>
      </c>
      <c r="F34" s="31">
        <f t="shared" si="1"/>
        <v>0</v>
      </c>
      <c r="G34" s="31">
        <f>'Elaboração DESPESA'!G26</f>
        <v>21770.163</v>
      </c>
      <c r="H34" s="31">
        <f>'Elaboração DESPESA'!H26</f>
        <v>163165.12899999999</v>
      </c>
      <c r="I34" s="240">
        <f>C34-H34</f>
        <v>392767.05100000009</v>
      </c>
      <c r="J34" s="240">
        <f>'Elaboração DESPESA'!I26</f>
        <v>163165.12899999999</v>
      </c>
      <c r="K34" s="126">
        <f>'Elaboração DESPESA'!J26</f>
        <v>0</v>
      </c>
      <c r="L34" s="49"/>
      <c r="M34" s="71" t="str">
        <f t="shared" si="2"/>
        <v>EXIBIR</v>
      </c>
    </row>
    <row r="35" spans="1:13" s="20" customFormat="1" ht="11.25" hidden="1" customHeight="1">
      <c r="A35" s="20" t="s">
        <v>131</v>
      </c>
      <c r="B35" s="47">
        <f>'Elaboração DESPESA'!C27</f>
        <v>0</v>
      </c>
      <c r="C35" s="47">
        <f>'Elaboração DESPESA'!D27</f>
        <v>0</v>
      </c>
      <c r="D35" s="47">
        <f>'Elaboração DESPESA'!E27</f>
        <v>0</v>
      </c>
      <c r="E35" s="47">
        <f>'Elaboração DESPESA'!F27</f>
        <v>0</v>
      </c>
      <c r="F35" s="47">
        <f t="shared" si="1"/>
        <v>0</v>
      </c>
      <c r="G35" s="47">
        <f>'Elaboração DESPESA'!G27</f>
        <v>0</v>
      </c>
      <c r="H35" s="47">
        <f>'Elaboração DESPESA'!H27</f>
        <v>0</v>
      </c>
      <c r="I35" s="48">
        <f>C35-H35</f>
        <v>0</v>
      </c>
      <c r="J35" s="48">
        <f>'Elaboração DESPESA'!I27</f>
        <v>0</v>
      </c>
      <c r="K35" s="126">
        <f>'Elaboração DESPESA'!J27</f>
        <v>0</v>
      </c>
      <c r="L35" s="49"/>
      <c r="M35" s="71" t="str">
        <f t="shared" si="2"/>
        <v>NÃO EXIBIR</v>
      </c>
    </row>
    <row r="36" spans="1:13" ht="11.25" hidden="1" customHeight="1">
      <c r="A36" s="20" t="s">
        <v>132</v>
      </c>
      <c r="B36" s="47">
        <f>'Elaboração DESPESA'!C28</f>
        <v>0</v>
      </c>
      <c r="C36" s="47">
        <f>'Elaboração DESPESA'!D28</f>
        <v>0</v>
      </c>
      <c r="D36" s="47">
        <f>'Elaboração DESPESA'!E28</f>
        <v>0</v>
      </c>
      <c r="E36" s="47">
        <f>'Elaboração DESPESA'!F28</f>
        <v>0</v>
      </c>
      <c r="F36" s="47">
        <f t="shared" si="1"/>
        <v>0</v>
      </c>
      <c r="G36" s="47">
        <f>'Elaboração DESPESA'!G28</f>
        <v>0</v>
      </c>
      <c r="H36" s="47">
        <f>'Elaboração DESPESA'!H28</f>
        <v>0</v>
      </c>
      <c r="I36" s="48">
        <f>C36-H36</f>
        <v>0</v>
      </c>
      <c r="J36" s="48">
        <f>'Elaboração DESPESA'!I28</f>
        <v>0</v>
      </c>
      <c r="K36" s="126">
        <f>'Elaboração DESPESA'!J28</f>
        <v>0</v>
      </c>
      <c r="L36" s="49"/>
      <c r="M36" s="71" t="str">
        <f t="shared" si="2"/>
        <v>NÃO EXIBIR</v>
      </c>
    </row>
    <row r="37" spans="1:13" ht="11.25" customHeight="1">
      <c r="A37" s="351" t="s">
        <v>134</v>
      </c>
      <c r="B37" s="239">
        <f>SUM(B12,B25)</f>
        <v>2662545580.527</v>
      </c>
      <c r="C37" s="239">
        <f>SUM(C12,C25)</f>
        <v>2810845838.112</v>
      </c>
      <c r="D37" s="239">
        <f>SUM(D12,D25)</f>
        <v>247308753.125</v>
      </c>
      <c r="E37" s="239">
        <f>SUM(E12,E25)</f>
        <v>2152563623.5970001</v>
      </c>
      <c r="F37" s="239">
        <f>C37-E37</f>
        <v>658282214.51499987</v>
      </c>
      <c r="G37" s="239">
        <f>SUM(G12,G25)</f>
        <v>196212121.77500001</v>
      </c>
      <c r="H37" s="239">
        <f>SUM(H12,H25)</f>
        <v>1758519009.7869999</v>
      </c>
      <c r="I37" s="239">
        <f>SUM(I12,I25)</f>
        <v>1052326828.3249999</v>
      </c>
      <c r="J37" s="239">
        <f>SUM(J12,J25)</f>
        <v>1689185261.73</v>
      </c>
      <c r="K37" s="128">
        <f>SUM(K12,K25)</f>
        <v>0</v>
      </c>
      <c r="L37" s="49"/>
      <c r="M37" s="71" t="str">
        <f t="shared" si="2"/>
        <v>EXIBIR</v>
      </c>
    </row>
    <row r="38" spans="1:13" ht="13.5" customHeight="1">
      <c r="A38" s="263" t="s">
        <v>135</v>
      </c>
      <c r="B38" s="240">
        <f>B39+B42</f>
        <v>1498690968.6270001</v>
      </c>
      <c r="C38" s="240">
        <f>C39+C42</f>
        <v>1498690968.6270001</v>
      </c>
      <c r="D38" s="240">
        <f>D39+D42</f>
        <v>233286304.27399999</v>
      </c>
      <c r="E38" s="240">
        <f>E39+E42</f>
        <v>1070073735.22</v>
      </c>
      <c r="F38" s="240">
        <f>C38-E38</f>
        <v>428617233.40700006</v>
      </c>
      <c r="G38" s="240">
        <f>G39+G42</f>
        <v>2599720.7450000001</v>
      </c>
      <c r="H38" s="240">
        <f>H39+H42</f>
        <v>749803100.755</v>
      </c>
      <c r="I38" s="240">
        <f>I39+I42</f>
        <v>748887867.8720001</v>
      </c>
      <c r="J38" s="240">
        <f>J39+J42</f>
        <v>749803100.755</v>
      </c>
      <c r="K38" s="126">
        <f>K39+K42</f>
        <v>0</v>
      </c>
      <c r="L38" s="49"/>
      <c r="M38" s="71" t="str">
        <f t="shared" si="2"/>
        <v>EXIBIR</v>
      </c>
    </row>
    <row r="39" spans="1:13" ht="11.25" customHeight="1">
      <c r="A39" s="82" t="s">
        <v>136</v>
      </c>
      <c r="B39" s="31">
        <f>SUM(B40:B41)</f>
        <v>1434393049.3970001</v>
      </c>
      <c r="C39" s="31">
        <f>SUM(C40:C41)</f>
        <v>1434393049.3970001</v>
      </c>
      <c r="D39" s="31">
        <f>SUM(D40:D41)</f>
        <v>233197350.836</v>
      </c>
      <c r="E39" s="31">
        <f>SUM(E40:E41)</f>
        <v>1045452809.788</v>
      </c>
      <c r="F39" s="240">
        <f t="shared" ref="F39:F44" si="7">C39-E39</f>
        <v>388940239.60900009</v>
      </c>
      <c r="G39" s="31">
        <f>SUM(G40:G41)</f>
        <v>2510767.307</v>
      </c>
      <c r="H39" s="31">
        <f>SUM(H40:H41)</f>
        <v>725232175.32299995</v>
      </c>
      <c r="I39" s="240">
        <f t="shared" ref="I39:I44" si="8">C39-H39</f>
        <v>709160874.07400012</v>
      </c>
      <c r="J39" s="240">
        <f>SUM(J40:J41)</f>
        <v>725232175.32299995</v>
      </c>
      <c r="K39" s="126">
        <f>SUM(K40:K41)</f>
        <v>0</v>
      </c>
      <c r="L39" s="49"/>
      <c r="M39" s="71" t="str">
        <f t="shared" si="2"/>
        <v>EXIBIR</v>
      </c>
    </row>
    <row r="40" spans="1:13" ht="11.25" customHeight="1">
      <c r="A40" s="82" t="s">
        <v>137</v>
      </c>
      <c r="B40" s="31">
        <f>'Elaboração DESPESA'!C32</f>
        <v>1399235985.553</v>
      </c>
      <c r="C40" s="31">
        <f>'Elaboração DESPESA'!D32</f>
        <v>1399235985.553</v>
      </c>
      <c r="D40" s="31">
        <f>'Elaboração DESPESA'!E32</f>
        <v>232540576.317</v>
      </c>
      <c r="E40" s="31">
        <f>'Elaboração DESPESA'!F32</f>
        <v>1037469840.497</v>
      </c>
      <c r="F40" s="240">
        <f t="shared" si="7"/>
        <v>361766145.05599999</v>
      </c>
      <c r="G40" s="31">
        <f>'Elaboração DESPESA'!G32</f>
        <v>2269392.7880000002</v>
      </c>
      <c r="H40" s="31">
        <f>'Elaboração DESPESA'!H32</f>
        <v>722727686.03199995</v>
      </c>
      <c r="I40" s="240">
        <f t="shared" si="8"/>
        <v>676508299.52100003</v>
      </c>
      <c r="J40" s="240">
        <f>'Elaboração DESPESA'!I32</f>
        <v>722727686.03199995</v>
      </c>
      <c r="K40" s="126">
        <f>'Elaboração DESPESA'!J32</f>
        <v>0</v>
      </c>
      <c r="L40" s="49"/>
      <c r="M40" s="71" t="str">
        <f t="shared" si="2"/>
        <v>EXIBIR</v>
      </c>
    </row>
    <row r="41" spans="1:13" ht="11.25" customHeight="1">
      <c r="A41" s="82" t="s">
        <v>138</v>
      </c>
      <c r="B41" s="31">
        <f>'Elaboração DESPESA'!C33</f>
        <v>35157063.843999997</v>
      </c>
      <c r="C41" s="31">
        <f>'Elaboração DESPESA'!D33</f>
        <v>35157063.843999997</v>
      </c>
      <c r="D41" s="31">
        <f>'Elaboração DESPESA'!E33</f>
        <v>656774.51899999997</v>
      </c>
      <c r="E41" s="31">
        <f>'Elaboração DESPESA'!F33</f>
        <v>7982969.2910000002</v>
      </c>
      <c r="F41" s="240">
        <f t="shared" si="7"/>
        <v>27174094.552999996</v>
      </c>
      <c r="G41" s="31">
        <f>'Elaboração DESPESA'!G33</f>
        <v>241374.519</v>
      </c>
      <c r="H41" s="31">
        <f>'Elaboração DESPESA'!H33</f>
        <v>2504489.2910000002</v>
      </c>
      <c r="I41" s="240">
        <f t="shared" si="8"/>
        <v>32652574.552999996</v>
      </c>
      <c r="J41" s="240">
        <f>'Elaboração DESPESA'!I33</f>
        <v>2504489.2910000002</v>
      </c>
      <c r="K41" s="126">
        <f>'Elaboração DESPESA'!J33</f>
        <v>0</v>
      </c>
      <c r="L41" s="49"/>
      <c r="M41" s="71" t="str">
        <f t="shared" si="2"/>
        <v>EXIBIR</v>
      </c>
    </row>
    <row r="42" spans="1:13" ht="11.25" customHeight="1">
      <c r="A42" s="82" t="s">
        <v>139</v>
      </c>
      <c r="B42" s="31">
        <f t="shared" ref="B42:G42" si="9">SUM(B43:B44)</f>
        <v>64297919.230000004</v>
      </c>
      <c r="C42" s="31">
        <f t="shared" si="9"/>
        <v>64297919.230000004</v>
      </c>
      <c r="D42" s="31">
        <f t="shared" si="9"/>
        <v>88953.437999999995</v>
      </c>
      <c r="E42" s="31">
        <f t="shared" si="9"/>
        <v>24620925.432</v>
      </c>
      <c r="F42" s="240">
        <f t="shared" si="7"/>
        <v>39676993.798000008</v>
      </c>
      <c r="G42" s="31">
        <f t="shared" si="9"/>
        <v>88953.437999999995</v>
      </c>
      <c r="H42" s="31">
        <f>SUM(H43:H44)</f>
        <v>24570925.432</v>
      </c>
      <c r="I42" s="240">
        <f t="shared" si="8"/>
        <v>39726993.798000008</v>
      </c>
      <c r="J42" s="240">
        <f>SUM(J43:J44)</f>
        <v>24570925.432</v>
      </c>
      <c r="K42" s="126">
        <f>SUM(K43:K44)</f>
        <v>0</v>
      </c>
      <c r="L42" s="49"/>
      <c r="M42" s="71" t="str">
        <f t="shared" si="2"/>
        <v>EXIBIR</v>
      </c>
    </row>
    <row r="43" spans="1:13" ht="11.25" customHeight="1">
      <c r="A43" s="82" t="s">
        <v>137</v>
      </c>
      <c r="B43" s="240">
        <f>'Elaboração DESPESA'!C35</f>
        <v>57037053.651000001</v>
      </c>
      <c r="C43" s="240">
        <f>'Elaboração DESPESA'!D35</f>
        <v>57037053.651000001</v>
      </c>
      <c r="D43" s="240">
        <f>'Elaboração DESPESA'!E35</f>
        <v>0</v>
      </c>
      <c r="E43" s="240">
        <f>'Elaboração DESPESA'!F35</f>
        <v>21476304.879000001</v>
      </c>
      <c r="F43" s="240">
        <f t="shared" si="7"/>
        <v>35560748.772</v>
      </c>
      <c r="G43" s="240">
        <f>'Elaboração DESPESA'!G35</f>
        <v>0</v>
      </c>
      <c r="H43" s="240">
        <f>'Elaboração DESPESA'!H35</f>
        <v>21426304.879000001</v>
      </c>
      <c r="I43" s="240">
        <f t="shared" si="8"/>
        <v>35610748.772</v>
      </c>
      <c r="J43" s="240">
        <f>'Elaboração DESPESA'!I35</f>
        <v>21426304.879000001</v>
      </c>
      <c r="K43" s="126">
        <f>'Elaboração DESPESA'!J35</f>
        <v>0</v>
      </c>
      <c r="L43" s="49"/>
      <c r="M43" s="71" t="str">
        <f t="shared" si="2"/>
        <v>EXIBIR</v>
      </c>
    </row>
    <row r="44" spans="1:13" ht="11.25" customHeight="1">
      <c r="A44" s="33" t="s">
        <v>138</v>
      </c>
      <c r="B44" s="240">
        <f>'Elaboração DESPESA'!C36</f>
        <v>7260865.5789999999</v>
      </c>
      <c r="C44" s="240">
        <f>'Elaboração DESPESA'!D36</f>
        <v>7260865.5789999999</v>
      </c>
      <c r="D44" s="240">
        <f>'Elaboração DESPESA'!E36</f>
        <v>88953.437999999995</v>
      </c>
      <c r="E44" s="240">
        <f>'Elaboração DESPESA'!F36</f>
        <v>3144620.5529999998</v>
      </c>
      <c r="F44" s="240">
        <f t="shared" si="7"/>
        <v>4116245.0260000001</v>
      </c>
      <c r="G44" s="240">
        <f>'Elaboração DESPESA'!G36</f>
        <v>88953.437999999995</v>
      </c>
      <c r="H44" s="240">
        <f>'Elaboração DESPESA'!H36</f>
        <v>3144620.5529999998</v>
      </c>
      <c r="I44" s="240">
        <f t="shared" si="8"/>
        <v>4116245.0260000001</v>
      </c>
      <c r="J44" s="240">
        <f>'Elaboração DESPESA'!I36</f>
        <v>3144620.5529999998</v>
      </c>
      <c r="K44" s="126">
        <f>'Elaboração DESPESA'!J36</f>
        <v>0</v>
      </c>
      <c r="L44" s="49"/>
      <c r="M44" s="71" t="str">
        <f t="shared" si="2"/>
        <v>EXIBIR</v>
      </c>
    </row>
    <row r="45" spans="1:13" ht="14.25" customHeight="1">
      <c r="A45" s="83" t="s">
        <v>140</v>
      </c>
      <c r="B45" s="239">
        <f>SUM(B37:B38)</f>
        <v>4161236549.1540003</v>
      </c>
      <c r="C45" s="239">
        <f>SUM(C37:C38)</f>
        <v>4309536806.7390003</v>
      </c>
      <c r="D45" s="239">
        <f>SUM(D37:D38)</f>
        <v>480595057.39899999</v>
      </c>
      <c r="E45" s="239">
        <f>SUM(E37:E38)</f>
        <v>3222637358.8170004</v>
      </c>
      <c r="F45" s="239">
        <f>C45-E45</f>
        <v>1086899447.9219999</v>
      </c>
      <c r="G45" s="239">
        <f>SUM(G37:G38)</f>
        <v>198811842.52000001</v>
      </c>
      <c r="H45" s="239">
        <f>SUM(H37:H38)</f>
        <v>2508322110.5419998</v>
      </c>
      <c r="I45" s="239">
        <f>SUM(I37:I38)</f>
        <v>1801214696.197</v>
      </c>
      <c r="J45" s="239">
        <f>SUM(J37:J38)</f>
        <v>2438988362.4850001</v>
      </c>
      <c r="K45" s="128">
        <f>SUM(K37:K38)</f>
        <v>0</v>
      </c>
      <c r="L45" s="49"/>
      <c r="M45" s="71" t="str">
        <f t="shared" si="2"/>
        <v>EXIBIR</v>
      </c>
    </row>
    <row r="46" spans="1:13" ht="11.25" customHeight="1">
      <c r="A46" s="84" t="s">
        <v>141</v>
      </c>
      <c r="B46" s="239" t="s">
        <v>97</v>
      </c>
      <c r="C46" s="239" t="s">
        <v>97</v>
      </c>
      <c r="D46" s="239" t="s">
        <v>97</v>
      </c>
      <c r="E46" s="239" t="s">
        <v>97</v>
      </c>
      <c r="F46" s="239" t="s">
        <v>97</v>
      </c>
      <c r="G46" s="239" t="s">
        <v>97</v>
      </c>
      <c r="H46" s="61">
        <f>IF(('Anexo 1 Rec Intra'!F61-'Anexo 1 Desp'!H45-K45)&gt;0,'Anexo 1 Rec Intra'!F61-'Anexo 1 Desp'!H45-K45,"-")</f>
        <v>312277094.53100014</v>
      </c>
      <c r="I46" s="239" t="s">
        <v>97</v>
      </c>
      <c r="J46" s="239" t="s">
        <v>97</v>
      </c>
      <c r="K46" s="127" t="s">
        <v>97</v>
      </c>
      <c r="L46" s="85"/>
      <c r="M46" s="71" t="str">
        <f t="shared" si="2"/>
        <v>EXIBIR</v>
      </c>
    </row>
    <row r="47" spans="1:13" ht="11.25" customHeight="1">
      <c r="A47" s="84" t="s">
        <v>142</v>
      </c>
      <c r="B47" s="241">
        <f t="shared" ref="B47:G47" si="10">SUM(B45:B46)</f>
        <v>4161236549.1540003</v>
      </c>
      <c r="C47" s="241">
        <f t="shared" si="10"/>
        <v>4309536806.7390003</v>
      </c>
      <c r="D47" s="241">
        <f t="shared" si="10"/>
        <v>480595057.39899999</v>
      </c>
      <c r="E47" s="241">
        <f>SUM(E45:E46)</f>
        <v>3222637358.8170004</v>
      </c>
      <c r="F47" s="241">
        <f>C47-E47</f>
        <v>1086899447.9219999</v>
      </c>
      <c r="G47" s="241">
        <f t="shared" si="10"/>
        <v>198811842.52000001</v>
      </c>
      <c r="H47" s="241">
        <f>SUM(H45:H46)</f>
        <v>2820599205.073</v>
      </c>
      <c r="I47" s="241">
        <f>SUM(I45:I46)</f>
        <v>1801214696.197</v>
      </c>
      <c r="J47" s="239">
        <f>SUM(J45:J46)</f>
        <v>2438988362.4850001</v>
      </c>
      <c r="K47" s="128">
        <f>SUM(K45:K46)</f>
        <v>0</v>
      </c>
      <c r="L47" s="49"/>
      <c r="M47" s="71" t="str">
        <f t="shared" si="2"/>
        <v>EXIBIR</v>
      </c>
    </row>
    <row r="48" spans="1:13" ht="11.25" customHeight="1">
      <c r="A48" s="62" t="s">
        <v>143</v>
      </c>
      <c r="B48" s="63"/>
      <c r="C48" s="63"/>
      <c r="D48" s="242" t="s">
        <v>97</v>
      </c>
      <c r="E48" s="242" t="s">
        <v>97</v>
      </c>
      <c r="F48" s="63"/>
      <c r="G48" s="242" t="s">
        <v>97</v>
      </c>
      <c r="H48" s="242" t="s">
        <v>97</v>
      </c>
      <c r="I48" s="63"/>
      <c r="J48" s="243" t="s">
        <v>97</v>
      </c>
      <c r="K48" s="86" t="s">
        <v>97</v>
      </c>
      <c r="L48" s="49"/>
      <c r="M48" s="71" t="str">
        <f t="shared" si="2"/>
        <v>EXIBIR</v>
      </c>
    </row>
    <row r="49" spans="1:13" ht="11.25" customHeight="1">
      <c r="A49" s="82" t="s">
        <v>64</v>
      </c>
      <c r="B49" s="82"/>
      <c r="H49" s="87"/>
      <c r="I49" s="72"/>
      <c r="J49" s="72" t="s">
        <v>144</v>
      </c>
      <c r="K49" s="72" t="s">
        <v>144</v>
      </c>
      <c r="L49" s="72"/>
      <c r="M49" s="71" t="str">
        <f t="shared" si="2"/>
        <v>EXIBIR</v>
      </c>
    </row>
    <row r="50" spans="1:13" ht="37.5" customHeight="1">
      <c r="A50" s="305" t="s">
        <v>145</v>
      </c>
      <c r="B50" s="305"/>
      <c r="C50" s="305"/>
      <c r="D50" s="305"/>
      <c r="E50" s="305"/>
      <c r="F50" s="305"/>
      <c r="G50" s="305"/>
      <c r="H50" s="305"/>
      <c r="I50" s="305"/>
      <c r="J50" s="305"/>
      <c r="K50" s="248"/>
      <c r="L50" s="248"/>
      <c r="M50" s="71" t="str">
        <f t="shared" si="2"/>
        <v>EXIBIR</v>
      </c>
    </row>
    <row r="51" spans="1:13" ht="11.25" customHeight="1">
      <c r="A51" s="306"/>
      <c r="B51" s="307"/>
      <c r="M51" s="71" t="str">
        <f t="shared" si="2"/>
        <v>EXIBIR</v>
      </c>
    </row>
    <row r="52" spans="1:13" ht="11.25" customHeight="1">
      <c r="B52" s="82"/>
      <c r="E52" s="20" t="s">
        <v>146</v>
      </c>
      <c r="M52" s="71" t="str">
        <f t="shared" si="2"/>
        <v>EXIBIR</v>
      </c>
    </row>
    <row r="53" spans="1:13" ht="11.25" customHeight="1">
      <c r="E53" s="20" t="s">
        <v>147</v>
      </c>
      <c r="M53" s="71" t="str">
        <f t="shared" si="2"/>
        <v>EXIBIR</v>
      </c>
    </row>
    <row r="54" spans="1:13" ht="11.25" customHeight="1">
      <c r="E54" s="20" t="s">
        <v>148</v>
      </c>
      <c r="M54" s="71" t="str">
        <f t="shared" si="2"/>
        <v>EXIBIR</v>
      </c>
    </row>
    <row r="55" spans="1:13" ht="11.25" customHeight="1">
      <c r="M55" s="71" t="str">
        <f t="shared" si="2"/>
        <v>EXIBIR</v>
      </c>
    </row>
    <row r="56" spans="1:13" ht="11.25" customHeight="1">
      <c r="M56" s="71" t="str">
        <f t="shared" si="2"/>
        <v>EXIBIR</v>
      </c>
    </row>
    <row r="57" spans="1:13" ht="11.25" customHeight="1">
      <c r="M57" s="71" t="str">
        <f t="shared" si="2"/>
        <v>EXIBIR</v>
      </c>
    </row>
    <row r="58" spans="1:13" ht="11.25" customHeight="1">
      <c r="M58" s="71" t="str">
        <f t="shared" si="2"/>
        <v>EXIBIR</v>
      </c>
    </row>
    <row r="59" spans="1:13" ht="11.25" customHeight="1">
      <c r="M59" s="71" t="str">
        <f t="shared" si="2"/>
        <v>EXIBIR</v>
      </c>
    </row>
    <row r="60" spans="1:13" ht="11.25" customHeight="1">
      <c r="M60" s="71" t="str">
        <f t="shared" si="2"/>
        <v>EXIBIR</v>
      </c>
    </row>
    <row r="61" spans="1:13" ht="11.25" customHeight="1">
      <c r="M61" s="71" t="str">
        <f t="shared" si="2"/>
        <v>EXIBIR</v>
      </c>
    </row>
    <row r="62" spans="1:13" ht="11.25" customHeight="1">
      <c r="M62" s="71" t="str">
        <f t="shared" si="2"/>
        <v>EXIBIR</v>
      </c>
    </row>
    <row r="63" spans="1:13" ht="11.25" customHeight="1">
      <c r="M63" s="71" t="str">
        <f t="shared" si="2"/>
        <v>EXIBIR</v>
      </c>
    </row>
    <row r="64" spans="1:13" ht="11.25" customHeight="1">
      <c r="M64" s="71" t="str">
        <f t="shared" si="2"/>
        <v>EXIBIR</v>
      </c>
    </row>
    <row r="65" spans="13:13" ht="11.25" customHeight="1">
      <c r="M65" s="71" t="str">
        <f t="shared" si="2"/>
        <v>EXIBIR</v>
      </c>
    </row>
    <row r="66" spans="13:13" ht="11.25" customHeight="1">
      <c r="M66" s="71" t="str">
        <f t="shared" si="2"/>
        <v>EXIBIR</v>
      </c>
    </row>
    <row r="67" spans="13:13" ht="11.25" customHeight="1">
      <c r="M67" s="71" t="str">
        <f t="shared" si="2"/>
        <v>EXIBIR</v>
      </c>
    </row>
    <row r="68" spans="13:13" ht="11.25" customHeight="1">
      <c r="M68" s="71" t="str">
        <f t="shared" si="2"/>
        <v>EXIBIR</v>
      </c>
    </row>
    <row r="69" spans="13:13" ht="11.25" customHeight="1">
      <c r="M69" s="71" t="str">
        <f t="shared" si="2"/>
        <v>EXIBIR</v>
      </c>
    </row>
    <row r="70" spans="13:13" ht="11.25" customHeight="1">
      <c r="M70" s="71" t="str">
        <f t="shared" si="2"/>
        <v>EXIBIR</v>
      </c>
    </row>
    <row r="71" spans="13:13" ht="11.25" customHeight="1">
      <c r="M71" s="71" t="str">
        <f t="shared" si="2"/>
        <v>EXIBIR</v>
      </c>
    </row>
    <row r="72" spans="13:13" ht="11.25" customHeight="1">
      <c r="M72" s="71" t="str">
        <f t="shared" si="2"/>
        <v>EXIBIR</v>
      </c>
    </row>
    <row r="73" spans="13:13" ht="11.25" customHeight="1">
      <c r="M73" s="71" t="str">
        <f t="shared" si="2"/>
        <v>EXIBIR</v>
      </c>
    </row>
    <row r="74" spans="13:13" ht="11.25" customHeight="1">
      <c r="M74" s="71" t="str">
        <f t="shared" si="2"/>
        <v>EXIBIR</v>
      </c>
    </row>
    <row r="75" spans="13:13" ht="11.25" customHeight="1">
      <c r="M75" s="71" t="str">
        <f t="shared" si="2"/>
        <v>EXIBIR</v>
      </c>
    </row>
    <row r="76" spans="13:13" ht="11.25" customHeight="1">
      <c r="M76" s="71" t="str">
        <f t="shared" si="2"/>
        <v>EXIBIR</v>
      </c>
    </row>
    <row r="77" spans="13:13" ht="11.25" customHeight="1">
      <c r="M77" s="71" t="str">
        <f t="shared" ref="M77:M140" si="11">IFERROR(IF(AND(OR(_xlfn.ISFORMULA(B77),_xlfn.ISFORMULA(D77),_xlfn.ISFORMULA(F77),_xlfn.ISFORMULA(H77),_xlfn.ISFORMULA(I77),_xlfn.ISFORMULA(J77)),
SUM(ABS(B77),ABS(C77),ABS(D77),ABS(F77),ABS(H77),ABS(I77),ABS(J77),ABS(K77))=0),
"NÃO EXIBIR", "EXIBIR"
),"EXIBIR")</f>
        <v>EXIBIR</v>
      </c>
    </row>
    <row r="78" spans="13:13" ht="11.25" customHeight="1">
      <c r="M78" s="71" t="str">
        <f t="shared" si="11"/>
        <v>EXIBIR</v>
      </c>
    </row>
    <row r="79" spans="13:13" ht="11.25" customHeight="1">
      <c r="M79" s="71" t="str">
        <f t="shared" si="11"/>
        <v>EXIBIR</v>
      </c>
    </row>
    <row r="80" spans="13:13" ht="11.25" customHeight="1">
      <c r="M80" s="71" t="str">
        <f t="shared" si="11"/>
        <v>EXIBIR</v>
      </c>
    </row>
    <row r="81" spans="13:13" ht="11.25" customHeight="1">
      <c r="M81" s="71" t="str">
        <f t="shared" si="11"/>
        <v>EXIBIR</v>
      </c>
    </row>
    <row r="82" spans="13:13" ht="11.25" customHeight="1">
      <c r="M82" s="71" t="str">
        <f t="shared" si="11"/>
        <v>EXIBIR</v>
      </c>
    </row>
    <row r="83" spans="13:13" ht="11.25" customHeight="1">
      <c r="M83" s="71" t="str">
        <f t="shared" si="11"/>
        <v>EXIBIR</v>
      </c>
    </row>
    <row r="84" spans="13:13" ht="11.25" customHeight="1">
      <c r="M84" s="71" t="str">
        <f t="shared" si="11"/>
        <v>EXIBIR</v>
      </c>
    </row>
    <row r="85" spans="13:13" ht="11.25" customHeight="1">
      <c r="M85" s="71" t="str">
        <f t="shared" si="11"/>
        <v>EXIBIR</v>
      </c>
    </row>
    <row r="86" spans="13:13" ht="11.25" customHeight="1">
      <c r="M86" s="71" t="str">
        <f t="shared" si="11"/>
        <v>EXIBIR</v>
      </c>
    </row>
    <row r="87" spans="13:13" ht="11.25" customHeight="1">
      <c r="M87" s="71" t="str">
        <f t="shared" si="11"/>
        <v>EXIBIR</v>
      </c>
    </row>
    <row r="88" spans="13:13" ht="11.25" customHeight="1">
      <c r="M88" s="71" t="str">
        <f t="shared" si="11"/>
        <v>EXIBIR</v>
      </c>
    </row>
    <row r="89" spans="13:13" ht="11.25" customHeight="1">
      <c r="M89" s="71" t="str">
        <f t="shared" si="11"/>
        <v>EXIBIR</v>
      </c>
    </row>
    <row r="90" spans="13:13" ht="11.25" customHeight="1">
      <c r="M90" s="71" t="str">
        <f t="shared" si="11"/>
        <v>EXIBIR</v>
      </c>
    </row>
    <row r="91" spans="13:13" ht="11.25" customHeight="1">
      <c r="M91" s="71" t="str">
        <f t="shared" si="11"/>
        <v>EXIBIR</v>
      </c>
    </row>
    <row r="92" spans="13:13" ht="11.25" customHeight="1">
      <c r="M92" s="71" t="str">
        <f t="shared" si="11"/>
        <v>EXIBIR</v>
      </c>
    </row>
    <row r="93" spans="13:13" ht="11.25" customHeight="1">
      <c r="M93" s="71" t="str">
        <f t="shared" si="11"/>
        <v>EXIBIR</v>
      </c>
    </row>
    <row r="94" spans="13:13" ht="11.25" customHeight="1">
      <c r="M94" s="71" t="str">
        <f t="shared" si="11"/>
        <v>EXIBIR</v>
      </c>
    </row>
    <row r="95" spans="13:13" ht="11.25" customHeight="1">
      <c r="M95" s="71" t="str">
        <f t="shared" si="11"/>
        <v>EXIBIR</v>
      </c>
    </row>
    <row r="96" spans="13:13" ht="11.25" customHeight="1">
      <c r="M96" s="71" t="str">
        <f t="shared" si="11"/>
        <v>EXIBIR</v>
      </c>
    </row>
    <row r="97" spans="13:13" ht="11.25" customHeight="1">
      <c r="M97" s="71" t="str">
        <f t="shared" si="11"/>
        <v>EXIBIR</v>
      </c>
    </row>
    <row r="98" spans="13:13" ht="11.25" customHeight="1">
      <c r="M98" s="71" t="str">
        <f t="shared" si="11"/>
        <v>EXIBIR</v>
      </c>
    </row>
    <row r="99" spans="13:13" ht="11.25" customHeight="1">
      <c r="M99" s="71" t="str">
        <f t="shared" si="11"/>
        <v>EXIBIR</v>
      </c>
    </row>
    <row r="100" spans="13:13" ht="11.25" customHeight="1">
      <c r="M100" s="71" t="str">
        <f t="shared" si="11"/>
        <v>EXIBIR</v>
      </c>
    </row>
    <row r="101" spans="13:13" ht="11.25" customHeight="1">
      <c r="M101" s="71" t="str">
        <f t="shared" si="11"/>
        <v>EXIBIR</v>
      </c>
    </row>
    <row r="102" spans="13:13" ht="11.25" customHeight="1">
      <c r="M102" s="71" t="str">
        <f t="shared" si="11"/>
        <v>EXIBIR</v>
      </c>
    </row>
    <row r="103" spans="13:13" ht="11.25" customHeight="1">
      <c r="M103" s="71" t="str">
        <f t="shared" si="11"/>
        <v>EXIBIR</v>
      </c>
    </row>
    <row r="104" spans="13:13" ht="11.25" customHeight="1">
      <c r="M104" s="71" t="str">
        <f t="shared" si="11"/>
        <v>EXIBIR</v>
      </c>
    </row>
    <row r="105" spans="13:13" ht="11.25" customHeight="1">
      <c r="M105" s="71" t="str">
        <f t="shared" si="11"/>
        <v>EXIBIR</v>
      </c>
    </row>
    <row r="106" spans="13:13" ht="11.25" customHeight="1">
      <c r="M106" s="71" t="str">
        <f t="shared" si="11"/>
        <v>EXIBIR</v>
      </c>
    </row>
    <row r="107" spans="13:13" ht="11.25" customHeight="1">
      <c r="M107" s="71" t="str">
        <f t="shared" si="11"/>
        <v>EXIBIR</v>
      </c>
    </row>
    <row r="108" spans="13:13" ht="11.25" customHeight="1">
      <c r="M108" s="71" t="str">
        <f t="shared" si="11"/>
        <v>EXIBIR</v>
      </c>
    </row>
    <row r="109" spans="13:13" ht="11.25" customHeight="1">
      <c r="M109" s="71" t="str">
        <f t="shared" si="11"/>
        <v>EXIBIR</v>
      </c>
    </row>
    <row r="110" spans="13:13" ht="11.25" customHeight="1">
      <c r="M110" s="71" t="str">
        <f t="shared" si="11"/>
        <v>EXIBIR</v>
      </c>
    </row>
    <row r="111" spans="13:13" ht="11.25" customHeight="1">
      <c r="M111" s="71" t="str">
        <f t="shared" si="11"/>
        <v>EXIBIR</v>
      </c>
    </row>
    <row r="112" spans="13:13" ht="11.25" customHeight="1">
      <c r="M112" s="71" t="str">
        <f t="shared" si="11"/>
        <v>EXIBIR</v>
      </c>
    </row>
    <row r="113" spans="13:13" ht="11.25" customHeight="1">
      <c r="M113" s="71" t="str">
        <f t="shared" si="11"/>
        <v>EXIBIR</v>
      </c>
    </row>
    <row r="114" spans="13:13" ht="11.25" customHeight="1">
      <c r="M114" s="71" t="str">
        <f t="shared" si="11"/>
        <v>EXIBIR</v>
      </c>
    </row>
    <row r="115" spans="13:13" ht="11.25" customHeight="1">
      <c r="M115" s="71" t="str">
        <f t="shared" si="11"/>
        <v>EXIBIR</v>
      </c>
    </row>
    <row r="116" spans="13:13" ht="11.25" customHeight="1">
      <c r="M116" s="71" t="str">
        <f t="shared" si="11"/>
        <v>EXIBIR</v>
      </c>
    </row>
    <row r="117" spans="13:13" ht="11.25" customHeight="1">
      <c r="M117" s="71" t="str">
        <f t="shared" si="11"/>
        <v>EXIBIR</v>
      </c>
    </row>
    <row r="118" spans="13:13" ht="11.25" customHeight="1">
      <c r="M118" s="71" t="str">
        <f t="shared" si="11"/>
        <v>EXIBIR</v>
      </c>
    </row>
    <row r="119" spans="13:13" ht="11.25" customHeight="1">
      <c r="M119" s="71" t="str">
        <f t="shared" si="11"/>
        <v>EXIBIR</v>
      </c>
    </row>
    <row r="120" spans="13:13" ht="11.25" customHeight="1">
      <c r="M120" s="71" t="str">
        <f t="shared" si="11"/>
        <v>EXIBIR</v>
      </c>
    </row>
    <row r="121" spans="13:13" ht="11.25" customHeight="1">
      <c r="M121" s="71" t="str">
        <f t="shared" si="11"/>
        <v>EXIBIR</v>
      </c>
    </row>
    <row r="122" spans="13:13" ht="11.25" customHeight="1">
      <c r="M122" s="71" t="str">
        <f t="shared" si="11"/>
        <v>EXIBIR</v>
      </c>
    </row>
    <row r="123" spans="13:13" ht="11.25" customHeight="1">
      <c r="M123" s="71" t="str">
        <f t="shared" si="11"/>
        <v>EXIBIR</v>
      </c>
    </row>
    <row r="124" spans="13:13" ht="11.25" customHeight="1">
      <c r="M124" s="71" t="str">
        <f t="shared" si="11"/>
        <v>EXIBIR</v>
      </c>
    </row>
    <row r="125" spans="13:13" ht="11.25" customHeight="1">
      <c r="M125" s="71" t="str">
        <f t="shared" si="11"/>
        <v>EXIBIR</v>
      </c>
    </row>
    <row r="126" spans="13:13" ht="11.25" customHeight="1">
      <c r="M126" s="71" t="str">
        <f t="shared" si="11"/>
        <v>EXIBIR</v>
      </c>
    </row>
    <row r="127" spans="13:13" ht="11.25" customHeight="1">
      <c r="M127" s="71" t="str">
        <f t="shared" si="11"/>
        <v>EXIBIR</v>
      </c>
    </row>
    <row r="128" spans="13:13" ht="11.25" customHeight="1">
      <c r="M128" s="71" t="str">
        <f t="shared" si="11"/>
        <v>EXIBIR</v>
      </c>
    </row>
    <row r="129" spans="13:13" ht="11.25" customHeight="1">
      <c r="M129" s="71" t="str">
        <f t="shared" si="11"/>
        <v>EXIBIR</v>
      </c>
    </row>
    <row r="130" spans="13:13" ht="11.25" customHeight="1">
      <c r="M130" s="71" t="str">
        <f t="shared" si="11"/>
        <v>EXIBIR</v>
      </c>
    </row>
    <row r="131" spans="13:13" ht="11.25" customHeight="1">
      <c r="M131" s="71" t="str">
        <f t="shared" si="11"/>
        <v>EXIBIR</v>
      </c>
    </row>
    <row r="132" spans="13:13" ht="11.25" customHeight="1">
      <c r="M132" s="71" t="str">
        <f t="shared" si="11"/>
        <v>EXIBIR</v>
      </c>
    </row>
    <row r="133" spans="13:13" ht="11.25" customHeight="1">
      <c r="M133" s="71" t="str">
        <f t="shared" si="11"/>
        <v>EXIBIR</v>
      </c>
    </row>
    <row r="134" spans="13:13" ht="11.25" customHeight="1">
      <c r="M134" s="71" t="str">
        <f t="shared" si="11"/>
        <v>EXIBIR</v>
      </c>
    </row>
    <row r="135" spans="13:13" ht="11.25" customHeight="1">
      <c r="M135" s="71" t="str">
        <f t="shared" si="11"/>
        <v>EXIBIR</v>
      </c>
    </row>
    <row r="136" spans="13:13" ht="11.25" customHeight="1">
      <c r="M136" s="71" t="str">
        <f t="shared" si="11"/>
        <v>EXIBIR</v>
      </c>
    </row>
    <row r="137" spans="13:13" ht="11.25" customHeight="1">
      <c r="M137" s="71" t="str">
        <f t="shared" si="11"/>
        <v>EXIBIR</v>
      </c>
    </row>
    <row r="138" spans="13:13" ht="11.25" customHeight="1">
      <c r="M138" s="71" t="str">
        <f t="shared" si="11"/>
        <v>EXIBIR</v>
      </c>
    </row>
    <row r="139" spans="13:13" ht="11.25" customHeight="1">
      <c r="M139" s="71" t="str">
        <f t="shared" si="11"/>
        <v>EXIBIR</v>
      </c>
    </row>
    <row r="140" spans="13:13" ht="11.25" customHeight="1">
      <c r="M140" s="71" t="str">
        <f t="shared" si="11"/>
        <v>EXIBIR</v>
      </c>
    </row>
    <row r="141" spans="13:13" ht="11.25" customHeight="1">
      <c r="M141" s="71" t="str">
        <f t="shared" ref="M141:M199" si="12">IFERROR(IF(AND(OR(_xlfn.ISFORMULA(B141),_xlfn.ISFORMULA(D141),_xlfn.ISFORMULA(F141),_xlfn.ISFORMULA(H141),_xlfn.ISFORMULA(I141),_xlfn.ISFORMULA(J141)),
SUM(ABS(B141),ABS(C141),ABS(D141),ABS(F141),ABS(H141),ABS(I141),ABS(J141),ABS(K141))=0),
"NÃO EXIBIR", "EXIBIR"
),"EXIBIR")</f>
        <v>EXIBIR</v>
      </c>
    </row>
    <row r="142" spans="13:13" ht="11.25" customHeight="1">
      <c r="M142" s="71" t="str">
        <f t="shared" si="12"/>
        <v>EXIBIR</v>
      </c>
    </row>
    <row r="143" spans="13:13" ht="11.25" customHeight="1">
      <c r="M143" s="71" t="str">
        <f t="shared" si="12"/>
        <v>EXIBIR</v>
      </c>
    </row>
    <row r="144" spans="13:13" ht="11.25" customHeight="1">
      <c r="M144" s="71" t="str">
        <f t="shared" si="12"/>
        <v>EXIBIR</v>
      </c>
    </row>
    <row r="145" spans="13:13" ht="11.25" customHeight="1">
      <c r="M145" s="71" t="str">
        <f t="shared" si="12"/>
        <v>EXIBIR</v>
      </c>
    </row>
    <row r="146" spans="13:13" ht="11.25" customHeight="1">
      <c r="M146" s="71" t="str">
        <f t="shared" si="12"/>
        <v>EXIBIR</v>
      </c>
    </row>
    <row r="147" spans="13:13" ht="11.25" customHeight="1">
      <c r="M147" s="71" t="str">
        <f t="shared" si="12"/>
        <v>EXIBIR</v>
      </c>
    </row>
    <row r="148" spans="13:13" ht="11.25" customHeight="1">
      <c r="M148" s="71" t="str">
        <f t="shared" si="12"/>
        <v>EXIBIR</v>
      </c>
    </row>
    <row r="149" spans="13:13" ht="11.25" customHeight="1">
      <c r="M149" s="71" t="str">
        <f t="shared" si="12"/>
        <v>EXIBIR</v>
      </c>
    </row>
    <row r="150" spans="13:13" ht="11.25" customHeight="1">
      <c r="M150" s="71" t="str">
        <f t="shared" si="12"/>
        <v>EXIBIR</v>
      </c>
    </row>
    <row r="151" spans="13:13" ht="11.25" customHeight="1">
      <c r="M151" s="71" t="str">
        <f t="shared" si="12"/>
        <v>EXIBIR</v>
      </c>
    </row>
    <row r="152" spans="13:13" ht="11.25" customHeight="1">
      <c r="M152" s="71" t="str">
        <f t="shared" si="12"/>
        <v>EXIBIR</v>
      </c>
    </row>
    <row r="153" spans="13:13" ht="11.25" customHeight="1">
      <c r="M153" s="71" t="str">
        <f t="shared" si="12"/>
        <v>EXIBIR</v>
      </c>
    </row>
    <row r="154" spans="13:13" ht="11.25" customHeight="1">
      <c r="M154" s="71" t="str">
        <f t="shared" si="12"/>
        <v>EXIBIR</v>
      </c>
    </row>
    <row r="155" spans="13:13" ht="11.25" customHeight="1">
      <c r="M155" s="71" t="str">
        <f t="shared" si="12"/>
        <v>EXIBIR</v>
      </c>
    </row>
    <row r="156" spans="13:13" ht="11.25" customHeight="1">
      <c r="M156" s="71" t="str">
        <f t="shared" si="12"/>
        <v>EXIBIR</v>
      </c>
    </row>
    <row r="157" spans="13:13" ht="11.25" customHeight="1">
      <c r="M157" s="71" t="str">
        <f t="shared" si="12"/>
        <v>EXIBIR</v>
      </c>
    </row>
    <row r="158" spans="13:13" ht="11.25" customHeight="1">
      <c r="M158" s="71" t="str">
        <f t="shared" si="12"/>
        <v>EXIBIR</v>
      </c>
    </row>
    <row r="159" spans="13:13" ht="11.25" customHeight="1">
      <c r="M159" s="71" t="str">
        <f t="shared" si="12"/>
        <v>EXIBIR</v>
      </c>
    </row>
    <row r="160" spans="13:13" ht="11.25" customHeight="1">
      <c r="M160" s="71" t="str">
        <f t="shared" si="12"/>
        <v>EXIBIR</v>
      </c>
    </row>
    <row r="161" spans="13:13" ht="11.25" customHeight="1">
      <c r="M161" s="71" t="str">
        <f t="shared" si="12"/>
        <v>EXIBIR</v>
      </c>
    </row>
    <row r="162" spans="13:13" ht="11.25" customHeight="1">
      <c r="M162" s="71" t="str">
        <f t="shared" si="12"/>
        <v>EXIBIR</v>
      </c>
    </row>
    <row r="163" spans="13:13" ht="11.25" customHeight="1">
      <c r="M163" s="71" t="str">
        <f t="shared" si="12"/>
        <v>EXIBIR</v>
      </c>
    </row>
    <row r="164" spans="13:13" ht="11.25" customHeight="1">
      <c r="M164" s="71" t="str">
        <f t="shared" si="12"/>
        <v>EXIBIR</v>
      </c>
    </row>
    <row r="165" spans="13:13" ht="11.25" customHeight="1">
      <c r="M165" s="71" t="str">
        <f t="shared" si="12"/>
        <v>EXIBIR</v>
      </c>
    </row>
    <row r="166" spans="13:13" ht="11.25" customHeight="1">
      <c r="M166" s="71" t="str">
        <f t="shared" si="12"/>
        <v>EXIBIR</v>
      </c>
    </row>
    <row r="167" spans="13:13" ht="11.25" customHeight="1">
      <c r="M167" s="71" t="str">
        <f t="shared" si="12"/>
        <v>EXIBIR</v>
      </c>
    </row>
    <row r="168" spans="13:13" ht="11.25" customHeight="1">
      <c r="M168" s="71" t="str">
        <f t="shared" si="12"/>
        <v>EXIBIR</v>
      </c>
    </row>
    <row r="169" spans="13:13" ht="11.25" customHeight="1">
      <c r="M169" s="71" t="str">
        <f t="shared" si="12"/>
        <v>EXIBIR</v>
      </c>
    </row>
    <row r="170" spans="13:13" ht="11.25" customHeight="1">
      <c r="M170" s="71" t="str">
        <f t="shared" si="12"/>
        <v>EXIBIR</v>
      </c>
    </row>
    <row r="171" spans="13:13" ht="11.25" customHeight="1">
      <c r="M171" s="71" t="str">
        <f t="shared" si="12"/>
        <v>EXIBIR</v>
      </c>
    </row>
    <row r="172" spans="13:13" ht="11.25" customHeight="1">
      <c r="M172" s="71" t="str">
        <f t="shared" si="12"/>
        <v>EXIBIR</v>
      </c>
    </row>
    <row r="173" spans="13:13" ht="11.25" customHeight="1">
      <c r="M173" s="71" t="str">
        <f t="shared" si="12"/>
        <v>EXIBIR</v>
      </c>
    </row>
    <row r="174" spans="13:13" ht="11.25" customHeight="1">
      <c r="M174" s="71" t="str">
        <f t="shared" si="12"/>
        <v>EXIBIR</v>
      </c>
    </row>
    <row r="175" spans="13:13" ht="11.25" customHeight="1">
      <c r="M175" s="71" t="str">
        <f t="shared" si="12"/>
        <v>EXIBIR</v>
      </c>
    </row>
    <row r="176" spans="13:13" ht="11.25" customHeight="1">
      <c r="M176" s="71" t="str">
        <f t="shared" si="12"/>
        <v>EXIBIR</v>
      </c>
    </row>
    <row r="177" spans="13:13" ht="11.25" customHeight="1">
      <c r="M177" s="71" t="str">
        <f t="shared" si="12"/>
        <v>EXIBIR</v>
      </c>
    </row>
    <row r="178" spans="13:13" ht="11.25" customHeight="1">
      <c r="M178" s="71" t="str">
        <f t="shared" si="12"/>
        <v>EXIBIR</v>
      </c>
    </row>
    <row r="179" spans="13:13" ht="11.25" customHeight="1">
      <c r="M179" s="71" t="str">
        <f t="shared" si="12"/>
        <v>EXIBIR</v>
      </c>
    </row>
    <row r="180" spans="13:13" ht="11.25" customHeight="1">
      <c r="M180" s="71" t="str">
        <f t="shared" si="12"/>
        <v>EXIBIR</v>
      </c>
    </row>
    <row r="181" spans="13:13" ht="11.25" customHeight="1">
      <c r="M181" s="71" t="str">
        <f t="shared" si="12"/>
        <v>EXIBIR</v>
      </c>
    </row>
    <row r="182" spans="13:13" ht="11.25" customHeight="1">
      <c r="M182" s="71" t="str">
        <f t="shared" si="12"/>
        <v>EXIBIR</v>
      </c>
    </row>
    <row r="183" spans="13:13" ht="11.25" customHeight="1">
      <c r="M183" s="71" t="str">
        <f t="shared" si="12"/>
        <v>EXIBIR</v>
      </c>
    </row>
    <row r="184" spans="13:13" ht="11.25" customHeight="1">
      <c r="M184" s="71" t="str">
        <f t="shared" si="12"/>
        <v>EXIBIR</v>
      </c>
    </row>
    <row r="185" spans="13:13" ht="11.25" customHeight="1">
      <c r="M185" s="71" t="str">
        <f t="shared" si="12"/>
        <v>EXIBIR</v>
      </c>
    </row>
    <row r="186" spans="13:13" ht="11.25" customHeight="1">
      <c r="M186" s="71" t="str">
        <f t="shared" si="12"/>
        <v>EXIBIR</v>
      </c>
    </row>
    <row r="187" spans="13:13" ht="11.25" customHeight="1">
      <c r="M187" s="71" t="str">
        <f t="shared" si="12"/>
        <v>EXIBIR</v>
      </c>
    </row>
    <row r="188" spans="13:13" ht="11.25" customHeight="1">
      <c r="M188" s="71" t="str">
        <f t="shared" si="12"/>
        <v>EXIBIR</v>
      </c>
    </row>
    <row r="189" spans="13:13" ht="11.25" customHeight="1">
      <c r="M189" s="71" t="str">
        <f t="shared" si="12"/>
        <v>EXIBIR</v>
      </c>
    </row>
    <row r="190" spans="13:13" ht="11.25" customHeight="1">
      <c r="M190" s="71" t="str">
        <f t="shared" si="12"/>
        <v>EXIBIR</v>
      </c>
    </row>
    <row r="191" spans="13:13" ht="11.25" customHeight="1">
      <c r="M191" s="71" t="str">
        <f t="shared" si="12"/>
        <v>EXIBIR</v>
      </c>
    </row>
    <row r="192" spans="13:13" ht="11.25" customHeight="1">
      <c r="M192" s="71" t="str">
        <f t="shared" si="12"/>
        <v>EXIBIR</v>
      </c>
    </row>
    <row r="193" spans="13:13" ht="11.25" customHeight="1">
      <c r="M193" s="71" t="str">
        <f t="shared" si="12"/>
        <v>EXIBIR</v>
      </c>
    </row>
    <row r="194" spans="13:13" ht="11.25" customHeight="1">
      <c r="M194" s="71" t="str">
        <f t="shared" si="12"/>
        <v>EXIBIR</v>
      </c>
    </row>
    <row r="195" spans="13:13" ht="11.25" customHeight="1">
      <c r="M195" s="71" t="str">
        <f t="shared" si="12"/>
        <v>EXIBIR</v>
      </c>
    </row>
    <row r="196" spans="13:13" ht="11.25" customHeight="1">
      <c r="M196" s="71" t="str">
        <f t="shared" si="12"/>
        <v>EXIBIR</v>
      </c>
    </row>
    <row r="197" spans="13:13" ht="11.25" customHeight="1">
      <c r="M197" s="71" t="str">
        <f t="shared" si="12"/>
        <v>EXIBIR</v>
      </c>
    </row>
    <row r="198" spans="13:13" ht="11.25" customHeight="1">
      <c r="M198" s="71" t="str">
        <f t="shared" si="12"/>
        <v>EXIBIR</v>
      </c>
    </row>
    <row r="199" spans="13:13" ht="11.25" customHeight="1">
      <c r="M199" s="71" t="str">
        <f t="shared" si="12"/>
        <v>EXIBIR</v>
      </c>
    </row>
  </sheetData>
  <autoFilter ref="M11:M199" xr:uid="{00000000-0009-0000-0000-000002000000}">
    <filterColumn colId="0">
      <customFilters>
        <customFilter operator="notEqual" val="NÃO EXIBIR"/>
      </customFilters>
    </filterColumn>
  </autoFilter>
  <mergeCells count="13">
    <mergeCell ref="A2:J2"/>
    <mergeCell ref="A3:J3"/>
    <mergeCell ref="A4:J4"/>
    <mergeCell ref="A5:J5"/>
    <mergeCell ref="A6:J6"/>
    <mergeCell ref="A50:J50"/>
    <mergeCell ref="A51:B51"/>
    <mergeCell ref="D9:E9"/>
    <mergeCell ref="G9:H9"/>
    <mergeCell ref="K9:K10"/>
    <mergeCell ref="G10:G11"/>
    <mergeCell ref="H10:H11"/>
    <mergeCell ref="J10:J11"/>
  </mergeCells>
  <phoneticPr fontId="0" type="noConversion"/>
  <conditionalFormatting sqref="M12:M199">
    <cfRule type="cellIs" dxfId="48" priority="1" operator="equal">
      <formula>"EXIBIR"</formula>
    </cfRule>
    <cfRule type="cellIs" dxfId="47" priority="2" operator="equal">
      <formula>"NÃO EXIBIR"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ignoredErrors>
    <ignoredError sqref="I20 I31:I32 F12:F34 F37:F45 F47 I39 I42 I16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>
    <tabColor rgb="FFFFFF00"/>
    <pageSetUpPr fitToPage="1"/>
  </sheetPr>
  <dimension ref="B2:Q151"/>
  <sheetViews>
    <sheetView showGridLines="0" topLeftCell="E1" workbookViewId="0">
      <selection activeCell="B64" sqref="B64"/>
    </sheetView>
  </sheetViews>
  <sheetFormatPr defaultColWidth="9.140625" defaultRowHeight="11.25"/>
  <cols>
    <col min="1" max="1" width="3.42578125" style="1" customWidth="1"/>
    <col min="2" max="2" width="64.42578125" style="18" customWidth="1"/>
    <col min="3" max="3" width="15.140625" style="1" customWidth="1"/>
    <col min="4" max="4" width="14.5703125" style="1" customWidth="1"/>
    <col min="5" max="5" width="16.42578125" style="1" customWidth="1"/>
    <col min="6" max="6" width="20.5703125" style="1" bestFit="1" customWidth="1"/>
    <col min="7" max="7" width="4.42578125" style="1" customWidth="1"/>
    <col min="8" max="8" width="13.5703125" style="1" customWidth="1"/>
    <col min="9" max="9" width="36.85546875" style="1" customWidth="1"/>
    <col min="10" max="10" width="16" style="1" bestFit="1" customWidth="1"/>
    <col min="11" max="11" width="14.42578125" style="1" bestFit="1" customWidth="1"/>
    <col min="12" max="13" width="14.5703125" style="1" bestFit="1" customWidth="1"/>
    <col min="14" max="15" width="9.140625" style="1"/>
    <col min="16" max="16" width="22.85546875" style="1" customWidth="1"/>
    <col min="17" max="17" width="17.42578125" style="1" customWidth="1"/>
    <col min="18" max="16384" width="9.140625" style="1"/>
  </cols>
  <sheetData>
    <row r="2" spans="2:17" ht="15.75">
      <c r="D2" s="315" t="s">
        <v>149</v>
      </c>
      <c r="E2" s="315"/>
      <c r="F2" s="66" t="str">
        <f>IF(F3=0,"OK","VERIFIQUE")</f>
        <v>OK</v>
      </c>
    </row>
    <row r="3" spans="2:17" ht="15.75">
      <c r="F3" s="67">
        <f>ROUND(SUM(J8:M8,J12:M12,J16:M16,J20:M20,J24:M24,L26:M26),2)</f>
        <v>0</v>
      </c>
    </row>
    <row r="4" spans="2:17" ht="17.25" customHeight="1"/>
    <row r="5" spans="2:17" ht="41.25" customHeight="1">
      <c r="B5" s="19" t="s">
        <v>10</v>
      </c>
      <c r="C5" s="17" t="s">
        <v>150</v>
      </c>
      <c r="D5" s="17" t="s">
        <v>151</v>
      </c>
      <c r="E5" s="17" t="s">
        <v>152</v>
      </c>
      <c r="F5" s="17" t="s">
        <v>153</v>
      </c>
      <c r="J5" s="23" t="s">
        <v>154</v>
      </c>
      <c r="K5" s="23" t="s">
        <v>155</v>
      </c>
      <c r="L5" s="23" t="s">
        <v>156</v>
      </c>
      <c r="M5" s="23" t="s">
        <v>157</v>
      </c>
      <c r="P5" s="9"/>
    </row>
    <row r="6" spans="2:17">
      <c r="B6" s="267" t="s">
        <v>24</v>
      </c>
      <c r="C6" s="268">
        <f>IFERROR(ROUND(VLOOKUP($B6,'Anexo 1 -Até o Mês '!$A$1:$K$500,2,FALSE),3),0)</f>
        <v>2546100629.302</v>
      </c>
      <c r="D6" s="268">
        <f>IFERROR(ROUND(VLOOKUP($B6,'Anexo 1 -Até o Mês '!$A$1:$K$500,3,FALSE),3),0)</f>
        <v>2546100629.302</v>
      </c>
      <c r="E6" s="268">
        <f>IFERROR(ROUND(VLOOKUP($B6,'Anexo 1 -Até o Mês '!$A$1:$K$500,4,FALSE),3),0)</f>
        <v>172279112.176</v>
      </c>
      <c r="F6" s="268">
        <f>IFERROR(ROUND(VLOOKUP($B6,'Anexo 1 -Até o Mês '!$A$1:$K$500,5,FALSE),3),0)</f>
        <v>1560883187.803</v>
      </c>
      <c r="H6" s="1" t="s">
        <v>158</v>
      </c>
      <c r="I6" s="22" t="s">
        <v>24</v>
      </c>
      <c r="J6" s="16">
        <f>VLOOKUP($I$6,$B$6:$F$147,2,FALSE)</f>
        <v>2546100629.302</v>
      </c>
      <c r="K6" s="16">
        <f>VLOOKUP($I$6,$B$6:$F$147,3,FALSE)</f>
        <v>2546100629.302</v>
      </c>
      <c r="L6" s="16">
        <f>VLOOKUP($I$6,$B$6:$F$147,4,FALSE)</f>
        <v>172279112.176</v>
      </c>
      <c r="M6" s="16">
        <f>VLOOKUP($I$6,$B$6:$F$147,5,FALSE)</f>
        <v>1560883187.803</v>
      </c>
      <c r="P6" s="9"/>
    </row>
    <row r="7" spans="2:17">
      <c r="B7" s="267" t="s">
        <v>159</v>
      </c>
      <c r="C7" s="268">
        <f>IFERROR(ROUND(VLOOKUP($B7,'Anexo 1 -Até o Mês '!$A$1:$K$500,2,FALSE),3),0)</f>
        <v>1632820120.566</v>
      </c>
      <c r="D7" s="268">
        <f>IFERROR(ROUND(VLOOKUP($B7,'Anexo 1 -Até o Mês '!$A$1:$K$500,3,FALSE),3),0)</f>
        <v>1632820120.566</v>
      </c>
      <c r="E7" s="268">
        <f>IFERROR(ROUND(VLOOKUP($B7,'Anexo 1 -Até o Mês '!$A$1:$K$500,4,FALSE),3),0)</f>
        <v>153102346.11300001</v>
      </c>
      <c r="F7" s="268">
        <f>IFERROR(ROUND(VLOOKUP($B7,'Anexo 1 -Até o Mês '!$A$1:$K$500,5,FALSE),3),0)</f>
        <v>1262805514.852</v>
      </c>
      <c r="H7" s="1" t="s">
        <v>160</v>
      </c>
      <c r="I7" s="1" t="s">
        <v>24</v>
      </c>
      <c r="J7" s="16">
        <f>'Anexo 1 Rec'!B11</f>
        <v>2546100629.3020005</v>
      </c>
      <c r="K7" s="16">
        <f>'Anexo 1 Rec'!C11</f>
        <v>2546100629.3020005</v>
      </c>
      <c r="L7" s="16">
        <f>'Anexo 1 Rec'!D11</f>
        <v>172279112.17300001</v>
      </c>
      <c r="M7" s="16">
        <f>'Anexo 1 Rec'!F11</f>
        <v>1560883187.8049998</v>
      </c>
      <c r="P7" s="9"/>
    </row>
    <row r="8" spans="2:17">
      <c r="B8" s="267" t="s">
        <v>161</v>
      </c>
      <c r="C8" s="268">
        <f>IFERROR(ROUND(VLOOKUP($B8,'Anexo 1 -Até o Mês '!$A$1:$K$500,2,FALSE),3),0)</f>
        <v>589494683.22099996</v>
      </c>
      <c r="D8" s="268">
        <f>IFERROR(ROUND(VLOOKUP($B8,'Anexo 1 -Até o Mês '!$A$1:$K$500,3,FALSE),3),0)</f>
        <v>589494683.22099996</v>
      </c>
      <c r="E8" s="268">
        <f>IFERROR(ROUND(VLOOKUP($B8,'Anexo 1 -Até o Mês '!$A$1:$K$500,4,FALSE),3),0)</f>
        <v>49536662.501000002</v>
      </c>
      <c r="F8" s="268">
        <f>IFERROR(ROUND(VLOOKUP($B8,'Anexo 1 -Até o Mês '!$A$1:$K$500,5,FALSE),3),0)</f>
        <v>456703107.33600003</v>
      </c>
      <c r="H8" s="264" t="s">
        <v>162</v>
      </c>
      <c r="I8" s="265"/>
      <c r="J8" s="232">
        <f>ROUND(J6-J7,2)</f>
        <v>0</v>
      </c>
      <c r="K8" s="232">
        <f>ROUND(K6-K7,2)</f>
        <v>0</v>
      </c>
      <c r="L8" s="232">
        <f>ROUND(L6-L7,2)</f>
        <v>0</v>
      </c>
      <c r="M8" s="232">
        <f>ROUND(M6-M7,2)</f>
        <v>0</v>
      </c>
      <c r="P8" s="9"/>
    </row>
    <row r="9" spans="2:17">
      <c r="B9" s="267" t="s">
        <v>163</v>
      </c>
      <c r="C9" s="268">
        <f>IFERROR(ROUND(VLOOKUP($B9,'Anexo 1 -Até o Mês '!$A$1:$K$500,2,FALSE),3),0)</f>
        <v>581745641.38</v>
      </c>
      <c r="D9" s="268">
        <f>IFERROR(ROUND(VLOOKUP($B9,'Anexo 1 -Até o Mês '!$A$1:$K$500,3,FALSE),3),0)</f>
        <v>581745641.38</v>
      </c>
      <c r="E9" s="268">
        <f>IFERROR(ROUND(VLOOKUP($B9,'Anexo 1 -Até o Mês '!$A$1:$K$500,4,FALSE),3),0)</f>
        <v>49019580.653999999</v>
      </c>
      <c r="F9" s="268">
        <f>IFERROR(ROUND(VLOOKUP($B9,'Anexo 1 -Até o Mês '!$A$1:$K$500,5,FALSE),3),0)</f>
        <v>451867443.66900003</v>
      </c>
      <c r="I9" s="22"/>
      <c r="J9" s="16"/>
      <c r="K9" s="16"/>
      <c r="L9" s="16"/>
      <c r="M9" s="16"/>
      <c r="P9" s="9"/>
    </row>
    <row r="10" spans="2:17">
      <c r="B10" s="267" t="s">
        <v>164</v>
      </c>
      <c r="C10" s="268">
        <f>IFERROR(ROUND(VLOOKUP($B10,'Anexo 1 -Até o Mês '!$A$1:$K$500,2,FALSE),3),0)</f>
        <v>7749041.841</v>
      </c>
      <c r="D10" s="268">
        <f>IFERROR(ROUND(VLOOKUP($B10,'Anexo 1 -Até o Mês '!$A$1:$K$500,3,FALSE),3),0)</f>
        <v>7749041.841</v>
      </c>
      <c r="E10" s="268">
        <f>IFERROR(ROUND(VLOOKUP($B10,'Anexo 1 -Até o Mês '!$A$1:$K$500,4,FALSE),3),0)</f>
        <v>517081.84700000001</v>
      </c>
      <c r="F10" s="268">
        <f>IFERROR(ROUND(VLOOKUP($B10,'Anexo 1 -Até o Mês '!$A$1:$K$500,5,FALSE),3),0)</f>
        <v>4835663.6670000004</v>
      </c>
      <c r="H10" s="1" t="s">
        <v>158</v>
      </c>
      <c r="I10" s="22" t="s">
        <v>85</v>
      </c>
      <c r="J10" s="16">
        <f>VLOOKUP($I$10,$B$6:$F$147,2,FALSE)</f>
        <v>31381828.489999998</v>
      </c>
      <c r="K10" s="16">
        <f>VLOOKUP($I$10,$B$6:$F$147,3,FALSE)</f>
        <v>31381828.489999998</v>
      </c>
      <c r="L10" s="16">
        <f>VLOOKUP($I$10,$B$6:$F$147,4,FALSE)</f>
        <v>2447633.838</v>
      </c>
      <c r="M10" s="16">
        <f>VLOOKUP($I$10,$B$6:$F$147,5,FALSE)</f>
        <v>19458587.969999999</v>
      </c>
      <c r="P10" s="123"/>
    </row>
    <row r="11" spans="2:17">
      <c r="B11" s="267" t="s">
        <v>165</v>
      </c>
      <c r="C11" s="268">
        <f>IFERROR(ROUND(VLOOKUP($B11,'Anexo 1 -Até o Mês '!$A$1:$K$500,2,FALSE),3),0)</f>
        <v>0</v>
      </c>
      <c r="D11" s="268">
        <f>IFERROR(ROUND(VLOOKUP($B11,'Anexo 1 -Até o Mês '!$A$1:$K$500,3,FALSE),3),0)</f>
        <v>0</v>
      </c>
      <c r="E11" s="268">
        <f>IFERROR(ROUND(VLOOKUP($B11,'Anexo 1 -Até o Mês '!$A$1:$K$500,4,FALSE),3),0)</f>
        <v>0</v>
      </c>
      <c r="F11" s="268">
        <f>IFERROR(ROUND(VLOOKUP($B11,'Anexo 1 -Até o Mês '!$A$1:$K$500,5,FALSE),3),0)</f>
        <v>0</v>
      </c>
      <c r="H11" s="1" t="s">
        <v>160</v>
      </c>
      <c r="I11" s="22" t="s">
        <v>85</v>
      </c>
      <c r="J11" s="16">
        <f>'Anexo 1 Rec Intra'!B12</f>
        <v>31381828.490000002</v>
      </c>
      <c r="K11" s="16">
        <f>'Anexo 1 Rec Intra'!C12</f>
        <v>31381828.490000002</v>
      </c>
      <c r="L11" s="16">
        <f>'Anexo 1 Rec Intra'!D12</f>
        <v>2447633.8389999997</v>
      </c>
      <c r="M11" s="16">
        <f>'Anexo 1 Rec Intra'!F12</f>
        <v>19458587.967999998</v>
      </c>
      <c r="P11" s="123"/>
    </row>
    <row r="12" spans="2:17">
      <c r="B12" s="267" t="s">
        <v>166</v>
      </c>
      <c r="C12" s="268">
        <f>IFERROR(ROUND(VLOOKUP($B12,'Anexo 1 -Até o Mês '!$A$1:$K$500,2,FALSE),3),0)</f>
        <v>884493099.653</v>
      </c>
      <c r="D12" s="268">
        <f>IFERROR(ROUND(VLOOKUP($B12,'Anexo 1 -Até o Mês '!$A$1:$K$500,3,FALSE),3),0)</f>
        <v>884493099.653</v>
      </c>
      <c r="E12" s="268">
        <f>IFERROR(ROUND(VLOOKUP($B12,'Anexo 1 -Até o Mês '!$A$1:$K$500,4,FALSE),3),0)</f>
        <v>82887675.172999993</v>
      </c>
      <c r="F12" s="268">
        <f>IFERROR(ROUND(VLOOKUP($B12,'Anexo 1 -Até o Mês '!$A$1:$K$500,5,FALSE),3),0)</f>
        <v>626839888.47099996</v>
      </c>
      <c r="H12" s="264" t="s">
        <v>162</v>
      </c>
      <c r="I12" s="265"/>
      <c r="J12" s="232">
        <f>ROUND(J10-J11,2)</f>
        <v>0</v>
      </c>
      <c r="K12" s="232">
        <f>ROUND(K10-K11,2)</f>
        <v>0</v>
      </c>
      <c r="L12" s="232">
        <f>ROUND(L10-L11,2)</f>
        <v>0</v>
      </c>
      <c r="M12" s="232">
        <f>ROUND(M10-M11,2)</f>
        <v>0</v>
      </c>
      <c r="P12" s="122"/>
    </row>
    <row r="13" spans="2:17">
      <c r="B13" s="267" t="s">
        <v>167</v>
      </c>
      <c r="C13" s="268">
        <f>IFERROR(ROUND(VLOOKUP($B13,'Anexo 1 -Até o Mês '!$A$1:$K$500,2,FALSE),3),0)</f>
        <v>869209178.26400006</v>
      </c>
      <c r="D13" s="268">
        <f>IFERROR(ROUND(VLOOKUP($B13,'Anexo 1 -Até o Mês '!$A$1:$K$500,3,FALSE),3),0)</f>
        <v>869209178.26400006</v>
      </c>
      <c r="E13" s="268">
        <f>IFERROR(ROUND(VLOOKUP($B13,'Anexo 1 -Até o Mês '!$A$1:$K$500,4,FALSE),3),0)</f>
        <v>80621592.641000003</v>
      </c>
      <c r="F13" s="268">
        <f>IFERROR(ROUND(VLOOKUP($B13,'Anexo 1 -Até o Mês '!$A$1:$K$500,5,FALSE),3),0)</f>
        <v>610268252.41600001</v>
      </c>
      <c r="I13" s="22"/>
      <c r="J13" s="16"/>
      <c r="K13" s="16"/>
      <c r="L13" s="16"/>
      <c r="M13" s="16"/>
      <c r="P13" s="9"/>
    </row>
    <row r="14" spans="2:17">
      <c r="B14" s="267" t="s">
        <v>168</v>
      </c>
      <c r="C14" s="268">
        <f>IFERROR(ROUND(VLOOKUP($B14,'Anexo 1 -Até o Mês '!$A$1:$K$500,2,FALSE),3),0)</f>
        <v>15283921.389</v>
      </c>
      <c r="D14" s="268">
        <f>IFERROR(ROUND(VLOOKUP($B14,'Anexo 1 -Até o Mês '!$A$1:$K$500,3,FALSE),3),0)</f>
        <v>15283921.389</v>
      </c>
      <c r="E14" s="268">
        <f>IFERROR(ROUND(VLOOKUP($B14,'Anexo 1 -Até o Mês '!$A$1:$K$500,4,FALSE),3),0)</f>
        <v>2266082.5320000001</v>
      </c>
      <c r="F14" s="268">
        <f>IFERROR(ROUND(VLOOKUP($B14,'Anexo 1 -Até o Mês '!$A$1:$K$500,5,FALSE),3),0)</f>
        <v>16571636.055</v>
      </c>
      <c r="H14" s="1" t="s">
        <v>158</v>
      </c>
      <c r="I14" s="22" t="s">
        <v>89</v>
      </c>
      <c r="J14" s="16">
        <f>VLOOKUP($I$14,$B$6:$F$147,2,FALSE)</f>
        <v>2577482457.7919998</v>
      </c>
      <c r="K14" s="16">
        <f>VLOOKUP($I$14,$B$6:$F$147,3,FALSE)</f>
        <v>2577482457.7919998</v>
      </c>
      <c r="L14" s="16">
        <f>VLOOKUP($I$14,$B$6:$F$147,4,FALSE)</f>
        <v>174726746.014</v>
      </c>
      <c r="M14" s="16">
        <f>VLOOKUP($I$14,$B$6:$F$147,5,FALSE)</f>
        <v>1580341775.7720001</v>
      </c>
      <c r="P14" s="123"/>
      <c r="Q14" s="124"/>
    </row>
    <row r="15" spans="2:17">
      <c r="B15" s="269" t="s">
        <v>169</v>
      </c>
      <c r="C15" s="268">
        <f>IFERROR(ROUND(VLOOKUP($B15,'Anexo 1 -Até o Mês '!$A$1:$K$500,2,FALSE),3),0)</f>
        <v>0</v>
      </c>
      <c r="D15" s="268">
        <f>IFERROR(ROUND(VLOOKUP($B15,'Anexo 1 -Até o Mês '!$A$1:$K$500,3,FALSE),3),0)</f>
        <v>0</v>
      </c>
      <c r="E15" s="268">
        <f>IFERROR(ROUND(VLOOKUP($B15,'Anexo 1 -Até o Mês '!$A$1:$K$500,4,FALSE),3),0)</f>
        <v>0</v>
      </c>
      <c r="F15" s="268">
        <f>IFERROR(ROUND(VLOOKUP($B15,'Anexo 1 -Até o Mês '!$A$1:$K$500,5,FALSE),3),0)</f>
        <v>0</v>
      </c>
      <c r="H15" s="1" t="s">
        <v>160</v>
      </c>
      <c r="I15" s="22" t="s">
        <v>89</v>
      </c>
      <c r="J15" s="16">
        <f>'Anexo 1 Rec Intra'!B55</f>
        <v>2577482457.7920003</v>
      </c>
      <c r="K15" s="16">
        <f>'Anexo 1 Rec Intra'!C55</f>
        <v>2577482457.7920003</v>
      </c>
      <c r="L15" s="16">
        <f>'Anexo 1 Rec Intra'!D55</f>
        <v>174726746.01199999</v>
      </c>
      <c r="M15" s="16">
        <f>'Anexo 1 Rec Intra'!F55</f>
        <v>1580341775.7729998</v>
      </c>
      <c r="P15" s="123"/>
      <c r="Q15" s="124"/>
    </row>
    <row r="16" spans="2:17">
      <c r="B16" s="267" t="s">
        <v>170</v>
      </c>
      <c r="C16" s="268">
        <f>IFERROR(ROUND(VLOOKUP($B16,'Anexo 1 -Até o Mês '!$A$1:$K$500,2,FALSE),3),0)</f>
        <v>91079246.821999997</v>
      </c>
      <c r="D16" s="268">
        <f>IFERROR(ROUND(VLOOKUP($B16,'Anexo 1 -Até o Mês '!$A$1:$K$500,3,FALSE),3),0)</f>
        <v>91079246.821999997</v>
      </c>
      <c r="E16" s="268">
        <f>IFERROR(ROUND(VLOOKUP($B16,'Anexo 1 -Até o Mês '!$A$1:$K$500,4,FALSE),3),0)</f>
        <v>14958893.728</v>
      </c>
      <c r="F16" s="268">
        <f>IFERROR(ROUND(VLOOKUP($B16,'Anexo 1 -Até o Mês '!$A$1:$K$500,5,FALSE),3),0)</f>
        <v>103580156.314</v>
      </c>
      <c r="H16" s="264" t="s">
        <v>162</v>
      </c>
      <c r="I16" s="265"/>
      <c r="J16" s="232">
        <f>ROUND(J14-J15,2)</f>
        <v>0</v>
      </c>
      <c r="K16" s="232">
        <f>ROUND(K14-K15,2)</f>
        <v>0</v>
      </c>
      <c r="L16" s="232">
        <f>ROUND(L14-L15,2)</f>
        <v>0</v>
      </c>
      <c r="M16" s="232">
        <f>ROUND(M14-M15,2)</f>
        <v>0</v>
      </c>
      <c r="P16" s="9"/>
    </row>
    <row r="17" spans="2:17">
      <c r="B17" s="267" t="s">
        <v>171</v>
      </c>
      <c r="C17" s="268">
        <f>IFERROR(ROUND(VLOOKUP($B17,'Anexo 1 -Até o Mês '!$A$1:$K$500,2,FALSE),3),0)</f>
        <v>2453289.2220000001</v>
      </c>
      <c r="D17" s="268">
        <f>IFERROR(ROUND(VLOOKUP($B17,'Anexo 1 -Até o Mês '!$A$1:$K$500,3,FALSE),3),0)</f>
        <v>2453289.2220000001</v>
      </c>
      <c r="E17" s="268">
        <f>IFERROR(ROUND(VLOOKUP($B17,'Anexo 1 -Até o Mês '!$A$1:$K$500,4,FALSE),3),0)</f>
        <v>230465.351</v>
      </c>
      <c r="F17" s="268">
        <f>IFERROR(ROUND(VLOOKUP($B17,'Anexo 1 -Até o Mês '!$A$1:$K$500,5,FALSE),3),0)</f>
        <v>1955220.004</v>
      </c>
      <c r="I17" s="22"/>
      <c r="J17" s="16"/>
      <c r="K17" s="16"/>
      <c r="L17" s="16"/>
      <c r="M17" s="16"/>
      <c r="P17" s="122"/>
      <c r="Q17" s="125"/>
    </row>
    <row r="18" spans="2:17">
      <c r="B18" s="267" t="s">
        <v>172</v>
      </c>
      <c r="C18" s="268">
        <f>IFERROR(ROUND(VLOOKUP($B18,'Anexo 1 -Até o Mês '!$A$1:$K$500,2,FALSE),3),0)</f>
        <v>19944753.103999998</v>
      </c>
      <c r="D18" s="268">
        <f>IFERROR(ROUND(VLOOKUP($B18,'Anexo 1 -Até o Mês '!$A$1:$K$500,3,FALSE),3),0)</f>
        <v>19944753.103999998</v>
      </c>
      <c r="E18" s="268">
        <f>IFERROR(ROUND(VLOOKUP($B18,'Anexo 1 -Até o Mês '!$A$1:$K$500,4,FALSE),3),0)</f>
        <v>8510902.1400000006</v>
      </c>
      <c r="F18" s="268">
        <f>IFERROR(ROUND(VLOOKUP($B18,'Anexo 1 -Até o Mês '!$A$1:$K$500,5,FALSE),3),0)</f>
        <v>34392816.486000001</v>
      </c>
      <c r="H18" s="1" t="s">
        <v>158</v>
      </c>
      <c r="I18" s="18" t="s">
        <v>90</v>
      </c>
      <c r="J18" s="16">
        <f>VLOOKUP($I$18,$B$6:$F$147,2,FALSE)</f>
        <v>1603521711.2079999</v>
      </c>
      <c r="K18" s="16">
        <f>VLOOKUP($I$18,$B$6:$F$147,3,FALSE)</f>
        <v>1603521711.2079999</v>
      </c>
      <c r="L18" s="16">
        <f>VLOOKUP($I$18,$B$6:$F$147,4,FALSE)</f>
        <v>70659604.479000002</v>
      </c>
      <c r="M18" s="16">
        <f>VLOOKUP($I$18,$B$6:$F$147,5,FALSE)</f>
        <v>1240257429.3</v>
      </c>
      <c r="P18" s="9"/>
    </row>
    <row r="19" spans="2:17">
      <c r="B19" s="267" t="s">
        <v>173</v>
      </c>
      <c r="C19" s="268">
        <f>IFERROR(ROUND(VLOOKUP($B19,'Anexo 1 -Até o Mês '!$A$1:$K$500,2,FALSE),3),0)</f>
        <v>3843891.6340000001</v>
      </c>
      <c r="D19" s="268">
        <f>IFERROR(ROUND(VLOOKUP($B19,'Anexo 1 -Até o Mês '!$A$1:$K$500,3,FALSE),3),0)</f>
        <v>3843891.6340000001</v>
      </c>
      <c r="E19" s="268">
        <f>IFERROR(ROUND(VLOOKUP($B19,'Anexo 1 -Até o Mês '!$A$1:$K$500,4,FALSE),3),0)</f>
        <v>414563.81099999999</v>
      </c>
      <c r="F19" s="268">
        <f>IFERROR(ROUND(VLOOKUP($B19,'Anexo 1 -Até o Mês '!$A$1:$K$500,5,FALSE),3),0)</f>
        <v>1380964.541</v>
      </c>
      <c r="H19" s="1" t="s">
        <v>160</v>
      </c>
      <c r="I19" s="22" t="s">
        <v>90</v>
      </c>
      <c r="J19" s="16">
        <f>'Anexo 1 Rec Intra'!B56</f>
        <v>1603521711.2079999</v>
      </c>
      <c r="K19" s="16">
        <f>'Anexo 1 Rec Intra'!C56</f>
        <v>1603521711.2079999</v>
      </c>
      <c r="L19" s="16">
        <f>'Anexo 1 Rec Intra'!D56</f>
        <v>70659604.479000002</v>
      </c>
      <c r="M19" s="16">
        <f>'Anexo 1 Rec Intra'!F56</f>
        <v>1240257429.3</v>
      </c>
      <c r="P19" s="9"/>
    </row>
    <row r="20" spans="2:17">
      <c r="B20" s="267" t="s">
        <v>174</v>
      </c>
      <c r="C20" s="268">
        <f>IFERROR(ROUND(VLOOKUP($B20,'Anexo 1 -Até o Mês '!$A$1:$K$500,2,FALSE),3),0)</f>
        <v>58718265.567000002</v>
      </c>
      <c r="D20" s="268">
        <f>IFERROR(ROUND(VLOOKUP($B20,'Anexo 1 -Até o Mês '!$A$1:$K$500,3,FALSE),3),0)</f>
        <v>58718265.567000002</v>
      </c>
      <c r="E20" s="268">
        <f>IFERROR(ROUND(VLOOKUP($B20,'Anexo 1 -Até o Mês '!$A$1:$K$500,4,FALSE),3),0)</f>
        <v>5215935.92</v>
      </c>
      <c r="F20" s="268">
        <f>IFERROR(ROUND(VLOOKUP($B20,'Anexo 1 -Até o Mês '!$A$1:$K$500,5,FALSE),3),0)</f>
        <v>61044511.258000001</v>
      </c>
      <c r="H20" s="264" t="s">
        <v>162</v>
      </c>
      <c r="I20" s="265"/>
      <c r="J20" s="232">
        <f>ROUND(J18-J19,2)</f>
        <v>0</v>
      </c>
      <c r="K20" s="232">
        <f>ROUND(K18-K19,2)</f>
        <v>0</v>
      </c>
      <c r="L20" s="232">
        <f>ROUND(L18-L19,2)</f>
        <v>0</v>
      </c>
      <c r="M20" s="232">
        <f>ROUND(M18-M19,2)</f>
        <v>0</v>
      </c>
      <c r="P20" s="9"/>
    </row>
    <row r="21" spans="2:17">
      <c r="B21" s="267" t="s">
        <v>175</v>
      </c>
      <c r="C21" s="268">
        <f>IFERROR(ROUND(VLOOKUP($B21,'Anexo 1 -Até o Mês '!$A$1:$K$500,2,FALSE),3),0)</f>
        <v>20.855</v>
      </c>
      <c r="D21" s="268">
        <f>IFERROR(ROUND(VLOOKUP($B21,'Anexo 1 -Até o Mês '!$A$1:$K$500,3,FALSE),3),0)</f>
        <v>20.855</v>
      </c>
      <c r="E21" s="268">
        <f>IFERROR(ROUND(VLOOKUP($B21,'Anexo 1 -Até o Mês '!$A$1:$K$500,4,FALSE),3),0)</f>
        <v>0.75</v>
      </c>
      <c r="F21" s="268">
        <f>IFERROR(ROUND(VLOOKUP($B21,'Anexo 1 -Até o Mês '!$A$1:$K$500,5,FALSE),3),0)</f>
        <v>10.388</v>
      </c>
      <c r="I21" s="22"/>
      <c r="J21" s="237"/>
      <c r="K21" s="237"/>
      <c r="L21" s="237"/>
      <c r="M21" s="237"/>
      <c r="P21" s="9"/>
    </row>
    <row r="22" spans="2:17">
      <c r="B22" s="267" t="s">
        <v>176</v>
      </c>
      <c r="C22" s="268">
        <f>IFERROR(ROUND(VLOOKUP($B22,'Anexo 1 -Até o Mês '!$A$1:$K$500,2,FALSE),3),0)</f>
        <v>3732646.4819999998</v>
      </c>
      <c r="D22" s="268">
        <f>IFERROR(ROUND(VLOOKUP($B22,'Anexo 1 -Até o Mês '!$A$1:$K$500,3,FALSE),3),0)</f>
        <v>3732646.4819999998</v>
      </c>
      <c r="E22" s="268">
        <f>IFERROR(ROUND(VLOOKUP($B22,'Anexo 1 -Até o Mês '!$A$1:$K$500,4,FALSE),3),0)</f>
        <v>369464.79499999998</v>
      </c>
      <c r="F22" s="268">
        <f>IFERROR(ROUND(VLOOKUP($B22,'Anexo 1 -Até o Mês '!$A$1:$K$500,5,FALSE),3),0)</f>
        <v>2908180.8810000001</v>
      </c>
      <c r="H22" s="1" t="s">
        <v>158</v>
      </c>
      <c r="I22" s="22" t="s">
        <v>177</v>
      </c>
      <c r="J22" s="16">
        <f>VLOOKUP($I$22,$B$6:$F$147,2,FALSE)</f>
        <v>4181004169</v>
      </c>
      <c r="K22" s="16">
        <f>VLOOKUP($I$22,$B$6:$F$147,3,FALSE)</f>
        <v>4181004169</v>
      </c>
      <c r="L22" s="16">
        <f>VLOOKUP($I$22,$B$6:$F$147,4,FALSE)</f>
        <v>245386350.493</v>
      </c>
      <c r="M22" s="16">
        <f>VLOOKUP($I$22,$B$6:$F$147,5,FALSE)</f>
        <v>2820599205.073</v>
      </c>
      <c r="P22" s="9"/>
    </row>
    <row r="23" spans="2:17">
      <c r="B23" s="267" t="s">
        <v>178</v>
      </c>
      <c r="C23" s="268">
        <f>IFERROR(ROUND(VLOOKUP($B23,'Anexo 1 -Até o Mês '!$A$1:$K$500,2,FALSE),3),0)</f>
        <v>2386379.9580000001</v>
      </c>
      <c r="D23" s="268">
        <f>IFERROR(ROUND(VLOOKUP($B23,'Anexo 1 -Até o Mês '!$A$1:$K$500,3,FALSE),3),0)</f>
        <v>2386379.9580000001</v>
      </c>
      <c r="E23" s="268">
        <f>IFERROR(ROUND(VLOOKUP($B23,'Anexo 1 -Até o Mês '!$A$1:$K$500,4,FALSE),3),0)</f>
        <v>217560.95999999999</v>
      </c>
      <c r="F23" s="268">
        <f>IFERROR(ROUND(VLOOKUP($B23,'Anexo 1 -Até o Mês '!$A$1:$K$500,5,FALSE),3),0)</f>
        <v>1898452.757</v>
      </c>
      <c r="H23" s="1" t="s">
        <v>160</v>
      </c>
      <c r="I23" s="22" t="s">
        <v>177</v>
      </c>
      <c r="J23" s="16">
        <f>'Anexo 1 Rec Intra'!B61</f>
        <v>4181004169</v>
      </c>
      <c r="K23" s="16">
        <f>'Anexo 1 Rec Intra'!C61</f>
        <v>4181004169</v>
      </c>
      <c r="L23" s="16">
        <f>'Anexo 1 Rec Intra'!D61</f>
        <v>245386350.491</v>
      </c>
      <c r="M23" s="16">
        <f>'Anexo 1 Rec Intra'!F61</f>
        <v>2820599205.073</v>
      </c>
    </row>
    <row r="24" spans="2:17">
      <c r="B24" s="267" t="s">
        <v>179</v>
      </c>
      <c r="C24" s="268">
        <f>IFERROR(ROUND(VLOOKUP($B24,'Anexo 1 -Até o Mês '!$A$1:$K$500,2,FALSE),3),0)</f>
        <v>23008.38</v>
      </c>
      <c r="D24" s="268">
        <f>IFERROR(ROUND(VLOOKUP($B24,'Anexo 1 -Até o Mês '!$A$1:$K$500,3,FALSE),3),0)</f>
        <v>23008.38</v>
      </c>
      <c r="E24" s="268">
        <f>IFERROR(ROUND(VLOOKUP($B24,'Anexo 1 -Até o Mês '!$A$1:$K$500,4,FALSE),3),0)</f>
        <v>2120.8510000000001</v>
      </c>
      <c r="F24" s="268">
        <f>IFERROR(ROUND(VLOOKUP($B24,'Anexo 1 -Até o Mês '!$A$1:$K$500,5,FALSE),3),0)</f>
        <v>19647.631000000001</v>
      </c>
      <c r="H24" s="264" t="s">
        <v>162</v>
      </c>
      <c r="I24" s="265"/>
      <c r="J24" s="232">
        <f>ROUND(J22-J23,2)</f>
        <v>0</v>
      </c>
      <c r="K24" s="232">
        <f>ROUND(K22-K23,2)</f>
        <v>0</v>
      </c>
      <c r="L24" s="232">
        <f>ROUND(L22-L23,2)</f>
        <v>0</v>
      </c>
      <c r="M24" s="232">
        <f>ROUND(M22-M23,2)</f>
        <v>0</v>
      </c>
    </row>
    <row r="25" spans="2:17">
      <c r="B25" s="267" t="s">
        <v>180</v>
      </c>
      <c r="C25" s="268">
        <f>IFERROR(ROUND(VLOOKUP($B25,'Anexo 1 -Até o Mês '!$A$1:$K$500,2,FALSE),3),0)</f>
        <v>2060501.9280000001</v>
      </c>
      <c r="D25" s="268">
        <f>IFERROR(ROUND(VLOOKUP($B25,'Anexo 1 -Até o Mês '!$A$1:$K$500,3,FALSE),3),0)</f>
        <v>2060501.9280000001</v>
      </c>
      <c r="E25" s="268">
        <f>IFERROR(ROUND(VLOOKUP($B25,'Anexo 1 -Até o Mês '!$A$1:$K$500,4,FALSE),3),0)</f>
        <v>212388.96599999999</v>
      </c>
      <c r="F25" s="268">
        <f>IFERROR(ROUND(VLOOKUP($B25,'Anexo 1 -Até o Mês '!$A$1:$K$500,5,FALSE),3),0)</f>
        <v>1328835.297</v>
      </c>
      <c r="H25" s="44" t="s">
        <v>181</v>
      </c>
      <c r="I25" s="44" t="s">
        <v>182</v>
      </c>
      <c r="J25" s="45"/>
      <c r="K25" s="45"/>
      <c r="L25" s="45">
        <f>'SIAFI Oper.'!I8</f>
        <v>245386350.49289989</v>
      </c>
      <c r="M25" s="45">
        <f>VLOOKUP("Receita Orçamentária até o mês",'SIAFI Oper.'!G1:K66,5,FALSE)</f>
        <v>2820599205.0725203</v>
      </c>
    </row>
    <row r="26" spans="2:17">
      <c r="B26" s="267" t="s">
        <v>183</v>
      </c>
      <c r="C26" s="268">
        <f>IFERROR(ROUND(VLOOKUP($B26,'Anexo 1 -Até o Mês '!$A$1:$K$500,2,FALSE),3),0)</f>
        <v>45670055.241999999</v>
      </c>
      <c r="D26" s="268">
        <f>IFERROR(ROUND(VLOOKUP($B26,'Anexo 1 -Até o Mês '!$A$1:$K$500,3,FALSE),3),0)</f>
        <v>45670055.241999999</v>
      </c>
      <c r="E26" s="268">
        <f>IFERROR(ROUND(VLOOKUP($B26,'Anexo 1 -Até o Mês '!$A$1:$K$500,4,FALSE),3),0)</f>
        <v>2905186.5320000001</v>
      </c>
      <c r="F26" s="268">
        <f>IFERROR(ROUND(VLOOKUP($B26,'Anexo 1 -Até o Mês '!$A$1:$K$500,5,FALSE),3),0)</f>
        <v>36411703.648999996</v>
      </c>
      <c r="H26" s="50" t="s">
        <v>162</v>
      </c>
      <c r="I26" s="22"/>
      <c r="J26" s="68"/>
      <c r="K26" s="68"/>
      <c r="L26" s="232">
        <f>ROUND(L23-L25,2)</f>
        <v>0</v>
      </c>
      <c r="M26" s="232">
        <f>ROUND(M23-M25,2)</f>
        <v>0</v>
      </c>
    </row>
    <row r="27" spans="2:17">
      <c r="B27" s="270" t="s">
        <v>184</v>
      </c>
      <c r="C27" s="268">
        <f>IFERROR(ROUND(VLOOKUP($B27,'Anexo 1 -Até o Mês '!$A$1:$K$500,2,FALSE),3),0)</f>
        <v>3331667.3309999998</v>
      </c>
      <c r="D27" s="268">
        <f>IFERROR(ROUND(VLOOKUP($B27,'Anexo 1 -Até o Mês '!$A$1:$K$500,3,FALSE),3),0)</f>
        <v>3331667.3309999998</v>
      </c>
      <c r="E27" s="268">
        <f>IFERROR(ROUND(VLOOKUP($B27,'Anexo 1 -Até o Mês '!$A$1:$K$500,4,FALSE),3),0)</f>
        <v>463462.54100000003</v>
      </c>
      <c r="F27" s="268">
        <f>IFERROR(ROUND(VLOOKUP($B27,'Anexo 1 -Até o Mês '!$A$1:$K$500,5,FALSE),3),0)</f>
        <v>2818567.46</v>
      </c>
      <c r="I27" s="22"/>
      <c r="J27" s="16"/>
      <c r="K27" s="16"/>
      <c r="L27" s="16"/>
      <c r="M27" s="16"/>
    </row>
    <row r="28" spans="2:17">
      <c r="B28" s="270" t="s">
        <v>185</v>
      </c>
      <c r="C28" s="268">
        <f>IFERROR(ROUND(VLOOKUP($B28,'Anexo 1 -Até o Mês '!$A$1:$K$500,2,FALSE),3),0)</f>
        <v>3153330.3829999999</v>
      </c>
      <c r="D28" s="268">
        <f>IFERROR(ROUND(VLOOKUP($B28,'Anexo 1 -Até o Mês '!$A$1:$K$500,3,FALSE),3),0)</f>
        <v>3153330.3829999999</v>
      </c>
      <c r="E28" s="268">
        <f>IFERROR(ROUND(VLOOKUP($B28,'Anexo 1 -Até o Mês '!$A$1:$K$500,4,FALSE),3),0)</f>
        <v>178516.198</v>
      </c>
      <c r="F28" s="268">
        <f>IFERROR(ROUND(VLOOKUP($B28,'Anexo 1 -Até o Mês '!$A$1:$K$500,5,FALSE),3),0)</f>
        <v>1335703.7890000001</v>
      </c>
      <c r="I28" s="22"/>
      <c r="J28" s="16"/>
      <c r="K28" s="16"/>
      <c r="L28" s="16"/>
      <c r="M28" s="16"/>
    </row>
    <row r="29" spans="2:17">
      <c r="B29" s="270" t="s">
        <v>186</v>
      </c>
      <c r="C29" s="268">
        <f>IFERROR(ROUND(VLOOKUP($B29,'Anexo 1 -Até o Mês '!$A$1:$K$500,2,FALSE),3),0)</f>
        <v>2343884.446</v>
      </c>
      <c r="D29" s="268">
        <f>IFERROR(ROUND(VLOOKUP($B29,'Anexo 1 -Até o Mês '!$A$1:$K$500,3,FALSE),3),0)</f>
        <v>2343884.446</v>
      </c>
      <c r="E29" s="268">
        <f>IFERROR(ROUND(VLOOKUP($B29,'Anexo 1 -Até o Mês '!$A$1:$K$500,4,FALSE),3),0)</f>
        <v>194233.46900000001</v>
      </c>
      <c r="F29" s="268">
        <f>IFERROR(ROUND(VLOOKUP($B29,'Anexo 1 -Até o Mês '!$A$1:$K$500,5,FALSE),3),0)</f>
        <v>1449762.409</v>
      </c>
      <c r="I29" s="70">
        <f>E26-SUM(E27:E31)</f>
        <v>0</v>
      </c>
      <c r="J29" s="16"/>
      <c r="K29" s="16"/>
      <c r="L29" s="16"/>
      <c r="M29" s="16"/>
    </row>
    <row r="30" spans="2:17">
      <c r="B30" s="270" t="s">
        <v>187</v>
      </c>
      <c r="C30" s="268">
        <f>IFERROR(ROUND(VLOOKUP($B30,'Anexo 1 -Até o Mês '!$A$1:$K$500,2,FALSE),3),0)</f>
        <v>36820550.347999997</v>
      </c>
      <c r="D30" s="268">
        <f>IFERROR(ROUND(VLOOKUP($B30,'Anexo 1 -Até o Mês '!$A$1:$K$500,3,FALSE),3),0)</f>
        <v>36820550.347999997</v>
      </c>
      <c r="E30" s="268">
        <f>IFERROR(ROUND(VLOOKUP($B30,'Anexo 1 -Até o Mês '!$A$1:$K$500,4,FALSE),3),0)</f>
        <v>2065055.3430000001</v>
      </c>
      <c r="F30" s="268">
        <f>IFERROR(ROUND(VLOOKUP($B30,'Anexo 1 -Até o Mês '!$A$1:$K$500,5,FALSE),3),0)</f>
        <v>30773524.324999999</v>
      </c>
      <c r="I30" s="22"/>
      <c r="J30" s="16"/>
      <c r="K30" s="16"/>
      <c r="L30" s="16"/>
      <c r="M30" s="16"/>
    </row>
    <row r="31" spans="2:17">
      <c r="B31" s="270" t="s">
        <v>188</v>
      </c>
      <c r="C31" s="268">
        <f>IFERROR(ROUND(VLOOKUP($B31,'Anexo 1 -Até o Mês '!$A$1:$K$500,2,FALSE),3),0)</f>
        <v>20622.734</v>
      </c>
      <c r="D31" s="268">
        <f>IFERROR(ROUND(VLOOKUP($B31,'Anexo 1 -Até o Mês '!$A$1:$K$500,3,FALSE),3),0)</f>
        <v>20622.734</v>
      </c>
      <c r="E31" s="268">
        <f>IFERROR(ROUND(VLOOKUP($B31,'Anexo 1 -Até o Mês '!$A$1:$K$500,4,FALSE),3),0)</f>
        <v>3918.9810000000002</v>
      </c>
      <c r="F31" s="268">
        <f>IFERROR(ROUND(VLOOKUP($B31,'Anexo 1 -Até o Mês '!$A$1:$K$500,5,FALSE),3),0)</f>
        <v>34145.665999999997</v>
      </c>
      <c r="I31" s="22"/>
      <c r="J31" s="16"/>
      <c r="K31" s="16"/>
      <c r="L31" s="16"/>
      <c r="M31" s="16"/>
    </row>
    <row r="32" spans="2:17">
      <c r="B32" s="267" t="s">
        <v>189</v>
      </c>
      <c r="C32" s="268">
        <f>IFERROR(ROUND(VLOOKUP($B32,'Anexo 1 -Até o Mês '!$A$1:$K$500,2,FALSE),3),0)</f>
        <v>459747.93300000002</v>
      </c>
      <c r="D32" s="268">
        <f>IFERROR(ROUND(VLOOKUP($B32,'Anexo 1 -Até o Mês '!$A$1:$K$500,3,FALSE),3),0)</f>
        <v>459747.93300000002</v>
      </c>
      <c r="E32" s="268">
        <f>IFERROR(ROUND(VLOOKUP($B32,'Anexo 1 -Até o Mês '!$A$1:$K$500,4,FALSE),3),0)</f>
        <v>73458.137000000002</v>
      </c>
      <c r="F32" s="268">
        <f>IFERROR(ROUND(VLOOKUP($B32,'Anexo 1 -Até o Mês '!$A$1:$K$500,5,FALSE),3),0)</f>
        <v>413203.80200000003</v>
      </c>
      <c r="I32" s="22"/>
    </row>
    <row r="33" spans="2:9">
      <c r="B33" s="267" t="s">
        <v>190</v>
      </c>
      <c r="C33" s="268">
        <f>IFERROR(ROUND(VLOOKUP($B33,'Anexo 1 -Até o Mês '!$A$1:$K$500,2,FALSE),3),0)</f>
        <v>168314.772</v>
      </c>
      <c r="D33" s="268">
        <f>IFERROR(ROUND(VLOOKUP($B33,'Anexo 1 -Até o Mês '!$A$1:$K$500,3,FALSE),3),0)</f>
        <v>168314.772</v>
      </c>
      <c r="E33" s="268">
        <f>IFERROR(ROUND(VLOOKUP($B33,'Anexo 1 -Até o Mês '!$A$1:$K$500,4,FALSE),3),0)</f>
        <v>45248.09</v>
      </c>
      <c r="F33" s="268">
        <f>IFERROR(ROUND(VLOOKUP($B33,'Anexo 1 -Até o Mês '!$A$1:$K$500,5,FALSE),3),0)</f>
        <v>236521.27</v>
      </c>
      <c r="I33" s="22"/>
    </row>
    <row r="34" spans="2:9">
      <c r="B34" s="267" t="s">
        <v>191</v>
      </c>
      <c r="C34" s="268">
        <f>IFERROR(ROUND(VLOOKUP($B34,'Anexo 1 -Até o Mês '!$A$1:$K$500,2,FALSE),3),0)</f>
        <v>27388.898000000001</v>
      </c>
      <c r="D34" s="268">
        <f>IFERROR(ROUND(VLOOKUP($B34,'Anexo 1 -Até o Mês '!$A$1:$K$500,3,FALSE),3),0)</f>
        <v>27388.898000000001</v>
      </c>
      <c r="E34" s="268">
        <f>IFERROR(ROUND(VLOOKUP($B34,'Anexo 1 -Até o Mês '!$A$1:$K$500,4,FALSE),3),0)</f>
        <v>7346.4690000000001</v>
      </c>
      <c r="F34" s="268">
        <f>IFERROR(ROUND(VLOOKUP($B34,'Anexo 1 -Até o Mês '!$A$1:$K$500,5,FALSE),3),0)</f>
        <v>22703.405999999999</v>
      </c>
      <c r="I34" s="22"/>
    </row>
    <row r="35" spans="2:9">
      <c r="B35" s="267" t="s">
        <v>192</v>
      </c>
      <c r="C35" s="268">
        <f>IFERROR(ROUND(VLOOKUP($B35,'Anexo 1 -Até o Mês '!$A$1:$K$500,2,FALSE),3),0)</f>
        <v>1459.866</v>
      </c>
      <c r="D35" s="268">
        <f>IFERROR(ROUND(VLOOKUP($B35,'Anexo 1 -Até o Mês '!$A$1:$K$500,3,FALSE),3),0)</f>
        <v>1459.866</v>
      </c>
      <c r="E35" s="268">
        <f>IFERROR(ROUND(VLOOKUP($B35,'Anexo 1 -Até o Mês '!$A$1:$K$500,4,FALSE),3),0)</f>
        <v>1311.665</v>
      </c>
      <c r="F35" s="268">
        <f>IFERROR(ROUND(VLOOKUP($B35,'Anexo 1 -Até o Mês '!$A$1:$K$500,5,FALSE),3),0)</f>
        <v>4161.0829999999996</v>
      </c>
      <c r="I35" s="22"/>
    </row>
    <row r="36" spans="2:9">
      <c r="B36" s="267" t="s">
        <v>193</v>
      </c>
      <c r="C36" s="268">
        <f>IFERROR(ROUND(VLOOKUP($B36,'Anexo 1 -Até o Mês '!$A$1:$K$500,2,FALSE),3),0)</f>
        <v>254820.14600000001</v>
      </c>
      <c r="D36" s="268">
        <f>IFERROR(ROUND(VLOOKUP($B36,'Anexo 1 -Até o Mês '!$A$1:$K$500,3,FALSE),3),0)</f>
        <v>254820.14600000001</v>
      </c>
      <c r="E36" s="268">
        <f>IFERROR(ROUND(VLOOKUP($B36,'Anexo 1 -Até o Mês '!$A$1:$K$500,4,FALSE),3),0)</f>
        <v>15677.172</v>
      </c>
      <c r="F36" s="268">
        <f>IFERROR(ROUND(VLOOKUP($B36,'Anexo 1 -Até o Mês '!$A$1:$K$500,5,FALSE),3),0)</f>
        <v>145087.43900000001</v>
      </c>
      <c r="I36" s="22"/>
    </row>
    <row r="37" spans="2:9">
      <c r="B37" s="267" t="s">
        <v>194</v>
      </c>
      <c r="C37" s="268">
        <f>IFERROR(ROUND(VLOOKUP($B37,'Anexo 1 -Até o Mês '!$A$1:$K$500,2,FALSE),3),0)</f>
        <v>0</v>
      </c>
      <c r="D37" s="268">
        <f>IFERROR(ROUND(VLOOKUP($B37,'Anexo 1 -Até o Mês '!$A$1:$K$500,3,FALSE),3),0)</f>
        <v>0</v>
      </c>
      <c r="E37" s="268">
        <f>IFERROR(ROUND(VLOOKUP($B37,'Anexo 1 -Até o Mês '!$A$1:$K$500,4,FALSE),3),0)</f>
        <v>0</v>
      </c>
      <c r="F37" s="268">
        <f>IFERROR(ROUND(VLOOKUP($B37,'Anexo 1 -Até o Mês '!$A$1:$K$500,5,FALSE),3),0)</f>
        <v>0</v>
      </c>
      <c r="I37" s="22"/>
    </row>
    <row r="38" spans="2:9">
      <c r="B38" s="267" t="s">
        <v>195</v>
      </c>
      <c r="C38" s="268">
        <f>IFERROR(ROUND(VLOOKUP($B38,'Anexo 1 -Até o Mês '!$A$1:$K$500,2,FALSE),3),0)</f>
        <v>6500</v>
      </c>
      <c r="D38" s="268">
        <f>IFERROR(ROUND(VLOOKUP($B38,'Anexo 1 -Até o Mês '!$A$1:$K$500,3,FALSE),3),0)</f>
        <v>6500</v>
      </c>
      <c r="E38" s="268">
        <f>IFERROR(ROUND(VLOOKUP($B38,'Anexo 1 -Até o Mês '!$A$1:$K$500,4,FALSE),3),0)</f>
        <v>0</v>
      </c>
      <c r="F38" s="268">
        <f>IFERROR(ROUND(VLOOKUP($B38,'Anexo 1 -Até o Mês '!$A$1:$K$500,5,FALSE),3),0)</f>
        <v>335.36200000000002</v>
      </c>
      <c r="I38" s="22"/>
    </row>
    <row r="39" spans="2:9">
      <c r="B39" s="267" t="s">
        <v>196</v>
      </c>
      <c r="C39" s="268">
        <f>IFERROR(ROUND(VLOOKUP($B39,'Anexo 1 -Até o Mês '!$A$1:$K$500,2,FALSE),3),0)</f>
        <v>1250.365</v>
      </c>
      <c r="D39" s="268">
        <f>IFERROR(ROUND(VLOOKUP($B39,'Anexo 1 -Até o Mês '!$A$1:$K$500,3,FALSE),3),0)</f>
        <v>1250.365</v>
      </c>
      <c r="E39" s="268">
        <f>IFERROR(ROUND(VLOOKUP($B39,'Anexo 1 -Até o Mês '!$A$1:$K$500,4,FALSE),3),0)</f>
        <v>3873.8829999999998</v>
      </c>
      <c r="F39" s="268">
        <f>IFERROR(ROUND(VLOOKUP($B39,'Anexo 1 -Até o Mês '!$A$1:$K$500,5,FALSE),3),0)</f>
        <v>4378.6840000000002</v>
      </c>
      <c r="I39" s="22"/>
    </row>
    <row r="40" spans="2:9">
      <c r="B40" s="267" t="s">
        <v>197</v>
      </c>
      <c r="C40" s="268">
        <f>IFERROR(ROUND(VLOOKUP($B40,'Anexo 1 -Até o Mês '!$A$1:$K$500,2,FALSE),3),0)</f>
        <v>13.885999999999999</v>
      </c>
      <c r="D40" s="268">
        <f>IFERROR(ROUND(VLOOKUP($B40,'Anexo 1 -Até o Mês '!$A$1:$K$500,3,FALSE),3),0)</f>
        <v>13.885999999999999</v>
      </c>
      <c r="E40" s="268">
        <f>IFERROR(ROUND(VLOOKUP($B40,'Anexo 1 -Até o Mês '!$A$1:$K$500,4,FALSE),3),0)</f>
        <v>0.85799999999999998</v>
      </c>
      <c r="F40" s="268">
        <f>IFERROR(ROUND(VLOOKUP($B40,'Anexo 1 -Até o Mês '!$A$1:$K$500,5,FALSE),3),0)</f>
        <v>16.559000000000001</v>
      </c>
      <c r="I40" s="22"/>
    </row>
    <row r="41" spans="2:9">
      <c r="B41" s="267" t="s">
        <v>198</v>
      </c>
      <c r="C41" s="268">
        <f>IFERROR(ROUND(VLOOKUP($B41,'Anexo 1 -Até o Mês '!$A$1:$K$500,2,FALSE),3),0)</f>
        <v>0</v>
      </c>
      <c r="D41" s="268">
        <f>IFERROR(ROUND(VLOOKUP($B41,'Anexo 1 -Até o Mês '!$A$1:$K$500,3,FALSE),3),0)</f>
        <v>0</v>
      </c>
      <c r="E41" s="268">
        <f>IFERROR(ROUND(VLOOKUP($B41,'Anexo 1 -Até o Mês '!$A$1:$K$500,4,FALSE),3),0)</f>
        <v>267.97899999999998</v>
      </c>
      <c r="F41" s="268">
        <f>IFERROR(ROUND(VLOOKUP($B41,'Anexo 1 -Até o Mês '!$A$1:$K$500,5,FALSE),3),0)</f>
        <v>3157.2170000000001</v>
      </c>
      <c r="I41" s="22"/>
    </row>
    <row r="42" spans="2:9">
      <c r="B42" s="267" t="s">
        <v>199</v>
      </c>
      <c r="C42" s="268">
        <f>IFERROR(ROUND(VLOOKUP($B42,'Anexo 1 -Até o Mês '!$A$1:$K$500,2,FALSE),3),0)</f>
        <v>19539777.386999998</v>
      </c>
      <c r="D42" s="268">
        <f>IFERROR(ROUND(VLOOKUP($B42,'Anexo 1 -Até o Mês '!$A$1:$K$500,3,FALSE),3),0)</f>
        <v>19539777.386999998</v>
      </c>
      <c r="E42" s="268">
        <f>IFERROR(ROUND(VLOOKUP($B42,'Anexo 1 -Até o Mês '!$A$1:$K$500,4,FALSE),3),0)</f>
        <v>2525692.2439999999</v>
      </c>
      <c r="F42" s="268">
        <f>IFERROR(ROUND(VLOOKUP($B42,'Anexo 1 -Até o Mês '!$A$1:$K$500,5,FALSE),3),0)</f>
        <v>37505815.134999998</v>
      </c>
      <c r="I42" s="22"/>
    </row>
    <row r="43" spans="2:9">
      <c r="B43" s="267" t="s">
        <v>200</v>
      </c>
      <c r="C43" s="268">
        <f>IFERROR(ROUND(VLOOKUP($B43,'Anexo 1 -Até o Mês '!$A$1:$K$500,2,FALSE),3),0)</f>
        <v>5475907.0690000001</v>
      </c>
      <c r="D43" s="268">
        <f>IFERROR(ROUND(VLOOKUP($B43,'Anexo 1 -Até o Mês '!$A$1:$K$500,3,FALSE),3),0)</f>
        <v>5475907.0690000001</v>
      </c>
      <c r="E43" s="268">
        <f>IFERROR(ROUND(VLOOKUP($B43,'Anexo 1 -Até o Mês '!$A$1:$K$500,4,FALSE),3),0)</f>
        <v>818934.44099999999</v>
      </c>
      <c r="F43" s="268">
        <f>IFERROR(ROUND(VLOOKUP($B43,'Anexo 1 -Até o Mês '!$A$1:$K$500,5,FALSE),3),0)</f>
        <v>5619646.0839999998</v>
      </c>
      <c r="I43" s="22"/>
    </row>
    <row r="44" spans="2:9">
      <c r="B44" s="267" t="s">
        <v>201</v>
      </c>
      <c r="C44" s="268">
        <f>IFERROR(ROUND(VLOOKUP($B44,'Anexo 1 -Até o Mês '!$A$1:$K$500,2,FALSE),3),0)</f>
        <v>6975980.9170000004</v>
      </c>
      <c r="D44" s="268">
        <f>IFERROR(ROUND(VLOOKUP($B44,'Anexo 1 -Até o Mês '!$A$1:$K$500,3,FALSE),3),0)</f>
        <v>6975980.9170000004</v>
      </c>
      <c r="E44" s="268">
        <f>IFERROR(ROUND(VLOOKUP($B44,'Anexo 1 -Até o Mês '!$A$1:$K$500,4,FALSE),3),0)</f>
        <v>756622.26599999995</v>
      </c>
      <c r="F44" s="268">
        <f>IFERROR(ROUND(VLOOKUP($B44,'Anexo 1 -Até o Mês '!$A$1:$K$500,5,FALSE),3),0)</f>
        <v>20974816.206</v>
      </c>
      <c r="I44" s="22"/>
    </row>
    <row r="45" spans="2:9">
      <c r="B45" s="267" t="s">
        <v>202</v>
      </c>
      <c r="C45" s="268">
        <f>IFERROR(ROUND(VLOOKUP($B45,'Anexo 1 -Até o Mês '!$A$1:$K$500,2,FALSE),3),0)</f>
        <v>1067305.9169999999</v>
      </c>
      <c r="D45" s="268">
        <f>IFERROR(ROUND(VLOOKUP($B45,'Anexo 1 -Até o Mês '!$A$1:$K$500,3,FALSE),3),0)</f>
        <v>1067305.9169999999</v>
      </c>
      <c r="E45" s="268">
        <f>IFERROR(ROUND(VLOOKUP($B45,'Anexo 1 -Até o Mês '!$A$1:$K$500,4,FALSE),3),0)</f>
        <v>101900.173</v>
      </c>
      <c r="F45" s="268">
        <f>IFERROR(ROUND(VLOOKUP($B45,'Anexo 1 -Até o Mês '!$A$1:$K$500,5,FALSE),3),0)</f>
        <v>1197389.605</v>
      </c>
      <c r="I45" s="22"/>
    </row>
    <row r="46" spans="2:9">
      <c r="B46" s="267" t="s">
        <v>203</v>
      </c>
      <c r="C46" s="268">
        <f>IFERROR(ROUND(VLOOKUP($B46,'Anexo 1 -Até o Mês '!$A$1:$K$500,2,FALSE),3),0)</f>
        <v>6020583.4840000002</v>
      </c>
      <c r="D46" s="268">
        <f>IFERROR(ROUND(VLOOKUP($B46,'Anexo 1 -Até o Mês '!$A$1:$K$500,3,FALSE),3),0)</f>
        <v>6020583.4840000002</v>
      </c>
      <c r="E46" s="268">
        <f>IFERROR(ROUND(VLOOKUP($B46,'Anexo 1 -Até o Mês '!$A$1:$K$500,4,FALSE),3),0)</f>
        <v>848235.36399999994</v>
      </c>
      <c r="F46" s="268">
        <f>IFERROR(ROUND(VLOOKUP($B46,'Anexo 1 -Até o Mês '!$A$1:$K$500,5,FALSE),3),0)</f>
        <v>9713963.2400000002</v>
      </c>
      <c r="I46" s="22"/>
    </row>
    <row r="47" spans="2:9">
      <c r="B47" s="267" t="s">
        <v>204</v>
      </c>
      <c r="C47" s="268">
        <f>IFERROR(ROUND(VLOOKUP($B47,'Anexo 1 -Até o Mês '!$A$1:$K$500,2,FALSE),3),0)</f>
        <v>913280508.73599994</v>
      </c>
      <c r="D47" s="268">
        <f>IFERROR(ROUND(VLOOKUP($B47,'Anexo 1 -Até o Mês '!$A$1:$K$500,3,FALSE),3),0)</f>
        <v>913280508.73599994</v>
      </c>
      <c r="E47" s="268">
        <f>IFERROR(ROUND(VLOOKUP($B47,'Anexo 1 -Até o Mês '!$A$1:$K$500,4,FALSE),3),0)</f>
        <v>19176766.063000001</v>
      </c>
      <c r="F47" s="268">
        <f>IFERROR(ROUND(VLOOKUP($B47,'Anexo 1 -Até o Mês '!$A$1:$K$500,5,FALSE),3),0)</f>
        <v>298077672.95099998</v>
      </c>
      <c r="I47" s="22"/>
    </row>
    <row r="48" spans="2:9">
      <c r="B48" s="267" t="s">
        <v>205</v>
      </c>
      <c r="C48" s="268">
        <f>IFERROR(ROUND(VLOOKUP($B48,'Anexo 1 -Até o Mês '!$A$1:$K$500,2,FALSE),3),0)</f>
        <v>828770731.09300005</v>
      </c>
      <c r="D48" s="268">
        <f>IFERROR(ROUND(VLOOKUP($B48,'Anexo 1 -Até o Mês '!$A$1:$K$500,3,FALSE),3),0)</f>
        <v>828770731.09300005</v>
      </c>
      <c r="E48" s="268">
        <f>IFERROR(ROUND(VLOOKUP($B48,'Anexo 1 -Até o Mês '!$A$1:$K$500,4,FALSE),3),0)</f>
        <v>1416146.4779999999</v>
      </c>
      <c r="F48" s="268">
        <f>IFERROR(ROUND(VLOOKUP($B48,'Anexo 1 -Até o Mês '!$A$1:$K$500,5,FALSE),3),0)</f>
        <v>135626053.053</v>
      </c>
      <c r="I48" s="22"/>
    </row>
    <row r="49" spans="2:9">
      <c r="B49" s="267" t="s">
        <v>206</v>
      </c>
      <c r="C49" s="268">
        <f>IFERROR(ROUND(VLOOKUP($B49,'Anexo 1 -Até o Mês '!$A$1:$K$500,2,FALSE),3),0)</f>
        <v>825994152.36500001</v>
      </c>
      <c r="D49" s="268">
        <f>IFERROR(ROUND(VLOOKUP($B49,'Anexo 1 -Até o Mês '!$A$1:$K$500,3,FALSE),3),0)</f>
        <v>825994152.36500001</v>
      </c>
      <c r="E49" s="268">
        <f>IFERROR(ROUND(VLOOKUP($B49,'Anexo 1 -Até o Mês '!$A$1:$K$500,4,FALSE),3),0)</f>
        <v>32561.261999999999</v>
      </c>
      <c r="F49" s="268">
        <f>IFERROR(ROUND(VLOOKUP($B49,'Anexo 1 -Até o Mês '!$A$1:$K$500,5,FALSE),3),0)</f>
        <v>111257597.836</v>
      </c>
      <c r="I49" s="22"/>
    </row>
    <row r="50" spans="2:9">
      <c r="B50" s="267" t="s">
        <v>207</v>
      </c>
      <c r="C50" s="268">
        <f>IFERROR(ROUND(VLOOKUP($B50,'Anexo 1 -Até o Mês '!$A$1:$K$500,2,FALSE),3),0)</f>
        <v>2776578.7280000001</v>
      </c>
      <c r="D50" s="268">
        <f>IFERROR(ROUND(VLOOKUP($B50,'Anexo 1 -Até o Mês '!$A$1:$K$500,3,FALSE),3),0)</f>
        <v>2776578.7280000001</v>
      </c>
      <c r="E50" s="268">
        <f>IFERROR(ROUND(VLOOKUP($B50,'Anexo 1 -Até o Mês '!$A$1:$K$500,4,FALSE),3),0)</f>
        <v>1383585.216</v>
      </c>
      <c r="F50" s="268">
        <f>IFERROR(ROUND(VLOOKUP($B50,'Anexo 1 -Até o Mês '!$A$1:$K$500,5,FALSE),3),0)</f>
        <v>24368455.217</v>
      </c>
      <c r="I50" s="22"/>
    </row>
    <row r="51" spans="2:9">
      <c r="B51" s="267" t="s">
        <v>208</v>
      </c>
      <c r="C51" s="268">
        <f>IFERROR(ROUND(VLOOKUP($B51,'Anexo 1 -Até o Mês '!$A$1:$K$500,2,FALSE),3),0)</f>
        <v>1852197.0789999999</v>
      </c>
      <c r="D51" s="268">
        <f>IFERROR(ROUND(VLOOKUP($B51,'Anexo 1 -Até o Mês '!$A$1:$K$500,3,FALSE),3),0)</f>
        <v>1852197.0789999999</v>
      </c>
      <c r="E51" s="268">
        <f>IFERROR(ROUND(VLOOKUP($B51,'Anexo 1 -Até o Mês '!$A$1:$K$500,4,FALSE),3),0)</f>
        <v>135297.269</v>
      </c>
      <c r="F51" s="268">
        <f>IFERROR(ROUND(VLOOKUP($B51,'Anexo 1 -Até o Mês '!$A$1:$K$500,5,FALSE),3),0)</f>
        <v>8120725.8650000002</v>
      </c>
      <c r="I51" s="22"/>
    </row>
    <row r="52" spans="2:9">
      <c r="B52" s="267" t="s">
        <v>209</v>
      </c>
      <c r="C52" s="268">
        <f>IFERROR(ROUND(VLOOKUP($B52,'Anexo 1 -Até o Mês '!$A$1:$K$500,2,FALSE),3),0)</f>
        <v>1421244.5530000001</v>
      </c>
      <c r="D52" s="268">
        <f>IFERROR(ROUND(VLOOKUP($B52,'Anexo 1 -Até o Mês '!$A$1:$K$500,3,FALSE),3),0)</f>
        <v>1421244.5530000001</v>
      </c>
      <c r="E52" s="268">
        <f>IFERROR(ROUND(VLOOKUP($B52,'Anexo 1 -Até o Mês '!$A$1:$K$500,4,FALSE),3),0)</f>
        <v>33917.500999999997</v>
      </c>
      <c r="F52" s="268">
        <f>IFERROR(ROUND(VLOOKUP($B52,'Anexo 1 -Até o Mês '!$A$1:$K$500,5,FALSE),3),0)</f>
        <v>7871589.3049999997</v>
      </c>
      <c r="I52" s="22"/>
    </row>
    <row r="53" spans="2:9">
      <c r="B53" s="267" t="s">
        <v>210</v>
      </c>
      <c r="C53" s="268">
        <f>IFERROR(ROUND(VLOOKUP($B53,'Anexo 1 -Até o Mês '!$A$1:$K$500,2,FALSE),3),0)</f>
        <v>430952.52600000001</v>
      </c>
      <c r="D53" s="268">
        <f>IFERROR(ROUND(VLOOKUP($B53,'Anexo 1 -Até o Mês '!$A$1:$K$500,3,FALSE),3),0)</f>
        <v>430952.52600000001</v>
      </c>
      <c r="E53" s="268">
        <f>IFERROR(ROUND(VLOOKUP($B53,'Anexo 1 -Até o Mês '!$A$1:$K$500,4,FALSE),3),0)</f>
        <v>101379.768</v>
      </c>
      <c r="F53" s="268">
        <f>IFERROR(ROUND(VLOOKUP($B53,'Anexo 1 -Até o Mês '!$A$1:$K$500,5,FALSE),3),0)</f>
        <v>241784.70600000001</v>
      </c>
      <c r="I53" s="22"/>
    </row>
    <row r="54" spans="2:9">
      <c r="B54" s="267" t="s">
        <v>211</v>
      </c>
      <c r="C54" s="268">
        <f>IFERROR(ROUND(VLOOKUP($B54,'Anexo 1 -Até o Mês '!$A$1:$K$500,2,FALSE),3),0)</f>
        <v>0</v>
      </c>
      <c r="D54" s="268">
        <f>IFERROR(ROUND(VLOOKUP($B54,'Anexo 1 -Até o Mês '!$A$1:$K$500,3,FALSE),3),0)</f>
        <v>0</v>
      </c>
      <c r="E54" s="268">
        <f>IFERROR(ROUND(VLOOKUP($B54,'Anexo 1 -Até o Mês '!$A$1:$K$500,4,FALSE),3),0)</f>
        <v>0</v>
      </c>
      <c r="F54" s="268">
        <f>IFERROR(ROUND(VLOOKUP($B54,'Anexo 1 -Até o Mês '!$A$1:$K$500,5,FALSE),3),0)</f>
        <v>7351.8540000000003</v>
      </c>
      <c r="I54" s="289"/>
    </row>
    <row r="55" spans="2:9">
      <c r="B55" s="267" t="s">
        <v>212</v>
      </c>
      <c r="C55" s="268">
        <f>IFERROR(ROUND(VLOOKUP($B55,'Anexo 1 -Até o Mês '!$A$1:$K$500,2,FALSE),3),0)</f>
        <v>40079406.854999997</v>
      </c>
      <c r="D55" s="268">
        <f>IFERROR(ROUND(VLOOKUP($B55,'Anexo 1 -Até o Mês '!$A$1:$K$500,3,FALSE),3),0)</f>
        <v>40079406.854999997</v>
      </c>
      <c r="E55" s="268">
        <f>IFERROR(ROUND(VLOOKUP($B55,'Anexo 1 -Até o Mês '!$A$1:$K$500,4,FALSE),3),0)</f>
        <v>5632897.0499999998</v>
      </c>
      <c r="F55" s="268">
        <f>IFERROR(ROUND(VLOOKUP($B55,'Anexo 1 -Até o Mês '!$A$1:$K$500,5,FALSE),3),0)</f>
        <v>83704059.503000006</v>
      </c>
      <c r="I55" s="22"/>
    </row>
    <row r="56" spans="2:9">
      <c r="B56" s="267" t="s">
        <v>213</v>
      </c>
      <c r="C56" s="268">
        <f>IFERROR(ROUND(VLOOKUP($B56,'Anexo 1 -Até o Mês '!$A$1:$K$500,2,FALSE),3),0)</f>
        <v>77970.942999999999</v>
      </c>
      <c r="D56" s="268">
        <f>IFERROR(ROUND(VLOOKUP($B56,'Anexo 1 -Até o Mês '!$A$1:$K$500,3,FALSE),3),0)</f>
        <v>77970.942999999999</v>
      </c>
      <c r="E56" s="268">
        <f>IFERROR(ROUND(VLOOKUP($B56,'Anexo 1 -Até o Mês '!$A$1:$K$500,4,FALSE),3),0)</f>
        <v>-657.61300000000006</v>
      </c>
      <c r="F56" s="268">
        <f>IFERROR(ROUND(VLOOKUP($B56,'Anexo 1 -Até o Mês '!$A$1:$K$500,5,FALSE),3),0)</f>
        <v>729.07</v>
      </c>
      <c r="I56" s="22"/>
    </row>
    <row r="57" spans="2:9">
      <c r="B57" s="267" t="s">
        <v>214</v>
      </c>
      <c r="C57" s="268">
        <f>IFERROR(ROUND(VLOOKUP($B57,'Anexo 1 -Até o Mês '!$A$1:$K$500,2,FALSE),3),0)</f>
        <v>1600</v>
      </c>
      <c r="D57" s="268">
        <f>IFERROR(ROUND(VLOOKUP($B57,'Anexo 1 -Até o Mês '!$A$1:$K$500,3,FALSE),3),0)</f>
        <v>1600</v>
      </c>
      <c r="E57" s="268">
        <f>IFERROR(ROUND(VLOOKUP($B57,'Anexo 1 -Até o Mês '!$A$1:$K$500,4,FALSE),3),0)</f>
        <v>0</v>
      </c>
      <c r="F57" s="268">
        <f>IFERROR(ROUND(VLOOKUP($B57,'Anexo 1 -Até o Mês '!$A$1:$K$500,5,FALSE),3),0)</f>
        <v>0</v>
      </c>
      <c r="I57" s="22"/>
    </row>
    <row r="58" spans="2:9">
      <c r="B58" s="267" t="s">
        <v>215</v>
      </c>
      <c r="C58" s="268">
        <f>IFERROR(ROUND(VLOOKUP($B58,'Anexo 1 -Até o Mês '!$A$1:$K$500,2,FALSE),3),0)</f>
        <v>23502.264999999999</v>
      </c>
      <c r="D58" s="268">
        <f>IFERROR(ROUND(VLOOKUP($B58,'Anexo 1 -Até o Mês '!$A$1:$K$500,3,FALSE),3),0)</f>
        <v>23502.264999999999</v>
      </c>
      <c r="E58" s="268">
        <f>IFERROR(ROUND(VLOOKUP($B58,'Anexo 1 -Até o Mês '!$A$1:$K$500,4,FALSE),3),0)</f>
        <v>0</v>
      </c>
      <c r="F58" s="268">
        <f>IFERROR(ROUND(VLOOKUP($B58,'Anexo 1 -Até o Mês '!$A$1:$K$500,5,FALSE),3),0)</f>
        <v>927.78300000000002</v>
      </c>
      <c r="I58" s="22"/>
    </row>
    <row r="59" spans="2:9">
      <c r="B59" s="267" t="s">
        <v>216</v>
      </c>
      <c r="C59" s="268">
        <f>IFERROR(ROUND(VLOOKUP($B59,'Anexo 1 -Até o Mês '!$A$1:$K$500,2,FALSE),3),0)</f>
        <v>22047.714</v>
      </c>
      <c r="D59" s="268">
        <f>IFERROR(ROUND(VLOOKUP($B59,'Anexo 1 -Até o Mês '!$A$1:$K$500,3,FALSE),3),0)</f>
        <v>22047.714</v>
      </c>
      <c r="E59" s="268">
        <f>IFERROR(ROUND(VLOOKUP($B59,'Anexo 1 -Até o Mês '!$A$1:$K$500,4,FALSE),3),0)</f>
        <v>45</v>
      </c>
      <c r="F59" s="268">
        <f>IFERROR(ROUND(VLOOKUP($B59,'Anexo 1 -Até o Mês '!$A$1:$K$500,5,FALSE),3),0)</f>
        <v>286.60000000000002</v>
      </c>
      <c r="I59" s="22"/>
    </row>
    <row r="60" spans="2:9">
      <c r="B60" s="267" t="s">
        <v>217</v>
      </c>
      <c r="C60" s="268">
        <f>IFERROR(ROUND(VLOOKUP($B60,'Anexo 1 -Até o Mês '!$A$1:$K$500,2,FALSE),3),0)</f>
        <v>29839.723000000002</v>
      </c>
      <c r="D60" s="268">
        <f>IFERROR(ROUND(VLOOKUP($B60,'Anexo 1 -Até o Mês '!$A$1:$K$500,3,FALSE),3),0)</f>
        <v>29839.723000000002</v>
      </c>
      <c r="E60" s="268">
        <f>IFERROR(ROUND(VLOOKUP($B60,'Anexo 1 -Até o Mês '!$A$1:$K$500,4,FALSE),3),0)</f>
        <v>0</v>
      </c>
      <c r="F60" s="268">
        <f>IFERROR(ROUND(VLOOKUP($B60,'Anexo 1 -Até o Mês '!$A$1:$K$500,5,FALSE),3),0)</f>
        <v>217.3</v>
      </c>
      <c r="I60" s="22"/>
    </row>
    <row r="61" spans="2:9">
      <c r="B61" s="267" t="s">
        <v>218</v>
      </c>
      <c r="C61" s="268">
        <f>IFERROR(ROUND(VLOOKUP($B61,'Anexo 1 -Até o Mês '!$A$1:$K$500,2,FALSE),3),0)</f>
        <v>0</v>
      </c>
      <c r="D61" s="268">
        <f>IFERROR(ROUND(VLOOKUP($B61,'Anexo 1 -Até o Mês '!$A$1:$K$500,3,FALSE),3),0)</f>
        <v>0</v>
      </c>
      <c r="E61" s="268">
        <f>IFERROR(ROUND(VLOOKUP($B61,'Anexo 1 -Até o Mês '!$A$1:$K$500,4,FALSE),3),0)</f>
        <v>0</v>
      </c>
      <c r="F61" s="268">
        <f>IFERROR(ROUND(VLOOKUP($B61,'Anexo 1 -Até o Mês '!$A$1:$K$500,5,FALSE),3),0)</f>
        <v>0</v>
      </c>
      <c r="I61" s="22"/>
    </row>
    <row r="62" spans="2:9">
      <c r="B62" s="267" t="s">
        <v>219</v>
      </c>
      <c r="C62" s="268">
        <f>IFERROR(ROUND(VLOOKUP($B62,'Anexo 1 -Até o Mês '!$A$1:$K$500,2,FALSE),3),0)</f>
        <v>0</v>
      </c>
      <c r="D62" s="268">
        <f>IFERROR(ROUND(VLOOKUP($B62,'Anexo 1 -Até o Mês '!$A$1:$K$500,3,FALSE),3),0)</f>
        <v>0</v>
      </c>
      <c r="E62" s="268">
        <f>IFERROR(ROUND(VLOOKUP($B62,'Anexo 1 -Até o Mês '!$A$1:$K$500,4,FALSE),3),0)</f>
        <v>-702.61300000000006</v>
      </c>
      <c r="F62" s="268">
        <f>IFERROR(ROUND(VLOOKUP($B62,'Anexo 1 -Até o Mês '!$A$1:$K$500,5,FALSE),3),0)</f>
        <v>-702.61300000000006</v>
      </c>
      <c r="I62" s="22"/>
    </row>
    <row r="63" spans="2:9">
      <c r="B63" s="267" t="s">
        <v>220</v>
      </c>
      <c r="C63" s="268">
        <f>IFERROR(ROUND(VLOOKUP($B63,'Anexo 1 -Até o Mês '!$A$1:$K$500,2,FALSE),3),0)</f>
        <v>981.24099999999999</v>
      </c>
      <c r="D63" s="268">
        <f>IFERROR(ROUND(VLOOKUP($B63,'Anexo 1 -Até o Mês '!$A$1:$K$500,3,FALSE),3),0)</f>
        <v>981.24099999999999</v>
      </c>
      <c r="E63" s="268">
        <f>IFERROR(ROUND(VLOOKUP($B63,'Anexo 1 -Até o Mês '!$A$1:$K$500,4,FALSE),3),0)</f>
        <v>0</v>
      </c>
      <c r="F63" s="268">
        <f>IFERROR(ROUND(VLOOKUP($B63,'Anexo 1 -Até o Mês '!$A$1:$K$500,5,FALSE),3),0)</f>
        <v>0</v>
      </c>
      <c r="I63" s="22"/>
    </row>
    <row r="64" spans="2:9">
      <c r="B64" s="267" t="s">
        <v>221</v>
      </c>
      <c r="C64" s="268">
        <f>IFERROR(ROUND(VLOOKUP($B64,'Anexo 1 -Até o Mês '!$A$1:$K$500,2,FALSE),3),0)</f>
        <v>0</v>
      </c>
      <c r="D64" s="268">
        <f>IFERROR(ROUND(VLOOKUP($B64,'Anexo 1 -Até o Mês '!$A$1:$K$500,3,FALSE),3),0)</f>
        <v>0</v>
      </c>
      <c r="E64" s="268">
        <f>IFERROR(ROUND(VLOOKUP($B64,'Anexo 1 -Até o Mês '!$A$1:$K$500,4,FALSE),3),0)</f>
        <v>0</v>
      </c>
      <c r="F64" s="268">
        <f>IFERROR(ROUND(VLOOKUP($B64,'Anexo 1 -Até o Mês '!$A$1:$K$500,5,FALSE),3),0)</f>
        <v>0</v>
      </c>
      <c r="I64" s="22"/>
    </row>
    <row r="65" spans="2:9">
      <c r="B65" s="267" t="s">
        <v>222</v>
      </c>
      <c r="C65" s="268">
        <f>IFERROR(ROUND(VLOOKUP($B65,'Anexo 1 -Até o Mês '!$A$1:$K$500,2,FALSE),3),0)</f>
        <v>42500202.766000003</v>
      </c>
      <c r="D65" s="268">
        <f>IFERROR(ROUND(VLOOKUP($B65,'Anexo 1 -Até o Mês '!$A$1:$K$500,3,FALSE),3),0)</f>
        <v>42500202.766000003</v>
      </c>
      <c r="E65" s="268">
        <f>IFERROR(ROUND(VLOOKUP($B65,'Anexo 1 -Até o Mês '!$A$1:$K$500,4,FALSE),3),0)</f>
        <v>11993082.879000001</v>
      </c>
      <c r="F65" s="268">
        <f>IFERROR(ROUND(VLOOKUP($B65,'Anexo 1 -Até o Mês '!$A$1:$K$500,5,FALSE),3),0)</f>
        <v>70626105.459999993</v>
      </c>
      <c r="I65" s="22"/>
    </row>
    <row r="66" spans="2:9">
      <c r="B66" s="267" t="s">
        <v>223</v>
      </c>
      <c r="C66" s="268">
        <f>IFERROR(ROUND(VLOOKUP($B66,'Anexo 1 -Até o Mês '!$A$1:$K$500,2,FALSE),3),0)</f>
        <v>0</v>
      </c>
      <c r="D66" s="268">
        <f>IFERROR(ROUND(VLOOKUP($B66,'Anexo 1 -Até o Mês '!$A$1:$K$500,3,FALSE),3),0)</f>
        <v>0</v>
      </c>
      <c r="E66" s="268">
        <f>IFERROR(ROUND(VLOOKUP($B66,'Anexo 1 -Até o Mês '!$A$1:$K$500,4,FALSE),3),0)</f>
        <v>0</v>
      </c>
      <c r="F66" s="268">
        <f>IFERROR(ROUND(VLOOKUP($B66,'Anexo 1 -Até o Mês '!$A$1:$K$500,5,FALSE),3),0)</f>
        <v>0</v>
      </c>
      <c r="I66" s="22"/>
    </row>
    <row r="67" spans="2:9">
      <c r="B67" s="267" t="s">
        <v>224</v>
      </c>
      <c r="C67" s="268">
        <f>IFERROR(ROUND(VLOOKUP($B67,'Anexo 1 -Até o Mês '!$A$1:$K$500,2,FALSE),3),0)</f>
        <v>0</v>
      </c>
      <c r="D67" s="268">
        <f>IFERROR(ROUND(VLOOKUP($B67,'Anexo 1 -Até o Mês '!$A$1:$K$500,3,FALSE),3),0)</f>
        <v>0</v>
      </c>
      <c r="E67" s="268">
        <f>IFERROR(ROUND(VLOOKUP($B67,'Anexo 1 -Até o Mês '!$A$1:$K$500,4,FALSE),3),0)</f>
        <v>0</v>
      </c>
      <c r="F67" s="268">
        <f>IFERROR(ROUND(VLOOKUP($B67,'Anexo 1 -Até o Mês '!$A$1:$K$500,5,FALSE),3),0)</f>
        <v>0</v>
      </c>
      <c r="I67" s="22"/>
    </row>
    <row r="68" spans="2:9">
      <c r="B68" s="267" t="s">
        <v>225</v>
      </c>
      <c r="C68" s="268">
        <f>IFERROR(ROUND(VLOOKUP($B68,'Anexo 1 -Até o Mês '!$A$1:$K$500,2,FALSE),3),0)</f>
        <v>42500202.766000003</v>
      </c>
      <c r="D68" s="268">
        <f>IFERROR(ROUND(VLOOKUP($B68,'Anexo 1 -Até o Mês '!$A$1:$K$500,3,FALSE),3),0)</f>
        <v>42500202.766000003</v>
      </c>
      <c r="E68" s="268">
        <f>IFERROR(ROUND(VLOOKUP($B68,'Anexo 1 -Até o Mês '!$A$1:$K$500,4,FALSE),3),0)</f>
        <v>11993082.879000001</v>
      </c>
      <c r="F68" s="268">
        <f>IFERROR(ROUND(VLOOKUP($B68,'Anexo 1 -Até o Mês '!$A$1:$K$500,5,FALSE),3),0)</f>
        <v>70626105.459999993</v>
      </c>
      <c r="I68" s="22"/>
    </row>
    <row r="69" spans="2:9">
      <c r="B69" s="267" t="s">
        <v>226</v>
      </c>
      <c r="C69" s="268">
        <f>IFERROR(ROUND(VLOOKUP($B69,'Anexo 1 -Até o Mês '!$A$1:$K$500,2,FALSE),3),0)</f>
        <v>0</v>
      </c>
      <c r="D69" s="268">
        <f>IFERROR(ROUND(VLOOKUP($B69,'Anexo 1 -Até o Mês '!$A$1:$K$500,3,FALSE),3),0)</f>
        <v>0</v>
      </c>
      <c r="E69" s="268">
        <f>IFERROR(ROUND(VLOOKUP($B69,'Anexo 1 -Até o Mês '!$A$1:$K$500,4,FALSE),3),0)</f>
        <v>0</v>
      </c>
      <c r="F69" s="268">
        <f>IFERROR(ROUND(VLOOKUP($B69,'Anexo 1 -Até o Mês '!$A$1:$K$500,5,FALSE),3),0)</f>
        <v>0</v>
      </c>
      <c r="I69" s="22"/>
    </row>
    <row r="70" spans="2:9">
      <c r="B70" s="267" t="s">
        <v>227</v>
      </c>
      <c r="C70" s="268">
        <f>IFERROR(ROUND(VLOOKUP($B70,'Anexo 1 -Até o Mês '!$A$1:$K$500,2,FALSE),3),0)</f>
        <v>0</v>
      </c>
      <c r="D70" s="268">
        <f>IFERROR(ROUND(VLOOKUP($B70,'Anexo 1 -Até o Mês '!$A$1:$K$500,3,FALSE),3),0)</f>
        <v>0</v>
      </c>
      <c r="E70" s="268">
        <f>IFERROR(ROUND(VLOOKUP($B70,'Anexo 1 -Até o Mês '!$A$1:$K$500,4,FALSE),3),0)</f>
        <v>0</v>
      </c>
      <c r="F70" s="268">
        <f>IFERROR(ROUND(VLOOKUP($B70,'Anexo 1 -Até o Mês '!$A$1:$K$500,5,FALSE),3),0)</f>
        <v>0</v>
      </c>
      <c r="I70" s="22"/>
    </row>
    <row r="71" spans="2:9">
      <c r="B71" s="271" t="s">
        <v>228</v>
      </c>
      <c r="C71" s="272">
        <f>IFERROR(ROUND(VLOOKUP($B71,'Anexo 1 -Até o Mês '!$A$1:$K$500,2,FALSE),3),0)</f>
        <v>0</v>
      </c>
      <c r="D71" s="272">
        <f>IFERROR(ROUND(VLOOKUP($B71,'Anexo 1 -Até o Mês '!$A$1:$K$500,3,FALSE),3),0)</f>
        <v>0</v>
      </c>
      <c r="E71" s="272">
        <f>IFERROR(ROUND(VLOOKUP($B71,'Anexo 1 -Até o Mês '!$A$1:$K$500,4,FALSE),3),0)</f>
        <v>0</v>
      </c>
      <c r="F71" s="272">
        <f>IFERROR(ROUND(VLOOKUP($B71,'Anexo 1 -Até o Mês '!$A$1:$K$500,5,FALSE),3),0)</f>
        <v>0</v>
      </c>
      <c r="I71" s="119"/>
    </row>
    <row r="72" spans="2:9">
      <c r="B72" s="267" t="s">
        <v>85</v>
      </c>
      <c r="C72" s="268">
        <f>IFERROR(ROUND(VLOOKUP($B72,'Anexo 1 -Até o Mês '!$A$1:$K$500,2,FALSE),3),0)</f>
        <v>31381828.489999998</v>
      </c>
      <c r="D72" s="268">
        <f>IFERROR(ROUND(VLOOKUP($B72,'Anexo 1 -Até o Mês '!$A$1:$K$500,3,FALSE),3),0)</f>
        <v>31381828.489999998</v>
      </c>
      <c r="E72" s="268">
        <f>IFERROR(ROUND(VLOOKUP($B72,'Anexo 1 -Até o Mês '!$A$1:$K$500,4,FALSE),3),0)</f>
        <v>2447633.838</v>
      </c>
      <c r="F72" s="268">
        <f>IFERROR(ROUND(VLOOKUP($B72,'Anexo 1 -Até o Mês '!$A$1:$K$500,5,FALSE),3),0)</f>
        <v>19458587.969999999</v>
      </c>
      <c r="I72" s="119"/>
    </row>
    <row r="73" spans="2:9">
      <c r="B73" s="267" t="s">
        <v>229</v>
      </c>
      <c r="C73" s="268">
        <f>IFERROR(ROUND(VLOOKUP($B73,'Anexo 1 -Até o Mês '!$A$1:$K$500,2,FALSE),3),0)</f>
        <v>31381828.489999998</v>
      </c>
      <c r="D73" s="268">
        <f>IFERROR(ROUND(VLOOKUP($B73,'Anexo 1 -Até o Mês '!$A$1:$K$500,3,FALSE),3),0)</f>
        <v>31381828.489999998</v>
      </c>
      <c r="E73" s="268">
        <f>IFERROR(ROUND(VLOOKUP($B73,'Anexo 1 -Até o Mês '!$A$1:$K$500,4,FALSE),3),0)</f>
        <v>2447633.838</v>
      </c>
      <c r="F73" s="268">
        <f>IFERROR(ROUND(VLOOKUP($B73,'Anexo 1 -Até o Mês '!$A$1:$K$500,5,FALSE),3),0)</f>
        <v>19458587.969999999</v>
      </c>
      <c r="I73" s="22"/>
    </row>
    <row r="74" spans="2:9">
      <c r="B74" s="267" t="s">
        <v>230</v>
      </c>
      <c r="C74" s="268">
        <f>IFERROR(ROUND(VLOOKUP($B74,'Anexo 1 -Até o Mês '!$A$1:$K$500,2,FALSE),3),0)</f>
        <v>990.745</v>
      </c>
      <c r="D74" s="268">
        <f>IFERROR(ROUND(VLOOKUP($B74,'Anexo 1 -Até o Mês '!$A$1:$K$500,3,FALSE),3),0)</f>
        <v>990.745</v>
      </c>
      <c r="E74" s="268">
        <f>IFERROR(ROUND(VLOOKUP($B74,'Anexo 1 -Até o Mês '!$A$1:$K$500,4,FALSE),3),0)</f>
        <v>133.279</v>
      </c>
      <c r="F74" s="268">
        <f>IFERROR(ROUND(VLOOKUP($B74,'Anexo 1 -Até o Mês '!$A$1:$K$500,5,FALSE),3),0)</f>
        <v>3235.056</v>
      </c>
      <c r="I74" s="22"/>
    </row>
    <row r="75" spans="2:9">
      <c r="B75" s="267" t="s">
        <v>231</v>
      </c>
      <c r="C75" s="268">
        <f>IFERROR(ROUND(VLOOKUP($B75,'Anexo 1 -Até o Mês '!$A$1:$K$500,2,FALSE),3),0)</f>
        <v>0</v>
      </c>
      <c r="D75" s="268">
        <f>IFERROR(ROUND(VLOOKUP($B75,'Anexo 1 -Até o Mês '!$A$1:$K$500,3,FALSE),3),0)</f>
        <v>0</v>
      </c>
      <c r="E75" s="268">
        <f>IFERROR(ROUND(VLOOKUP($B75,'Anexo 1 -Até o Mês '!$A$1:$K$500,4,FALSE),3),0)</f>
        <v>74.567999999999998</v>
      </c>
      <c r="F75" s="268">
        <f>IFERROR(ROUND(VLOOKUP($B75,'Anexo 1 -Até o Mês '!$A$1:$K$500,5,FALSE),3),0)</f>
        <v>1086.6210000000001</v>
      </c>
      <c r="I75" s="22"/>
    </row>
    <row r="76" spans="2:9">
      <c r="B76" s="267" t="s">
        <v>232</v>
      </c>
      <c r="C76" s="268">
        <f>IFERROR(ROUND(VLOOKUP($B76,'Anexo 1 -Até o Mês '!$A$1:$K$500,2,FALSE),3),0)</f>
        <v>990.745</v>
      </c>
      <c r="D76" s="268">
        <f>IFERROR(ROUND(VLOOKUP($B76,'Anexo 1 -Até o Mês '!$A$1:$K$500,3,FALSE),3),0)</f>
        <v>990.745</v>
      </c>
      <c r="E76" s="268">
        <f>IFERROR(ROUND(VLOOKUP($B76,'Anexo 1 -Até o Mês '!$A$1:$K$500,4,FALSE),3),0)</f>
        <v>58.71</v>
      </c>
      <c r="F76" s="268">
        <f>IFERROR(ROUND(VLOOKUP($B76,'Anexo 1 -Até o Mês '!$A$1:$K$500,5,FALSE),3),0)</f>
        <v>2148.4349999999999</v>
      </c>
      <c r="I76" s="22"/>
    </row>
    <row r="77" spans="2:9">
      <c r="B77" s="267" t="s">
        <v>233</v>
      </c>
      <c r="C77" s="268">
        <f>IFERROR(ROUND(VLOOKUP($B77,'Anexo 1 -Até o Mês '!$A$1:$K$500,2,FALSE),3),0)</f>
        <v>22787197.274999999</v>
      </c>
      <c r="D77" s="268">
        <f>IFERROR(ROUND(VLOOKUP($B77,'Anexo 1 -Até o Mês '!$A$1:$K$500,3,FALSE),3),0)</f>
        <v>22787197.274999999</v>
      </c>
      <c r="E77" s="268">
        <f>IFERROR(ROUND(VLOOKUP($B77,'Anexo 1 -Até o Mês '!$A$1:$K$500,4,FALSE),3),0)</f>
        <v>1929566.621</v>
      </c>
      <c r="F77" s="268">
        <f>IFERROR(ROUND(VLOOKUP($B77,'Anexo 1 -Até o Mês '!$A$1:$K$500,5,FALSE),3),0)</f>
        <v>14107797.603</v>
      </c>
      <c r="I77" s="22"/>
    </row>
    <row r="78" spans="2:9">
      <c r="B78" s="267" t="s">
        <v>234</v>
      </c>
      <c r="C78" s="268">
        <f>IFERROR(ROUND(VLOOKUP($B78,'Anexo 1 -Até o Mês '!$A$1:$K$500,2,FALSE),3),0)</f>
        <v>22787134.318</v>
      </c>
      <c r="D78" s="268">
        <f>IFERROR(ROUND(VLOOKUP($B78,'Anexo 1 -Até o Mês '!$A$1:$K$500,3,FALSE),3),0)</f>
        <v>22787134.318</v>
      </c>
      <c r="E78" s="268">
        <f>IFERROR(ROUND(VLOOKUP($B78,'Anexo 1 -Até o Mês '!$A$1:$K$500,4,FALSE),3),0)</f>
        <v>1929403.879</v>
      </c>
      <c r="F78" s="268">
        <f>IFERROR(ROUND(VLOOKUP($B78,'Anexo 1 -Até o Mês '!$A$1:$K$500,5,FALSE),3),0)</f>
        <v>14106135.486</v>
      </c>
      <c r="I78" s="22"/>
    </row>
    <row r="79" spans="2:9">
      <c r="B79" s="267" t="s">
        <v>235</v>
      </c>
      <c r="C79" s="268">
        <f>IFERROR(ROUND(VLOOKUP($B79,'Anexo 1 -Até o Mês '!$A$1:$K$500,2,FALSE),3),0)</f>
        <v>62.957000000000001</v>
      </c>
      <c r="D79" s="268">
        <f>IFERROR(ROUND(VLOOKUP($B79,'Anexo 1 -Até o Mês '!$A$1:$K$500,3,FALSE),3),0)</f>
        <v>62.957000000000001</v>
      </c>
      <c r="E79" s="268">
        <f>IFERROR(ROUND(VLOOKUP($B79,'Anexo 1 -Até o Mês '!$A$1:$K$500,4,FALSE),3),0)</f>
        <v>162.74199999999999</v>
      </c>
      <c r="F79" s="268">
        <f>IFERROR(ROUND(VLOOKUP($B79,'Anexo 1 -Até o Mês '!$A$1:$K$500,5,FALSE),3),0)</f>
        <v>1662.117</v>
      </c>
      <c r="I79" s="22"/>
    </row>
    <row r="80" spans="2:9">
      <c r="B80" s="267" t="s">
        <v>236</v>
      </c>
      <c r="C80" s="268">
        <f>IFERROR(ROUND(VLOOKUP($B80,'Anexo 1 -Até o Mês '!$A$1:$K$500,2,FALSE),3),0)</f>
        <v>0</v>
      </c>
      <c r="D80" s="268">
        <f>IFERROR(ROUND(VLOOKUP($B80,'Anexo 1 -Até o Mês '!$A$1:$K$500,3,FALSE),3),0)</f>
        <v>0</v>
      </c>
      <c r="E80" s="268">
        <f>IFERROR(ROUND(VLOOKUP($B80,'Anexo 1 -Até o Mês '!$A$1:$K$500,4,FALSE),3),0)</f>
        <v>0</v>
      </c>
      <c r="F80" s="268">
        <f>IFERROR(ROUND(VLOOKUP($B80,'Anexo 1 -Até o Mês '!$A$1:$K$500,5,FALSE),3),0)</f>
        <v>0</v>
      </c>
      <c r="I80" s="22"/>
    </row>
    <row r="81" spans="2:9" s="18" customFormat="1">
      <c r="B81" s="267" t="s">
        <v>237</v>
      </c>
      <c r="C81" s="268">
        <f>IFERROR(ROUND(VLOOKUP($B81,'Anexo 1 -Até o Mês '!$A$1:$K$500,2,FALSE),3),0)</f>
        <v>754.00199999999995</v>
      </c>
      <c r="D81" s="268">
        <f>IFERROR(ROUND(VLOOKUP($B81,'Anexo 1 -Até o Mês '!$A$1:$K$500,3,FALSE),3),0)</f>
        <v>754.00199999999995</v>
      </c>
      <c r="E81" s="268">
        <f>IFERROR(ROUND(VLOOKUP($B81,'Anexo 1 -Até o Mês '!$A$1:$K$500,4,FALSE),3),0)</f>
        <v>464.78899999999999</v>
      </c>
      <c r="F81" s="268">
        <f>IFERROR(ROUND(VLOOKUP($B81,'Anexo 1 -Até o Mês '!$A$1:$K$500,5,FALSE),3),0)</f>
        <v>2817.6970000000001</v>
      </c>
      <c r="I81" s="26"/>
    </row>
    <row r="82" spans="2:9" s="18" customFormat="1">
      <c r="B82" s="267" t="s">
        <v>238</v>
      </c>
      <c r="C82" s="268">
        <f>IFERROR(ROUND(VLOOKUP($B82,'Anexo 1 -Até o Mês '!$A$1:$K$500,2,FALSE),3),0)</f>
        <v>754.00199999999995</v>
      </c>
      <c r="D82" s="268">
        <f>IFERROR(ROUND(VLOOKUP($B82,'Anexo 1 -Até o Mês '!$A$1:$K$500,3,FALSE),3),0)</f>
        <v>754.00199999999995</v>
      </c>
      <c r="E82" s="268">
        <f>IFERROR(ROUND(VLOOKUP($B82,'Anexo 1 -Até o Mês '!$A$1:$K$500,4,FALSE),3),0)</f>
        <v>464.54399999999998</v>
      </c>
      <c r="F82" s="268">
        <f>IFERROR(ROUND(VLOOKUP($B82,'Anexo 1 -Até o Mês '!$A$1:$K$500,5,FALSE),3),0)</f>
        <v>2801.3119999999999</v>
      </c>
      <c r="I82" s="26"/>
    </row>
    <row r="83" spans="2:9" s="18" customFormat="1">
      <c r="B83" s="267" t="s">
        <v>239</v>
      </c>
      <c r="C83" s="268">
        <f>IFERROR(ROUND(VLOOKUP($B83,'Anexo 1 -Até o Mês '!$A$1:$K$500,2,FALSE),3),0)</f>
        <v>0</v>
      </c>
      <c r="D83" s="268">
        <f>IFERROR(ROUND(VLOOKUP($B83,'Anexo 1 -Até o Mês '!$A$1:$K$500,3,FALSE),3),0)</f>
        <v>0</v>
      </c>
      <c r="E83" s="268">
        <f>IFERROR(ROUND(VLOOKUP($B83,'Anexo 1 -Até o Mês '!$A$1:$K$500,4,FALSE),3),0)</f>
        <v>0</v>
      </c>
      <c r="F83" s="268">
        <f>IFERROR(ROUND(VLOOKUP($B83,'Anexo 1 -Até o Mês '!$A$1:$K$500,5,FALSE),3),0)</f>
        <v>0</v>
      </c>
      <c r="I83" s="26"/>
    </row>
    <row r="84" spans="2:9" s="18" customFormat="1">
      <c r="B84" s="267" t="s">
        <v>240</v>
      </c>
      <c r="C84" s="268">
        <f>IFERROR(ROUND(VLOOKUP($B84,'Anexo 1 -Até o Mês '!$A$1:$K$500,2,FALSE),3),0)</f>
        <v>0</v>
      </c>
      <c r="D84" s="268">
        <f>IFERROR(ROUND(VLOOKUP($B84,'Anexo 1 -Até o Mês '!$A$1:$K$500,3,FALSE),3),0)</f>
        <v>0</v>
      </c>
      <c r="E84" s="268">
        <f>IFERROR(ROUND(VLOOKUP($B84,'Anexo 1 -Até o Mês '!$A$1:$K$500,4,FALSE),3),0)</f>
        <v>0.246</v>
      </c>
      <c r="F84" s="268">
        <f>IFERROR(ROUND(VLOOKUP($B84,'Anexo 1 -Até o Mês '!$A$1:$K$500,5,FALSE),3),0)</f>
        <v>16.385000000000002</v>
      </c>
      <c r="I84" s="26"/>
    </row>
    <row r="85" spans="2:9" s="18" customFormat="1">
      <c r="B85" s="267" t="s">
        <v>241</v>
      </c>
      <c r="C85" s="268">
        <f>IFERROR(ROUND(VLOOKUP($B85,'Anexo 1 -Até o Mês '!$A$1:$K$500,2,FALSE),3),0)</f>
        <v>0</v>
      </c>
      <c r="D85" s="268">
        <f>IFERROR(ROUND(VLOOKUP($B85,'Anexo 1 -Até o Mês '!$A$1:$K$500,3,FALSE),3),0)</f>
        <v>0</v>
      </c>
      <c r="E85" s="268">
        <f>IFERROR(ROUND(VLOOKUP($B85,'Anexo 1 -Até o Mês '!$A$1:$K$500,4,FALSE),3),0)</f>
        <v>0</v>
      </c>
      <c r="F85" s="268">
        <f>IFERROR(ROUND(VLOOKUP($B85,'Anexo 1 -Até o Mês '!$A$1:$K$500,5,FALSE),3),0)</f>
        <v>0</v>
      </c>
      <c r="I85" s="26"/>
    </row>
    <row r="86" spans="2:9" s="18" customFormat="1">
      <c r="B86" s="267" t="s">
        <v>242</v>
      </c>
      <c r="C86" s="268">
        <f>IFERROR(ROUND(VLOOKUP($B86,'Anexo 1 -Até o Mês '!$A$1:$K$500,2,FALSE),3),0)</f>
        <v>49534.180999999997</v>
      </c>
      <c r="D86" s="268">
        <f>IFERROR(ROUND(VLOOKUP($B86,'Anexo 1 -Até o Mês '!$A$1:$K$500,3,FALSE),3),0)</f>
        <v>49534.180999999997</v>
      </c>
      <c r="E86" s="268">
        <f>IFERROR(ROUND(VLOOKUP($B86,'Anexo 1 -Até o Mês '!$A$1:$K$500,4,FALSE),3),0)</f>
        <v>1320.5039999999999</v>
      </c>
      <c r="F86" s="268">
        <f>IFERROR(ROUND(VLOOKUP($B86,'Anexo 1 -Até o Mês '!$A$1:$K$500,5,FALSE),3),0)</f>
        <v>18028.269</v>
      </c>
      <c r="I86" s="26"/>
    </row>
    <row r="87" spans="2:9" s="18" customFormat="1">
      <c r="B87" s="267" t="s">
        <v>243</v>
      </c>
      <c r="C87" s="268">
        <f>IFERROR(ROUND(VLOOKUP($B87,'Anexo 1 -Até o Mês '!$A$1:$K$500,2,FALSE),3),0)</f>
        <v>396733.45</v>
      </c>
      <c r="D87" s="268">
        <f>IFERROR(ROUND(VLOOKUP($B87,'Anexo 1 -Até o Mês '!$A$1:$K$500,3,FALSE),3),0)</f>
        <v>396733.45</v>
      </c>
      <c r="E87" s="268">
        <f>IFERROR(ROUND(VLOOKUP($B87,'Anexo 1 -Até o Mês '!$A$1:$K$500,4,FALSE),3),0)</f>
        <v>16931.328000000001</v>
      </c>
      <c r="F87" s="268">
        <f>IFERROR(ROUND(VLOOKUP($B87,'Anexo 1 -Até o Mês '!$A$1:$K$500,5,FALSE),3),0)</f>
        <v>97365.054999999993</v>
      </c>
      <c r="I87" s="26"/>
    </row>
    <row r="88" spans="2:9" s="18" customFormat="1">
      <c r="B88" s="267" t="s">
        <v>244</v>
      </c>
      <c r="C88" s="268">
        <f>IFERROR(ROUND(VLOOKUP($B88,'Anexo 1 -Até o Mês '!$A$1:$K$500,2,FALSE),3),0)</f>
        <v>333386.89899999998</v>
      </c>
      <c r="D88" s="268">
        <f>IFERROR(ROUND(VLOOKUP($B88,'Anexo 1 -Até o Mês '!$A$1:$K$500,3,FALSE),3),0)</f>
        <v>333386.89899999998</v>
      </c>
      <c r="E88" s="268">
        <f>IFERROR(ROUND(VLOOKUP($B88,'Anexo 1 -Até o Mês '!$A$1:$K$500,4,FALSE),3),0)</f>
        <v>10902.255999999999</v>
      </c>
      <c r="F88" s="268">
        <f>IFERROR(ROUND(VLOOKUP($B88,'Anexo 1 -Até o Mês '!$A$1:$K$500,5,FALSE),3),0)</f>
        <v>60419.402000000002</v>
      </c>
      <c r="I88" s="26"/>
    </row>
    <row r="89" spans="2:9" s="18" customFormat="1">
      <c r="B89" s="267" t="s">
        <v>245</v>
      </c>
      <c r="C89" s="268">
        <f>IFERROR(ROUND(VLOOKUP($B89,'Anexo 1 -Até o Mês '!$A$1:$K$500,2,FALSE),3),0)</f>
        <v>0</v>
      </c>
      <c r="D89" s="268">
        <f>IFERROR(ROUND(VLOOKUP($B89,'Anexo 1 -Até o Mês '!$A$1:$K$500,3,FALSE),3),0)</f>
        <v>0</v>
      </c>
      <c r="E89" s="268">
        <f>IFERROR(ROUND(VLOOKUP($B89,'Anexo 1 -Até o Mês '!$A$1:$K$500,4,FALSE),3),0)</f>
        <v>0</v>
      </c>
      <c r="F89" s="268">
        <f>IFERROR(ROUND(VLOOKUP($B89,'Anexo 1 -Até o Mês '!$A$1:$K$500,5,FALSE),3),0)</f>
        <v>0</v>
      </c>
      <c r="I89" s="26"/>
    </row>
    <row r="90" spans="2:9" s="18" customFormat="1">
      <c r="B90" s="267" t="s">
        <v>246</v>
      </c>
      <c r="C90" s="268">
        <f>IFERROR(ROUND(VLOOKUP($B90,'Anexo 1 -Até o Mês '!$A$1:$K$500,2,FALSE),3),0)</f>
        <v>63346.550999999999</v>
      </c>
      <c r="D90" s="268">
        <f>IFERROR(ROUND(VLOOKUP($B90,'Anexo 1 -Até o Mês '!$A$1:$K$500,3,FALSE),3),0)</f>
        <v>63346.550999999999</v>
      </c>
      <c r="E90" s="268">
        <f>IFERROR(ROUND(VLOOKUP($B90,'Anexo 1 -Até o Mês '!$A$1:$K$500,4,FALSE),3),0)</f>
        <v>6002.0889999999999</v>
      </c>
      <c r="F90" s="268">
        <f>IFERROR(ROUND(VLOOKUP($B90,'Anexo 1 -Até o Mês '!$A$1:$K$500,5,FALSE),3),0)</f>
        <v>36692.74</v>
      </c>
      <c r="I90" s="26"/>
    </row>
    <row r="91" spans="2:9" s="18" customFormat="1">
      <c r="B91" s="267" t="s">
        <v>247</v>
      </c>
      <c r="C91" s="268">
        <f>IFERROR(ROUND(VLOOKUP($B91,'Anexo 1 -Até o Mês '!$A$1:$K$500,2,FALSE),3),0)</f>
        <v>0</v>
      </c>
      <c r="D91" s="268">
        <f>IFERROR(ROUND(VLOOKUP($B91,'Anexo 1 -Até o Mês '!$A$1:$K$500,3,FALSE),3),0)</f>
        <v>0</v>
      </c>
      <c r="E91" s="268">
        <f>IFERROR(ROUND(VLOOKUP($B91,'Anexo 1 -Até o Mês '!$A$1:$K$500,4,FALSE),3),0)</f>
        <v>0</v>
      </c>
      <c r="F91" s="268">
        <f>IFERROR(ROUND(VLOOKUP($B91,'Anexo 1 -Até o Mês '!$A$1:$K$500,5,FALSE),3),0)</f>
        <v>0</v>
      </c>
      <c r="I91" s="26"/>
    </row>
    <row r="92" spans="2:9" s="18" customFormat="1">
      <c r="B92" s="267" t="s">
        <v>248</v>
      </c>
      <c r="C92" s="268">
        <f>IFERROR(ROUND(VLOOKUP($B92,'Anexo 1 -Até o Mês '!$A$1:$K$500,2,FALSE),3),0)</f>
        <v>0</v>
      </c>
      <c r="D92" s="268">
        <f>IFERROR(ROUND(VLOOKUP($B92,'Anexo 1 -Até o Mês '!$A$1:$K$500,3,FALSE),3),0)</f>
        <v>0</v>
      </c>
      <c r="E92" s="268">
        <f>IFERROR(ROUND(VLOOKUP($B92,'Anexo 1 -Até o Mês '!$A$1:$K$500,4,FALSE),3),0)</f>
        <v>26.984000000000002</v>
      </c>
      <c r="F92" s="268">
        <f>IFERROR(ROUND(VLOOKUP($B92,'Anexo 1 -Até o Mês '!$A$1:$K$500,5,FALSE),3),0)</f>
        <v>252.91200000000001</v>
      </c>
      <c r="I92" s="26"/>
    </row>
    <row r="93" spans="2:9" s="18" customFormat="1">
      <c r="B93" s="267" t="s">
        <v>249</v>
      </c>
      <c r="C93" s="268">
        <f>IFERROR(ROUND(VLOOKUP($B93,'Anexo 1 -Até o Mês '!$A$1:$K$500,2,FALSE),3),0)</f>
        <v>0</v>
      </c>
      <c r="D93" s="268">
        <f>IFERROR(ROUND(VLOOKUP($B93,'Anexo 1 -Até o Mês '!$A$1:$K$500,3,FALSE),3),0)</f>
        <v>0</v>
      </c>
      <c r="E93" s="268">
        <f>IFERROR(ROUND(VLOOKUP($B93,'Anexo 1 -Até o Mês '!$A$1:$K$500,4,FALSE),3),0)</f>
        <v>0</v>
      </c>
      <c r="F93" s="268">
        <f>IFERROR(ROUND(VLOOKUP($B93,'Anexo 1 -Até o Mês '!$A$1:$K$500,5,FALSE),3),0)</f>
        <v>0</v>
      </c>
      <c r="I93" s="26"/>
    </row>
    <row r="94" spans="2:9" s="18" customFormat="1">
      <c r="C94" s="24"/>
      <c r="D94" s="24"/>
      <c r="E94" s="25"/>
      <c r="F94" s="25"/>
      <c r="I94" s="26"/>
    </row>
    <row r="95" spans="2:9" s="18" customFormat="1">
      <c r="C95" s="24"/>
      <c r="D95" s="24"/>
      <c r="E95" s="25"/>
      <c r="F95" s="25"/>
      <c r="I95" s="26"/>
    </row>
    <row r="96" spans="2:9" s="18" customFormat="1">
      <c r="C96" s="24"/>
      <c r="D96" s="24"/>
      <c r="E96" s="25"/>
      <c r="F96" s="25"/>
      <c r="I96" s="26"/>
    </row>
    <row r="97" spans="2:9" s="18" customFormat="1">
      <c r="C97" s="24"/>
      <c r="D97" s="24"/>
      <c r="E97" s="25"/>
      <c r="F97" s="25"/>
      <c r="I97" s="26"/>
    </row>
    <row r="98" spans="2:9" s="18" customFormat="1">
      <c r="C98" s="24"/>
      <c r="D98" s="24"/>
      <c r="E98" s="25"/>
      <c r="F98" s="25"/>
      <c r="I98" s="26"/>
    </row>
    <row r="99" spans="2:9" s="18" customFormat="1">
      <c r="C99" s="24"/>
      <c r="D99" s="24"/>
      <c r="E99" s="25"/>
      <c r="F99" s="25"/>
      <c r="I99" s="26"/>
    </row>
    <row r="100" spans="2:9" s="18" customFormat="1">
      <c r="C100" s="24"/>
      <c r="D100" s="24"/>
      <c r="E100" s="25"/>
      <c r="F100" s="25"/>
      <c r="I100" s="26"/>
    </row>
    <row r="101" spans="2:9" s="18" customFormat="1">
      <c r="C101" s="24"/>
      <c r="D101" s="24"/>
      <c r="E101" s="25"/>
      <c r="F101" s="25"/>
      <c r="I101" s="26"/>
    </row>
    <row r="102" spans="2:9" s="18" customFormat="1">
      <c r="B102" s="273" t="s">
        <v>250</v>
      </c>
      <c r="C102" s="45">
        <f>IFERROR(ROUND(VLOOKUP($B102,'Anexo 1 -Até o Mês '!$A$1:$K$500,2,FALSE),3),0)</f>
        <v>8146618.8370000003</v>
      </c>
      <c r="D102" s="45">
        <f>IFERROR(ROUND(VLOOKUP($B102,'Anexo 1 -Até o Mês '!$A$1:$K$500,3,FALSE),3),0)</f>
        <v>8146618.8370000003</v>
      </c>
      <c r="E102" s="45">
        <f>IFERROR(ROUND(VLOOKUP($B102,'Anexo 1 -Até o Mês '!$A$1:$K$500,4,FALSE),3),0)</f>
        <v>499217.31699999998</v>
      </c>
      <c r="F102" s="45">
        <f>IFERROR(ROUND(VLOOKUP($B102,'Anexo 1 -Até o Mês '!$A$1:$K$500,5,FALSE),3),0)</f>
        <v>5229344.29</v>
      </c>
      <c r="I102" s="26"/>
    </row>
    <row r="103" spans="2:9" s="18" customFormat="1">
      <c r="B103" s="274" t="s">
        <v>251</v>
      </c>
      <c r="C103" s="275">
        <f>IFERROR(ROUND(VLOOKUP($B103,'Anexo 1 -Até o Mês '!$A$1:$K$500,2,FALSE),3),0)</f>
        <v>0</v>
      </c>
      <c r="D103" s="275">
        <f>IFERROR(ROUND(VLOOKUP($B103,'Anexo 1 -Até o Mês '!$A$1:$K$500,3,FALSE),3),0)</f>
        <v>0</v>
      </c>
      <c r="E103" s="275">
        <f>IFERROR(ROUND(VLOOKUP($B103,'Anexo 1 -Até o Mês '!$A$1:$K$500,4,FALSE),3),0)</f>
        <v>10.778</v>
      </c>
      <c r="F103" s="275">
        <f>IFERROR(ROUND(VLOOKUP($B103,'Anexo 1 -Até o Mês '!$A$1:$K$500,5,FALSE),3),0)</f>
        <v>-4.21</v>
      </c>
      <c r="I103" s="26"/>
    </row>
    <row r="104" spans="2:9" s="18" customFormat="1">
      <c r="B104" s="274" t="s">
        <v>252</v>
      </c>
      <c r="C104" s="275">
        <f>IFERROR(ROUND(VLOOKUP($B104,'Anexo 1 -Até o Mês '!$A$1:$K$500,2,FALSE),3),0)</f>
        <v>716.34699999999998</v>
      </c>
      <c r="D104" s="275">
        <f>IFERROR(ROUND(VLOOKUP($B104,'Anexo 1 -Até o Mês '!$A$1:$K$500,3,FALSE),3),0)</f>
        <v>716.34699999999998</v>
      </c>
      <c r="E104" s="275">
        <f>IFERROR(ROUND(VLOOKUP($B104,'Anexo 1 -Até o Mês '!$A$1:$K$500,4,FALSE),3),0)</f>
        <v>14.484</v>
      </c>
      <c r="F104" s="275">
        <f>IFERROR(ROUND(VLOOKUP($B104,'Anexo 1 -Até o Mês '!$A$1:$K$500,5,FALSE),3),0)</f>
        <v>132.08099999999999</v>
      </c>
      <c r="I104" s="26"/>
    </row>
    <row r="105" spans="2:9" s="18" customFormat="1">
      <c r="B105" s="274" t="s">
        <v>253</v>
      </c>
      <c r="C105" s="275">
        <f>IFERROR(ROUND(VLOOKUP($B105,'Anexo 1 -Até o Mês '!$A$1:$K$500,2,FALSE),3),0)</f>
        <v>0</v>
      </c>
      <c r="D105" s="275">
        <f>IFERROR(ROUND(VLOOKUP($B105,'Anexo 1 -Até o Mês '!$A$1:$K$500,3,FALSE),3),0)</f>
        <v>0</v>
      </c>
      <c r="E105" s="275">
        <f>IFERROR(ROUND(VLOOKUP($B105,'Anexo 1 -Até o Mês '!$A$1:$K$500,4,FALSE),3),0)</f>
        <v>0</v>
      </c>
      <c r="F105" s="275">
        <f>IFERROR(ROUND(VLOOKUP($B105,'Anexo 1 -Até o Mês '!$A$1:$K$500,5,FALSE),3),0)</f>
        <v>0</v>
      </c>
      <c r="I105" s="26"/>
    </row>
    <row r="106" spans="2:9" s="18" customFormat="1">
      <c r="B106" s="274" t="s">
        <v>254</v>
      </c>
      <c r="C106" s="275">
        <f>IFERROR(ROUND(VLOOKUP($B106,'Anexo 1 -Até o Mês '!$A$1:$K$500,2,FALSE),3),0)</f>
        <v>8145902.4900000002</v>
      </c>
      <c r="D106" s="275">
        <f>IFERROR(ROUND(VLOOKUP($B106,'Anexo 1 -Até o Mês '!$A$1:$K$500,3,FALSE),3),0)</f>
        <v>8145902.4900000002</v>
      </c>
      <c r="E106" s="275">
        <f>IFERROR(ROUND(VLOOKUP($B106,'Anexo 1 -Até o Mês '!$A$1:$K$500,4,FALSE),3),0)</f>
        <v>499192.05499999999</v>
      </c>
      <c r="F106" s="275">
        <f>IFERROR(ROUND(VLOOKUP($B106,'Anexo 1 -Até o Mês '!$A$1:$K$500,5,FALSE),3),0)</f>
        <v>5229216.4179999996</v>
      </c>
      <c r="I106" s="26"/>
    </row>
    <row r="107" spans="2:9" s="18" customFormat="1">
      <c r="B107" s="274" t="s">
        <v>255</v>
      </c>
      <c r="C107" s="275">
        <f>IFERROR(ROUND(VLOOKUP($B107,'Anexo 1 -Até o Mês '!$A$1:$K$500,2,FALSE),3),0)</f>
        <v>0</v>
      </c>
      <c r="D107" s="275">
        <f>IFERROR(ROUND(VLOOKUP($B107,'Anexo 1 -Até o Mês '!$A$1:$K$500,3,FALSE),3),0)</f>
        <v>0</v>
      </c>
      <c r="E107" s="275">
        <f>IFERROR(ROUND(VLOOKUP($B107,'Anexo 1 -Até o Mês '!$A$1:$K$500,4,FALSE),3),0)</f>
        <v>0</v>
      </c>
      <c r="F107" s="275">
        <f>IFERROR(ROUND(VLOOKUP($B107,'Anexo 1 -Até o Mês '!$A$1:$K$500,5,FALSE),3),0)</f>
        <v>0</v>
      </c>
      <c r="I107" s="26"/>
    </row>
    <row r="108" spans="2:9" s="18" customFormat="1">
      <c r="B108" s="274" t="s">
        <v>256</v>
      </c>
      <c r="C108" s="275">
        <f>IFERROR(ROUND(VLOOKUP($B108,'Anexo 1 -Até o Mês '!$A$1:$K$500,2,FALSE),3),0)</f>
        <v>0</v>
      </c>
      <c r="D108" s="275">
        <f>IFERROR(ROUND(VLOOKUP($B108,'Anexo 1 -Até o Mês '!$A$1:$K$500,3,FALSE),3),0)</f>
        <v>0</v>
      </c>
      <c r="E108" s="275">
        <f>IFERROR(ROUND(VLOOKUP($B108,'Anexo 1 -Até o Mês '!$A$1:$K$500,4,FALSE),3),0)</f>
        <v>0</v>
      </c>
      <c r="F108" s="275">
        <f>IFERROR(ROUND(VLOOKUP($B108,'Anexo 1 -Até o Mês '!$A$1:$K$500,5,FALSE),3),0)</f>
        <v>0</v>
      </c>
      <c r="I108" s="26"/>
    </row>
    <row r="109" spans="2:9" s="18" customFormat="1">
      <c r="B109" s="274" t="s">
        <v>257</v>
      </c>
      <c r="C109" s="275">
        <f>IFERROR(ROUND(VLOOKUP($B109,'Anexo 1 -Até o Mês '!$A$1:$K$500,2,FALSE),3),0)</f>
        <v>0</v>
      </c>
      <c r="D109" s="275">
        <f>IFERROR(ROUND(VLOOKUP($B109,'Anexo 1 -Até o Mês '!$A$1:$K$500,3,FALSE),3),0)</f>
        <v>0</v>
      </c>
      <c r="E109" s="275">
        <f>IFERROR(ROUND(VLOOKUP($B109,'Anexo 1 -Até o Mês '!$A$1:$K$500,4,FALSE),3),0)</f>
        <v>0</v>
      </c>
      <c r="F109" s="275">
        <f>IFERROR(ROUND(VLOOKUP($B109,'Anexo 1 -Até o Mês '!$A$1:$K$500,5,FALSE),3),0)</f>
        <v>0</v>
      </c>
      <c r="I109" s="26"/>
    </row>
    <row r="110" spans="2:9" s="18" customFormat="1">
      <c r="B110" s="274" t="s">
        <v>258</v>
      </c>
      <c r="C110" s="275">
        <f>IFERROR(ROUND(VLOOKUP($B110,'Anexo 1 -Até o Mês '!$A$1:$K$500,2,FALSE),3),0)</f>
        <v>0</v>
      </c>
      <c r="D110" s="275">
        <f>IFERROR(ROUND(VLOOKUP($B110,'Anexo 1 -Até o Mês '!$A$1:$K$500,3,FALSE),3),0)</f>
        <v>0</v>
      </c>
      <c r="E110" s="275">
        <f>IFERROR(ROUND(VLOOKUP($B110,'Anexo 1 -Até o Mês '!$A$1:$K$500,4,FALSE),3),0)</f>
        <v>0</v>
      </c>
      <c r="F110" s="275">
        <f>IFERROR(ROUND(VLOOKUP($B110,'Anexo 1 -Até o Mês '!$A$1:$K$500,5,FALSE),3),0)</f>
        <v>0</v>
      </c>
      <c r="I110" s="26"/>
    </row>
    <row r="111" spans="2:9" s="18" customFormat="1">
      <c r="B111" s="274" t="s">
        <v>259</v>
      </c>
      <c r="C111" s="275">
        <f>IFERROR(ROUND(VLOOKUP($B111,'Anexo 1 -Até o Mês '!$A$1:$K$500,2,FALSE),3),0)</f>
        <v>0</v>
      </c>
      <c r="D111" s="275">
        <f>IFERROR(ROUND(VLOOKUP($B111,'Anexo 1 -Até o Mês '!$A$1:$K$500,3,FALSE),3),0)</f>
        <v>0</v>
      </c>
      <c r="E111" s="275">
        <f>IFERROR(ROUND(VLOOKUP($B111,'Anexo 1 -Até o Mês '!$A$1:$K$500,4,FALSE),3),0)</f>
        <v>0</v>
      </c>
      <c r="F111" s="275">
        <f>IFERROR(ROUND(VLOOKUP($B111,'Anexo 1 -Até o Mês '!$A$1:$K$500,5,FALSE),3),0)</f>
        <v>0</v>
      </c>
      <c r="I111" s="26"/>
    </row>
    <row r="112" spans="2:9" s="18" customFormat="1">
      <c r="B112" s="274" t="s">
        <v>260</v>
      </c>
      <c r="C112" s="275">
        <f>IFERROR(ROUND(VLOOKUP($B112,'Anexo 1 -Até o Mês '!$A$1:$K$500,2,FALSE),3),0)</f>
        <v>0</v>
      </c>
      <c r="D112" s="275">
        <f>IFERROR(ROUND(VLOOKUP($B112,'Anexo 1 -Até o Mês '!$A$1:$K$500,3,FALSE),3),0)</f>
        <v>0</v>
      </c>
      <c r="E112" s="275">
        <f>IFERROR(ROUND(VLOOKUP($B112,'Anexo 1 -Até o Mês '!$A$1:$K$500,4,FALSE),3),0)</f>
        <v>0</v>
      </c>
      <c r="F112" s="275">
        <f>IFERROR(ROUND(VLOOKUP($B112,'Anexo 1 -Até o Mês '!$A$1:$K$500,5,FALSE),3),0)</f>
        <v>0</v>
      </c>
      <c r="I112" s="26"/>
    </row>
    <row r="113" spans="2:9" s="18" customFormat="1">
      <c r="B113" s="274" t="s">
        <v>261</v>
      </c>
      <c r="C113" s="275">
        <f>IFERROR(ROUND(VLOOKUP($B113,'Anexo 1 -Até o Mês '!$A$1:$K$500,2,FALSE),3),0)</f>
        <v>0</v>
      </c>
      <c r="D113" s="275">
        <f>IFERROR(ROUND(VLOOKUP($B113,'Anexo 1 -Até o Mês '!$A$1:$K$500,3,FALSE),3),0)</f>
        <v>0</v>
      </c>
      <c r="E113" s="275">
        <f>IFERROR(ROUND(VLOOKUP($B113,'Anexo 1 -Até o Mês '!$A$1:$K$500,4,FALSE),3),0)</f>
        <v>0</v>
      </c>
      <c r="F113" s="275">
        <f>IFERROR(ROUND(VLOOKUP($B113,'Anexo 1 -Até o Mês '!$A$1:$K$500,5,FALSE),3),0)</f>
        <v>0</v>
      </c>
      <c r="I113" s="26"/>
    </row>
    <row r="114" spans="2:9" s="18" customFormat="1">
      <c r="B114" s="274" t="s">
        <v>262</v>
      </c>
      <c r="C114" s="275">
        <f>IFERROR(ROUND(VLOOKUP($B114,'Anexo 1 -Até o Mês '!$A$1:$K$500,2,FALSE),3),0)</f>
        <v>0</v>
      </c>
      <c r="D114" s="275">
        <f>IFERROR(ROUND(VLOOKUP($B114,'Anexo 1 -Até o Mês '!$A$1:$K$500,3,FALSE),3),0)</f>
        <v>0</v>
      </c>
      <c r="E114" s="275">
        <f>IFERROR(ROUND(VLOOKUP($B114,'Anexo 1 -Até o Mês '!$A$1:$K$500,4,FALSE),3),0)</f>
        <v>0</v>
      </c>
      <c r="F114" s="275">
        <f>IFERROR(ROUND(VLOOKUP($B114,'Anexo 1 -Até o Mês '!$A$1:$K$500,5,FALSE),3),0)</f>
        <v>0</v>
      </c>
      <c r="I114" s="26"/>
    </row>
    <row r="115" spans="2:9" s="18" customFormat="1">
      <c r="B115" s="274" t="s">
        <v>263</v>
      </c>
      <c r="C115" s="275">
        <f>IFERROR(ROUND(VLOOKUP($B115,'Anexo 1 -Até o Mês '!$A$1:$K$500,2,FALSE),3),0)</f>
        <v>0</v>
      </c>
      <c r="D115" s="275">
        <f>IFERROR(ROUND(VLOOKUP($B115,'Anexo 1 -Até o Mês '!$A$1:$K$500,3,FALSE),3),0)</f>
        <v>0</v>
      </c>
      <c r="E115" s="275">
        <f>IFERROR(ROUND(VLOOKUP($B115,'Anexo 1 -Até o Mês '!$A$1:$K$500,4,FALSE),3),0)</f>
        <v>0</v>
      </c>
      <c r="F115" s="275">
        <f>IFERROR(ROUND(VLOOKUP($B115,'Anexo 1 -Até o Mês '!$A$1:$K$500,5,FALSE),3),0)</f>
        <v>0</v>
      </c>
      <c r="I115" s="26"/>
    </row>
    <row r="116" spans="2:9" s="18" customFormat="1">
      <c r="B116" s="274" t="s">
        <v>264</v>
      </c>
      <c r="C116" s="275">
        <f>IFERROR(ROUND(VLOOKUP($B116,'Anexo 1 -Até o Mês '!$A$1:$K$500,2,FALSE),3),0)</f>
        <v>0</v>
      </c>
      <c r="D116" s="275">
        <f>IFERROR(ROUND(VLOOKUP($B116,'Anexo 1 -Até o Mês '!$A$1:$K$500,3,FALSE),3),0)</f>
        <v>0</v>
      </c>
      <c r="E116" s="275">
        <f>IFERROR(ROUND(VLOOKUP($B116,'Anexo 1 -Até o Mês '!$A$1:$K$500,4,FALSE),3),0)</f>
        <v>0</v>
      </c>
      <c r="F116" s="275">
        <f>IFERROR(ROUND(VLOOKUP($B116,'Anexo 1 -Até o Mês '!$A$1:$K$500,5,FALSE),3),0)</f>
        <v>0</v>
      </c>
      <c r="I116" s="26"/>
    </row>
    <row r="117" spans="2:9" s="18" customFormat="1">
      <c r="B117" s="276" t="s">
        <v>265</v>
      </c>
      <c r="C117" s="232">
        <f>IFERROR(ROUND(VLOOKUP($B117,'Anexo 1 -Até o Mês '!$A$1:$K$500,2,FALSE),3),0)</f>
        <v>0</v>
      </c>
      <c r="D117" s="232">
        <f>IFERROR(ROUND(VLOOKUP($B117,'Anexo 1 -Até o Mês '!$A$1:$K$500,3,FALSE),3),0)</f>
        <v>0</v>
      </c>
      <c r="E117" s="232">
        <f>IFERROR(ROUND(VLOOKUP($B117,'Anexo 1 -Até o Mês '!$A$1:$K$500,4,FALSE),3),0)</f>
        <v>0</v>
      </c>
      <c r="F117" s="232">
        <f>IFERROR(ROUND(VLOOKUP($B117,'Anexo 1 -Até o Mês '!$A$1:$K$500,5,FALSE),3),0)</f>
        <v>0</v>
      </c>
      <c r="I117" s="26"/>
    </row>
    <row r="118" spans="2:9" s="18" customFormat="1">
      <c r="C118" s="24"/>
      <c r="D118" s="24"/>
      <c r="E118" s="25"/>
      <c r="F118" s="25"/>
      <c r="I118" s="26"/>
    </row>
    <row r="119" spans="2:9" s="18" customFormat="1">
      <c r="C119" s="24"/>
      <c r="D119" s="24"/>
      <c r="E119" s="25"/>
      <c r="F119" s="25"/>
      <c r="I119" s="26"/>
    </row>
    <row r="120" spans="2:9" s="18" customFormat="1">
      <c r="C120" s="24"/>
      <c r="D120" s="24"/>
      <c r="E120" s="25"/>
      <c r="F120" s="25"/>
      <c r="I120" s="26"/>
    </row>
    <row r="121" spans="2:9" s="18" customFormat="1">
      <c r="C121" s="24"/>
      <c r="D121" s="24"/>
      <c r="E121" s="25"/>
      <c r="F121" s="25"/>
      <c r="I121" s="26"/>
    </row>
    <row r="122" spans="2:9" s="18" customFormat="1">
      <c r="C122" s="24"/>
      <c r="D122" s="24"/>
      <c r="E122" s="25"/>
      <c r="F122" s="25"/>
      <c r="I122" s="26"/>
    </row>
    <row r="123" spans="2:9" s="18" customFormat="1">
      <c r="C123" s="24"/>
      <c r="D123" s="24"/>
      <c r="E123" s="25"/>
      <c r="F123" s="25"/>
      <c r="I123" s="26"/>
    </row>
    <row r="124" spans="2:9" s="18" customFormat="1">
      <c r="C124" s="24"/>
      <c r="D124" s="24"/>
      <c r="E124" s="25"/>
      <c r="F124" s="25"/>
      <c r="I124" s="26"/>
    </row>
    <row r="125" spans="2:9" s="18" customFormat="1">
      <c r="C125" s="24"/>
      <c r="D125" s="24"/>
      <c r="E125" s="25"/>
      <c r="F125" s="25"/>
      <c r="I125" s="26"/>
    </row>
    <row r="126" spans="2:9" s="18" customFormat="1">
      <c r="B126" s="273" t="s">
        <v>266</v>
      </c>
      <c r="C126" s="45">
        <f>IFERROR(ROUND(VLOOKUP($B126,'Anexo 1 -Até o Mês '!$A$1:$K$500,2,FALSE),3),0)</f>
        <v>0</v>
      </c>
      <c r="D126" s="45">
        <f>IFERROR(ROUND(VLOOKUP($B126,'Anexo 1 -Até o Mês '!$A$1:$K$500,3,FALSE),3),0)</f>
        <v>0</v>
      </c>
      <c r="E126" s="45">
        <f>IFERROR(ROUND(VLOOKUP($B126,'Anexo 1 -Até o Mês '!$A$1:$K$500,4,FALSE),3),0)</f>
        <v>0</v>
      </c>
      <c r="F126" s="45">
        <f>IFERROR(ROUND(VLOOKUP($B126,'Anexo 1 -Até o Mês '!$A$1:$K$500,5,FALSE),3),0)</f>
        <v>0</v>
      </c>
      <c r="I126" s="26"/>
    </row>
    <row r="127" spans="2:9" s="18" customFormat="1">
      <c r="B127" s="274" t="s">
        <v>267</v>
      </c>
      <c r="C127" s="275">
        <f>IFERROR(ROUND(VLOOKUP($B127,'Anexo 1 -Até o Mês '!$A$1:$K$500,2,FALSE),3),0)</f>
        <v>0</v>
      </c>
      <c r="D127" s="275">
        <f>IFERROR(ROUND(VLOOKUP($B127,'Anexo 1 -Até o Mês '!$A$1:$K$500,3,FALSE),3),0)</f>
        <v>0</v>
      </c>
      <c r="E127" s="275">
        <f>IFERROR(ROUND(VLOOKUP($B127,'Anexo 1 -Até o Mês '!$A$1:$K$500,4,FALSE),3),0)</f>
        <v>0</v>
      </c>
      <c r="F127" s="275">
        <f>IFERROR(ROUND(VLOOKUP($B127,'Anexo 1 -Até o Mês '!$A$1:$K$500,5,FALSE),3),0)</f>
        <v>0</v>
      </c>
      <c r="I127" s="26"/>
    </row>
    <row r="128" spans="2:9" s="18" customFormat="1">
      <c r="B128" s="274" t="s">
        <v>268</v>
      </c>
      <c r="C128" s="275">
        <f>IFERROR(ROUND(VLOOKUP($B128,'Anexo 1 -Até o Mês '!$A$1:$K$500,2,FALSE),3),0)</f>
        <v>0</v>
      </c>
      <c r="D128" s="275">
        <f>IFERROR(ROUND(VLOOKUP($B128,'Anexo 1 -Até o Mês '!$A$1:$K$500,3,FALSE),3),0)</f>
        <v>0</v>
      </c>
      <c r="E128" s="275">
        <f>IFERROR(ROUND(VLOOKUP($B128,'Anexo 1 -Até o Mês '!$A$1:$K$500,4,FALSE),3),0)</f>
        <v>0</v>
      </c>
      <c r="F128" s="275">
        <f>IFERROR(ROUND(VLOOKUP($B128,'Anexo 1 -Até o Mês '!$A$1:$K$500,5,FALSE),3),0)</f>
        <v>0</v>
      </c>
      <c r="I128" s="26"/>
    </row>
    <row r="129" spans="2:9" s="18" customFormat="1">
      <c r="B129" s="274" t="s">
        <v>269</v>
      </c>
      <c r="C129" s="275">
        <f>IFERROR(ROUND(VLOOKUP($B129,'Anexo 1 -Até o Mês '!$A$1:$K$500,2,FALSE),3),0)</f>
        <v>0</v>
      </c>
      <c r="D129" s="275">
        <f>IFERROR(ROUND(VLOOKUP($B129,'Anexo 1 -Até o Mês '!$A$1:$K$500,3,FALSE),3),0)</f>
        <v>0</v>
      </c>
      <c r="E129" s="275">
        <f>IFERROR(ROUND(VLOOKUP($B129,'Anexo 1 -Até o Mês '!$A$1:$K$500,4,FALSE),3),0)</f>
        <v>0</v>
      </c>
      <c r="F129" s="275">
        <f>IFERROR(ROUND(VLOOKUP($B129,'Anexo 1 -Até o Mês '!$A$1:$K$500,5,FALSE),3),0)</f>
        <v>0</v>
      </c>
      <c r="I129" s="26"/>
    </row>
    <row r="130" spans="2:9" s="18" customFormat="1">
      <c r="B130" s="274" t="s">
        <v>270</v>
      </c>
      <c r="C130" s="275">
        <f>IFERROR(ROUND(VLOOKUP($B130,'Anexo 1 -Até o Mês '!$A$1:$K$500,2,FALSE),3),0)</f>
        <v>0</v>
      </c>
      <c r="D130" s="275">
        <f>IFERROR(ROUND(VLOOKUP($B130,'Anexo 1 -Até o Mês '!$A$1:$K$500,3,FALSE),3),0)</f>
        <v>0</v>
      </c>
      <c r="E130" s="275">
        <f>IFERROR(ROUND(VLOOKUP($B130,'Anexo 1 -Até o Mês '!$A$1:$K$500,4,FALSE),3),0)</f>
        <v>0</v>
      </c>
      <c r="F130" s="275">
        <f>IFERROR(ROUND(VLOOKUP($B130,'Anexo 1 -Até o Mês '!$A$1:$K$500,5,FALSE),3),0)</f>
        <v>0</v>
      </c>
      <c r="I130" s="26"/>
    </row>
    <row r="131" spans="2:9" s="18" customFormat="1">
      <c r="B131" s="274" t="s">
        <v>271</v>
      </c>
      <c r="C131" s="275">
        <f>IFERROR(ROUND(VLOOKUP($B131,'Anexo 1 -Até o Mês '!$A$1:$K$500,2,FALSE),3),0)</f>
        <v>0</v>
      </c>
      <c r="D131" s="275">
        <f>IFERROR(ROUND(VLOOKUP($B131,'Anexo 1 -Até o Mês '!$A$1:$K$500,3,FALSE),3),0)</f>
        <v>0</v>
      </c>
      <c r="E131" s="275">
        <f>IFERROR(ROUND(VLOOKUP($B131,'Anexo 1 -Até o Mês '!$A$1:$K$500,4,FALSE),3),0)</f>
        <v>0</v>
      </c>
      <c r="F131" s="275">
        <f>IFERROR(ROUND(VLOOKUP($B131,'Anexo 1 -Até o Mês '!$A$1:$K$500,5,FALSE),3),0)</f>
        <v>0</v>
      </c>
      <c r="I131" s="121"/>
    </row>
    <row r="132" spans="2:9" s="18" customFormat="1">
      <c r="B132" s="274" t="s">
        <v>89</v>
      </c>
      <c r="C132" s="275">
        <f>IFERROR(ROUND(VLOOKUP($B132,'Anexo 1 -Até o Mês '!$A$1:$K$500,2,FALSE),3),0)</f>
        <v>2577482457.7919998</v>
      </c>
      <c r="D132" s="275">
        <f>IFERROR(ROUND(VLOOKUP($B132,'Anexo 1 -Até o Mês '!$A$1:$K$500,3,FALSE),3),0)</f>
        <v>2577482457.7919998</v>
      </c>
      <c r="E132" s="275">
        <f>IFERROR(ROUND(VLOOKUP($B132,'Anexo 1 -Até o Mês '!$A$1:$K$500,4,FALSE),3),0)</f>
        <v>174726746.014</v>
      </c>
      <c r="F132" s="275">
        <f>IFERROR(ROUND(VLOOKUP($B132,'Anexo 1 -Até o Mês '!$A$1:$K$500,5,FALSE),3),0)</f>
        <v>1580341775.7720001</v>
      </c>
      <c r="I132" s="120"/>
    </row>
    <row r="133" spans="2:9" s="18" customFormat="1">
      <c r="B133" s="274" t="s">
        <v>90</v>
      </c>
      <c r="C133" s="275">
        <f>IFERROR(ROUND(VLOOKUP($B133,'Anexo 1 -Até o Mês '!$A$1:$K$500,2,FALSE),3),0)</f>
        <v>1603521711.2079999</v>
      </c>
      <c r="D133" s="275">
        <f>IFERROR(ROUND(VLOOKUP($B133,'Anexo 1 -Até o Mês '!$A$1:$K$500,3,FALSE),3),0)</f>
        <v>1603521711.2079999</v>
      </c>
      <c r="E133" s="275">
        <f>IFERROR(ROUND(VLOOKUP($B133,'Anexo 1 -Até o Mês '!$A$1:$K$500,4,FALSE),3),0)</f>
        <v>70659604.479000002</v>
      </c>
      <c r="F133" s="275">
        <f>IFERROR(ROUND(VLOOKUP($B133,'Anexo 1 -Até o Mês '!$A$1:$K$500,5,FALSE),3),0)</f>
        <v>1240257429.3</v>
      </c>
      <c r="I133" s="26"/>
    </row>
    <row r="134" spans="2:9" s="18" customFormat="1">
      <c r="B134" s="274" t="s">
        <v>272</v>
      </c>
      <c r="C134" s="275">
        <f>IFERROR(ROUND(VLOOKUP($B134,'Anexo 1 -Até o Mês '!$A$1:$K$500,2,FALSE),3),0)</f>
        <v>0</v>
      </c>
      <c r="D134" s="275">
        <f>IFERROR(ROUND(VLOOKUP($B134,'Anexo 1 -Até o Mês '!$A$1:$K$500,3,FALSE),3),0)</f>
        <v>0</v>
      </c>
      <c r="E134" s="275">
        <f>IFERROR(ROUND(VLOOKUP($B134,'Anexo 1 -Até o Mês '!$A$1:$K$500,4,FALSE),3),0)</f>
        <v>0</v>
      </c>
      <c r="F134" s="275">
        <f>IFERROR(ROUND(VLOOKUP($B134,'Anexo 1 -Até o Mês '!$A$1:$K$500,5,FALSE),3),0)</f>
        <v>0</v>
      </c>
      <c r="I134" s="26"/>
    </row>
    <row r="135" spans="2:9" s="18" customFormat="1">
      <c r="B135" s="274" t="s">
        <v>273</v>
      </c>
      <c r="C135" s="275">
        <f>IFERROR(ROUND(VLOOKUP($B135,'Anexo 1 -Até o Mês '!$A$1:$K$500,2,FALSE),3),0)</f>
        <v>1603521711.2079999</v>
      </c>
      <c r="D135" s="275">
        <f>IFERROR(ROUND(VLOOKUP($B135,'Anexo 1 -Até o Mês '!$A$1:$K$500,3,FALSE),3),0)</f>
        <v>1603521711.2079999</v>
      </c>
      <c r="E135" s="275">
        <f>IFERROR(ROUND(VLOOKUP($B135,'Anexo 1 -Até o Mês '!$A$1:$K$500,4,FALSE),3),0)</f>
        <v>70659604.479000002</v>
      </c>
      <c r="F135" s="275">
        <f>IFERROR(ROUND(VLOOKUP($B135,'Anexo 1 -Até o Mês '!$A$1:$K$500,5,FALSE),3),0)</f>
        <v>1237108583.283</v>
      </c>
      <c r="I135" s="26"/>
    </row>
    <row r="136" spans="2:9" s="18" customFormat="1">
      <c r="B136" s="274" t="s">
        <v>274</v>
      </c>
      <c r="C136" s="275">
        <f>IFERROR(ROUND(VLOOKUP($B136,'Anexo 1 -Até o Mês '!$A$1:$K$500,2,FALSE),3),0)</f>
        <v>0</v>
      </c>
      <c r="D136" s="275">
        <f>IFERROR(ROUND(VLOOKUP($B136,'Anexo 1 -Até o Mês '!$A$1:$K$500,3,FALSE),3),0)</f>
        <v>0</v>
      </c>
      <c r="E136" s="275">
        <f>IFERROR(ROUND(VLOOKUP($B136,'Anexo 1 -Até o Mês '!$A$1:$K$500,4,FALSE),3),0)</f>
        <v>0</v>
      </c>
      <c r="F136" s="275">
        <f>IFERROR(ROUND(VLOOKUP($B136,'Anexo 1 -Até o Mês '!$A$1:$K$500,5,FALSE),3),0)</f>
        <v>3148846.017</v>
      </c>
      <c r="I136" s="26"/>
    </row>
    <row r="137" spans="2:9" s="18" customFormat="1">
      <c r="B137" s="274" t="s">
        <v>275</v>
      </c>
      <c r="C137" s="275">
        <f>IFERROR(ROUND(VLOOKUP($B137,'Anexo 1 -Até o Mês '!$A$1:$K$500,2,FALSE),3),0)</f>
        <v>0</v>
      </c>
      <c r="D137" s="275">
        <f>IFERROR(ROUND(VLOOKUP($B137,'Anexo 1 -Até o Mês '!$A$1:$K$500,3,FALSE),3),0)</f>
        <v>0</v>
      </c>
      <c r="E137" s="275">
        <f>IFERROR(ROUND(VLOOKUP($B137,'Anexo 1 -Até o Mês '!$A$1:$K$500,4,FALSE),3),0)</f>
        <v>0</v>
      </c>
      <c r="F137" s="275">
        <f>IFERROR(ROUND(VLOOKUP($B137,'Anexo 1 -Até o Mês '!$A$1:$K$500,5,FALSE),3),0)</f>
        <v>3148846.017</v>
      </c>
      <c r="I137" s="26"/>
    </row>
    <row r="138" spans="2:9" s="18" customFormat="1">
      <c r="B138" s="276" t="s">
        <v>177</v>
      </c>
      <c r="C138" s="232">
        <f>IFERROR(ROUND(VLOOKUP($B138,'Anexo 1 -Até o Mês '!$A$1:$K$500,2,FALSE),3),0)</f>
        <v>4181004169</v>
      </c>
      <c r="D138" s="232">
        <f>IFERROR(ROUND(VLOOKUP($B138,'Anexo 1 -Até o Mês '!$A$1:$K$500,3,FALSE),3),0)</f>
        <v>4181004169</v>
      </c>
      <c r="E138" s="232">
        <f>IFERROR(ROUND(VLOOKUP($B138,'Anexo 1 -Até o Mês '!$A$1:$K$500,4,FALSE),3),0)</f>
        <v>245386350.493</v>
      </c>
      <c r="F138" s="232">
        <f>IFERROR(ROUND(VLOOKUP($B138,'Anexo 1 -Até o Mês '!$A$1:$K$500,5,FALSE),3),0)</f>
        <v>2820599205.073</v>
      </c>
      <c r="I138" s="26"/>
    </row>
    <row r="139" spans="2:9" s="18" customFormat="1">
      <c r="C139" s="16"/>
      <c r="D139" s="24"/>
      <c r="E139" s="25"/>
      <c r="F139" s="25"/>
      <c r="I139" s="26"/>
    </row>
    <row r="140" spans="2:9" s="18" customFormat="1">
      <c r="C140" s="16"/>
      <c r="D140" s="24"/>
      <c r="E140" s="25"/>
      <c r="F140" s="25"/>
      <c r="I140" s="26"/>
    </row>
    <row r="141" spans="2:9" s="18" customFormat="1">
      <c r="C141" s="16"/>
      <c r="D141" s="24"/>
      <c r="E141" s="25"/>
      <c r="F141" s="25"/>
      <c r="I141" s="26"/>
    </row>
    <row r="142" spans="2:9" s="18" customFormat="1">
      <c r="C142" s="16"/>
      <c r="D142" s="24"/>
      <c r="E142" s="25"/>
      <c r="F142" s="25"/>
      <c r="I142" s="26"/>
    </row>
    <row r="143" spans="2:9" s="18" customFormat="1">
      <c r="C143" s="24"/>
      <c r="D143" s="24"/>
      <c r="E143" s="25"/>
      <c r="F143" s="25"/>
      <c r="I143" s="26"/>
    </row>
    <row r="144" spans="2:9" s="18" customFormat="1">
      <c r="B144" s="273" t="s">
        <v>276</v>
      </c>
      <c r="C144" s="277"/>
      <c r="D144" s="24"/>
      <c r="E144" s="25"/>
      <c r="F144" s="25"/>
      <c r="I144" s="26"/>
    </row>
    <row r="145" spans="2:9" s="18" customFormat="1">
      <c r="B145" s="274" t="s">
        <v>277</v>
      </c>
      <c r="C145" s="275">
        <f>IFERROR(ROUND(VLOOKUP($B145,'Anexo 1 -Até o Mês '!$A$1:$AA$500,14,FALSE),3),0)</f>
        <v>40111200.802000001</v>
      </c>
      <c r="D145" s="24"/>
      <c r="E145" s="25"/>
      <c r="F145" s="25"/>
      <c r="I145" s="26"/>
    </row>
    <row r="146" spans="2:9" s="18" customFormat="1">
      <c r="B146" s="274" t="s">
        <v>278</v>
      </c>
      <c r="C146" s="275">
        <f>IFERROR(ROUND(VLOOKUP($B146,'Anexo 1 -Até o Mês '!$A$1:$AA$500,14,FALSE),3),0)</f>
        <v>109015121.80500001</v>
      </c>
      <c r="D146" s="24"/>
      <c r="E146" s="25"/>
      <c r="F146" s="25"/>
      <c r="I146" s="26"/>
    </row>
    <row r="147" spans="2:9" s="18" customFormat="1">
      <c r="B147" s="276" t="s">
        <v>279</v>
      </c>
      <c r="C147" s="232">
        <f>IFERROR(ROUND(VLOOKUP($B147,'Anexo 1 -Até o Mês '!$A$1:$AA$500,14,FALSE),3),0)</f>
        <v>-826065.022</v>
      </c>
      <c r="D147" s="24"/>
      <c r="E147" s="25"/>
      <c r="F147" s="25"/>
      <c r="I147" s="26"/>
    </row>
    <row r="148" spans="2:9" s="18" customFormat="1">
      <c r="E148" s="26"/>
      <c r="I148" s="26"/>
    </row>
    <row r="149" spans="2:9">
      <c r="E149" s="22"/>
      <c r="I149" s="22"/>
    </row>
    <row r="150" spans="2:9">
      <c r="E150" s="22"/>
      <c r="I150" s="22"/>
    </row>
    <row r="151" spans="2:9">
      <c r="E151" s="22"/>
    </row>
  </sheetData>
  <mergeCells count="1">
    <mergeCell ref="D2:E2"/>
  </mergeCells>
  <conditionalFormatting sqref="J8:M8 J12:M12 J16:M16 J20:M20 J24:M24">
    <cfRule type="cellIs" dxfId="46" priority="28" stopIfTrue="1" operator="between">
      <formula>-0.99</formula>
      <formula>0.99</formula>
    </cfRule>
  </conditionalFormatting>
  <conditionalFormatting sqref="J8:M8 J12:M12 J16:M16 J20:M20 J24:M24">
    <cfRule type="cellIs" dxfId="45" priority="26" stopIfTrue="1" operator="lessThan">
      <formula>-0.99</formula>
    </cfRule>
    <cfRule type="cellIs" dxfId="44" priority="27" stopIfTrue="1" operator="greaterThan">
      <formula>0.99</formula>
    </cfRule>
  </conditionalFormatting>
  <conditionalFormatting sqref="M26">
    <cfRule type="cellIs" dxfId="43" priority="8" stopIfTrue="1" operator="between">
      <formula>-0.99</formula>
      <formula>0.99</formula>
    </cfRule>
  </conditionalFormatting>
  <conditionalFormatting sqref="M26">
    <cfRule type="cellIs" dxfId="42" priority="6" stopIfTrue="1" operator="lessThan">
      <formula>-0.99</formula>
    </cfRule>
    <cfRule type="cellIs" dxfId="41" priority="7" stopIfTrue="1" operator="greaterThan">
      <formula>0.99</formula>
    </cfRule>
  </conditionalFormatting>
  <conditionalFormatting sqref="L26">
    <cfRule type="cellIs" dxfId="40" priority="5" stopIfTrue="1" operator="between">
      <formula>-0.99</formula>
      <formula>0.99</formula>
    </cfRule>
  </conditionalFormatting>
  <conditionalFormatting sqref="L26">
    <cfRule type="cellIs" dxfId="39" priority="3" stopIfTrue="1" operator="lessThan">
      <formula>-0.99</formula>
    </cfRule>
    <cfRule type="cellIs" dxfId="38" priority="4" stopIfTrue="1" operator="greaterThan">
      <formula>0.99</formula>
    </cfRule>
  </conditionalFormatting>
  <conditionalFormatting sqref="F2">
    <cfRule type="cellIs" dxfId="37" priority="1" stopIfTrue="1" operator="equal">
      <formula>"VERIFIQUE"</formula>
    </cfRule>
    <cfRule type="cellIs" dxfId="36" priority="2" stopIfTrue="1" operator="equal">
      <formula>"OK"</formula>
    </cfRule>
  </conditionalFormatting>
  <pageMargins left="0.51181102362204722" right="0.51181102362204722" top="0.78740157480314965" bottom="0.78740157480314965" header="0.31496062992125984" footer="0.31496062992125984"/>
  <pageSetup paperSize="9" scale="38" fitToHeight="2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rgb="FFFFFF00"/>
  </sheetPr>
  <dimension ref="B2:V53"/>
  <sheetViews>
    <sheetView showGridLines="0" topLeftCell="B1" workbookViewId="0">
      <selection activeCell="O34" sqref="O34"/>
    </sheetView>
  </sheetViews>
  <sheetFormatPr defaultColWidth="9.140625" defaultRowHeight="11.25"/>
  <cols>
    <col min="1" max="1" width="9.140625" style="1"/>
    <col min="2" max="2" width="39" style="1" bestFit="1" customWidth="1"/>
    <col min="3" max="3" width="16.42578125" style="1" bestFit="1" customWidth="1"/>
    <col min="4" max="4" width="15.42578125" style="1" bestFit="1" customWidth="1"/>
    <col min="5" max="5" width="14.42578125" style="1" customWidth="1"/>
    <col min="6" max="6" width="16.85546875" style="1" bestFit="1" customWidth="1"/>
    <col min="7" max="7" width="14.42578125" style="1" customWidth="1"/>
    <col min="8" max="9" width="14.5703125" style="1" customWidth="1"/>
    <col min="10" max="10" width="22.140625" style="1" bestFit="1" customWidth="1"/>
    <col min="11" max="11" width="12.42578125" style="1" customWidth="1"/>
    <col min="12" max="12" width="9.140625" style="1"/>
    <col min="13" max="13" width="40.5703125" style="1" customWidth="1"/>
    <col min="14" max="14" width="23" style="1" bestFit="1" customWidth="1"/>
    <col min="15" max="15" width="19.42578125" style="1" customWidth="1"/>
    <col min="16" max="16" width="16.140625" style="1" bestFit="1" customWidth="1"/>
    <col min="17" max="17" width="18.42578125" style="1" bestFit="1" customWidth="1"/>
    <col min="18" max="18" width="17" style="1" bestFit="1" customWidth="1"/>
    <col min="19" max="19" width="18.140625" style="1" bestFit="1" customWidth="1"/>
    <col min="20" max="20" width="13.42578125" style="1" bestFit="1" customWidth="1"/>
    <col min="21" max="21" width="17.85546875" style="1" bestFit="1" customWidth="1"/>
    <col min="22" max="16384" width="9.140625" style="1"/>
  </cols>
  <sheetData>
    <row r="2" spans="2:22" ht="15.75">
      <c r="H2" s="315" t="s">
        <v>280</v>
      </c>
      <c r="I2" s="315"/>
      <c r="J2" s="66" t="str">
        <f>IF(J3=0,"OK","VERIFIQUE")</f>
        <v>OK</v>
      </c>
    </row>
    <row r="3" spans="2:22" ht="15.75">
      <c r="J3" s="67">
        <f>ROUND(SUM(N8:U8,N12:U12,N16:U16,N20:U20,N24:U24,N27:U27,N33:O33),2)</f>
        <v>0</v>
      </c>
    </row>
    <row r="5" spans="2:22" ht="31.5">
      <c r="B5" s="219" t="s">
        <v>111</v>
      </c>
      <c r="C5" s="219" t="s">
        <v>281</v>
      </c>
      <c r="D5" s="219" t="s">
        <v>282</v>
      </c>
      <c r="E5" s="219" t="s">
        <v>283</v>
      </c>
      <c r="F5" s="219" t="s">
        <v>284</v>
      </c>
      <c r="G5" s="219" t="s">
        <v>285</v>
      </c>
      <c r="H5" s="219" t="s">
        <v>286</v>
      </c>
      <c r="I5" s="219" t="s">
        <v>287</v>
      </c>
      <c r="J5" s="219" t="s">
        <v>288</v>
      </c>
      <c r="N5" s="28" t="s">
        <v>289</v>
      </c>
      <c r="O5" s="28" t="s">
        <v>290</v>
      </c>
      <c r="P5" s="28" t="s">
        <v>291</v>
      </c>
      <c r="Q5" s="28" t="s">
        <v>292</v>
      </c>
      <c r="R5" s="28" t="s">
        <v>293</v>
      </c>
      <c r="S5" s="28" t="s">
        <v>294</v>
      </c>
      <c r="T5" s="28" t="s">
        <v>295</v>
      </c>
      <c r="U5" s="28" t="s">
        <v>296</v>
      </c>
      <c r="V5" s="27"/>
    </row>
    <row r="6" spans="2:22">
      <c r="B6" s="278" t="s">
        <v>120</v>
      </c>
      <c r="C6" s="279">
        <f>IFERROR(ROUND(VLOOKUP($B6,'Anexo 1 -Até o Mês '!$A$1:$Z$500,6,FALSE),3),0)</f>
        <v>2628331921.8870001</v>
      </c>
      <c r="D6" s="279">
        <f>IFERROR(ROUND(VLOOKUP($B6,'Anexo 1 -Até o Mês '!$A$1:$Z$500,7,FALSE),3),0)</f>
        <v>2771813754.1370001</v>
      </c>
      <c r="E6" s="279">
        <f>IFERROR(ROUND(VLOOKUP($B6,'Anexo 1 -Até o Mês '!$A$1:$Z$500,8,FALSE),3),0)</f>
        <v>246350927.39899999</v>
      </c>
      <c r="F6" s="279">
        <f>IFERROR(ROUND(VLOOKUP($B6,'Anexo 1 -Até o Mês '!$A$1:$Z$200,9,FALSE),3),0)</f>
        <v>2119019488.336</v>
      </c>
      <c r="G6" s="279">
        <f>IFERROR(ROUND(VLOOKUP($B6,'Anexo 1 -Até o Mês '!$A$1:$Z$200,10,FALSE),3),0)</f>
        <v>193378148.89300001</v>
      </c>
      <c r="H6" s="279">
        <f>IFERROR(ROUND(VLOOKUP($B6,'Anexo 1 -Até o Mês '!$A$1:$Z$200,11,FALSE),3),0)</f>
        <v>1736030973.277</v>
      </c>
      <c r="I6" s="279">
        <f>IFERROR(ROUND(VLOOKUP($B6,'Anexo 1 -Até o Mês '!$A$1:$Z$200,12,FALSE),3),0)</f>
        <v>1666924692.0780001</v>
      </c>
      <c r="J6" s="279">
        <f>IFERROR(ROUND(VLOOKUP($B6,'Anexo 1 -Até o Mês '!$A$1:$Z$200,13,FALSE),3),0)</f>
        <v>0</v>
      </c>
      <c r="L6" s="1" t="s">
        <v>158</v>
      </c>
      <c r="M6" s="1" t="s">
        <v>120</v>
      </c>
      <c r="N6" s="21">
        <f>VLOOKUP($M6,$B$6:$J$44,2,FALSE)</f>
        <v>2628331921.8870001</v>
      </c>
      <c r="O6" s="21">
        <f>VLOOKUP($M6,$B$6:$J$44,3,FALSE)</f>
        <v>2771813754.1370001</v>
      </c>
      <c r="P6" s="21">
        <f>VLOOKUP($M6,$B$6:$J$44,4,FALSE)</f>
        <v>246350927.39899999</v>
      </c>
      <c r="Q6" s="21">
        <f>VLOOKUP($M6,$B$6:$J$44,5,FALSE)</f>
        <v>2119019488.336</v>
      </c>
      <c r="R6" s="21">
        <f>VLOOKUP($M6,$B$6:$J$44,6,FALSE)</f>
        <v>193378148.89300001</v>
      </c>
      <c r="S6" s="21">
        <f>VLOOKUP($M6,$B$6:$J$44,7,FALSE)</f>
        <v>1736030973.277</v>
      </c>
      <c r="T6" s="21">
        <f>VLOOKUP($M6,$B$6:$J$44,8,FALSE)</f>
        <v>1666924692.0780001</v>
      </c>
      <c r="U6" s="21">
        <f>VLOOKUP($M6,$B$6:$J$44,9,FALSE)</f>
        <v>0</v>
      </c>
      <c r="V6" s="21"/>
    </row>
    <row r="7" spans="2:22">
      <c r="B7" s="278" t="s">
        <v>297</v>
      </c>
      <c r="C7" s="279">
        <f>IFERROR(ROUND(VLOOKUP($B7,'Anexo 1 -Até o Mês '!$A$1:$Z$500,6,FALSE),3),0)</f>
        <v>2093313641.8510001</v>
      </c>
      <c r="D7" s="279">
        <f>IFERROR(ROUND(VLOOKUP($B7,'Anexo 1 -Até o Mês '!$A$1:$Z$500,7,FALSE),3),0)</f>
        <v>2228934812.4039998</v>
      </c>
      <c r="E7" s="279">
        <f>IFERROR(ROUND(VLOOKUP($B7,'Anexo 1 -Até o Mês '!$A$1:$Z$500,8,FALSE),3),0)</f>
        <v>214570253.741</v>
      </c>
      <c r="F7" s="279">
        <f>IFERROR(ROUND(VLOOKUP($B7,'Anexo 1 -Até o Mês '!$A$1:$Z$200,9,FALSE),3),0)</f>
        <v>1738158773.2509999</v>
      </c>
      <c r="G7" s="279">
        <f>IFERROR(ROUND(VLOOKUP($B7,'Anexo 1 -Até o Mês '!$A$1:$Z$200,10,FALSE),3),0)</f>
        <v>188183641.24399999</v>
      </c>
      <c r="H7" s="279">
        <f>IFERROR(ROUND(VLOOKUP($B7,'Anexo 1 -Até o Mês '!$A$1:$Z$200,11,FALSE),3),0)</f>
        <v>1416697552.191</v>
      </c>
      <c r="I7" s="279">
        <f>IFERROR(ROUND(VLOOKUP($B7,'Anexo 1 -Até o Mês '!$A$1:$Z$200,12,FALSE),3),0)</f>
        <v>1348297816.369</v>
      </c>
      <c r="J7" s="279">
        <f>IFERROR(ROUND(VLOOKUP($B7,'Anexo 1 -Até o Mês '!$A$1:$Z$200,13,FALSE),3),0)</f>
        <v>0</v>
      </c>
      <c r="L7" s="1" t="s">
        <v>160</v>
      </c>
      <c r="M7" s="1" t="s">
        <v>120</v>
      </c>
      <c r="N7" s="21">
        <f>'Anexo 1 Desp'!B12</f>
        <v>2628331921.8870001</v>
      </c>
      <c r="O7" s="21">
        <f>'Anexo 1 Desp'!C12</f>
        <v>2771813754.1370001</v>
      </c>
      <c r="P7" s="21">
        <f>'Anexo 1 Desp'!D12</f>
        <v>246350927.39899999</v>
      </c>
      <c r="Q7" s="21">
        <f>'Anexo 1 Desp'!E12</f>
        <v>2119019488.335</v>
      </c>
      <c r="R7" s="21">
        <f>'Anexo 1 Desp'!G12</f>
        <v>193378148.89300001</v>
      </c>
      <c r="S7" s="21">
        <f>'Anexo 1 Desp'!H12</f>
        <v>1736030973.276</v>
      </c>
      <c r="T7" s="21">
        <f>'Anexo 1 Desp'!J12</f>
        <v>1666924692.076</v>
      </c>
      <c r="U7" s="21">
        <f>'Anexo 1 Desp'!K12</f>
        <v>0</v>
      </c>
      <c r="V7" s="21"/>
    </row>
    <row r="8" spans="2:22">
      <c r="B8" s="278" t="s">
        <v>298</v>
      </c>
      <c r="C8" s="279">
        <f>IFERROR(ROUND(VLOOKUP($B8,'Anexo 1 -Até o Mês '!$A$1:$Z$500,6,FALSE),3),0)</f>
        <v>335155980.07800001</v>
      </c>
      <c r="D8" s="279">
        <f>IFERROR(ROUND(VLOOKUP($B8,'Anexo 1 -Até o Mês '!$A$1:$Z$500,7,FALSE),3),0)</f>
        <v>334301929.03500003</v>
      </c>
      <c r="E8" s="279">
        <f>IFERROR(ROUND(VLOOKUP($B8,'Anexo 1 -Até o Mês '!$A$1:$Z$500,8,FALSE),3),0)</f>
        <v>11699502.818</v>
      </c>
      <c r="F8" s="279">
        <f>IFERROR(ROUND(VLOOKUP($B8,'Anexo 1 -Até o Mês '!$A$1:$Z$200,9,FALSE),3),0)</f>
        <v>263299114.77599999</v>
      </c>
      <c r="G8" s="279">
        <f>IFERROR(ROUND(VLOOKUP($B8,'Anexo 1 -Até o Mês '!$A$1:$Z$200,10,FALSE),3),0)</f>
        <v>24654325.861000001</v>
      </c>
      <c r="H8" s="279">
        <f>IFERROR(ROUND(VLOOKUP($B8,'Anexo 1 -Até o Mês '!$A$1:$Z$200,11,FALSE),3),0)</f>
        <v>211032740.20199999</v>
      </c>
      <c r="I8" s="279">
        <f>IFERROR(ROUND(VLOOKUP($B8,'Anexo 1 -Até o Mês '!$A$1:$Z$200,12,FALSE),3),0)</f>
        <v>194872639.60499999</v>
      </c>
      <c r="J8" s="279">
        <f>IFERROR(ROUND(VLOOKUP($B8,'Anexo 1 -Até o Mês '!$A$1:$Z$200,13,FALSE),3),0)</f>
        <v>0</v>
      </c>
      <c r="L8" s="264" t="s">
        <v>162</v>
      </c>
      <c r="M8" s="266"/>
      <c r="N8" s="232">
        <f>ROUND(N6-N7,2)</f>
        <v>0</v>
      </c>
      <c r="O8" s="232">
        <f t="shared" ref="O8:U8" si="0">ROUND(O6-O7,2)</f>
        <v>0</v>
      </c>
      <c r="P8" s="232">
        <f t="shared" si="0"/>
        <v>0</v>
      </c>
      <c r="Q8" s="232">
        <f t="shared" si="0"/>
        <v>0</v>
      </c>
      <c r="R8" s="232">
        <f t="shared" si="0"/>
        <v>0</v>
      </c>
      <c r="S8" s="232">
        <f t="shared" si="0"/>
        <v>0</v>
      </c>
      <c r="T8" s="232">
        <f t="shared" si="0"/>
        <v>0</v>
      </c>
      <c r="U8" s="232">
        <f t="shared" si="0"/>
        <v>0</v>
      </c>
      <c r="V8" s="21"/>
    </row>
    <row r="9" spans="2:22">
      <c r="B9" s="278" t="s">
        <v>299</v>
      </c>
      <c r="C9" s="279">
        <f>IFERROR(ROUND(VLOOKUP($B9,'Anexo 1 -Até o Mês '!$A$1:$Z$500,6,FALSE),3),0)</f>
        <v>362618215.09200001</v>
      </c>
      <c r="D9" s="279">
        <f>IFERROR(ROUND(VLOOKUP($B9,'Anexo 1 -Até o Mês '!$A$1:$Z$500,7,FALSE),3),0)</f>
        <v>362617890.09200001</v>
      </c>
      <c r="E9" s="279">
        <f>IFERROR(ROUND(VLOOKUP($B9,'Anexo 1 -Até o Mês '!$A$1:$Z$500,8,FALSE),3),0)</f>
        <v>64475125.457999997</v>
      </c>
      <c r="F9" s="279">
        <f>IFERROR(ROUND(VLOOKUP($B9,'Anexo 1 -Até o Mês '!$A$1:$Z$200,9,FALSE),3),0)</f>
        <v>232391038.22799999</v>
      </c>
      <c r="G9" s="279">
        <f>IFERROR(ROUND(VLOOKUP($B9,'Anexo 1 -Até o Mês '!$A$1:$Z$200,10,FALSE),3),0)</f>
        <v>32230125.660999998</v>
      </c>
      <c r="H9" s="279">
        <f>IFERROR(ROUND(VLOOKUP($B9,'Anexo 1 -Até o Mês '!$A$1:$Z$200,11,FALSE),3),0)</f>
        <v>194806232.384</v>
      </c>
      <c r="I9" s="279">
        <f>IFERROR(ROUND(VLOOKUP($B9,'Anexo 1 -Até o Mês '!$A$1:$Z$200,12,FALSE),3),0)</f>
        <v>194806002.88299999</v>
      </c>
      <c r="J9" s="279">
        <f>IFERROR(ROUND(VLOOKUP($B9,'Anexo 1 -Até o Mês '!$A$1:$Z$200,13,FALSE),3),0)</f>
        <v>0</v>
      </c>
      <c r="N9" s="21"/>
      <c r="O9" s="21"/>
      <c r="P9" s="21"/>
      <c r="Q9" s="21"/>
      <c r="R9" s="21"/>
      <c r="S9" s="21"/>
      <c r="T9" s="21"/>
      <c r="U9" s="21"/>
      <c r="V9" s="21"/>
    </row>
    <row r="10" spans="2:22">
      <c r="B10" s="278" t="s">
        <v>300</v>
      </c>
      <c r="C10" s="279">
        <f>IFERROR(ROUND(VLOOKUP($B10,'Anexo 1 -Até o Mês '!$A$1:$Z$500,6,FALSE),3),0)</f>
        <v>1395539446.681</v>
      </c>
      <c r="D10" s="279">
        <f>IFERROR(ROUND(VLOOKUP($B10,'Anexo 1 -Até o Mês '!$A$1:$Z$500,7,FALSE),3),0)</f>
        <v>1532014993.277</v>
      </c>
      <c r="E10" s="279">
        <f>IFERROR(ROUND(VLOOKUP($B10,'Anexo 1 -Até o Mês '!$A$1:$Z$500,8,FALSE),3),0)</f>
        <v>138395625.465</v>
      </c>
      <c r="F10" s="279">
        <f>IFERROR(ROUND(VLOOKUP($B10,'Anexo 1 -Até o Mês '!$A$1:$Z$200,9,FALSE),3),0)</f>
        <v>1242468620.247</v>
      </c>
      <c r="G10" s="279">
        <f>IFERROR(ROUND(VLOOKUP($B10,'Anexo 1 -Até o Mês '!$A$1:$Z$200,10,FALSE),3),0)</f>
        <v>131299189.722</v>
      </c>
      <c r="H10" s="279">
        <f>IFERROR(ROUND(VLOOKUP($B10,'Anexo 1 -Até o Mês '!$A$1:$Z$200,11,FALSE),3),0)</f>
        <v>1010858579.6059999</v>
      </c>
      <c r="I10" s="279">
        <f>IFERROR(ROUND(VLOOKUP($B10,'Anexo 1 -Até o Mês '!$A$1:$Z$200,12,FALSE),3),0)</f>
        <v>958619173.88</v>
      </c>
      <c r="J10" s="279">
        <f>IFERROR(ROUND(VLOOKUP($B10,'Anexo 1 -Até o Mês '!$A$1:$Z$200,13,FALSE),3),0)</f>
        <v>0</v>
      </c>
      <c r="L10" s="1" t="s">
        <v>158</v>
      </c>
      <c r="M10" s="1" t="s">
        <v>133</v>
      </c>
      <c r="N10" s="21">
        <f>VLOOKUP($M10,$B$6:$J$44,2,FALSE)</f>
        <v>34213658.640000001</v>
      </c>
      <c r="O10" s="21">
        <f>VLOOKUP($M10,$B$6:$J$44,3,FALSE)</f>
        <v>39032083.975000001</v>
      </c>
      <c r="P10" s="21">
        <f>VLOOKUP($M10,$B$6:$J$44,4,FALSE)</f>
        <v>957825.72600000002</v>
      </c>
      <c r="Q10" s="21">
        <f>VLOOKUP($M10,$B$6:$J$44,5,FALSE)</f>
        <v>33544135.261999998</v>
      </c>
      <c r="R10" s="21">
        <f>VLOOKUP($M10,$B$6:$J$44,6,FALSE)</f>
        <v>2833972.8820000002</v>
      </c>
      <c r="S10" s="21">
        <f>VLOOKUP($M10,$B$6:$J$44,7,FALSE)</f>
        <v>22488036.511</v>
      </c>
      <c r="T10" s="21">
        <f>VLOOKUP($M10,$B$6:$J$44,8,FALSE)</f>
        <v>22260569.653999999</v>
      </c>
      <c r="U10" s="21">
        <f>VLOOKUP($M10,$B$6:$J$44,9,FALSE)</f>
        <v>0</v>
      </c>
      <c r="V10" s="21"/>
    </row>
    <row r="11" spans="2:22">
      <c r="B11" s="278" t="s">
        <v>301</v>
      </c>
      <c r="C11" s="279">
        <f>IFERROR(ROUND(VLOOKUP($B11,'Anexo 1 -Até o Mês '!$A$1:$Z$500,6,FALSE),3),0)</f>
        <v>410689204.33099997</v>
      </c>
      <c r="D11" s="279">
        <f>IFERROR(ROUND(VLOOKUP($B11,'Anexo 1 -Até o Mês '!$A$1:$Z$500,7,FALSE),3),0)</f>
        <v>423757050.83700001</v>
      </c>
      <c r="E11" s="279">
        <f>IFERROR(ROUND(VLOOKUP($B11,'Anexo 1 -Até o Mês '!$A$1:$Z$500,8,FALSE),3),0)</f>
        <v>19332044.227000002</v>
      </c>
      <c r="F11" s="279">
        <f>IFERROR(ROUND(VLOOKUP($B11,'Anexo 1 -Até o Mês '!$A$1:$Z$200,9,FALSE),3),0)</f>
        <v>378720072.17400002</v>
      </c>
      <c r="G11" s="279">
        <f>IFERROR(ROUND(VLOOKUP($B11,'Anexo 1 -Até o Mês '!$A$1:$Z$200,10,FALSE),3),0)</f>
        <v>45848610.366999999</v>
      </c>
      <c r="H11" s="279">
        <f>IFERROR(ROUND(VLOOKUP($B11,'Anexo 1 -Até o Mês '!$A$1:$Z$200,11,FALSE),3),0)</f>
        <v>288662167.80900002</v>
      </c>
      <c r="I11" s="279">
        <f>IFERROR(ROUND(VLOOKUP($B11,'Anexo 1 -Até o Mês '!$A$1:$Z$200,12,FALSE),3),0)</f>
        <v>284364822.95599997</v>
      </c>
      <c r="J11" s="279">
        <f>IFERROR(ROUND(VLOOKUP($B11,'Anexo 1 -Até o Mês '!$A$1:$Z$200,13,FALSE),3),0)</f>
        <v>0</v>
      </c>
      <c r="L11" s="1" t="s">
        <v>160</v>
      </c>
      <c r="M11" s="1" t="s">
        <v>133</v>
      </c>
      <c r="N11" s="21">
        <f>'Anexo 1 Desp'!B25</f>
        <v>34213658.640000001</v>
      </c>
      <c r="O11" s="21">
        <f>'Anexo 1 Desp'!C25</f>
        <v>39032083.975000001</v>
      </c>
      <c r="P11" s="21">
        <f>'Anexo 1 Desp'!D25</f>
        <v>957825.72600000002</v>
      </c>
      <c r="Q11" s="21">
        <f>'Anexo 1 Desp'!E25</f>
        <v>33544135.262000002</v>
      </c>
      <c r="R11" s="21">
        <f>'Anexo 1 Desp'!G25</f>
        <v>2833972.8820000002</v>
      </c>
      <c r="S11" s="21">
        <f>'Anexo 1 Desp'!H25</f>
        <v>22488036.511</v>
      </c>
      <c r="T11" s="21">
        <f>'Anexo 1 Desp'!J25</f>
        <v>22260569.653999999</v>
      </c>
      <c r="U11" s="21">
        <f>'Anexo 1 Desp'!K25</f>
        <v>0</v>
      </c>
      <c r="V11" s="21"/>
    </row>
    <row r="12" spans="2:22">
      <c r="B12" s="278" t="s">
        <v>302</v>
      </c>
      <c r="C12" s="279">
        <f>IFERROR(ROUND(VLOOKUP($B12,'Anexo 1 -Até o Mês '!$A$1:$Z$500,6,FALSE),3),0)</f>
        <v>439859601.24800003</v>
      </c>
      <c r="D12" s="279">
        <f>IFERROR(ROUND(VLOOKUP($B12,'Anexo 1 -Até o Mês '!$A$1:$Z$500,7,FALSE),3),0)</f>
        <v>571654429.86600006</v>
      </c>
      <c r="E12" s="279">
        <f>IFERROR(ROUND(VLOOKUP($B12,'Anexo 1 -Até o Mês '!$A$1:$Z$500,8,FALSE),3),0)</f>
        <v>99116488.783000007</v>
      </c>
      <c r="F12" s="279">
        <f>IFERROR(ROUND(VLOOKUP($B12,'Anexo 1 -Até o Mês '!$A$1:$Z$200,9,FALSE),3),0)</f>
        <v>555217161.68099999</v>
      </c>
      <c r="G12" s="279">
        <f>IFERROR(ROUND(VLOOKUP($B12,'Anexo 1 -Até o Mês '!$A$1:$Z$200,10,FALSE),3),0)</f>
        <v>53622610.339000002</v>
      </c>
      <c r="H12" s="279">
        <f>IFERROR(ROUND(VLOOKUP($B12,'Anexo 1 -Até o Mês '!$A$1:$Z$200,11,FALSE),3),0)</f>
        <v>492408530.27899998</v>
      </c>
      <c r="I12" s="279">
        <f>IFERROR(ROUND(VLOOKUP($B12,'Anexo 1 -Até o Mês '!$A$1:$Z$200,12,FALSE),3),0)</f>
        <v>450776961.49800003</v>
      </c>
      <c r="J12" s="279">
        <f>IFERROR(ROUND(VLOOKUP($B12,'Anexo 1 -Até o Mês '!$A$1:$Z$200,13,FALSE),3),0)</f>
        <v>0</v>
      </c>
      <c r="L12" s="264" t="s">
        <v>162</v>
      </c>
      <c r="M12" s="266"/>
      <c r="N12" s="232">
        <f t="shared" ref="N12:U12" si="1">ROUND(N10-N11,2)</f>
        <v>0</v>
      </c>
      <c r="O12" s="232">
        <f t="shared" si="1"/>
        <v>0</v>
      </c>
      <c r="P12" s="232">
        <f t="shared" si="1"/>
        <v>0</v>
      </c>
      <c r="Q12" s="232">
        <f t="shared" si="1"/>
        <v>0</v>
      </c>
      <c r="R12" s="232">
        <f t="shared" si="1"/>
        <v>0</v>
      </c>
      <c r="S12" s="232">
        <f t="shared" si="1"/>
        <v>0</v>
      </c>
      <c r="T12" s="232">
        <f t="shared" si="1"/>
        <v>0</v>
      </c>
      <c r="U12" s="232">
        <f t="shared" si="1"/>
        <v>0</v>
      </c>
      <c r="V12" s="21"/>
    </row>
    <row r="13" spans="2:22">
      <c r="B13" s="278" t="s">
        <v>303</v>
      </c>
      <c r="C13" s="279">
        <f>IFERROR(ROUND(VLOOKUP($B13,'Anexo 1 -Até o Mês '!$A$1:$Z$500,6,FALSE),3),0)</f>
        <v>544990641.102</v>
      </c>
      <c r="D13" s="279">
        <f>IFERROR(ROUND(VLOOKUP($B13,'Anexo 1 -Até o Mês '!$A$1:$Z$500,7,FALSE),3),0)</f>
        <v>536603512.574</v>
      </c>
      <c r="E13" s="279">
        <f>IFERROR(ROUND(VLOOKUP($B13,'Anexo 1 -Até o Mês '!$A$1:$Z$500,8,FALSE),3),0)</f>
        <v>19947092.454999998</v>
      </c>
      <c r="F13" s="279">
        <f>IFERROR(ROUND(VLOOKUP($B13,'Anexo 1 -Até o Mês '!$A$1:$Z$200,9,FALSE),3),0)</f>
        <v>308531386.39099997</v>
      </c>
      <c r="G13" s="279">
        <f>IFERROR(ROUND(VLOOKUP($B13,'Anexo 1 -Até o Mês '!$A$1:$Z$200,10,FALSE),3),0)</f>
        <v>31827969.015999999</v>
      </c>
      <c r="H13" s="279">
        <f>IFERROR(ROUND(VLOOKUP($B13,'Anexo 1 -Até o Mês '!$A$1:$Z$200,11,FALSE),3),0)</f>
        <v>229787881.51699999</v>
      </c>
      <c r="I13" s="279">
        <f>IFERROR(ROUND(VLOOKUP($B13,'Anexo 1 -Até o Mês '!$A$1:$Z$200,12,FALSE),3),0)</f>
        <v>223477389.426</v>
      </c>
      <c r="J13" s="279">
        <f>IFERROR(ROUND(VLOOKUP($B13,'Anexo 1 -Até o Mês '!$A$1:$Z$200,13,FALSE),3),0)</f>
        <v>0</v>
      </c>
      <c r="N13" s="21"/>
      <c r="O13" s="21"/>
      <c r="P13" s="21"/>
      <c r="Q13" s="21"/>
      <c r="R13" s="21"/>
      <c r="S13" s="21"/>
      <c r="T13" s="21"/>
      <c r="U13" s="21"/>
      <c r="V13" s="21"/>
    </row>
    <row r="14" spans="2:22">
      <c r="B14" s="278" t="s">
        <v>304</v>
      </c>
      <c r="C14" s="279">
        <f>IFERROR(ROUND(VLOOKUP($B14,'Anexo 1 -Até o Mês '!$A$1:$Z$500,6,FALSE),3),0)</f>
        <v>493797603.05800003</v>
      </c>
      <c r="D14" s="279">
        <f>IFERROR(ROUND(VLOOKUP($B14,'Anexo 1 -Até o Mês '!$A$1:$Z$500,7,FALSE),3),0)</f>
        <v>503961459.35000002</v>
      </c>
      <c r="E14" s="279">
        <f>IFERROR(ROUND(VLOOKUP($B14,'Anexo 1 -Até o Mês '!$A$1:$Z$500,8,FALSE),3),0)</f>
        <v>31780673.657000002</v>
      </c>
      <c r="F14" s="279">
        <f>IFERROR(ROUND(VLOOKUP($B14,'Anexo 1 -Até o Mês '!$A$1:$Z$200,9,FALSE),3),0)</f>
        <v>380860715.08399999</v>
      </c>
      <c r="G14" s="279">
        <f>IFERROR(ROUND(VLOOKUP($B14,'Anexo 1 -Até o Mês '!$A$1:$Z$200,10,FALSE),3),0)</f>
        <v>5194507.648</v>
      </c>
      <c r="H14" s="279">
        <f>IFERROR(ROUND(VLOOKUP($B14,'Anexo 1 -Até o Mês '!$A$1:$Z$200,11,FALSE),3),0)</f>
        <v>319333421.08600003</v>
      </c>
      <c r="I14" s="279">
        <f>IFERROR(ROUND(VLOOKUP($B14,'Anexo 1 -Até o Mês '!$A$1:$Z$200,12,FALSE),3),0)</f>
        <v>318626875.70899999</v>
      </c>
      <c r="J14" s="279">
        <f>IFERROR(ROUND(VLOOKUP($B14,'Anexo 1 -Até o Mês '!$A$1:$Z$200,13,FALSE),3),0)</f>
        <v>0</v>
      </c>
      <c r="L14" s="1" t="s">
        <v>158</v>
      </c>
      <c r="M14" s="1" t="s">
        <v>305</v>
      </c>
      <c r="N14" s="21">
        <f>VLOOKUP($M14,$B$6:$J$44,2,FALSE)</f>
        <v>2662545580.527</v>
      </c>
      <c r="O14" s="21">
        <f>VLOOKUP($M14,$B$6:$J$44,3,FALSE)</f>
        <v>2810845838.112</v>
      </c>
      <c r="P14" s="21">
        <f>VLOOKUP($M14,$B$6:$J$44,4,FALSE)</f>
        <v>247308753.125</v>
      </c>
      <c r="Q14" s="21">
        <f>VLOOKUP($M14,$B$6:$J$44,5,FALSE)</f>
        <v>2152563623.598</v>
      </c>
      <c r="R14" s="21">
        <f>VLOOKUP($M14,$B$6:$J$44,6,FALSE)</f>
        <v>196212121.77399999</v>
      </c>
      <c r="S14" s="21">
        <f>VLOOKUP($M14,$B$6:$J$44,7,FALSE)</f>
        <v>1758519009.7880001</v>
      </c>
      <c r="T14" s="21">
        <f>VLOOKUP($M14,$B$6:$J$44,8,FALSE)</f>
        <v>1689185261.7320001</v>
      </c>
      <c r="U14" s="21">
        <f>VLOOKUP($M14,$B$6:$J$44,9,FALSE)</f>
        <v>0</v>
      </c>
      <c r="V14" s="21"/>
    </row>
    <row r="15" spans="2:22">
      <c r="B15" s="278" t="s">
        <v>306</v>
      </c>
      <c r="C15" s="279">
        <f>IFERROR(ROUND(VLOOKUP($B15,'Anexo 1 -Até o Mês '!$A$1:$Z$500,6,FALSE),3),0)</f>
        <v>38103056.115999997</v>
      </c>
      <c r="D15" s="279">
        <f>IFERROR(ROUND(VLOOKUP($B15,'Anexo 1 -Até o Mês '!$A$1:$Z$500,7,FALSE),3),0)</f>
        <v>40630958.138999999</v>
      </c>
      <c r="E15" s="279">
        <f>IFERROR(ROUND(VLOOKUP($B15,'Anexo 1 -Até o Mês '!$A$1:$Z$500,8,FALSE),3),0)</f>
        <v>5052162.7180000003</v>
      </c>
      <c r="F15" s="279">
        <f>IFERROR(ROUND(VLOOKUP($B15,'Anexo 1 -Até o Mês '!$A$1:$Z$200,9,FALSE),3),0)</f>
        <v>20135703.989999998</v>
      </c>
      <c r="G15" s="279">
        <f>IFERROR(ROUND(VLOOKUP($B15,'Anexo 1 -Até o Mês '!$A$1:$Z$200,10,FALSE),3),0)</f>
        <v>1479743.993</v>
      </c>
      <c r="H15" s="279">
        <f>IFERROR(ROUND(VLOOKUP($B15,'Anexo 1 -Até o Mês '!$A$1:$Z$200,11,FALSE),3),0)</f>
        <v>6421135.4230000004</v>
      </c>
      <c r="I15" s="279">
        <f>IFERROR(ROUND(VLOOKUP($B15,'Anexo 1 -Até o Mês '!$A$1:$Z$200,12,FALSE),3),0)</f>
        <v>5720106.0130000003</v>
      </c>
      <c r="J15" s="279">
        <f>IFERROR(ROUND(VLOOKUP($B15,'Anexo 1 -Até o Mês '!$A$1:$Z$200,13,FALSE),3),0)</f>
        <v>0</v>
      </c>
      <c r="L15" s="1" t="s">
        <v>160</v>
      </c>
      <c r="M15" s="1" t="s">
        <v>305</v>
      </c>
      <c r="N15" s="21">
        <f>'Anexo 1 Desp'!B37</f>
        <v>2662545580.527</v>
      </c>
      <c r="O15" s="21">
        <f>'Anexo 1 Desp'!C37</f>
        <v>2810845838.112</v>
      </c>
      <c r="P15" s="21">
        <f>'Anexo 1 Desp'!D37</f>
        <v>247308753.125</v>
      </c>
      <c r="Q15" s="21">
        <f>'Anexo 1 Desp'!E37</f>
        <v>2152563623.5970001</v>
      </c>
      <c r="R15" s="21">
        <f>'Anexo 1 Desp'!G37</f>
        <v>196212121.77500001</v>
      </c>
      <c r="S15" s="21">
        <f>'Anexo 1 Desp'!H37</f>
        <v>1758519009.7869999</v>
      </c>
      <c r="T15" s="21">
        <f>'Anexo 1 Desp'!J37</f>
        <v>1689185261.73</v>
      </c>
      <c r="U15" s="21">
        <f>'Anexo 1 Desp'!K37</f>
        <v>0</v>
      </c>
      <c r="V15" s="21"/>
    </row>
    <row r="16" spans="2:22">
      <c r="B16" s="278" t="s">
        <v>307</v>
      </c>
      <c r="C16" s="279">
        <f>IFERROR(ROUND(VLOOKUP($B16,'Anexo 1 -Até o Mês '!$A$1:$Z$500,6,FALSE),3),0)</f>
        <v>80600705.427000001</v>
      </c>
      <c r="D16" s="279">
        <f>IFERROR(ROUND(VLOOKUP($B16,'Anexo 1 -Até o Mês '!$A$1:$Z$500,7,FALSE),3),0)</f>
        <v>88236334.695999995</v>
      </c>
      <c r="E16" s="279">
        <f>IFERROR(ROUND(VLOOKUP($B16,'Anexo 1 -Até o Mês '!$A$1:$Z$500,8,FALSE),3),0)</f>
        <v>-1122758.138</v>
      </c>
      <c r="F16" s="279">
        <f>IFERROR(ROUND(VLOOKUP($B16,'Anexo 1 -Até o Mês '!$A$1:$Z$200,9,FALSE),3),0)</f>
        <v>55534673.822999999</v>
      </c>
      <c r="G16" s="279">
        <f>IFERROR(ROUND(VLOOKUP($B16,'Anexo 1 -Até o Mês '!$A$1:$Z$200,10,FALSE),3),0)</f>
        <v>3701362.0959999999</v>
      </c>
      <c r="H16" s="279">
        <f>IFERROR(ROUND(VLOOKUP($B16,'Anexo 1 -Até o Mês '!$A$1:$Z$200,11,FALSE),3),0)</f>
        <v>35874214.191</v>
      </c>
      <c r="I16" s="279">
        <f>IFERROR(ROUND(VLOOKUP($B16,'Anexo 1 -Até o Mês '!$A$1:$Z$200,12,FALSE),3),0)</f>
        <v>35869994.105999999</v>
      </c>
      <c r="J16" s="279">
        <f>IFERROR(ROUND(VLOOKUP($B16,'Anexo 1 -Até o Mês '!$A$1:$Z$200,13,FALSE),3),0)</f>
        <v>0</v>
      </c>
      <c r="L16" s="264" t="s">
        <v>162</v>
      </c>
      <c r="M16" s="266"/>
      <c r="N16" s="232">
        <f t="shared" ref="N16:U16" si="2">ROUND(N14-N15,2)</f>
        <v>0</v>
      </c>
      <c r="O16" s="232">
        <f t="shared" si="2"/>
        <v>0</v>
      </c>
      <c r="P16" s="232">
        <f t="shared" si="2"/>
        <v>0</v>
      </c>
      <c r="Q16" s="232">
        <f t="shared" si="2"/>
        <v>0</v>
      </c>
      <c r="R16" s="232">
        <f t="shared" si="2"/>
        <v>0</v>
      </c>
      <c r="S16" s="232">
        <f t="shared" si="2"/>
        <v>0</v>
      </c>
      <c r="T16" s="232">
        <f t="shared" si="2"/>
        <v>0</v>
      </c>
      <c r="U16" s="232">
        <f t="shared" si="2"/>
        <v>0</v>
      </c>
      <c r="V16" s="21"/>
    </row>
    <row r="17" spans="2:22">
      <c r="B17" s="278" t="s">
        <v>308</v>
      </c>
      <c r="C17" s="279">
        <f>IFERROR(ROUND(VLOOKUP($B17,'Anexo 1 -Até o Mês '!$A$1:$Z$500,6,FALSE),3),0)</f>
        <v>375093841.51499999</v>
      </c>
      <c r="D17" s="279">
        <f>IFERROR(ROUND(VLOOKUP($B17,'Anexo 1 -Até o Mês '!$A$1:$Z$500,7,FALSE),3),0)</f>
        <v>375094166.51499999</v>
      </c>
      <c r="E17" s="279">
        <f>IFERROR(ROUND(VLOOKUP($B17,'Anexo 1 -Até o Mês '!$A$1:$Z$500,8,FALSE),3),0)</f>
        <v>27851269.078000002</v>
      </c>
      <c r="F17" s="279">
        <f>IFERROR(ROUND(VLOOKUP($B17,'Anexo 1 -Até o Mês '!$A$1:$Z$200,9,FALSE),3),0)</f>
        <v>305190337.27200001</v>
      </c>
      <c r="G17" s="279">
        <f>IFERROR(ROUND(VLOOKUP($B17,'Anexo 1 -Até o Mês '!$A$1:$Z$200,10,FALSE),3),0)</f>
        <v>13401.56</v>
      </c>
      <c r="H17" s="279">
        <f>IFERROR(ROUND(VLOOKUP($B17,'Anexo 1 -Até o Mês '!$A$1:$Z$200,11,FALSE),3),0)</f>
        <v>277038071.47100002</v>
      </c>
      <c r="I17" s="279">
        <f>IFERROR(ROUND(VLOOKUP($B17,'Anexo 1 -Até o Mês '!$A$1:$Z$200,12,FALSE),3),0)</f>
        <v>277036775.58899999</v>
      </c>
      <c r="J17" s="279">
        <f>IFERROR(ROUND(VLOOKUP($B17,'Anexo 1 -Até o Mês '!$A$1:$Z$200,13,FALSE),3),0)</f>
        <v>0</v>
      </c>
      <c r="N17" s="21"/>
      <c r="O17" s="21"/>
      <c r="P17" s="21"/>
      <c r="Q17" s="21"/>
      <c r="R17" s="21"/>
      <c r="S17" s="21"/>
      <c r="T17" s="21"/>
      <c r="U17" s="21"/>
      <c r="V17" s="21"/>
    </row>
    <row r="18" spans="2:22">
      <c r="B18" s="278" t="s">
        <v>309</v>
      </c>
      <c r="C18" s="279">
        <f>IFERROR(ROUND(VLOOKUP($B18,'Anexo 1 -Até o Mês '!$A$1:$Z$500,6,FALSE),3),0)</f>
        <v>41220676.978</v>
      </c>
      <c r="D18" s="279">
        <f>IFERROR(ROUND(VLOOKUP($B18,'Anexo 1 -Até o Mês '!$A$1:$Z$500,7,FALSE),3),0)</f>
        <v>38917482.383000001</v>
      </c>
      <c r="E18" s="279">
        <f>IFERROR(ROUND(VLOOKUP($B18,'Anexo 1 -Até o Mês '!$A$1:$Z$500,8,FALSE),3),0)</f>
        <v>0</v>
      </c>
      <c r="F18" s="279">
        <f>IFERROR(ROUND(VLOOKUP($B18,'Anexo 1 -Até o Mês '!$A$1:$Z$200,9,FALSE),3),0)</f>
        <v>0</v>
      </c>
      <c r="G18" s="279">
        <f>IFERROR(ROUND(VLOOKUP($B18,'Anexo 1 -Até o Mês '!$A$1:$Z$200,10,FALSE),3),0)</f>
        <v>0</v>
      </c>
      <c r="H18" s="279">
        <f>IFERROR(ROUND(VLOOKUP($B18,'Anexo 1 -Até o Mês '!$A$1:$Z$200,11,FALSE),3),0)</f>
        <v>0</v>
      </c>
      <c r="I18" s="279">
        <f>IFERROR(ROUND(VLOOKUP($B18,'Anexo 1 -Até o Mês '!$A$1:$Z$200,12,FALSE),3),0)</f>
        <v>0</v>
      </c>
      <c r="J18" s="279">
        <f>IFERROR(ROUND(VLOOKUP($B18,'Anexo 1 -Até o Mês '!$A$1:$Z$200,13,FALSE),3),0)</f>
        <v>0</v>
      </c>
      <c r="L18" s="1" t="s">
        <v>158</v>
      </c>
      <c r="M18" s="1" t="s">
        <v>135</v>
      </c>
      <c r="N18" s="21">
        <f>VLOOKUP($M18,$B$6:$J$44,2,FALSE)</f>
        <v>1498690968.6270001</v>
      </c>
      <c r="O18" s="21">
        <f>VLOOKUP($M18,$B$6:$J$44,3,FALSE)</f>
        <v>1498690968.6270001</v>
      </c>
      <c r="P18" s="21">
        <f>VLOOKUP($M18,$B$6:$J$44,4,FALSE)</f>
        <v>233286304.27399999</v>
      </c>
      <c r="Q18" s="21">
        <f>VLOOKUP($M18,$B$6:$J$44,5,FALSE)</f>
        <v>1070073735.22</v>
      </c>
      <c r="R18" s="21">
        <f>VLOOKUP($M18,$B$6:$J$44,6,FALSE)</f>
        <v>2599720.7450000001</v>
      </c>
      <c r="S18" s="21">
        <f>VLOOKUP($M18,$B$6:$J$44,7,FALSE)</f>
        <v>749803100.755</v>
      </c>
      <c r="T18" s="21">
        <f>VLOOKUP($M18,$B$6:$J$44,8,FALSE)</f>
        <v>749803100.755</v>
      </c>
      <c r="U18" s="21">
        <f>VLOOKUP($M18,$B$6:$J$44,9,FALSE)</f>
        <v>0</v>
      </c>
      <c r="V18" s="21"/>
    </row>
    <row r="19" spans="2:22">
      <c r="B19" s="278" t="s">
        <v>133</v>
      </c>
      <c r="C19" s="279">
        <f>IFERROR(ROUND(VLOOKUP($B19,'Anexo 1 -Até o Mês '!$A$1:$Z$500,6,FALSE),3),0)</f>
        <v>34213658.640000001</v>
      </c>
      <c r="D19" s="279">
        <f>IFERROR(ROUND(VLOOKUP($B19,'Anexo 1 -Até o Mês '!$A$1:$Z$500,7,FALSE),3),0)</f>
        <v>39032083.975000001</v>
      </c>
      <c r="E19" s="279">
        <f>IFERROR(ROUND(VLOOKUP($B19,'Anexo 1 -Até o Mês '!$A$1:$Z$500,8,FALSE),3),0)</f>
        <v>957825.72600000002</v>
      </c>
      <c r="F19" s="279">
        <f>IFERROR(ROUND(VLOOKUP($B19,'Anexo 1 -Até o Mês '!$A$1:$Z$200,9,FALSE),3),0)</f>
        <v>33544135.261999998</v>
      </c>
      <c r="G19" s="279">
        <f>IFERROR(ROUND(VLOOKUP($B19,'Anexo 1 -Até o Mês '!$A$1:$Z$200,10,FALSE),3),0)</f>
        <v>2833972.8820000002</v>
      </c>
      <c r="H19" s="279">
        <f>IFERROR(ROUND(VLOOKUP($B19,'Anexo 1 -Até o Mês '!$A$1:$Z$200,11,FALSE),3),0)</f>
        <v>22488036.511</v>
      </c>
      <c r="I19" s="279">
        <f>IFERROR(ROUND(VLOOKUP($B19,'Anexo 1 -Até o Mês '!$A$1:$Z$200,12,FALSE),3),0)</f>
        <v>22260569.653999999</v>
      </c>
      <c r="J19" s="279">
        <f>IFERROR(ROUND(VLOOKUP($B19,'Anexo 1 -Até o Mês '!$A$1:$Z$200,13,FALSE),3),0)</f>
        <v>0</v>
      </c>
      <c r="L19" s="1" t="s">
        <v>160</v>
      </c>
      <c r="M19" s="1" t="s">
        <v>135</v>
      </c>
      <c r="N19" s="21">
        <f>'Anexo 1 Desp'!B38</f>
        <v>1498690968.6270001</v>
      </c>
      <c r="O19" s="21">
        <f>'Anexo 1 Desp'!C38</f>
        <v>1498690968.6270001</v>
      </c>
      <c r="P19" s="21">
        <f>'Anexo 1 Desp'!D38</f>
        <v>233286304.27399999</v>
      </c>
      <c r="Q19" s="21">
        <f>'Anexo 1 Desp'!E38</f>
        <v>1070073735.22</v>
      </c>
      <c r="R19" s="21">
        <f>'Anexo 1 Desp'!G38</f>
        <v>2599720.7450000001</v>
      </c>
      <c r="S19" s="21">
        <f>'Anexo 1 Desp'!H38</f>
        <v>749803100.755</v>
      </c>
      <c r="T19" s="21">
        <f>'Anexo 1 Desp'!J38</f>
        <v>749803100.755</v>
      </c>
      <c r="U19" s="21">
        <f>'Anexo 1 Desp'!K38</f>
        <v>0</v>
      </c>
      <c r="V19" s="21"/>
    </row>
    <row r="20" spans="2:22">
      <c r="B20" s="278" t="s">
        <v>310</v>
      </c>
      <c r="C20" s="279">
        <f>IFERROR(ROUND(VLOOKUP($B20,'Anexo 1 -Até o Mês '!$A$1:$Z$500,6,FALSE),3),0)</f>
        <v>33631902.629000001</v>
      </c>
      <c r="D20" s="279">
        <f>IFERROR(ROUND(VLOOKUP($B20,'Anexo 1 -Até o Mês '!$A$1:$Z$500,7,FALSE),3),0)</f>
        <v>38450354.475000001</v>
      </c>
      <c r="E20" s="279">
        <f>IFERROR(ROUND(VLOOKUP($B20,'Anexo 1 -Até o Mês '!$A$1:$Z$500,8,FALSE),3),0)</f>
        <v>960587.31700000004</v>
      </c>
      <c r="F20" s="279">
        <f>IFERROR(ROUND(VLOOKUP($B20,'Anexo 1 -Até o Mês '!$A$1:$Z$200,9,FALSE),3),0)</f>
        <v>32965547.287</v>
      </c>
      <c r="G20" s="279">
        <f>IFERROR(ROUND(VLOOKUP($B20,'Anexo 1 -Até o Mês '!$A$1:$Z$200,10,FALSE),3),0)</f>
        <v>2809196.0440000002</v>
      </c>
      <c r="H20" s="279">
        <f>IFERROR(ROUND(VLOOKUP($B20,'Anexo 1 -Até o Mês '!$A$1:$Z$200,11,FALSE),3),0)</f>
        <v>22316449.921999998</v>
      </c>
      <c r="I20" s="279">
        <f>IFERROR(ROUND(VLOOKUP($B20,'Anexo 1 -Até o Mês '!$A$1:$Z$200,12,FALSE),3),0)</f>
        <v>22088986.050000001</v>
      </c>
      <c r="J20" s="279">
        <f>IFERROR(ROUND(VLOOKUP($B20,'Anexo 1 -Até o Mês '!$A$1:$Z$200,13,FALSE),3),0)</f>
        <v>0</v>
      </c>
      <c r="L20" s="264" t="s">
        <v>162</v>
      </c>
      <c r="M20" s="266"/>
      <c r="N20" s="232">
        <f t="shared" ref="N20:U20" si="3">ROUND(N18-N19,2)</f>
        <v>0</v>
      </c>
      <c r="O20" s="232">
        <f t="shared" si="3"/>
        <v>0</v>
      </c>
      <c r="P20" s="232">
        <f t="shared" si="3"/>
        <v>0</v>
      </c>
      <c r="Q20" s="232">
        <f t="shared" si="3"/>
        <v>0</v>
      </c>
      <c r="R20" s="232">
        <f t="shared" si="3"/>
        <v>0</v>
      </c>
      <c r="S20" s="232">
        <f t="shared" si="3"/>
        <v>0</v>
      </c>
      <c r="T20" s="232">
        <f t="shared" si="3"/>
        <v>0</v>
      </c>
      <c r="U20" s="232">
        <f t="shared" si="3"/>
        <v>0</v>
      </c>
      <c r="V20" s="21"/>
    </row>
    <row r="21" spans="2:22">
      <c r="B21" s="278" t="s">
        <v>311</v>
      </c>
      <c r="C21" s="279">
        <f>IFERROR(ROUND(VLOOKUP($B21,'Anexo 1 -Até o Mês '!$A$1:$Z$500,6,FALSE),3),0)</f>
        <v>28495609.995999999</v>
      </c>
      <c r="D21" s="279">
        <f>IFERROR(ROUND(VLOOKUP($B21,'Anexo 1 -Até o Mês '!$A$1:$Z$500,7,FALSE),3),0)</f>
        <v>28454296.666999999</v>
      </c>
      <c r="E21" s="279">
        <f>IFERROR(ROUND(VLOOKUP($B21,'Anexo 1 -Até o Mês '!$A$1:$Z$500,8,FALSE),3),0)</f>
        <v>738473.56700000004</v>
      </c>
      <c r="F21" s="279">
        <f>IFERROR(ROUND(VLOOKUP($B21,'Anexo 1 -Até o Mês '!$A$1:$Z$200,9,FALSE),3),0)</f>
        <v>23185252.522</v>
      </c>
      <c r="G21" s="279">
        <f>IFERROR(ROUND(VLOOKUP($B21,'Anexo 1 -Até o Mês '!$A$1:$Z$200,10,FALSE),3),0)</f>
        <v>2177683.6910000001</v>
      </c>
      <c r="H21" s="279">
        <f>IFERROR(ROUND(VLOOKUP($B21,'Anexo 1 -Até o Mês '!$A$1:$Z$200,11,FALSE),3),0)</f>
        <v>16276231.499</v>
      </c>
      <c r="I21" s="279">
        <f>IFERROR(ROUND(VLOOKUP($B21,'Anexo 1 -Até o Mês '!$A$1:$Z$200,12,FALSE),3),0)</f>
        <v>16056125.347999999</v>
      </c>
      <c r="J21" s="279">
        <f>IFERROR(ROUND(VLOOKUP($B21,'Anexo 1 -Até o Mês '!$A$1:$Z$200,13,FALSE),3),0)</f>
        <v>0</v>
      </c>
      <c r="N21" s="21"/>
      <c r="O21" s="21"/>
      <c r="P21" s="21"/>
      <c r="Q21" s="21"/>
      <c r="R21" s="21"/>
      <c r="S21" s="21"/>
      <c r="T21" s="21"/>
      <c r="U21" s="21"/>
      <c r="V21" s="21"/>
    </row>
    <row r="22" spans="2:22">
      <c r="B22" s="278" t="s">
        <v>312</v>
      </c>
      <c r="C22" s="279">
        <f>IFERROR(ROUND(VLOOKUP($B22,'Anexo 1 -Até o Mês '!$A$1:$Z$500,6,FALSE),3),0)</f>
        <v>0</v>
      </c>
      <c r="D22" s="279">
        <f>IFERROR(ROUND(VLOOKUP($B22,'Anexo 1 -Até o Mês '!$A$1:$Z$500,7,FALSE),3),0)</f>
        <v>0</v>
      </c>
      <c r="E22" s="279">
        <f>IFERROR(ROUND(VLOOKUP($B22,'Anexo 1 -Até o Mês '!$A$1:$Z$500,8,FALSE),3),0)</f>
        <v>0</v>
      </c>
      <c r="F22" s="279">
        <f>IFERROR(ROUND(VLOOKUP($B22,'Anexo 1 -Até o Mês '!$A$1:$Z$200,9,FALSE),3),0)</f>
        <v>0</v>
      </c>
      <c r="G22" s="279">
        <f>IFERROR(ROUND(VLOOKUP($B22,'Anexo 1 -Até o Mês '!$A$1:$Z$200,10,FALSE),3),0)</f>
        <v>0</v>
      </c>
      <c r="H22" s="279">
        <f>IFERROR(ROUND(VLOOKUP($B22,'Anexo 1 -Até o Mês '!$A$1:$Z$200,11,FALSE),3),0)</f>
        <v>0</v>
      </c>
      <c r="I22" s="279">
        <f>IFERROR(ROUND(VLOOKUP($B22,'Anexo 1 -Até o Mês '!$A$1:$Z$200,12,FALSE),3),0)</f>
        <v>0</v>
      </c>
      <c r="J22" s="279">
        <f>IFERROR(ROUND(VLOOKUP($B22,'Anexo 1 -Até o Mês '!$A$1:$Z$200,13,FALSE),3),0)</f>
        <v>0</v>
      </c>
      <c r="L22" s="1" t="s">
        <v>158</v>
      </c>
      <c r="M22" s="18" t="s">
        <v>313</v>
      </c>
      <c r="N22" s="21">
        <f>VLOOKUP($M22,$B$6:$J$44,2,FALSE)</f>
        <v>4161236549.1539998</v>
      </c>
      <c r="O22" s="21">
        <f>VLOOKUP($M22,$B$6:$J$44,3,FALSE)</f>
        <v>4309536806.7390003</v>
      </c>
      <c r="P22" s="21">
        <f>VLOOKUP($M22,$B$6:$J$44,4,FALSE)</f>
        <v>480595057.39899999</v>
      </c>
      <c r="Q22" s="21">
        <f>VLOOKUP($M22,$B$6:$J$44,5,FALSE)</f>
        <v>3222637358.8179998</v>
      </c>
      <c r="R22" s="21">
        <f>VLOOKUP($M22,$B$6:$J$44,6,FALSE)</f>
        <v>198811842.51899999</v>
      </c>
      <c r="S22" s="21">
        <f>VLOOKUP($M22,$B$6:$J$44,7,FALSE)</f>
        <v>2508322110.5440001</v>
      </c>
      <c r="T22" s="21">
        <f>VLOOKUP($M22,$B$6:$J$44,8,FALSE)</f>
        <v>2438988362.487</v>
      </c>
      <c r="U22" s="21">
        <f>VLOOKUP($M22,$B$6:$J$44,9,FALSE)</f>
        <v>0</v>
      </c>
      <c r="V22" s="21"/>
    </row>
    <row r="23" spans="2:22">
      <c r="B23" s="278" t="s">
        <v>314</v>
      </c>
      <c r="C23" s="279">
        <f>IFERROR(ROUND(VLOOKUP($B23,'Anexo 1 -Até o Mês '!$A$1:$Z$500,6,FALSE),3),0)</f>
        <v>5136292.6330000004</v>
      </c>
      <c r="D23" s="279">
        <f>IFERROR(ROUND(VLOOKUP($B23,'Anexo 1 -Até o Mês '!$A$1:$Z$500,7,FALSE),3),0)</f>
        <v>9996057.8080000002</v>
      </c>
      <c r="E23" s="279">
        <f>IFERROR(ROUND(VLOOKUP($B23,'Anexo 1 -Até o Mês '!$A$1:$Z$500,8,FALSE),3),0)</f>
        <v>222113.75</v>
      </c>
      <c r="F23" s="279">
        <f>IFERROR(ROUND(VLOOKUP($B23,'Anexo 1 -Até o Mês '!$A$1:$Z$200,9,FALSE),3),0)</f>
        <v>9780294.7650000006</v>
      </c>
      <c r="G23" s="279">
        <f>IFERROR(ROUND(VLOOKUP($B23,'Anexo 1 -Até o Mês '!$A$1:$Z$200,10,FALSE),3),0)</f>
        <v>631512.353</v>
      </c>
      <c r="H23" s="279">
        <f>IFERROR(ROUND(VLOOKUP($B23,'Anexo 1 -Até o Mês '!$A$1:$Z$200,11,FALSE),3),0)</f>
        <v>6040218.4230000004</v>
      </c>
      <c r="I23" s="279">
        <f>IFERROR(ROUND(VLOOKUP($B23,'Anexo 1 -Até o Mês '!$A$1:$Z$200,12,FALSE),3),0)</f>
        <v>6032860.7010000004</v>
      </c>
      <c r="J23" s="279">
        <f>IFERROR(ROUND(VLOOKUP($B23,'Anexo 1 -Até o Mês '!$A$1:$Z$200,13,FALSE),3),0)</f>
        <v>0</v>
      </c>
      <c r="L23" s="1" t="s">
        <v>160</v>
      </c>
      <c r="M23" s="1" t="s">
        <v>313</v>
      </c>
      <c r="N23" s="21">
        <f>'Anexo 1 Desp'!B45</f>
        <v>4161236549.1540003</v>
      </c>
      <c r="O23" s="21">
        <f>'Anexo 1 Desp'!C45</f>
        <v>4309536806.7390003</v>
      </c>
      <c r="P23" s="21">
        <f>'Anexo 1 Desp'!D45</f>
        <v>480595057.39899999</v>
      </c>
      <c r="Q23" s="21">
        <f>'Anexo 1 Desp'!E45</f>
        <v>3222637358.8170004</v>
      </c>
      <c r="R23" s="21">
        <f>'Anexo 1 Desp'!G45</f>
        <v>198811842.52000001</v>
      </c>
      <c r="S23" s="21">
        <f>'Anexo 1 Desp'!H45</f>
        <v>2508322110.5419998</v>
      </c>
      <c r="T23" s="21">
        <f>'Anexo 1 Desp'!J45</f>
        <v>2438988362.4850001</v>
      </c>
      <c r="U23" s="21">
        <f>'Anexo 1 Desp'!K45</f>
        <v>0</v>
      </c>
      <c r="V23" s="21"/>
    </row>
    <row r="24" spans="2:22">
      <c r="B24" s="278" t="s">
        <v>315</v>
      </c>
      <c r="C24" s="279">
        <f>IFERROR(ROUND(VLOOKUP($B24,'Anexo 1 -Até o Mês '!$A$1:$Z$500,6,FALSE),3),0)</f>
        <v>581756.01100000006</v>
      </c>
      <c r="D24" s="279">
        <f>IFERROR(ROUND(VLOOKUP($B24,'Anexo 1 -Até o Mês '!$A$1:$Z$500,7,FALSE),3),0)</f>
        <v>581729.5</v>
      </c>
      <c r="E24" s="279">
        <f>IFERROR(ROUND(VLOOKUP($B24,'Anexo 1 -Até o Mês '!$A$1:$Z$500,8,FALSE),3),0)</f>
        <v>-2761.5909999999999</v>
      </c>
      <c r="F24" s="279">
        <f>IFERROR(ROUND(VLOOKUP($B24,'Anexo 1 -Até o Mês '!$A$1:$Z$200,9,FALSE),3),0)</f>
        <v>578587.97499999998</v>
      </c>
      <c r="G24" s="279">
        <f>IFERROR(ROUND(VLOOKUP($B24,'Anexo 1 -Até o Mês '!$A$1:$Z$200,10,FALSE),3),0)</f>
        <v>24776.838</v>
      </c>
      <c r="H24" s="279">
        <f>IFERROR(ROUND(VLOOKUP($B24,'Anexo 1 -Até o Mês '!$A$1:$Z$200,11,FALSE),3),0)</f>
        <v>171586.58900000001</v>
      </c>
      <c r="I24" s="279">
        <f>IFERROR(ROUND(VLOOKUP($B24,'Anexo 1 -Até o Mês '!$A$1:$Z$200,12,FALSE),3),0)</f>
        <v>171583.60500000001</v>
      </c>
      <c r="J24" s="279">
        <f>IFERROR(ROUND(VLOOKUP($B24,'Anexo 1 -Até o Mês '!$A$1:$Z$200,13,FALSE),3),0)</f>
        <v>0</v>
      </c>
      <c r="L24" s="264" t="s">
        <v>162</v>
      </c>
      <c r="M24" s="266"/>
      <c r="N24" s="232">
        <f t="shared" ref="N24:U24" si="4">ROUND(N22-N23,2)</f>
        <v>0</v>
      </c>
      <c r="O24" s="232">
        <f t="shared" si="4"/>
        <v>0</v>
      </c>
      <c r="P24" s="232">
        <f t="shared" si="4"/>
        <v>0</v>
      </c>
      <c r="Q24" s="232">
        <f t="shared" si="4"/>
        <v>0</v>
      </c>
      <c r="R24" s="232">
        <f t="shared" si="4"/>
        <v>0</v>
      </c>
      <c r="S24" s="232">
        <f t="shared" si="4"/>
        <v>0</v>
      </c>
      <c r="T24" s="232">
        <f t="shared" si="4"/>
        <v>0</v>
      </c>
      <c r="U24" s="232">
        <f t="shared" si="4"/>
        <v>0</v>
      </c>
      <c r="V24" s="21"/>
    </row>
    <row r="25" spans="2:22">
      <c r="B25" s="278" t="s">
        <v>316</v>
      </c>
      <c r="C25" s="279">
        <f>IFERROR(ROUND(VLOOKUP($B25,'Anexo 1 -Até o Mês '!$A$1:$Z$500,6,FALSE),3),0)</f>
        <v>25823.830999999998</v>
      </c>
      <c r="D25" s="279">
        <f>IFERROR(ROUND(VLOOKUP($B25,'Anexo 1 -Até o Mês '!$A$1:$Z$500,7,FALSE),3),0)</f>
        <v>25797.32</v>
      </c>
      <c r="E25" s="279">
        <f>IFERROR(ROUND(VLOOKUP($B25,'Anexo 1 -Até o Mês '!$A$1:$Z$500,8,FALSE),3),0)</f>
        <v>-2761.5909999999999</v>
      </c>
      <c r="F25" s="279">
        <f>IFERROR(ROUND(VLOOKUP($B25,'Anexo 1 -Até o Mês '!$A$1:$Z$200,9,FALSE),3),0)</f>
        <v>22655.794999999998</v>
      </c>
      <c r="G25" s="279">
        <f>IFERROR(ROUND(VLOOKUP($B25,'Anexo 1 -Até o Mês '!$A$1:$Z$200,10,FALSE),3),0)</f>
        <v>3006.6750000000002</v>
      </c>
      <c r="H25" s="279">
        <f>IFERROR(ROUND(VLOOKUP($B25,'Anexo 1 -Até o Mês '!$A$1:$Z$200,11,FALSE),3),0)</f>
        <v>8421.4599999999991</v>
      </c>
      <c r="I25" s="279">
        <f>IFERROR(ROUND(VLOOKUP($B25,'Anexo 1 -Até o Mês '!$A$1:$Z$200,12,FALSE),3),0)</f>
        <v>8418.4760000000006</v>
      </c>
      <c r="J25" s="279">
        <f>IFERROR(ROUND(VLOOKUP($B25,'Anexo 1 -Até o Mês '!$A$1:$Z$200,13,FALSE),3),0)</f>
        <v>0</v>
      </c>
      <c r="N25" s="21"/>
      <c r="O25" s="21"/>
      <c r="P25" s="21"/>
      <c r="Q25" s="21"/>
      <c r="R25" s="21"/>
      <c r="S25" s="21"/>
      <c r="T25" s="21"/>
      <c r="U25" s="21"/>
      <c r="V25" s="21"/>
    </row>
    <row r="26" spans="2:22">
      <c r="B26" s="278" t="s">
        <v>317</v>
      </c>
      <c r="C26" s="279">
        <f>IFERROR(ROUND(VLOOKUP($B26,'Anexo 1 -Até o Mês '!$A$1:$Z$500,6,FALSE),3),0)</f>
        <v>555932.18000000005</v>
      </c>
      <c r="D26" s="279">
        <f>IFERROR(ROUND(VLOOKUP($B26,'Anexo 1 -Até o Mês '!$A$1:$Z$500,7,FALSE),3),0)</f>
        <v>555932.18000000005</v>
      </c>
      <c r="E26" s="279">
        <f>IFERROR(ROUND(VLOOKUP($B26,'Anexo 1 -Até o Mês '!$A$1:$Z$500,8,FALSE),3),0)</f>
        <v>0</v>
      </c>
      <c r="F26" s="279">
        <f>IFERROR(ROUND(VLOOKUP($B26,'Anexo 1 -Até o Mês '!$A$1:$Z$200,9,FALSE),3),0)</f>
        <v>555932.18000000005</v>
      </c>
      <c r="G26" s="279">
        <f>IFERROR(ROUND(VLOOKUP($B26,'Anexo 1 -Até o Mês '!$A$1:$Z$200,10,FALSE),3),0)</f>
        <v>21770.163</v>
      </c>
      <c r="H26" s="279">
        <f>IFERROR(ROUND(VLOOKUP($B26,'Anexo 1 -Até o Mês '!$A$1:$Z$200,11,FALSE),3),0)</f>
        <v>163165.12899999999</v>
      </c>
      <c r="I26" s="279">
        <f>IFERROR(ROUND(VLOOKUP($B26,'Anexo 1 -Até o Mês '!$A$1:$Z$200,12,FALSE),3),0)</f>
        <v>163165.12899999999</v>
      </c>
      <c r="J26" s="279">
        <f>IFERROR(ROUND(VLOOKUP($B26,'Anexo 1 -Até o Mês '!$A$1:$Z$200,13,FALSE),3),0)</f>
        <v>0</v>
      </c>
      <c r="L26" s="1" t="s">
        <v>318</v>
      </c>
      <c r="N26" s="21">
        <f>'SIAFI Oper.'!K9</f>
        <v>4161236549.1540599</v>
      </c>
      <c r="O26" s="21">
        <f>'SIAFI Oper.'!K10</f>
        <v>4309536806.7390604</v>
      </c>
      <c r="P26" s="21">
        <f>'SIAFI Oper.'!I11</f>
        <v>480595057.39905</v>
      </c>
      <c r="Q26" s="21">
        <f>'SIAFI Oper.'!K11</f>
        <v>3222637358.8180199</v>
      </c>
      <c r="R26" s="21">
        <f>'SIAFI Oper.'!I12</f>
        <v>198811842.51910999</v>
      </c>
      <c r="S26" s="21">
        <f>'SIAFI Oper.'!K12</f>
        <v>2508322110.54388</v>
      </c>
      <c r="T26" s="21">
        <f>'SIAFI Oper.'!K13</f>
        <v>2438988362.4874301</v>
      </c>
      <c r="U26" s="21">
        <f>'SIAFI Oper.'!K14</f>
        <v>0</v>
      </c>
      <c r="V26" s="21"/>
    </row>
    <row r="27" spans="2:22">
      <c r="B27" s="278" t="s">
        <v>319</v>
      </c>
      <c r="C27" s="279">
        <f>IFERROR(ROUND(VLOOKUP($B27,'Anexo 1 -Até o Mês '!$A$1:$Z$500,6,FALSE),3),0)</f>
        <v>0</v>
      </c>
      <c r="D27" s="279">
        <f>IFERROR(ROUND(VLOOKUP($B27,'Anexo 1 -Até o Mês '!$A$1:$Z$500,7,FALSE),3),0)</f>
        <v>0</v>
      </c>
      <c r="E27" s="279">
        <f>IFERROR(ROUND(VLOOKUP($B27,'Anexo 1 -Até o Mês '!$A$1:$Z$500,8,FALSE),3),0)</f>
        <v>0</v>
      </c>
      <c r="F27" s="279">
        <f>IFERROR(ROUND(VLOOKUP($B27,'Anexo 1 -Até o Mês '!$A$1:$Z$200,9,FALSE),3),0)</f>
        <v>0</v>
      </c>
      <c r="G27" s="279">
        <f>IFERROR(ROUND(VLOOKUP($B27,'Anexo 1 -Até o Mês '!$A$1:$Z$200,10,FALSE),3),0)</f>
        <v>0</v>
      </c>
      <c r="H27" s="279">
        <f>IFERROR(ROUND(VLOOKUP($B27,'Anexo 1 -Até o Mês '!$A$1:$Z$200,11,FALSE),3),0)</f>
        <v>0</v>
      </c>
      <c r="I27" s="279">
        <f>IFERROR(ROUND(VLOOKUP($B27,'Anexo 1 -Até o Mês '!$A$1:$Z$200,12,FALSE),3),0)</f>
        <v>0</v>
      </c>
      <c r="J27" s="279">
        <f>IFERROR(ROUND(VLOOKUP($B27,'Anexo 1 -Até o Mês '!$A$1:$Z$200,13,FALSE),3),0)</f>
        <v>0</v>
      </c>
      <c r="L27" s="264" t="s">
        <v>162</v>
      </c>
      <c r="M27" s="266"/>
      <c r="N27" s="232">
        <f>ROUND(N22-N26,2)</f>
        <v>0</v>
      </c>
      <c r="O27" s="232">
        <f t="shared" ref="O27:U27" si="5">ROUND(O22-O26,2)</f>
        <v>0</v>
      </c>
      <c r="P27" s="232">
        <f>ROUND(P22-P26,2)</f>
        <v>0</v>
      </c>
      <c r="Q27" s="232">
        <f t="shared" si="5"/>
        <v>0</v>
      </c>
      <c r="R27" s="232">
        <f t="shared" si="5"/>
        <v>0</v>
      </c>
      <c r="S27" s="232">
        <f t="shared" si="5"/>
        <v>0</v>
      </c>
      <c r="T27" s="232">
        <f t="shared" si="5"/>
        <v>0</v>
      </c>
      <c r="U27" s="232">
        <f t="shared" si="5"/>
        <v>0</v>
      </c>
      <c r="V27" s="21"/>
    </row>
    <row r="28" spans="2:22">
      <c r="B28" s="278" t="s">
        <v>320</v>
      </c>
      <c r="C28" s="279">
        <f>IFERROR(ROUND(VLOOKUP($B28,'Anexo 1 -Até o Mês '!$A$1:$Z$500,6,FALSE),3),0)</f>
        <v>0</v>
      </c>
      <c r="D28" s="279">
        <f>IFERROR(ROUND(VLOOKUP($B28,'Anexo 1 -Até o Mês '!$A$1:$Z$500,7,FALSE),3),0)</f>
        <v>0</v>
      </c>
      <c r="E28" s="279">
        <f>IFERROR(ROUND(VLOOKUP($B28,'Anexo 1 -Até o Mês '!$A$1:$Z$500,8,FALSE),3),0)</f>
        <v>0</v>
      </c>
      <c r="F28" s="279">
        <f>IFERROR(ROUND(VLOOKUP($B28,'Anexo 1 -Até o Mês '!$A$1:$Z$200,9,FALSE),3),0)</f>
        <v>0</v>
      </c>
      <c r="G28" s="279">
        <f>IFERROR(ROUND(VLOOKUP($B28,'Anexo 1 -Até o Mês '!$A$1:$Z$200,10,FALSE),3),0)</f>
        <v>0</v>
      </c>
      <c r="H28" s="279">
        <f>IFERROR(ROUND(VLOOKUP($B28,'Anexo 1 -Até o Mês '!$A$1:$Z$200,11,FALSE),3),0)</f>
        <v>0</v>
      </c>
      <c r="I28" s="279">
        <f>IFERROR(ROUND(VLOOKUP($B28,'Anexo 1 -Até o Mês '!$A$1:$Z$200,12,FALSE),3),0)</f>
        <v>0</v>
      </c>
      <c r="J28" s="279">
        <f>IFERROR(ROUND(VLOOKUP($B28,'Anexo 1 -Até o Mês '!$A$1:$Z$200,13,FALSE),3),0)</f>
        <v>0</v>
      </c>
      <c r="N28" s="26"/>
      <c r="O28" s="18"/>
    </row>
    <row r="29" spans="2:22">
      <c r="B29" s="278" t="s">
        <v>305</v>
      </c>
      <c r="C29" s="279">
        <f>IFERROR(ROUND(VLOOKUP($B29,'Anexo 1 -Até o Mês '!$A$1:$Z$500,6,FALSE),3),0)</f>
        <v>2662545580.527</v>
      </c>
      <c r="D29" s="279">
        <f>IFERROR(ROUND(VLOOKUP($B29,'Anexo 1 -Até o Mês '!$A$1:$Z$500,7,FALSE),3),0)</f>
        <v>2810845838.112</v>
      </c>
      <c r="E29" s="279">
        <f>IFERROR(ROUND(VLOOKUP($B29,'Anexo 1 -Até o Mês '!$A$1:$Z$500,8,FALSE),3),0)</f>
        <v>247308753.125</v>
      </c>
      <c r="F29" s="279">
        <f>IFERROR(ROUND(VLOOKUP($B29,'Anexo 1 -Até o Mês '!$A$1:$Z$200,9,FALSE),3),0)</f>
        <v>2152563623.598</v>
      </c>
      <c r="G29" s="279">
        <f>IFERROR(ROUND(VLOOKUP($B29,'Anexo 1 -Até o Mês '!$A$1:$Z$200,10,FALSE),3),0)</f>
        <v>196212121.77399999</v>
      </c>
      <c r="H29" s="279">
        <f>IFERROR(ROUND(VLOOKUP($B29,'Anexo 1 -Até o Mês '!$A$1:$Z$200,11,FALSE),3),0)</f>
        <v>1758519009.7880001</v>
      </c>
      <c r="I29" s="279">
        <f>IFERROR(ROUND(VLOOKUP($B29,'Anexo 1 -Até o Mês '!$A$1:$Z$200,12,FALSE),3),0)</f>
        <v>1689185261.7320001</v>
      </c>
      <c r="J29" s="279">
        <f>IFERROR(ROUND(VLOOKUP($B29,'Anexo 1 -Até o Mês '!$A$1:$Z$200,13,FALSE),3),0)</f>
        <v>0</v>
      </c>
      <c r="M29" s="23" t="s">
        <v>321</v>
      </c>
      <c r="N29" s="28" t="s">
        <v>289</v>
      </c>
      <c r="O29" s="28" t="s">
        <v>290</v>
      </c>
    </row>
    <row r="30" spans="2:22">
      <c r="B30" s="278" t="s">
        <v>135</v>
      </c>
      <c r="C30" s="279">
        <f>IFERROR(ROUND(VLOOKUP($B30,'Anexo 1 -Até o Mês '!$A$1:$Z$500,6,FALSE),3),0)</f>
        <v>1498690968.6270001</v>
      </c>
      <c r="D30" s="279">
        <f>IFERROR(ROUND(VLOOKUP($B30,'Anexo 1 -Até o Mês '!$A$1:$Z$500,7,FALSE),3),0)</f>
        <v>1498690968.6270001</v>
      </c>
      <c r="E30" s="279">
        <f>IFERROR(ROUND(VLOOKUP($B30,'Anexo 1 -Até o Mês '!$A$1:$Z$500,8,FALSE),3),0)</f>
        <v>233286304.27399999</v>
      </c>
      <c r="F30" s="279">
        <f>IFERROR(ROUND(VLOOKUP($B30,'Anexo 1 -Até o Mês '!$A$1:$Z$200,9,FALSE),3),0)</f>
        <v>1070073735.22</v>
      </c>
      <c r="G30" s="279">
        <f>IFERROR(ROUND(VLOOKUP($B30,'Anexo 1 -Até o Mês '!$A$1:$Z$200,10,FALSE),3),0)</f>
        <v>2599720.7450000001</v>
      </c>
      <c r="H30" s="279">
        <f>IFERROR(ROUND(VLOOKUP($B30,'Anexo 1 -Até o Mês '!$A$1:$Z$200,11,FALSE),3),0)</f>
        <v>749803100.755</v>
      </c>
      <c r="I30" s="279">
        <f>IFERROR(ROUND(VLOOKUP($B30,'Anexo 1 -Até o Mês '!$A$1:$Z$200,12,FALSE),3),0)</f>
        <v>749803100.755</v>
      </c>
      <c r="J30" s="279">
        <f>IFERROR(ROUND(VLOOKUP($B30,'Anexo 1 -Até o Mês '!$A$1:$Z$200,13,FALSE),3),0)</f>
        <v>0</v>
      </c>
      <c r="M30" s="1" t="s">
        <v>98</v>
      </c>
      <c r="N30" s="21">
        <f>VLOOKUP(M30,'Anexo 1 Rec Intra'!$A$2:$H$80,2,FALSE)</f>
        <v>4181004169</v>
      </c>
      <c r="O30" s="21">
        <f>VLOOKUP(M30,'Anexo 1 Rec Intra'!$A$2:$H$80,3,FALSE)</f>
        <v>4329304426.585</v>
      </c>
    </row>
    <row r="31" spans="2:22">
      <c r="B31" s="278" t="s">
        <v>322</v>
      </c>
      <c r="C31" s="279">
        <f>IFERROR(ROUND(VLOOKUP($B31,'Anexo 1 -Até o Mês '!$A$1:$Z$500,6,FALSE),3),0)</f>
        <v>1434393049.3970001</v>
      </c>
      <c r="D31" s="279">
        <f>IFERROR(ROUND(VLOOKUP($B31,'Anexo 1 -Até o Mês '!$A$1:$Z$500,7,FALSE),3),0)</f>
        <v>1434393049.3970001</v>
      </c>
      <c r="E31" s="279">
        <f>IFERROR(ROUND(VLOOKUP($B31,'Anexo 1 -Até o Mês '!$A$1:$Z$500,8,FALSE),3),0)</f>
        <v>233197350.836</v>
      </c>
      <c r="F31" s="279">
        <f>IFERROR(ROUND(VLOOKUP($B31,'Anexo 1 -Até o Mês '!$A$1:$Z$200,9,FALSE),3),0)</f>
        <v>1045452809.7869999</v>
      </c>
      <c r="G31" s="279">
        <f>IFERROR(ROUND(VLOOKUP($B31,'Anexo 1 -Até o Mês '!$A$1:$Z$200,10,FALSE),3),0)</f>
        <v>2510767.3059999999</v>
      </c>
      <c r="H31" s="279">
        <f>IFERROR(ROUND(VLOOKUP($B31,'Anexo 1 -Até o Mês '!$A$1:$Z$200,11,FALSE),3),0)</f>
        <v>725232175.32299995</v>
      </c>
      <c r="I31" s="279">
        <f>IFERROR(ROUND(VLOOKUP($B31,'Anexo 1 -Até o Mês '!$A$1:$Z$200,12,FALSE),3),0)</f>
        <v>725232175.32299995</v>
      </c>
      <c r="J31" s="279">
        <f>IFERROR(ROUND(VLOOKUP($B31,'Anexo 1 -Até o Mês '!$A$1:$Z$200,13,FALSE),3),0)</f>
        <v>0</v>
      </c>
      <c r="M31" s="1" t="s">
        <v>323</v>
      </c>
      <c r="N31" s="21">
        <f>-19767619.84</f>
        <v>-19767619.84</v>
      </c>
      <c r="O31" s="21">
        <f>-19767619.84</f>
        <v>-19767619.84</v>
      </c>
      <c r="P31" s="237"/>
    </row>
    <row r="32" spans="2:22">
      <c r="B32" s="278" t="s">
        <v>324</v>
      </c>
      <c r="C32" s="279">
        <f>IFERROR(ROUND(VLOOKUP($B32,'Anexo 1 -Até o Mês '!$A$1:$Z$500,6,FALSE),3),0)</f>
        <v>1399235985.553</v>
      </c>
      <c r="D32" s="279">
        <f>IFERROR(ROUND(VLOOKUP($B32,'Anexo 1 -Até o Mês '!$A$1:$Z$500,7,FALSE),3),0)</f>
        <v>1399235985.553</v>
      </c>
      <c r="E32" s="279">
        <f>IFERROR(ROUND(VLOOKUP($B32,'Anexo 1 -Até o Mês '!$A$1:$Z$500,8,FALSE),3),0)</f>
        <v>232540576.317</v>
      </c>
      <c r="F32" s="279">
        <f>IFERROR(ROUND(VLOOKUP($B32,'Anexo 1 -Até o Mês '!$A$1:$Z$200,9,FALSE),3),0)</f>
        <v>1037469840.497</v>
      </c>
      <c r="G32" s="279">
        <f>IFERROR(ROUND(VLOOKUP($B32,'Anexo 1 -Até o Mês '!$A$1:$Z$200,10,FALSE),3),0)</f>
        <v>2269392.7880000002</v>
      </c>
      <c r="H32" s="279">
        <f>IFERROR(ROUND(VLOOKUP($B32,'Anexo 1 -Até o Mês '!$A$1:$Z$200,11,FALSE),3),0)</f>
        <v>722727686.03199995</v>
      </c>
      <c r="I32" s="279">
        <f>IFERROR(ROUND(VLOOKUP($B32,'Anexo 1 -Até o Mês '!$A$1:$Z$200,12,FALSE),3),0)</f>
        <v>722727686.03199995</v>
      </c>
      <c r="J32" s="279">
        <f>IFERROR(ROUND(VLOOKUP($B32,'Anexo 1 -Até o Mês '!$A$1:$Z$200,13,FALSE),3),0)</f>
        <v>0</v>
      </c>
      <c r="M32" s="1" t="s">
        <v>142</v>
      </c>
      <c r="N32" s="21">
        <f>VLOOKUP(M32,'Anexo 1 Desp'!$A$2:$H$98,2,FALSE)</f>
        <v>4161236549.1540003</v>
      </c>
      <c r="O32" s="21">
        <f>VLOOKUP(M32,'Anexo 1 Desp'!$A$2:$H$98,3,FALSE)</f>
        <v>4309536806.7390003</v>
      </c>
    </row>
    <row r="33" spans="2:17" ht="12.75">
      <c r="B33" s="278" t="s">
        <v>325</v>
      </c>
      <c r="C33" s="279">
        <f>IFERROR(ROUND(VLOOKUP($B33,'Anexo 1 -Até o Mês '!$A$1:$Z$500,6,FALSE),3),0)</f>
        <v>35157063.843999997</v>
      </c>
      <c r="D33" s="279">
        <f>IFERROR(ROUND(VLOOKUP($B33,'Anexo 1 -Até o Mês '!$A$1:$Z$500,7,FALSE),3),0)</f>
        <v>35157063.843999997</v>
      </c>
      <c r="E33" s="279">
        <f>IFERROR(ROUND(VLOOKUP($B33,'Anexo 1 -Até o Mês '!$A$1:$Z$500,8,FALSE),3),0)</f>
        <v>656774.51899999997</v>
      </c>
      <c r="F33" s="279">
        <f>IFERROR(ROUND(VLOOKUP($B33,'Anexo 1 -Até o Mês '!$A$1:$Z$200,9,FALSE),3),0)</f>
        <v>7982969.2910000002</v>
      </c>
      <c r="G33" s="279">
        <f>IFERROR(ROUND(VLOOKUP($B33,'Anexo 1 -Até o Mês '!$A$1:$Z$200,10,FALSE),3),0)</f>
        <v>241374.519</v>
      </c>
      <c r="H33" s="279">
        <f>IFERROR(ROUND(VLOOKUP($B33,'Anexo 1 -Até o Mês '!$A$1:$Z$200,11,FALSE),3),0)</f>
        <v>2504489.2910000002</v>
      </c>
      <c r="I33" s="279">
        <f>IFERROR(ROUND(VLOOKUP($B33,'Anexo 1 -Até o Mês '!$A$1:$Z$200,12,FALSE),3),0)</f>
        <v>2504489.2910000002</v>
      </c>
      <c r="J33" s="279">
        <f>IFERROR(ROUND(VLOOKUP($B33,'Anexo 1 -Até o Mês '!$A$1:$Z$200,13,FALSE),3),0)</f>
        <v>0</v>
      </c>
      <c r="M33" s="264" t="s">
        <v>162</v>
      </c>
      <c r="N33" s="232">
        <f>ROUND(SUM(N30:N31)-N32,1)</f>
        <v>0</v>
      </c>
      <c r="O33" s="232">
        <f>ROUND(SUM(O30:O31)-O32,1)</f>
        <v>0</v>
      </c>
      <c r="Q33" s="288" t="s">
        <v>326</v>
      </c>
    </row>
    <row r="34" spans="2:17">
      <c r="B34" s="278" t="s">
        <v>327</v>
      </c>
      <c r="C34" s="279">
        <f>IFERROR(ROUND(VLOOKUP($B34,'Anexo 1 -Até o Mês '!$A$1:$Z$500,6,FALSE),3),0)</f>
        <v>64297919.229999997</v>
      </c>
      <c r="D34" s="279">
        <f>IFERROR(ROUND(VLOOKUP($B34,'Anexo 1 -Até o Mês '!$A$1:$Z$500,7,FALSE),3),0)</f>
        <v>64297919.229999997</v>
      </c>
      <c r="E34" s="279">
        <f>IFERROR(ROUND(VLOOKUP($B34,'Anexo 1 -Até o Mês '!$A$1:$Z$500,8,FALSE),3),0)</f>
        <v>88953.437999999995</v>
      </c>
      <c r="F34" s="279">
        <f>IFERROR(ROUND(VLOOKUP($B34,'Anexo 1 -Até o Mês '!$A$1:$Z$200,9,FALSE),3),0)</f>
        <v>24620925.432</v>
      </c>
      <c r="G34" s="279">
        <f>IFERROR(ROUND(VLOOKUP($B34,'Anexo 1 -Até o Mês '!$A$1:$Z$200,10,FALSE),3),0)</f>
        <v>88953.437999999995</v>
      </c>
      <c r="H34" s="279">
        <f>IFERROR(ROUND(VLOOKUP($B34,'Anexo 1 -Até o Mês '!$A$1:$Z$200,11,FALSE),3),0)</f>
        <v>24570925.432</v>
      </c>
      <c r="I34" s="279">
        <f>IFERROR(ROUND(VLOOKUP($B34,'Anexo 1 -Até o Mês '!$A$1:$Z$200,12,FALSE),3),0)</f>
        <v>24570925.432</v>
      </c>
      <c r="J34" s="279">
        <f>IFERROR(ROUND(VLOOKUP($B34,'Anexo 1 -Até o Mês '!$A$1:$Z$200,13,FALSE),3),0)</f>
        <v>0</v>
      </c>
      <c r="Q34" s="1" t="s">
        <v>328</v>
      </c>
    </row>
    <row r="35" spans="2:17">
      <c r="B35" s="278" t="s">
        <v>329</v>
      </c>
      <c r="C35" s="279">
        <f>IFERROR(ROUND(VLOOKUP($B35,'Anexo 1 -Até o Mês '!$A$1:$Z$500,6,FALSE),3),0)</f>
        <v>57037053.651000001</v>
      </c>
      <c r="D35" s="279">
        <f>IFERROR(ROUND(VLOOKUP($B35,'Anexo 1 -Até o Mês '!$A$1:$Z$500,7,FALSE),3),0)</f>
        <v>57037053.651000001</v>
      </c>
      <c r="E35" s="279">
        <f>IFERROR(ROUND(VLOOKUP($B35,'Anexo 1 -Até o Mês '!$A$1:$Z$500,8,FALSE),3),0)</f>
        <v>0</v>
      </c>
      <c r="F35" s="279">
        <f>IFERROR(ROUND(VLOOKUP($B35,'Anexo 1 -Até o Mês '!$A$1:$Z$200,9,FALSE),3),0)</f>
        <v>21476304.879000001</v>
      </c>
      <c r="G35" s="279">
        <f>IFERROR(ROUND(VLOOKUP($B35,'Anexo 1 -Até o Mês '!$A$1:$Z$200,10,FALSE),3),0)</f>
        <v>0</v>
      </c>
      <c r="H35" s="279">
        <f>IFERROR(ROUND(VLOOKUP($B35,'Anexo 1 -Até o Mês '!$A$1:$Z$200,11,FALSE),3),0)</f>
        <v>21426304.879000001</v>
      </c>
      <c r="I35" s="279">
        <f>IFERROR(ROUND(VLOOKUP($B35,'Anexo 1 -Até o Mês '!$A$1:$Z$200,12,FALSE),3),0)</f>
        <v>21426304.879000001</v>
      </c>
      <c r="J35" s="279">
        <f>IFERROR(ROUND(VLOOKUP($B35,'Anexo 1 -Até o Mês '!$A$1:$Z$200,13,FALSE),3),0)</f>
        <v>0</v>
      </c>
    </row>
    <row r="36" spans="2:17">
      <c r="B36" s="278" t="s">
        <v>330</v>
      </c>
      <c r="C36" s="279">
        <f>IFERROR(ROUND(VLOOKUP($B36,'Anexo 1 -Até o Mês '!$A$1:$Z$500,6,FALSE),3),0)</f>
        <v>7260865.5789999999</v>
      </c>
      <c r="D36" s="279">
        <f>IFERROR(ROUND(VLOOKUP($B36,'Anexo 1 -Até o Mês '!$A$1:$Z$500,7,FALSE),3),0)</f>
        <v>7260865.5789999999</v>
      </c>
      <c r="E36" s="279">
        <f>IFERROR(ROUND(VLOOKUP($B36,'Anexo 1 -Até o Mês '!$A$1:$Z$500,8,FALSE),3),0)</f>
        <v>88953.437999999995</v>
      </c>
      <c r="F36" s="279">
        <f>IFERROR(ROUND(VLOOKUP($B36,'Anexo 1 -Até o Mês '!$A$1:$Z$200,9,FALSE),3),0)</f>
        <v>3144620.5529999998</v>
      </c>
      <c r="G36" s="279">
        <f>IFERROR(ROUND(VLOOKUP($B36,'Anexo 1 -Até o Mês '!$A$1:$Z$200,10,FALSE),3),0)</f>
        <v>88953.437999999995</v>
      </c>
      <c r="H36" s="279">
        <f>IFERROR(ROUND(VLOOKUP($B36,'Anexo 1 -Até o Mês '!$A$1:$Z$200,11,FALSE),3),0)</f>
        <v>3144620.5529999998</v>
      </c>
      <c r="I36" s="279">
        <f>IFERROR(ROUND(VLOOKUP($B36,'Anexo 1 -Até o Mês '!$A$1:$Z$200,12,FALSE),3),0)</f>
        <v>3144620.5529999998</v>
      </c>
      <c r="J36" s="279">
        <f>IFERROR(ROUND(VLOOKUP($B36,'Anexo 1 -Até o Mês '!$A$1:$Z$200,13,FALSE),3),0)</f>
        <v>0</v>
      </c>
      <c r="N36" s="168"/>
    </row>
    <row r="37" spans="2:17">
      <c r="B37" s="278" t="s">
        <v>313</v>
      </c>
      <c r="C37" s="279">
        <f>IFERROR(ROUND(VLOOKUP($B37,'Anexo 1 -Até o Mês '!$A$1:$Z$500,6,FALSE),3),0)</f>
        <v>4161236549.1539998</v>
      </c>
      <c r="D37" s="279">
        <f>IFERROR(ROUND(VLOOKUP($B37,'Anexo 1 -Até o Mês '!$A$1:$Z$500,7,FALSE),3),0)</f>
        <v>4309536806.7390003</v>
      </c>
      <c r="E37" s="279">
        <f>IFERROR(ROUND(VLOOKUP($B37,'Anexo 1 -Até o Mês '!$A$1:$Z$500,8,FALSE),3),0)</f>
        <v>480595057.39899999</v>
      </c>
      <c r="F37" s="279">
        <f>IFERROR(ROUND(VLOOKUP($B37,'Anexo 1 -Até o Mês '!$A$1:$Z$200,9,FALSE),3),0)</f>
        <v>3222637358.8179998</v>
      </c>
      <c r="G37" s="279">
        <f>IFERROR(ROUND(VLOOKUP($B37,'Anexo 1 -Até o Mês '!$A$1:$Z$200,10,FALSE),3),0)</f>
        <v>198811842.51899999</v>
      </c>
      <c r="H37" s="279">
        <f>IFERROR(ROUND(VLOOKUP($B37,'Anexo 1 -Até o Mês '!$A$1:$Z$200,11,FALSE),3),0)</f>
        <v>2508322110.5440001</v>
      </c>
      <c r="I37" s="279">
        <f>IFERROR(ROUND(VLOOKUP($B37,'Anexo 1 -Até o Mês '!$A$1:$Z$200,12,FALSE),3),0)</f>
        <v>2438988362.487</v>
      </c>
      <c r="J37" s="279">
        <f>IFERROR(ROUND(VLOOKUP($B37,'Anexo 1 -Até o Mês '!$A$1:$Z$200,13,FALSE),3),0)</f>
        <v>0</v>
      </c>
      <c r="O37" s="168"/>
    </row>
    <row r="38" spans="2:17">
      <c r="C38" s="16"/>
      <c r="D38" s="16"/>
      <c r="E38" s="16"/>
      <c r="F38" s="16"/>
      <c r="G38" s="16"/>
      <c r="H38" s="16"/>
      <c r="I38" s="16"/>
    </row>
    <row r="39" spans="2:17">
      <c r="C39" s="16"/>
      <c r="D39" s="16"/>
      <c r="E39" s="16"/>
      <c r="F39" s="16"/>
      <c r="G39" s="16"/>
      <c r="H39" s="16"/>
      <c r="I39" s="16"/>
    </row>
    <row r="40" spans="2:17">
      <c r="C40" s="16"/>
      <c r="D40" s="16"/>
      <c r="E40" s="16"/>
      <c r="F40" s="16"/>
      <c r="G40" s="16"/>
      <c r="H40" s="16"/>
      <c r="I40" s="16"/>
    </row>
    <row r="41" spans="2:17">
      <c r="C41" s="16"/>
      <c r="D41" s="16"/>
      <c r="E41" s="16"/>
      <c r="F41" s="16"/>
      <c r="G41" s="16"/>
      <c r="H41" s="16"/>
      <c r="I41" s="16"/>
    </row>
    <row r="42" spans="2:17">
      <c r="C42" s="16"/>
      <c r="D42" s="16"/>
      <c r="E42" s="16"/>
      <c r="F42" s="16"/>
      <c r="G42" s="16"/>
      <c r="H42" s="16"/>
      <c r="I42" s="16"/>
    </row>
    <row r="43" spans="2:17">
      <c r="C43" s="16"/>
      <c r="D43" s="16"/>
      <c r="E43" s="16"/>
      <c r="F43" s="16"/>
      <c r="G43" s="16"/>
      <c r="H43" s="16"/>
      <c r="I43" s="16"/>
    </row>
    <row r="44" spans="2:17">
      <c r="C44" s="16"/>
      <c r="D44" s="16"/>
      <c r="E44" s="16"/>
      <c r="F44" s="16"/>
      <c r="G44" s="16"/>
      <c r="H44" s="16"/>
      <c r="I44" s="16"/>
    </row>
    <row r="45" spans="2:17">
      <c r="C45" s="16"/>
      <c r="D45" s="16"/>
      <c r="E45" s="16"/>
      <c r="F45" s="16"/>
      <c r="G45" s="16"/>
      <c r="H45" s="16"/>
      <c r="I45" s="16"/>
    </row>
    <row r="46" spans="2:17">
      <c r="C46" s="16"/>
      <c r="D46" s="16"/>
      <c r="E46" s="16"/>
      <c r="F46" s="16"/>
      <c r="G46" s="16"/>
      <c r="H46" s="16"/>
      <c r="I46" s="16"/>
    </row>
    <row r="47" spans="2:17">
      <c r="C47" s="16"/>
      <c r="D47" s="16"/>
      <c r="E47" s="16"/>
      <c r="F47" s="16"/>
      <c r="G47" s="16"/>
      <c r="H47" s="16"/>
      <c r="I47" s="16"/>
    </row>
    <row r="48" spans="2:17">
      <c r="C48" s="16"/>
      <c r="D48" s="16"/>
      <c r="E48" s="16"/>
      <c r="F48" s="16"/>
      <c r="G48" s="16"/>
      <c r="H48" s="16"/>
      <c r="I48" s="16"/>
    </row>
    <row r="49" spans="3:9">
      <c r="C49" s="16"/>
      <c r="D49" s="16"/>
      <c r="E49" s="16"/>
      <c r="F49" s="16"/>
      <c r="G49" s="16"/>
      <c r="H49" s="16"/>
      <c r="I49" s="16"/>
    </row>
    <row r="50" spans="3:9">
      <c r="C50" s="16"/>
      <c r="D50" s="16"/>
      <c r="E50" s="16"/>
      <c r="F50" s="16"/>
      <c r="G50" s="16"/>
      <c r="H50" s="16"/>
      <c r="I50" s="16"/>
    </row>
    <row r="51" spans="3:9">
      <c r="C51" s="16"/>
      <c r="D51" s="16"/>
      <c r="E51" s="16"/>
      <c r="F51" s="16"/>
      <c r="G51" s="16"/>
      <c r="H51" s="16"/>
      <c r="I51" s="16"/>
    </row>
    <row r="52" spans="3:9">
      <c r="C52" s="16"/>
      <c r="D52" s="16"/>
      <c r="E52" s="16"/>
      <c r="F52" s="16"/>
      <c r="G52" s="16"/>
      <c r="H52" s="16"/>
      <c r="I52" s="16"/>
    </row>
    <row r="53" spans="3:9">
      <c r="C53" s="16"/>
      <c r="D53" s="16"/>
      <c r="E53" s="16"/>
      <c r="F53" s="16"/>
      <c r="G53" s="16"/>
      <c r="H53" s="16"/>
      <c r="I53" s="16"/>
    </row>
  </sheetData>
  <mergeCells count="1">
    <mergeCell ref="H2:I2"/>
  </mergeCells>
  <conditionalFormatting sqref="N8:U8">
    <cfRule type="cellIs" dxfId="35" priority="67" stopIfTrue="1" operator="between">
      <formula>-0.99</formula>
      <formula>0.99</formula>
    </cfRule>
  </conditionalFormatting>
  <conditionalFormatting sqref="N8:U8">
    <cfRule type="cellIs" dxfId="34" priority="65" stopIfTrue="1" operator="lessThan">
      <formula>-0.99</formula>
    </cfRule>
    <cfRule type="cellIs" dxfId="33" priority="66" stopIfTrue="1" operator="greaterThan">
      <formula>0.99</formula>
    </cfRule>
  </conditionalFormatting>
  <conditionalFormatting sqref="N27:U27">
    <cfRule type="cellIs" dxfId="32" priority="22" stopIfTrue="1" operator="between">
      <formula>-0.99</formula>
      <formula>0.99</formula>
    </cfRule>
  </conditionalFormatting>
  <conditionalFormatting sqref="N27:U27">
    <cfRule type="cellIs" dxfId="31" priority="20" stopIfTrue="1" operator="lessThan">
      <formula>-0.99</formula>
    </cfRule>
    <cfRule type="cellIs" dxfId="30" priority="21" stopIfTrue="1" operator="greaterThan">
      <formula>0.99</formula>
    </cfRule>
  </conditionalFormatting>
  <conditionalFormatting sqref="N33:O33">
    <cfRule type="cellIs" dxfId="29" priority="19" stopIfTrue="1" operator="between">
      <formula>-0.99</formula>
      <formula>0.99</formula>
    </cfRule>
  </conditionalFormatting>
  <conditionalFormatting sqref="N33:O33">
    <cfRule type="cellIs" dxfId="28" priority="17" stopIfTrue="1" operator="lessThan">
      <formula>-0.99</formula>
    </cfRule>
    <cfRule type="cellIs" dxfId="27" priority="18" stopIfTrue="1" operator="greaterThan">
      <formula>0.99</formula>
    </cfRule>
  </conditionalFormatting>
  <conditionalFormatting sqref="J2">
    <cfRule type="cellIs" dxfId="26" priority="13" stopIfTrue="1" operator="equal">
      <formula>"VERIFIQUE"</formula>
    </cfRule>
    <cfRule type="cellIs" dxfId="25" priority="14" stopIfTrue="1" operator="equal">
      <formula>"OK"</formula>
    </cfRule>
  </conditionalFormatting>
  <conditionalFormatting sqref="N12:U12">
    <cfRule type="cellIs" dxfId="24" priority="12" stopIfTrue="1" operator="between">
      <formula>-0.99</formula>
      <formula>0.99</formula>
    </cfRule>
  </conditionalFormatting>
  <conditionalFormatting sqref="N12:U12">
    <cfRule type="cellIs" dxfId="23" priority="10" stopIfTrue="1" operator="lessThan">
      <formula>-0.99</formula>
    </cfRule>
    <cfRule type="cellIs" dxfId="22" priority="11" stopIfTrue="1" operator="greaterThan">
      <formula>0.99</formula>
    </cfRule>
  </conditionalFormatting>
  <conditionalFormatting sqref="N16:U16">
    <cfRule type="cellIs" dxfId="21" priority="9" stopIfTrue="1" operator="between">
      <formula>-0.99</formula>
      <formula>0.99</formula>
    </cfRule>
  </conditionalFormatting>
  <conditionalFormatting sqref="N16:U16">
    <cfRule type="cellIs" dxfId="20" priority="7" stopIfTrue="1" operator="lessThan">
      <formula>-0.99</formula>
    </cfRule>
    <cfRule type="cellIs" dxfId="19" priority="8" stopIfTrue="1" operator="greaterThan">
      <formula>0.99</formula>
    </cfRule>
  </conditionalFormatting>
  <conditionalFormatting sqref="N20:U20">
    <cfRule type="cellIs" dxfId="18" priority="6" stopIfTrue="1" operator="between">
      <formula>-0.99</formula>
      <formula>0.99</formula>
    </cfRule>
  </conditionalFormatting>
  <conditionalFormatting sqref="N20:U20">
    <cfRule type="cellIs" dxfId="17" priority="4" stopIfTrue="1" operator="lessThan">
      <formula>-0.99</formula>
    </cfRule>
    <cfRule type="cellIs" dxfId="16" priority="5" stopIfTrue="1" operator="greaterThan">
      <formula>0.99</formula>
    </cfRule>
  </conditionalFormatting>
  <conditionalFormatting sqref="N24:U24">
    <cfRule type="cellIs" dxfId="15" priority="3" stopIfTrue="1" operator="between">
      <formula>-0.99</formula>
      <formula>0.99</formula>
    </cfRule>
  </conditionalFormatting>
  <conditionalFormatting sqref="N24:U24">
    <cfRule type="cellIs" dxfId="14" priority="1" stopIfTrue="1" operator="lessThan">
      <formula>-0.99</formula>
    </cfRule>
    <cfRule type="cellIs" dxfId="13" priority="2" stopIfTrue="1" operator="greaterThan">
      <formula>0.99</formula>
    </cfRule>
  </conditionalFormatting>
  <hyperlinks>
    <hyperlink ref="Q33" r:id="rId1" xr:uid="{208C916D-C4FA-446A-A347-1A5370D85D3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S178"/>
  <sheetViews>
    <sheetView workbookViewId="0">
      <pane xSplit="1" ySplit="7" topLeftCell="B157" activePane="bottomRight" state="frozen"/>
      <selection pane="bottomRight" activeCell="C10" sqref="C10"/>
      <selection pane="bottomLeft" activeCell="A8" sqref="A8"/>
      <selection pane="topRight" activeCell="B1" sqref="B1"/>
    </sheetView>
  </sheetViews>
  <sheetFormatPr defaultColWidth="9.140625" defaultRowHeight="12.75"/>
  <cols>
    <col min="1" max="1" width="81.5703125" customWidth="1"/>
    <col min="2" max="3" width="16.140625" bestFit="1" customWidth="1"/>
    <col min="4" max="4" width="13.85546875" bestFit="1" customWidth="1"/>
    <col min="5" max="5" width="16.140625" bestFit="1" customWidth="1"/>
    <col min="6" max="14" width="14.42578125" customWidth="1"/>
    <col min="15" max="17" width="15.42578125" bestFit="1" customWidth="1"/>
    <col min="18" max="18" width="16.140625" bestFit="1" customWidth="1"/>
    <col min="19" max="19" width="19.140625" bestFit="1" customWidth="1"/>
  </cols>
  <sheetData>
    <row r="1" spans="1:19" ht="22.5">
      <c r="A1" s="290" t="s">
        <v>331</v>
      </c>
    </row>
    <row r="3" spans="1:19">
      <c r="A3" s="291" t="s">
        <v>332</v>
      </c>
    </row>
    <row r="4" spans="1:19">
      <c r="A4" s="291" t="s">
        <v>333</v>
      </c>
    </row>
    <row r="6" spans="1:19" ht="42.75">
      <c r="A6" s="280" t="s">
        <v>334</v>
      </c>
      <c r="B6" s="281" t="s">
        <v>335</v>
      </c>
      <c r="C6" s="281" t="s">
        <v>336</v>
      </c>
      <c r="D6" s="281" t="s">
        <v>337</v>
      </c>
      <c r="E6" s="281" t="s">
        <v>338</v>
      </c>
      <c r="F6" s="281" t="s">
        <v>339</v>
      </c>
      <c r="G6" s="281" t="s">
        <v>340</v>
      </c>
      <c r="H6" s="281" t="s">
        <v>341</v>
      </c>
      <c r="I6" s="281" t="s">
        <v>342</v>
      </c>
      <c r="J6" s="281" t="s">
        <v>343</v>
      </c>
      <c r="K6" s="281" t="s">
        <v>344</v>
      </c>
      <c r="L6" s="281" t="s">
        <v>345</v>
      </c>
      <c r="M6" s="281" t="s">
        <v>346</v>
      </c>
      <c r="N6" s="281" t="s">
        <v>347</v>
      </c>
      <c r="O6" s="281" t="s">
        <v>348</v>
      </c>
      <c r="P6" s="281" t="s">
        <v>349</v>
      </c>
      <c r="Q6" s="281" t="s">
        <v>350</v>
      </c>
      <c r="R6" s="281" t="s">
        <v>351</v>
      </c>
      <c r="S6" s="352" t="s">
        <v>352</v>
      </c>
    </row>
    <row r="7" spans="1:19">
      <c r="A7" s="284" t="s">
        <v>24</v>
      </c>
      <c r="B7" s="353">
        <v>2546100629.302</v>
      </c>
      <c r="C7" s="353">
        <v>2546100629.302</v>
      </c>
      <c r="D7" s="354">
        <v>172279112.17627001</v>
      </c>
      <c r="E7" s="353">
        <v>1560883187.8027201</v>
      </c>
      <c r="F7" s="353"/>
      <c r="G7" s="353"/>
      <c r="H7" s="354">
        <v>0</v>
      </c>
      <c r="I7" s="353"/>
      <c r="J7" s="354">
        <v>0</v>
      </c>
      <c r="K7" s="353"/>
      <c r="L7" s="353"/>
      <c r="M7" s="353"/>
      <c r="N7" s="353"/>
      <c r="O7" s="287">
        <v>0</v>
      </c>
      <c r="P7" s="287">
        <v>0</v>
      </c>
      <c r="Q7" s="287">
        <v>0</v>
      </c>
      <c r="R7" s="353">
        <v>1388604075.6264501</v>
      </c>
      <c r="S7" s="355">
        <v>1560883187802.72</v>
      </c>
    </row>
    <row r="8" spans="1:19">
      <c r="A8" s="284" t="s">
        <v>159</v>
      </c>
      <c r="B8" s="353">
        <v>1632820120.566</v>
      </c>
      <c r="C8" s="353">
        <v>1632820120.566</v>
      </c>
      <c r="D8" s="354">
        <v>153102346.11329001</v>
      </c>
      <c r="E8" s="353">
        <v>1262805514.85218</v>
      </c>
      <c r="F8" s="353"/>
      <c r="G8" s="353"/>
      <c r="H8" s="354">
        <v>0</v>
      </c>
      <c r="I8" s="353"/>
      <c r="J8" s="354">
        <v>0</v>
      </c>
      <c r="K8" s="353"/>
      <c r="L8" s="353"/>
      <c r="M8" s="353"/>
      <c r="N8" s="353"/>
      <c r="O8" s="287">
        <v>0</v>
      </c>
      <c r="P8" s="287">
        <v>0</v>
      </c>
      <c r="Q8" s="287">
        <v>0</v>
      </c>
      <c r="R8" s="353">
        <v>1109703168.7388899</v>
      </c>
      <c r="S8" s="355">
        <v>1262805514852.1799</v>
      </c>
    </row>
    <row r="9" spans="1:19">
      <c r="A9" s="284" t="s">
        <v>161</v>
      </c>
      <c r="B9" s="353">
        <v>589494683.22099996</v>
      </c>
      <c r="C9" s="353">
        <v>589494683.22099996</v>
      </c>
      <c r="D9" s="354">
        <v>49536662.501180001</v>
      </c>
      <c r="E9" s="353">
        <v>456703107.33563</v>
      </c>
      <c r="F9" s="353"/>
      <c r="G9" s="353"/>
      <c r="H9" s="354">
        <v>0</v>
      </c>
      <c r="I9" s="353"/>
      <c r="J9" s="354">
        <v>0</v>
      </c>
      <c r="K9" s="353"/>
      <c r="L9" s="353"/>
      <c r="M9" s="353"/>
      <c r="N9" s="353"/>
      <c r="O9" s="287">
        <v>0</v>
      </c>
      <c r="P9" s="287">
        <v>0</v>
      </c>
      <c r="Q9" s="287">
        <v>0</v>
      </c>
      <c r="R9" s="353">
        <v>407166444.83445001</v>
      </c>
      <c r="S9" s="355">
        <v>456703107335.63</v>
      </c>
    </row>
    <row r="10" spans="1:19">
      <c r="A10" s="284" t="s">
        <v>163</v>
      </c>
      <c r="B10" s="353">
        <v>581745641.38</v>
      </c>
      <c r="C10" s="353">
        <v>581745641.38</v>
      </c>
      <c r="D10" s="354">
        <v>49019580.654480003</v>
      </c>
      <c r="E10" s="353">
        <v>451867443.66903001</v>
      </c>
      <c r="F10" s="353"/>
      <c r="G10" s="353"/>
      <c r="H10" s="354">
        <v>0</v>
      </c>
      <c r="I10" s="353"/>
      <c r="J10" s="354">
        <v>0</v>
      </c>
      <c r="K10" s="353"/>
      <c r="L10" s="353"/>
      <c r="M10" s="353"/>
      <c r="N10" s="353"/>
      <c r="O10" s="287">
        <v>0</v>
      </c>
      <c r="P10" s="287">
        <v>0</v>
      </c>
      <c r="Q10" s="287">
        <v>0</v>
      </c>
      <c r="R10" s="353">
        <v>402847863.01454997</v>
      </c>
      <c r="S10" s="355">
        <v>451867443669.03003</v>
      </c>
    </row>
    <row r="11" spans="1:19">
      <c r="A11" s="284" t="s">
        <v>164</v>
      </c>
      <c r="B11" s="353">
        <v>7749041.841</v>
      </c>
      <c r="C11" s="353">
        <v>7749041.841</v>
      </c>
      <c r="D11" s="354">
        <v>517081.84670000098</v>
      </c>
      <c r="E11" s="353">
        <v>4835663.6666000001</v>
      </c>
      <c r="F11" s="353"/>
      <c r="G11" s="353"/>
      <c r="H11" s="354">
        <v>0</v>
      </c>
      <c r="I11" s="353"/>
      <c r="J11" s="354">
        <v>0</v>
      </c>
      <c r="K11" s="353"/>
      <c r="L11" s="353"/>
      <c r="M11" s="353"/>
      <c r="N11" s="353"/>
      <c r="O11" s="287">
        <v>0</v>
      </c>
      <c r="P11" s="287">
        <v>0</v>
      </c>
      <c r="Q11" s="287">
        <v>0</v>
      </c>
      <c r="R11" s="353">
        <v>4318581.8198999995</v>
      </c>
      <c r="S11" s="355">
        <v>4835663666.6000004</v>
      </c>
    </row>
    <row r="12" spans="1:19">
      <c r="A12" s="284" t="s">
        <v>165</v>
      </c>
      <c r="B12" s="353"/>
      <c r="C12" s="353"/>
      <c r="D12" s="354">
        <v>0</v>
      </c>
      <c r="E12" s="353"/>
      <c r="F12" s="353"/>
      <c r="G12" s="353"/>
      <c r="H12" s="354">
        <v>0</v>
      </c>
      <c r="I12" s="353"/>
      <c r="J12" s="354">
        <v>0</v>
      </c>
      <c r="K12" s="353"/>
      <c r="L12" s="353"/>
      <c r="M12" s="353"/>
      <c r="N12" s="353"/>
      <c r="O12" s="287">
        <v>0</v>
      </c>
      <c r="P12" s="287">
        <v>0</v>
      </c>
      <c r="Q12" s="287">
        <v>0</v>
      </c>
      <c r="R12" s="353"/>
      <c r="S12" s="355"/>
    </row>
    <row r="13" spans="1:19">
      <c r="A13" s="284" t="s">
        <v>166</v>
      </c>
      <c r="B13" s="353">
        <v>884493099.653</v>
      </c>
      <c r="C13" s="353">
        <v>884493099.653</v>
      </c>
      <c r="D13" s="354">
        <v>82887675.173109993</v>
      </c>
      <c r="E13" s="353">
        <v>626839888.47123003</v>
      </c>
      <c r="F13" s="353"/>
      <c r="G13" s="353"/>
      <c r="H13" s="354">
        <v>0</v>
      </c>
      <c r="I13" s="353"/>
      <c r="J13" s="354">
        <v>0</v>
      </c>
      <c r="K13" s="353"/>
      <c r="L13" s="353"/>
      <c r="M13" s="353"/>
      <c r="N13" s="353"/>
      <c r="O13" s="287">
        <v>0</v>
      </c>
      <c r="P13" s="287">
        <v>0</v>
      </c>
      <c r="Q13" s="287">
        <v>0</v>
      </c>
      <c r="R13" s="353">
        <v>543952213.29812002</v>
      </c>
      <c r="S13" s="355">
        <v>626839888471.22998</v>
      </c>
    </row>
    <row r="14" spans="1:19">
      <c r="A14" s="284" t="s">
        <v>167</v>
      </c>
      <c r="B14" s="353">
        <v>869209178.26400006</v>
      </c>
      <c r="C14" s="353">
        <v>869209178.26400006</v>
      </c>
      <c r="D14" s="354">
        <v>80621592.6412801</v>
      </c>
      <c r="E14" s="353">
        <v>610268252.41602004</v>
      </c>
      <c r="F14" s="353"/>
      <c r="G14" s="353"/>
      <c r="H14" s="354">
        <v>0</v>
      </c>
      <c r="I14" s="353"/>
      <c r="J14" s="354">
        <v>0</v>
      </c>
      <c r="K14" s="353"/>
      <c r="L14" s="353"/>
      <c r="M14" s="353"/>
      <c r="N14" s="353"/>
      <c r="O14" s="287">
        <v>0</v>
      </c>
      <c r="P14" s="287">
        <v>0</v>
      </c>
      <c r="Q14" s="287">
        <v>0</v>
      </c>
      <c r="R14" s="353">
        <v>529646659.77473998</v>
      </c>
      <c r="S14" s="355">
        <v>610268252416.02002</v>
      </c>
    </row>
    <row r="15" spans="1:19">
      <c r="A15" s="284" t="s">
        <v>168</v>
      </c>
      <c r="B15" s="353">
        <v>15283921.389</v>
      </c>
      <c r="C15" s="353">
        <v>15283921.389</v>
      </c>
      <c r="D15" s="354">
        <v>2266082.5318300002</v>
      </c>
      <c r="E15" s="353">
        <v>16571636.05521</v>
      </c>
      <c r="F15" s="353"/>
      <c r="G15" s="353"/>
      <c r="H15" s="354">
        <v>0</v>
      </c>
      <c r="I15" s="353"/>
      <c r="J15" s="354">
        <v>0</v>
      </c>
      <c r="K15" s="353"/>
      <c r="L15" s="353"/>
      <c r="M15" s="353"/>
      <c r="N15" s="353"/>
      <c r="O15" s="287">
        <v>0</v>
      </c>
      <c r="P15" s="287">
        <v>0</v>
      </c>
      <c r="Q15" s="287">
        <v>0</v>
      </c>
      <c r="R15" s="353">
        <v>14305553.52338</v>
      </c>
      <c r="S15" s="355">
        <v>16571636055.209999</v>
      </c>
    </row>
    <row r="16" spans="1:19" ht="21">
      <c r="A16" s="284" t="s">
        <v>169</v>
      </c>
      <c r="B16" s="353"/>
      <c r="C16" s="353"/>
      <c r="D16" s="354">
        <v>0</v>
      </c>
      <c r="E16" s="353"/>
      <c r="F16" s="353"/>
      <c r="G16" s="353"/>
      <c r="H16" s="354">
        <v>0</v>
      </c>
      <c r="I16" s="353"/>
      <c r="J16" s="354">
        <v>0</v>
      </c>
      <c r="K16" s="353"/>
      <c r="L16" s="353"/>
      <c r="M16" s="353"/>
      <c r="N16" s="353"/>
      <c r="O16" s="287">
        <v>0</v>
      </c>
      <c r="P16" s="287">
        <v>0</v>
      </c>
      <c r="Q16" s="287">
        <v>0</v>
      </c>
      <c r="R16" s="353"/>
      <c r="S16" s="355"/>
    </row>
    <row r="17" spans="1:19">
      <c r="A17" s="284" t="s">
        <v>170</v>
      </c>
      <c r="B17" s="353">
        <v>91079246.821999997</v>
      </c>
      <c r="C17" s="353">
        <v>91079246.821999997</v>
      </c>
      <c r="D17" s="354">
        <v>14958893.727779999</v>
      </c>
      <c r="E17" s="353">
        <v>103580156.31433</v>
      </c>
      <c r="F17" s="353"/>
      <c r="G17" s="353"/>
      <c r="H17" s="354">
        <v>0</v>
      </c>
      <c r="I17" s="353"/>
      <c r="J17" s="354">
        <v>0</v>
      </c>
      <c r="K17" s="353"/>
      <c r="L17" s="353"/>
      <c r="M17" s="353"/>
      <c r="N17" s="353"/>
      <c r="O17" s="287">
        <v>0</v>
      </c>
      <c r="P17" s="287">
        <v>0</v>
      </c>
      <c r="Q17" s="287">
        <v>0</v>
      </c>
      <c r="R17" s="353">
        <v>88621262.586549997</v>
      </c>
      <c r="S17" s="355">
        <v>103580156314.33</v>
      </c>
    </row>
    <row r="18" spans="1:19">
      <c r="A18" s="284" t="s">
        <v>171</v>
      </c>
      <c r="B18" s="353">
        <v>2453289.2220000001</v>
      </c>
      <c r="C18" s="353">
        <v>2453289.2220000001</v>
      </c>
      <c r="D18" s="354">
        <v>230465.35126</v>
      </c>
      <c r="E18" s="353">
        <v>1955220.0037</v>
      </c>
      <c r="F18" s="353"/>
      <c r="G18" s="353"/>
      <c r="H18" s="354">
        <v>0</v>
      </c>
      <c r="I18" s="353"/>
      <c r="J18" s="354">
        <v>0</v>
      </c>
      <c r="K18" s="353"/>
      <c r="L18" s="353"/>
      <c r="M18" s="353"/>
      <c r="N18" s="353"/>
      <c r="O18" s="287">
        <v>0</v>
      </c>
      <c r="P18" s="287">
        <v>0</v>
      </c>
      <c r="Q18" s="287">
        <v>0</v>
      </c>
      <c r="R18" s="353">
        <v>1724754.6524400001</v>
      </c>
      <c r="S18" s="355">
        <v>1955220003.7</v>
      </c>
    </row>
    <row r="19" spans="1:19">
      <c r="A19" s="284" t="s">
        <v>172</v>
      </c>
      <c r="B19" s="353">
        <v>19944753.103999998</v>
      </c>
      <c r="C19" s="353">
        <v>19944753.103999998</v>
      </c>
      <c r="D19" s="354">
        <v>8510902.1404599994</v>
      </c>
      <c r="E19" s="353">
        <v>34392816.486309998</v>
      </c>
      <c r="F19" s="353"/>
      <c r="G19" s="353"/>
      <c r="H19" s="354">
        <v>0</v>
      </c>
      <c r="I19" s="353"/>
      <c r="J19" s="354">
        <v>0</v>
      </c>
      <c r="K19" s="353"/>
      <c r="L19" s="353"/>
      <c r="M19" s="353"/>
      <c r="N19" s="353"/>
      <c r="O19" s="287">
        <v>0</v>
      </c>
      <c r="P19" s="287">
        <v>0</v>
      </c>
      <c r="Q19" s="287">
        <v>0</v>
      </c>
      <c r="R19" s="353">
        <v>25881914.345849998</v>
      </c>
      <c r="S19" s="355">
        <v>34392816486.309998</v>
      </c>
    </row>
    <row r="20" spans="1:19" ht="21">
      <c r="A20" s="284" t="s">
        <v>173</v>
      </c>
      <c r="B20" s="353">
        <v>3843891.6340000001</v>
      </c>
      <c r="C20" s="353">
        <v>3843891.6340000001</v>
      </c>
      <c r="D20" s="354">
        <v>414563.81092999998</v>
      </c>
      <c r="E20" s="353">
        <v>1380964.5406899999</v>
      </c>
      <c r="F20" s="353"/>
      <c r="G20" s="353"/>
      <c r="H20" s="354">
        <v>0</v>
      </c>
      <c r="I20" s="353"/>
      <c r="J20" s="354">
        <v>0</v>
      </c>
      <c r="K20" s="353"/>
      <c r="L20" s="353"/>
      <c r="M20" s="353"/>
      <c r="N20" s="353"/>
      <c r="O20" s="287">
        <v>-2.3841857910156298E-7</v>
      </c>
      <c r="P20" s="287">
        <v>0</v>
      </c>
      <c r="Q20" s="287">
        <v>0</v>
      </c>
      <c r="R20" s="353">
        <v>966400.72976000002</v>
      </c>
      <c r="S20" s="355">
        <v>1380964540.6900001</v>
      </c>
    </row>
    <row r="21" spans="1:19">
      <c r="A21" s="284" t="s">
        <v>174</v>
      </c>
      <c r="B21" s="353">
        <v>58718265.567000002</v>
      </c>
      <c r="C21" s="353">
        <v>58718265.567000002</v>
      </c>
      <c r="D21" s="354">
        <v>5215935.9199999897</v>
      </c>
      <c r="E21" s="353">
        <v>61044511.258199997</v>
      </c>
      <c r="F21" s="353"/>
      <c r="G21" s="353"/>
      <c r="H21" s="354">
        <v>0</v>
      </c>
      <c r="I21" s="353"/>
      <c r="J21" s="354">
        <v>0</v>
      </c>
      <c r="K21" s="353"/>
      <c r="L21" s="353"/>
      <c r="M21" s="353"/>
      <c r="N21" s="353"/>
      <c r="O21" s="287">
        <v>0</v>
      </c>
      <c r="P21" s="287">
        <v>0</v>
      </c>
      <c r="Q21" s="287">
        <v>0</v>
      </c>
      <c r="R21" s="353">
        <v>55828575.338200003</v>
      </c>
      <c r="S21" s="355">
        <v>61044511258.199997</v>
      </c>
    </row>
    <row r="22" spans="1:19">
      <c r="A22" s="284" t="s">
        <v>175</v>
      </c>
      <c r="B22" s="353">
        <v>20.855</v>
      </c>
      <c r="C22" s="353">
        <v>20.855</v>
      </c>
      <c r="D22" s="354">
        <v>0.75</v>
      </c>
      <c r="E22" s="353">
        <v>10.388</v>
      </c>
      <c r="F22" s="353"/>
      <c r="G22" s="353"/>
      <c r="H22" s="354">
        <v>0</v>
      </c>
      <c r="I22" s="353"/>
      <c r="J22" s="354">
        <v>0</v>
      </c>
      <c r="K22" s="353"/>
      <c r="L22" s="353"/>
      <c r="M22" s="353"/>
      <c r="N22" s="353"/>
      <c r="O22" s="287">
        <v>0</v>
      </c>
      <c r="P22" s="287">
        <v>0</v>
      </c>
      <c r="Q22" s="287">
        <v>0</v>
      </c>
      <c r="R22" s="353">
        <v>9.6379999999999999</v>
      </c>
      <c r="S22" s="355">
        <v>10388</v>
      </c>
    </row>
    <row r="23" spans="1:19">
      <c r="A23" s="284" t="s">
        <v>176</v>
      </c>
      <c r="B23" s="353">
        <v>3732646.4819999998</v>
      </c>
      <c r="C23" s="353">
        <v>3732646.4819999998</v>
      </c>
      <c r="D23" s="354">
        <v>369464.79519999999</v>
      </c>
      <c r="E23" s="353">
        <v>2908180.8807999999</v>
      </c>
      <c r="F23" s="353"/>
      <c r="G23" s="353"/>
      <c r="H23" s="354">
        <v>0</v>
      </c>
      <c r="I23" s="353"/>
      <c r="J23" s="354">
        <v>0</v>
      </c>
      <c r="K23" s="353"/>
      <c r="L23" s="353"/>
      <c r="M23" s="353"/>
      <c r="N23" s="353"/>
      <c r="O23" s="287">
        <v>-4.76837158203125E-7</v>
      </c>
      <c r="P23" s="287">
        <v>0</v>
      </c>
      <c r="Q23" s="287">
        <v>0</v>
      </c>
      <c r="R23" s="353">
        <v>2538716.0855999999</v>
      </c>
      <c r="S23" s="355">
        <v>2908180880.8000002</v>
      </c>
    </row>
    <row r="24" spans="1:19">
      <c r="A24" s="284" t="s">
        <v>178</v>
      </c>
      <c r="B24" s="353">
        <v>2386379.9580000001</v>
      </c>
      <c r="C24" s="353">
        <v>2386379.9580000001</v>
      </c>
      <c r="D24" s="354">
        <v>217560.95993000001</v>
      </c>
      <c r="E24" s="353">
        <v>1898452.75663</v>
      </c>
      <c r="F24" s="353"/>
      <c r="G24" s="353"/>
      <c r="H24" s="354">
        <v>0</v>
      </c>
      <c r="I24" s="353"/>
      <c r="J24" s="354">
        <v>0</v>
      </c>
      <c r="K24" s="353"/>
      <c r="L24" s="353"/>
      <c r="M24" s="353"/>
      <c r="N24" s="353"/>
      <c r="O24" s="287">
        <v>-2.3841857910156298E-7</v>
      </c>
      <c r="P24" s="287">
        <v>0</v>
      </c>
      <c r="Q24" s="287">
        <v>0</v>
      </c>
      <c r="R24" s="353">
        <v>1680891.7967000001</v>
      </c>
      <c r="S24" s="355">
        <v>1898452756.6300001</v>
      </c>
    </row>
    <row r="25" spans="1:19">
      <c r="A25" s="284" t="s">
        <v>179</v>
      </c>
      <c r="B25" s="353">
        <v>23008.38</v>
      </c>
      <c r="C25" s="353">
        <v>23008.38</v>
      </c>
      <c r="D25" s="354">
        <v>2120.8514</v>
      </c>
      <c r="E25" s="353">
        <v>19647.63063</v>
      </c>
      <c r="F25" s="353"/>
      <c r="G25" s="353"/>
      <c r="H25" s="354">
        <v>0</v>
      </c>
      <c r="I25" s="353"/>
      <c r="J25" s="354">
        <v>0</v>
      </c>
      <c r="K25" s="353"/>
      <c r="L25" s="353"/>
      <c r="M25" s="353"/>
      <c r="N25" s="353"/>
      <c r="O25" s="287">
        <v>0</v>
      </c>
      <c r="P25" s="287">
        <v>0</v>
      </c>
      <c r="Q25" s="287">
        <v>0</v>
      </c>
      <c r="R25" s="353">
        <v>17526.77923</v>
      </c>
      <c r="S25" s="355">
        <v>19647630.629999999</v>
      </c>
    </row>
    <row r="26" spans="1:19">
      <c r="A26" s="284" t="s">
        <v>180</v>
      </c>
      <c r="B26" s="353">
        <v>2060501.9280000001</v>
      </c>
      <c r="C26" s="353">
        <v>2060501.9280000001</v>
      </c>
      <c r="D26" s="354">
        <v>212388.96647000001</v>
      </c>
      <c r="E26" s="353">
        <v>1328835.29678</v>
      </c>
      <c r="F26" s="353"/>
      <c r="G26" s="353"/>
      <c r="H26" s="354">
        <v>0</v>
      </c>
      <c r="I26" s="353"/>
      <c r="J26" s="354">
        <v>0</v>
      </c>
      <c r="K26" s="353"/>
      <c r="L26" s="353"/>
      <c r="M26" s="353"/>
      <c r="N26" s="353"/>
      <c r="O26" s="287">
        <v>0</v>
      </c>
      <c r="P26" s="287">
        <v>0</v>
      </c>
      <c r="Q26" s="287">
        <v>0</v>
      </c>
      <c r="R26" s="353">
        <v>1116446.3303100001</v>
      </c>
      <c r="S26" s="355">
        <v>1328835296.78</v>
      </c>
    </row>
    <row r="27" spans="1:19">
      <c r="A27" s="284" t="s">
        <v>183</v>
      </c>
      <c r="B27" s="353">
        <v>45670055.241999999</v>
      </c>
      <c r="C27" s="353">
        <v>45670055.241999999</v>
      </c>
      <c r="D27" s="354">
        <v>2905186.5324900001</v>
      </c>
      <c r="E27" s="353">
        <v>36411703.649049997</v>
      </c>
      <c r="F27" s="353"/>
      <c r="G27" s="353"/>
      <c r="H27" s="354">
        <v>0</v>
      </c>
      <c r="I27" s="353"/>
      <c r="J27" s="354">
        <v>0</v>
      </c>
      <c r="K27" s="353"/>
      <c r="L27" s="353"/>
      <c r="M27" s="353"/>
      <c r="N27" s="353"/>
      <c r="O27" s="287">
        <v>-7.62939453125E-6</v>
      </c>
      <c r="P27" s="287">
        <v>0</v>
      </c>
      <c r="Q27" s="287">
        <v>0</v>
      </c>
      <c r="R27" s="353">
        <v>33506517.116560001</v>
      </c>
      <c r="S27" s="355">
        <v>36411703649.050003</v>
      </c>
    </row>
    <row r="28" spans="1:19">
      <c r="A28" s="284" t="s">
        <v>184</v>
      </c>
      <c r="B28" s="353">
        <v>3331667.3309999998</v>
      </c>
      <c r="C28" s="353">
        <v>3331667.3309999998</v>
      </c>
      <c r="D28" s="354">
        <v>463462.54067000002</v>
      </c>
      <c r="E28" s="353">
        <v>2818567.4599899999</v>
      </c>
      <c r="F28" s="353"/>
      <c r="G28" s="353"/>
      <c r="H28" s="354">
        <v>0</v>
      </c>
      <c r="I28" s="353"/>
      <c r="J28" s="354">
        <v>0</v>
      </c>
      <c r="K28" s="353"/>
      <c r="L28" s="353"/>
      <c r="M28" s="353"/>
      <c r="N28" s="353"/>
      <c r="O28" s="287">
        <v>0</v>
      </c>
      <c r="P28" s="287">
        <v>0</v>
      </c>
      <c r="Q28" s="287">
        <v>0</v>
      </c>
      <c r="R28" s="353">
        <v>2355104.9193199999</v>
      </c>
      <c r="S28" s="355">
        <v>2818567459.9899998</v>
      </c>
    </row>
    <row r="29" spans="1:19">
      <c r="A29" s="284" t="s">
        <v>185</v>
      </c>
      <c r="B29" s="353">
        <v>3153330.3829999999</v>
      </c>
      <c r="C29" s="353">
        <v>3153330.3829999999</v>
      </c>
      <c r="D29" s="354">
        <v>178516.198</v>
      </c>
      <c r="E29" s="353">
        <v>1335703.78905</v>
      </c>
      <c r="F29" s="353"/>
      <c r="G29" s="353"/>
      <c r="H29" s="354">
        <v>0</v>
      </c>
      <c r="I29" s="353"/>
      <c r="J29" s="354">
        <v>0</v>
      </c>
      <c r="K29" s="353"/>
      <c r="L29" s="353"/>
      <c r="M29" s="353"/>
      <c r="N29" s="353"/>
      <c r="O29" s="287">
        <v>0</v>
      </c>
      <c r="P29" s="287">
        <v>0</v>
      </c>
      <c r="Q29" s="287">
        <v>0</v>
      </c>
      <c r="R29" s="353">
        <v>1157187.5910499999</v>
      </c>
      <c r="S29" s="355">
        <v>1335703789.05</v>
      </c>
    </row>
    <row r="30" spans="1:19">
      <c r="A30" s="284" t="s">
        <v>186</v>
      </c>
      <c r="B30" s="353">
        <v>2343884.446</v>
      </c>
      <c r="C30" s="353">
        <v>2343884.446</v>
      </c>
      <c r="D30" s="354">
        <v>194233.4694</v>
      </c>
      <c r="E30" s="353">
        <v>1449762.4094700001</v>
      </c>
      <c r="F30" s="353"/>
      <c r="G30" s="353"/>
      <c r="H30" s="354">
        <v>0</v>
      </c>
      <c r="I30" s="353"/>
      <c r="J30" s="354">
        <v>0</v>
      </c>
      <c r="K30" s="353"/>
      <c r="L30" s="353"/>
      <c r="M30" s="353"/>
      <c r="N30" s="353"/>
      <c r="O30" s="287">
        <v>0</v>
      </c>
      <c r="P30" s="287">
        <v>0</v>
      </c>
      <c r="Q30" s="287">
        <v>0</v>
      </c>
      <c r="R30" s="353">
        <v>1255528.94007</v>
      </c>
      <c r="S30" s="355">
        <v>1449762409.47</v>
      </c>
    </row>
    <row r="31" spans="1:19">
      <c r="A31" s="284" t="s">
        <v>187</v>
      </c>
      <c r="B31" s="353">
        <v>36820550.347999997</v>
      </c>
      <c r="C31" s="353">
        <v>36820550.347999997</v>
      </c>
      <c r="D31" s="354">
        <v>2065055.3432799999</v>
      </c>
      <c r="E31" s="353">
        <v>30773524.32471</v>
      </c>
      <c r="F31" s="353"/>
      <c r="G31" s="353"/>
      <c r="H31" s="354">
        <v>0</v>
      </c>
      <c r="I31" s="353"/>
      <c r="J31" s="354">
        <v>0</v>
      </c>
      <c r="K31" s="353"/>
      <c r="L31" s="353"/>
      <c r="M31" s="353"/>
      <c r="N31" s="353"/>
      <c r="O31" s="287">
        <v>0</v>
      </c>
      <c r="P31" s="287">
        <v>0</v>
      </c>
      <c r="Q31" s="287">
        <v>0</v>
      </c>
      <c r="R31" s="353">
        <v>28708468.981430002</v>
      </c>
      <c r="S31" s="355">
        <v>30773524324.709999</v>
      </c>
    </row>
    <row r="32" spans="1:19">
      <c r="A32" s="284" t="s">
        <v>188</v>
      </c>
      <c r="B32" s="353">
        <v>20622.734</v>
      </c>
      <c r="C32" s="353">
        <v>20622.734</v>
      </c>
      <c r="D32" s="354">
        <v>3918.9811399999999</v>
      </c>
      <c r="E32" s="353">
        <v>34145.665829999998</v>
      </c>
      <c r="F32" s="353"/>
      <c r="G32" s="353"/>
      <c r="H32" s="354">
        <v>0</v>
      </c>
      <c r="I32" s="353"/>
      <c r="J32" s="354">
        <v>0</v>
      </c>
      <c r="K32" s="353"/>
      <c r="L32" s="353"/>
      <c r="M32" s="353"/>
      <c r="N32" s="353"/>
      <c r="O32" s="287">
        <v>0</v>
      </c>
      <c r="P32" s="287">
        <v>0</v>
      </c>
      <c r="Q32" s="287">
        <v>0</v>
      </c>
      <c r="R32" s="353">
        <v>30226.684689999998</v>
      </c>
      <c r="S32" s="355">
        <v>34145665.829999998</v>
      </c>
    </row>
    <row r="33" spans="1:19">
      <c r="A33" s="284" t="s">
        <v>189</v>
      </c>
      <c r="B33" s="353">
        <v>459747.93300000002</v>
      </c>
      <c r="C33" s="353">
        <v>459747.93300000002</v>
      </c>
      <c r="D33" s="354">
        <v>73458.137400000007</v>
      </c>
      <c r="E33" s="353">
        <v>413203.80242999998</v>
      </c>
      <c r="F33" s="353"/>
      <c r="G33" s="353"/>
      <c r="H33" s="354">
        <v>0</v>
      </c>
      <c r="I33" s="353"/>
      <c r="J33" s="354">
        <v>0</v>
      </c>
      <c r="K33" s="353"/>
      <c r="L33" s="353"/>
      <c r="M33" s="353"/>
      <c r="N33" s="353"/>
      <c r="O33" s="287">
        <v>0</v>
      </c>
      <c r="P33" s="287">
        <v>0</v>
      </c>
      <c r="Q33" s="287">
        <v>0</v>
      </c>
      <c r="R33" s="353">
        <v>339745.66502999997</v>
      </c>
      <c r="S33" s="355">
        <v>413203802.43000001</v>
      </c>
    </row>
    <row r="34" spans="1:19">
      <c r="A34" s="284" t="s">
        <v>190</v>
      </c>
      <c r="B34" s="353">
        <v>168314.772</v>
      </c>
      <c r="C34" s="353">
        <v>168314.772</v>
      </c>
      <c r="D34" s="354">
        <v>45248.090479999999</v>
      </c>
      <c r="E34" s="353">
        <v>236521.26973999999</v>
      </c>
      <c r="F34" s="353"/>
      <c r="G34" s="353"/>
      <c r="H34" s="354">
        <v>0</v>
      </c>
      <c r="I34" s="353"/>
      <c r="J34" s="354">
        <v>0</v>
      </c>
      <c r="K34" s="353"/>
      <c r="L34" s="353"/>
      <c r="M34" s="353"/>
      <c r="N34" s="353"/>
      <c r="O34" s="287">
        <v>-2.9802322387695299E-8</v>
      </c>
      <c r="P34" s="287">
        <v>0</v>
      </c>
      <c r="Q34" s="287">
        <v>0</v>
      </c>
      <c r="R34" s="353">
        <v>191273.17926</v>
      </c>
      <c r="S34" s="355">
        <v>236521269.74000001</v>
      </c>
    </row>
    <row r="35" spans="1:19">
      <c r="A35" s="284" t="s">
        <v>191</v>
      </c>
      <c r="B35" s="353">
        <v>27388.898000000001</v>
      </c>
      <c r="C35" s="353">
        <v>27388.898000000001</v>
      </c>
      <c r="D35" s="354">
        <v>7346.4689699999999</v>
      </c>
      <c r="E35" s="353">
        <v>22703.405760000001</v>
      </c>
      <c r="F35" s="353"/>
      <c r="G35" s="353"/>
      <c r="H35" s="354">
        <v>0</v>
      </c>
      <c r="I35" s="353"/>
      <c r="J35" s="354">
        <v>0</v>
      </c>
      <c r="K35" s="353"/>
      <c r="L35" s="353"/>
      <c r="M35" s="353"/>
      <c r="N35" s="353"/>
      <c r="O35" s="287">
        <v>0</v>
      </c>
      <c r="P35" s="287">
        <v>0</v>
      </c>
      <c r="Q35" s="287">
        <v>0</v>
      </c>
      <c r="R35" s="353">
        <v>15356.93679</v>
      </c>
      <c r="S35" s="355">
        <v>22703405.760000002</v>
      </c>
    </row>
    <row r="36" spans="1:19">
      <c r="A36" s="284" t="s">
        <v>192</v>
      </c>
      <c r="B36" s="353">
        <v>1459.866</v>
      </c>
      <c r="C36" s="353">
        <v>1459.866</v>
      </c>
      <c r="D36" s="354">
        <v>1311.6654799999999</v>
      </c>
      <c r="E36" s="353">
        <v>4161.0832899999996</v>
      </c>
      <c r="F36" s="353"/>
      <c r="G36" s="353"/>
      <c r="H36" s="354">
        <v>0</v>
      </c>
      <c r="I36" s="353"/>
      <c r="J36" s="354">
        <v>0</v>
      </c>
      <c r="K36" s="353"/>
      <c r="L36" s="353"/>
      <c r="M36" s="353"/>
      <c r="N36" s="353"/>
      <c r="O36" s="287">
        <v>-4.65661287307739E-10</v>
      </c>
      <c r="P36" s="287">
        <v>0</v>
      </c>
      <c r="Q36" s="287">
        <v>0</v>
      </c>
      <c r="R36" s="353">
        <v>2849.4178099999999</v>
      </c>
      <c r="S36" s="355">
        <v>4161083.29</v>
      </c>
    </row>
    <row r="37" spans="1:19">
      <c r="A37" s="284" t="s">
        <v>193</v>
      </c>
      <c r="B37" s="353">
        <v>254820.14600000001</v>
      </c>
      <c r="C37" s="353">
        <v>254820.14600000001</v>
      </c>
      <c r="D37" s="354">
        <v>15677.17188</v>
      </c>
      <c r="E37" s="353">
        <v>145087.43896999999</v>
      </c>
      <c r="F37" s="353"/>
      <c r="G37" s="353"/>
      <c r="H37" s="354">
        <v>0</v>
      </c>
      <c r="I37" s="353"/>
      <c r="J37" s="354">
        <v>0</v>
      </c>
      <c r="K37" s="353"/>
      <c r="L37" s="353"/>
      <c r="M37" s="353"/>
      <c r="N37" s="353"/>
      <c r="O37" s="287">
        <v>0</v>
      </c>
      <c r="P37" s="287">
        <v>0</v>
      </c>
      <c r="Q37" s="287">
        <v>0</v>
      </c>
      <c r="R37" s="353">
        <v>129410.26708999999</v>
      </c>
      <c r="S37" s="355">
        <v>145087438.97</v>
      </c>
    </row>
    <row r="38" spans="1:19">
      <c r="A38" s="284" t="s">
        <v>194</v>
      </c>
      <c r="B38" s="353"/>
      <c r="C38" s="353"/>
      <c r="D38" s="354">
        <v>0</v>
      </c>
      <c r="E38" s="353"/>
      <c r="F38" s="353"/>
      <c r="G38" s="353"/>
      <c r="H38" s="354">
        <v>0</v>
      </c>
      <c r="I38" s="353"/>
      <c r="J38" s="354">
        <v>0</v>
      </c>
      <c r="K38" s="353"/>
      <c r="L38" s="353"/>
      <c r="M38" s="353"/>
      <c r="N38" s="353"/>
      <c r="O38" s="287">
        <v>0</v>
      </c>
      <c r="P38" s="287">
        <v>0</v>
      </c>
      <c r="Q38" s="287">
        <v>0</v>
      </c>
      <c r="R38" s="353"/>
      <c r="S38" s="355"/>
    </row>
    <row r="39" spans="1:19">
      <c r="A39" s="284" t="s">
        <v>195</v>
      </c>
      <c r="B39" s="353">
        <v>6500</v>
      </c>
      <c r="C39" s="353">
        <v>6500</v>
      </c>
      <c r="D39" s="354">
        <v>0</v>
      </c>
      <c r="E39" s="353">
        <v>335.36158999999998</v>
      </c>
      <c r="F39" s="353"/>
      <c r="G39" s="353"/>
      <c r="H39" s="354">
        <v>0</v>
      </c>
      <c r="I39" s="353"/>
      <c r="J39" s="354">
        <v>0</v>
      </c>
      <c r="K39" s="353"/>
      <c r="L39" s="353"/>
      <c r="M39" s="353"/>
      <c r="N39" s="353"/>
      <c r="O39" s="287">
        <v>-5.8207660913467401E-11</v>
      </c>
      <c r="P39" s="287">
        <v>0</v>
      </c>
      <c r="Q39" s="287">
        <v>0</v>
      </c>
      <c r="R39" s="353">
        <v>335.36158999999998</v>
      </c>
      <c r="S39" s="355">
        <v>335361.59000000003</v>
      </c>
    </row>
    <row r="40" spans="1:19">
      <c r="A40" s="284" t="s">
        <v>196</v>
      </c>
      <c r="B40" s="353">
        <v>1250.365</v>
      </c>
      <c r="C40" s="353">
        <v>1250.365</v>
      </c>
      <c r="D40" s="354">
        <v>3873.8830699999999</v>
      </c>
      <c r="E40" s="353">
        <v>4378.6839399999999</v>
      </c>
      <c r="F40" s="353"/>
      <c r="G40" s="353"/>
      <c r="H40" s="354">
        <v>0</v>
      </c>
      <c r="I40" s="353"/>
      <c r="J40" s="354">
        <v>0</v>
      </c>
      <c r="K40" s="353"/>
      <c r="L40" s="353"/>
      <c r="M40" s="353"/>
      <c r="N40" s="353"/>
      <c r="O40" s="287">
        <v>-9.3132257461547893E-10</v>
      </c>
      <c r="P40" s="287">
        <v>0</v>
      </c>
      <c r="Q40" s="287">
        <v>0</v>
      </c>
      <c r="R40" s="353">
        <v>504.80086999999997</v>
      </c>
      <c r="S40" s="355">
        <v>4378683.9400000004</v>
      </c>
    </row>
    <row r="41" spans="1:19">
      <c r="A41" s="284" t="s">
        <v>197</v>
      </c>
      <c r="B41" s="353">
        <v>13.885999999999999</v>
      </c>
      <c r="C41" s="353">
        <v>13.885999999999999</v>
      </c>
      <c r="D41" s="354">
        <v>0.85751999999999895</v>
      </c>
      <c r="E41" s="353">
        <v>16.559139999999999</v>
      </c>
      <c r="F41" s="353"/>
      <c r="G41" s="353"/>
      <c r="H41" s="354">
        <v>0</v>
      </c>
      <c r="I41" s="353"/>
      <c r="J41" s="354">
        <v>0</v>
      </c>
      <c r="K41" s="353"/>
      <c r="L41" s="353"/>
      <c r="M41" s="353"/>
      <c r="N41" s="353"/>
      <c r="O41" s="287">
        <v>0</v>
      </c>
      <c r="P41" s="287">
        <v>0</v>
      </c>
      <c r="Q41" s="287">
        <v>0</v>
      </c>
      <c r="R41" s="353">
        <v>15.70162</v>
      </c>
      <c r="S41" s="355">
        <v>16559.14</v>
      </c>
    </row>
    <row r="42" spans="1:19">
      <c r="A42" s="284" t="s">
        <v>199</v>
      </c>
      <c r="B42" s="353">
        <v>19539777.386999998</v>
      </c>
      <c r="C42" s="353">
        <v>19539777.386999998</v>
      </c>
      <c r="D42" s="354">
        <v>2525692.2440300002</v>
      </c>
      <c r="E42" s="353">
        <v>37505815.135399997</v>
      </c>
      <c r="F42" s="353"/>
      <c r="G42" s="353"/>
      <c r="H42" s="354">
        <v>0</v>
      </c>
      <c r="I42" s="353"/>
      <c r="J42" s="354">
        <v>0</v>
      </c>
      <c r="K42" s="353"/>
      <c r="L42" s="353"/>
      <c r="M42" s="353"/>
      <c r="N42" s="353"/>
      <c r="O42" s="287">
        <v>-7.62939453125E-6</v>
      </c>
      <c r="P42" s="287">
        <v>0</v>
      </c>
      <c r="Q42" s="287">
        <v>0</v>
      </c>
      <c r="R42" s="353">
        <v>34980122.891369998</v>
      </c>
      <c r="S42" s="355">
        <v>37505815135.400002</v>
      </c>
    </row>
    <row r="43" spans="1:19">
      <c r="A43" s="284" t="s">
        <v>200</v>
      </c>
      <c r="B43" s="353">
        <v>5475907.0690000001</v>
      </c>
      <c r="C43" s="353">
        <v>5475907.0690000001</v>
      </c>
      <c r="D43" s="354">
        <v>818934.44093000004</v>
      </c>
      <c r="E43" s="353">
        <v>5619646.0842399998</v>
      </c>
      <c r="F43" s="353"/>
      <c r="G43" s="353"/>
      <c r="H43" s="354">
        <v>0</v>
      </c>
      <c r="I43" s="353"/>
      <c r="J43" s="354">
        <v>0</v>
      </c>
      <c r="K43" s="353"/>
      <c r="L43" s="353"/>
      <c r="M43" s="353"/>
      <c r="N43" s="353"/>
      <c r="O43" s="287">
        <v>0</v>
      </c>
      <c r="P43" s="287">
        <v>0</v>
      </c>
      <c r="Q43" s="287">
        <v>0</v>
      </c>
      <c r="R43" s="353">
        <v>4800711.6433100002</v>
      </c>
      <c r="S43" s="355">
        <v>5619646084.2399998</v>
      </c>
    </row>
    <row r="44" spans="1:19">
      <c r="A44" s="284" t="s">
        <v>201</v>
      </c>
      <c r="B44" s="353">
        <v>6975980.9170000004</v>
      </c>
      <c r="C44" s="353">
        <v>6975980.9170000004</v>
      </c>
      <c r="D44" s="354">
        <v>756622.26644000004</v>
      </c>
      <c r="E44" s="353">
        <v>20974816.20637</v>
      </c>
      <c r="F44" s="353"/>
      <c r="G44" s="353"/>
      <c r="H44" s="354">
        <v>0</v>
      </c>
      <c r="I44" s="353"/>
      <c r="J44" s="354">
        <v>0</v>
      </c>
      <c r="K44" s="353"/>
      <c r="L44" s="353"/>
      <c r="M44" s="353"/>
      <c r="N44" s="353"/>
      <c r="O44" s="287">
        <v>0</v>
      </c>
      <c r="P44" s="287">
        <v>0</v>
      </c>
      <c r="Q44" s="287">
        <v>0</v>
      </c>
      <c r="R44" s="353">
        <v>20218193.939929999</v>
      </c>
      <c r="S44" s="355">
        <v>20974816206.369999</v>
      </c>
    </row>
    <row r="45" spans="1:19">
      <c r="A45" s="284" t="s">
        <v>202</v>
      </c>
      <c r="B45" s="353">
        <v>1067305.9169999999</v>
      </c>
      <c r="C45" s="353">
        <v>1067305.9169999999</v>
      </c>
      <c r="D45" s="354">
        <v>101900.17309</v>
      </c>
      <c r="E45" s="353">
        <v>1197389.60479</v>
      </c>
      <c r="F45" s="353"/>
      <c r="G45" s="353"/>
      <c r="H45" s="354">
        <v>0</v>
      </c>
      <c r="I45" s="353"/>
      <c r="J45" s="354">
        <v>0</v>
      </c>
      <c r="K45" s="353"/>
      <c r="L45" s="353"/>
      <c r="M45" s="353"/>
      <c r="N45" s="353"/>
      <c r="O45" s="287">
        <v>0</v>
      </c>
      <c r="P45" s="287">
        <v>0</v>
      </c>
      <c r="Q45" s="287">
        <v>0</v>
      </c>
      <c r="R45" s="353">
        <v>1095489.4317000001</v>
      </c>
      <c r="S45" s="355">
        <v>1197389604.79</v>
      </c>
    </row>
    <row r="46" spans="1:19">
      <c r="A46" s="284" t="s">
        <v>203</v>
      </c>
      <c r="B46" s="353">
        <v>6020583.4840000002</v>
      </c>
      <c r="C46" s="353">
        <v>6020583.4840000002</v>
      </c>
      <c r="D46" s="354">
        <v>848235.36357000098</v>
      </c>
      <c r="E46" s="353">
        <v>9713963.2400000002</v>
      </c>
      <c r="F46" s="353"/>
      <c r="G46" s="353"/>
      <c r="H46" s="354">
        <v>0</v>
      </c>
      <c r="I46" s="353"/>
      <c r="J46" s="354">
        <v>0</v>
      </c>
      <c r="K46" s="353"/>
      <c r="L46" s="353"/>
      <c r="M46" s="353"/>
      <c r="N46" s="353"/>
      <c r="O46" s="287">
        <v>0</v>
      </c>
      <c r="P46" s="287">
        <v>0</v>
      </c>
      <c r="Q46" s="287">
        <v>0</v>
      </c>
      <c r="R46" s="353">
        <v>8865727.8764299992</v>
      </c>
      <c r="S46" s="355">
        <v>9713963240</v>
      </c>
    </row>
    <row r="47" spans="1:19">
      <c r="A47" s="284" t="s">
        <v>198</v>
      </c>
      <c r="B47" s="353"/>
      <c r="C47" s="353"/>
      <c r="D47" s="354">
        <v>267.97942999999998</v>
      </c>
      <c r="E47" s="353">
        <v>3157.2166999999999</v>
      </c>
      <c r="F47" s="353"/>
      <c r="G47" s="353"/>
      <c r="H47" s="354">
        <v>0</v>
      </c>
      <c r="I47" s="353"/>
      <c r="J47" s="354">
        <v>0</v>
      </c>
      <c r="K47" s="353"/>
      <c r="L47" s="353"/>
      <c r="M47" s="353"/>
      <c r="N47" s="353"/>
      <c r="O47" s="287">
        <v>-4.65661287307739E-10</v>
      </c>
      <c r="P47" s="287">
        <v>0</v>
      </c>
      <c r="Q47" s="287">
        <v>0</v>
      </c>
      <c r="R47" s="353">
        <v>2889.2372700000001</v>
      </c>
      <c r="S47" s="355">
        <v>3157216.7</v>
      </c>
    </row>
    <row r="48" spans="1:19">
      <c r="A48" s="284" t="s">
        <v>204</v>
      </c>
      <c r="B48" s="353">
        <v>913280508.73599994</v>
      </c>
      <c r="C48" s="353">
        <v>913280508.73599994</v>
      </c>
      <c r="D48" s="354">
        <v>19176766.06298</v>
      </c>
      <c r="E48" s="353">
        <v>298077672.95054001</v>
      </c>
      <c r="F48" s="353"/>
      <c r="G48" s="353"/>
      <c r="H48" s="354">
        <v>0</v>
      </c>
      <c r="I48" s="353"/>
      <c r="J48" s="354">
        <v>0</v>
      </c>
      <c r="K48" s="353"/>
      <c r="L48" s="353"/>
      <c r="M48" s="353"/>
      <c r="N48" s="353"/>
      <c r="O48" s="287">
        <v>0</v>
      </c>
      <c r="P48" s="287">
        <v>0</v>
      </c>
      <c r="Q48" s="287">
        <v>0</v>
      </c>
      <c r="R48" s="353">
        <v>278900906.88756001</v>
      </c>
      <c r="S48" s="355">
        <v>298077672950.53998</v>
      </c>
    </row>
    <row r="49" spans="1:19">
      <c r="A49" s="284" t="s">
        <v>205</v>
      </c>
      <c r="B49" s="353">
        <v>828770731.09300005</v>
      </c>
      <c r="C49" s="353">
        <v>828770731.09300005</v>
      </c>
      <c r="D49" s="354">
        <v>1416146.4778399901</v>
      </c>
      <c r="E49" s="353">
        <v>135626053.05344999</v>
      </c>
      <c r="F49" s="353"/>
      <c r="G49" s="353"/>
      <c r="H49" s="354">
        <v>0</v>
      </c>
      <c r="I49" s="353"/>
      <c r="J49" s="354">
        <v>0</v>
      </c>
      <c r="K49" s="353"/>
      <c r="L49" s="353"/>
      <c r="M49" s="353"/>
      <c r="N49" s="353"/>
      <c r="O49" s="287">
        <v>-1.52587890625E-5</v>
      </c>
      <c r="P49" s="287">
        <v>0</v>
      </c>
      <c r="Q49" s="287">
        <v>0</v>
      </c>
      <c r="R49" s="353">
        <v>134209906.57561</v>
      </c>
      <c r="S49" s="355">
        <v>135626053053.45</v>
      </c>
    </row>
    <row r="50" spans="1:19">
      <c r="A50" s="284" t="s">
        <v>206</v>
      </c>
      <c r="B50" s="353">
        <v>825994152.36500001</v>
      </c>
      <c r="C50" s="353">
        <v>825994152.36500001</v>
      </c>
      <c r="D50" s="354">
        <v>32561.262299999598</v>
      </c>
      <c r="E50" s="353">
        <v>111257597.83617</v>
      </c>
      <c r="F50" s="353"/>
      <c r="G50" s="353"/>
      <c r="H50" s="354">
        <v>0</v>
      </c>
      <c r="I50" s="353"/>
      <c r="J50" s="354">
        <v>0</v>
      </c>
      <c r="K50" s="353"/>
      <c r="L50" s="353"/>
      <c r="M50" s="353"/>
      <c r="N50" s="353"/>
      <c r="O50" s="287">
        <v>0</v>
      </c>
      <c r="P50" s="287">
        <v>0</v>
      </c>
      <c r="Q50" s="287">
        <v>0</v>
      </c>
      <c r="R50" s="353">
        <v>111225036.57387</v>
      </c>
      <c r="S50" s="355">
        <v>111257597836.17</v>
      </c>
    </row>
    <row r="51" spans="1:19">
      <c r="A51" s="284" t="s">
        <v>207</v>
      </c>
      <c r="B51" s="353">
        <v>2776578.7280000001</v>
      </c>
      <c r="C51" s="353">
        <v>2776578.7280000001</v>
      </c>
      <c r="D51" s="354">
        <v>1383585.21554</v>
      </c>
      <c r="E51" s="353">
        <v>24368455.21728</v>
      </c>
      <c r="F51" s="353"/>
      <c r="G51" s="353"/>
      <c r="H51" s="354">
        <v>0</v>
      </c>
      <c r="I51" s="353"/>
      <c r="J51" s="354">
        <v>0</v>
      </c>
      <c r="K51" s="353"/>
      <c r="L51" s="353"/>
      <c r="M51" s="353"/>
      <c r="N51" s="353"/>
      <c r="O51" s="287">
        <v>0</v>
      </c>
      <c r="P51" s="287">
        <v>0</v>
      </c>
      <c r="Q51" s="287">
        <v>0</v>
      </c>
      <c r="R51" s="353">
        <v>22984870.001740001</v>
      </c>
      <c r="S51" s="355">
        <v>24368455217.279999</v>
      </c>
    </row>
    <row r="52" spans="1:19">
      <c r="A52" s="284" t="s">
        <v>208</v>
      </c>
      <c r="B52" s="353">
        <v>1852197.0789999999</v>
      </c>
      <c r="C52" s="353">
        <v>1852197.0789999999</v>
      </c>
      <c r="D52" s="354">
        <v>135297.26905</v>
      </c>
      <c r="E52" s="353">
        <v>8120725.8648600001</v>
      </c>
      <c r="F52" s="353"/>
      <c r="G52" s="353"/>
      <c r="H52" s="354">
        <v>0</v>
      </c>
      <c r="I52" s="353"/>
      <c r="J52" s="354">
        <v>0</v>
      </c>
      <c r="K52" s="353"/>
      <c r="L52" s="353"/>
      <c r="M52" s="353"/>
      <c r="N52" s="353"/>
      <c r="O52" s="287">
        <v>0</v>
      </c>
      <c r="P52" s="287">
        <v>0</v>
      </c>
      <c r="Q52" s="287">
        <v>0</v>
      </c>
      <c r="R52" s="353">
        <v>7985428.5958099999</v>
      </c>
      <c r="S52" s="355">
        <v>8120725864.8599997</v>
      </c>
    </row>
    <row r="53" spans="1:19">
      <c r="A53" s="284" t="s">
        <v>209</v>
      </c>
      <c r="B53" s="353">
        <v>1421244.5530000001</v>
      </c>
      <c r="C53" s="353">
        <v>1421244.5530000001</v>
      </c>
      <c r="D53" s="354">
        <v>33917.501120000103</v>
      </c>
      <c r="E53" s="353">
        <v>7871589.3050600002</v>
      </c>
      <c r="F53" s="353"/>
      <c r="G53" s="353"/>
      <c r="H53" s="354">
        <v>0</v>
      </c>
      <c r="I53" s="353"/>
      <c r="J53" s="354">
        <v>0</v>
      </c>
      <c r="K53" s="353"/>
      <c r="L53" s="353"/>
      <c r="M53" s="353"/>
      <c r="N53" s="353"/>
      <c r="O53" s="287">
        <v>0</v>
      </c>
      <c r="P53" s="287">
        <v>0</v>
      </c>
      <c r="Q53" s="287">
        <v>0</v>
      </c>
      <c r="R53" s="353">
        <v>7837671.80394</v>
      </c>
      <c r="S53" s="355">
        <v>7871589305.0600004</v>
      </c>
    </row>
    <row r="54" spans="1:19">
      <c r="A54" s="284" t="s">
        <v>210</v>
      </c>
      <c r="B54" s="353">
        <v>430952.52600000001</v>
      </c>
      <c r="C54" s="353">
        <v>430952.52600000001</v>
      </c>
      <c r="D54" s="354">
        <v>101379.76793</v>
      </c>
      <c r="E54" s="353">
        <v>241784.70629</v>
      </c>
      <c r="F54" s="353"/>
      <c r="G54" s="353"/>
      <c r="H54" s="354">
        <v>0</v>
      </c>
      <c r="I54" s="353"/>
      <c r="J54" s="354">
        <v>0</v>
      </c>
      <c r="K54" s="353"/>
      <c r="L54" s="353"/>
      <c r="M54" s="353"/>
      <c r="N54" s="353"/>
      <c r="O54" s="287">
        <v>0</v>
      </c>
      <c r="P54" s="287">
        <v>0</v>
      </c>
      <c r="Q54" s="287">
        <v>0</v>
      </c>
      <c r="R54" s="353">
        <v>140404.93836</v>
      </c>
      <c r="S54" s="355">
        <v>241784706.28999999</v>
      </c>
    </row>
    <row r="55" spans="1:19">
      <c r="A55" s="284" t="s">
        <v>211</v>
      </c>
      <c r="B55" s="353"/>
      <c r="C55" s="353"/>
      <c r="D55" s="354">
        <v>0</v>
      </c>
      <c r="E55" s="353">
        <v>7351.8535099999999</v>
      </c>
      <c r="F55" s="353"/>
      <c r="G55" s="353"/>
      <c r="H55" s="354">
        <v>0</v>
      </c>
      <c r="I55" s="353"/>
      <c r="J55" s="354">
        <v>0</v>
      </c>
      <c r="K55" s="353"/>
      <c r="L55" s="353"/>
      <c r="M55" s="353"/>
      <c r="N55" s="353"/>
      <c r="O55" s="287">
        <v>0</v>
      </c>
      <c r="P55" s="287">
        <v>0</v>
      </c>
      <c r="Q55" s="287">
        <v>0</v>
      </c>
      <c r="R55" s="353">
        <v>7351.8535099999999</v>
      </c>
      <c r="S55" s="355">
        <v>7351853.5099999998</v>
      </c>
    </row>
    <row r="56" spans="1:19">
      <c r="A56" s="284" t="s">
        <v>212</v>
      </c>
      <c r="B56" s="353">
        <v>40079406.854999997</v>
      </c>
      <c r="C56" s="353">
        <v>40079406.854999997</v>
      </c>
      <c r="D56" s="354">
        <v>5632897.0499900002</v>
      </c>
      <c r="E56" s="353">
        <v>83704059.502499998</v>
      </c>
      <c r="F56" s="353"/>
      <c r="G56" s="353"/>
      <c r="H56" s="354">
        <v>0</v>
      </c>
      <c r="I56" s="353"/>
      <c r="J56" s="354">
        <v>0</v>
      </c>
      <c r="K56" s="353"/>
      <c r="L56" s="353"/>
      <c r="M56" s="353"/>
      <c r="N56" s="353"/>
      <c r="O56" s="287">
        <v>0</v>
      </c>
      <c r="P56" s="287">
        <v>0</v>
      </c>
      <c r="Q56" s="287">
        <v>0</v>
      </c>
      <c r="R56" s="353">
        <v>78071162.452509999</v>
      </c>
      <c r="S56" s="355">
        <v>83704059502.5</v>
      </c>
    </row>
    <row r="57" spans="1:19">
      <c r="A57" s="284" t="s">
        <v>213</v>
      </c>
      <c r="B57" s="353">
        <v>77970.942999999999</v>
      </c>
      <c r="C57" s="353">
        <v>77970.942999999999</v>
      </c>
      <c r="D57" s="354">
        <v>-657.61329999999998</v>
      </c>
      <c r="E57" s="353">
        <v>729.06993</v>
      </c>
      <c r="F57" s="353"/>
      <c r="G57" s="353"/>
      <c r="H57" s="354">
        <v>0</v>
      </c>
      <c r="I57" s="353"/>
      <c r="J57" s="354">
        <v>0</v>
      </c>
      <c r="K57" s="353"/>
      <c r="L57" s="353"/>
      <c r="M57" s="353"/>
      <c r="N57" s="353"/>
      <c r="O57" s="287">
        <v>0</v>
      </c>
      <c r="P57" s="287">
        <v>0</v>
      </c>
      <c r="Q57" s="287">
        <v>0</v>
      </c>
      <c r="R57" s="353">
        <v>1386.6832300000001</v>
      </c>
      <c r="S57" s="355">
        <v>729069.93</v>
      </c>
    </row>
    <row r="58" spans="1:19">
      <c r="A58" s="284" t="s">
        <v>214</v>
      </c>
      <c r="B58" s="353">
        <v>1600</v>
      </c>
      <c r="C58" s="353">
        <v>1600</v>
      </c>
      <c r="D58" s="354">
        <v>0</v>
      </c>
      <c r="E58" s="353"/>
      <c r="F58" s="353"/>
      <c r="G58" s="353"/>
      <c r="H58" s="354">
        <v>0</v>
      </c>
      <c r="I58" s="353"/>
      <c r="J58" s="354">
        <v>0</v>
      </c>
      <c r="K58" s="353"/>
      <c r="L58" s="353"/>
      <c r="M58" s="353"/>
      <c r="N58" s="353"/>
      <c r="O58" s="287">
        <v>0</v>
      </c>
      <c r="P58" s="287">
        <v>0</v>
      </c>
      <c r="Q58" s="287">
        <v>0</v>
      </c>
      <c r="R58" s="353"/>
      <c r="S58" s="355"/>
    </row>
    <row r="59" spans="1:19">
      <c r="A59" s="284" t="s">
        <v>353</v>
      </c>
      <c r="B59" s="353">
        <v>23502.264999999999</v>
      </c>
      <c r="C59" s="353">
        <v>23502.264999999999</v>
      </c>
      <c r="D59" s="354">
        <v>0</v>
      </c>
      <c r="E59" s="353">
        <v>927.78323</v>
      </c>
      <c r="F59" s="353"/>
      <c r="G59" s="353"/>
      <c r="H59" s="354">
        <v>0</v>
      </c>
      <c r="I59" s="353"/>
      <c r="J59" s="354">
        <v>0</v>
      </c>
      <c r="K59" s="353"/>
      <c r="L59" s="353"/>
      <c r="M59" s="353"/>
      <c r="N59" s="353"/>
      <c r="O59" s="287">
        <v>0</v>
      </c>
      <c r="P59" s="287">
        <v>0</v>
      </c>
      <c r="Q59" s="287">
        <v>0</v>
      </c>
      <c r="R59" s="353">
        <v>927.78323</v>
      </c>
      <c r="S59" s="355">
        <v>927783.23</v>
      </c>
    </row>
    <row r="60" spans="1:19">
      <c r="A60" s="284" t="s">
        <v>216</v>
      </c>
      <c r="B60" s="353">
        <v>22047.714</v>
      </c>
      <c r="C60" s="353">
        <v>22047.714</v>
      </c>
      <c r="D60" s="354">
        <v>45</v>
      </c>
      <c r="E60" s="353">
        <v>286.60000000000002</v>
      </c>
      <c r="F60" s="353"/>
      <c r="G60" s="353"/>
      <c r="H60" s="354">
        <v>0</v>
      </c>
      <c r="I60" s="353"/>
      <c r="J60" s="354">
        <v>0</v>
      </c>
      <c r="K60" s="353"/>
      <c r="L60" s="353"/>
      <c r="M60" s="353"/>
      <c r="N60" s="353"/>
      <c r="O60" s="287">
        <v>0</v>
      </c>
      <c r="P60" s="287">
        <v>0</v>
      </c>
      <c r="Q60" s="287">
        <v>0</v>
      </c>
      <c r="R60" s="353">
        <v>241.6</v>
      </c>
      <c r="S60" s="355">
        <v>286600</v>
      </c>
    </row>
    <row r="61" spans="1:19">
      <c r="A61" s="284" t="s">
        <v>217</v>
      </c>
      <c r="B61" s="353">
        <v>29839.723000000002</v>
      </c>
      <c r="C61" s="353">
        <v>29839.723000000002</v>
      </c>
      <c r="D61" s="354">
        <v>0</v>
      </c>
      <c r="E61" s="353">
        <v>217.3</v>
      </c>
      <c r="F61" s="353"/>
      <c r="G61" s="353"/>
      <c r="H61" s="354">
        <v>0</v>
      </c>
      <c r="I61" s="353"/>
      <c r="J61" s="354">
        <v>0</v>
      </c>
      <c r="K61" s="353"/>
      <c r="L61" s="353"/>
      <c r="M61" s="353"/>
      <c r="N61" s="353"/>
      <c r="O61" s="287">
        <v>0</v>
      </c>
      <c r="P61" s="287">
        <v>0</v>
      </c>
      <c r="Q61" s="287">
        <v>0</v>
      </c>
      <c r="R61" s="353">
        <v>217.3</v>
      </c>
      <c r="S61" s="355">
        <v>217300</v>
      </c>
    </row>
    <row r="62" spans="1:19">
      <c r="A62" s="284" t="s">
        <v>218</v>
      </c>
      <c r="B62" s="353"/>
      <c r="C62" s="353"/>
      <c r="D62" s="354">
        <v>0</v>
      </c>
      <c r="E62" s="353"/>
      <c r="F62" s="353"/>
      <c r="G62" s="353"/>
      <c r="H62" s="354">
        <v>0</v>
      </c>
      <c r="I62" s="353"/>
      <c r="J62" s="354">
        <v>0</v>
      </c>
      <c r="K62" s="353"/>
      <c r="L62" s="353"/>
      <c r="M62" s="353"/>
      <c r="N62" s="353"/>
      <c r="O62" s="287">
        <v>0</v>
      </c>
      <c r="P62" s="287">
        <v>0</v>
      </c>
      <c r="Q62" s="287">
        <v>0</v>
      </c>
      <c r="R62" s="353"/>
      <c r="S62" s="355"/>
    </row>
    <row r="63" spans="1:19">
      <c r="A63" s="284" t="s">
        <v>219</v>
      </c>
      <c r="B63" s="353"/>
      <c r="C63" s="353"/>
      <c r="D63" s="354">
        <v>-702.61329999999998</v>
      </c>
      <c r="E63" s="353">
        <v>-702.61329999999998</v>
      </c>
      <c r="F63" s="353"/>
      <c r="G63" s="353"/>
      <c r="H63" s="354">
        <v>0</v>
      </c>
      <c r="I63" s="353"/>
      <c r="J63" s="354">
        <v>0</v>
      </c>
      <c r="K63" s="353"/>
      <c r="L63" s="353"/>
      <c r="M63" s="353"/>
      <c r="N63" s="353"/>
      <c r="O63" s="287">
        <v>1.16415321826935E-10</v>
      </c>
      <c r="P63" s="287">
        <v>0</v>
      </c>
      <c r="Q63" s="287">
        <v>0</v>
      </c>
      <c r="R63" s="353"/>
      <c r="S63" s="355">
        <v>-702613.3</v>
      </c>
    </row>
    <row r="64" spans="1:19">
      <c r="A64" s="284" t="s">
        <v>220</v>
      </c>
      <c r="B64" s="353">
        <v>981.24099999999999</v>
      </c>
      <c r="C64" s="353">
        <v>981.24099999999999</v>
      </c>
      <c r="D64" s="354">
        <v>0</v>
      </c>
      <c r="E64" s="353"/>
      <c r="F64" s="353"/>
      <c r="G64" s="353"/>
      <c r="H64" s="354">
        <v>0</v>
      </c>
      <c r="I64" s="353"/>
      <c r="J64" s="354">
        <v>0</v>
      </c>
      <c r="K64" s="353"/>
      <c r="L64" s="353"/>
      <c r="M64" s="353"/>
      <c r="N64" s="353"/>
      <c r="O64" s="287">
        <v>0</v>
      </c>
      <c r="P64" s="287">
        <v>0</v>
      </c>
      <c r="Q64" s="287">
        <v>0</v>
      </c>
      <c r="R64" s="353"/>
      <c r="S64" s="355"/>
    </row>
    <row r="65" spans="1:19">
      <c r="A65" s="284" t="s">
        <v>221</v>
      </c>
      <c r="B65" s="353"/>
      <c r="C65" s="353"/>
      <c r="D65" s="354">
        <v>0</v>
      </c>
      <c r="E65" s="353"/>
      <c r="F65" s="353"/>
      <c r="G65" s="353"/>
      <c r="H65" s="354">
        <v>0</v>
      </c>
      <c r="I65" s="353"/>
      <c r="J65" s="354">
        <v>0</v>
      </c>
      <c r="K65" s="353"/>
      <c r="L65" s="353"/>
      <c r="M65" s="353"/>
      <c r="N65" s="353"/>
      <c r="O65" s="287">
        <v>0</v>
      </c>
      <c r="P65" s="287">
        <v>0</v>
      </c>
      <c r="Q65" s="287">
        <v>0</v>
      </c>
      <c r="R65" s="353"/>
      <c r="S65" s="355"/>
    </row>
    <row r="66" spans="1:19">
      <c r="A66" s="284" t="s">
        <v>222</v>
      </c>
      <c r="B66" s="353">
        <v>42500202.766000003</v>
      </c>
      <c r="C66" s="353">
        <v>42500202.766000003</v>
      </c>
      <c r="D66" s="354">
        <v>11993082.8794</v>
      </c>
      <c r="E66" s="353">
        <v>70626105.459800005</v>
      </c>
      <c r="F66" s="353"/>
      <c r="G66" s="353"/>
      <c r="H66" s="354">
        <v>0</v>
      </c>
      <c r="I66" s="353"/>
      <c r="J66" s="354">
        <v>0</v>
      </c>
      <c r="K66" s="353"/>
      <c r="L66" s="353"/>
      <c r="M66" s="353"/>
      <c r="N66" s="353"/>
      <c r="O66" s="287">
        <v>0</v>
      </c>
      <c r="P66" s="287">
        <v>0</v>
      </c>
      <c r="Q66" s="287">
        <v>0</v>
      </c>
      <c r="R66" s="353">
        <v>58633022.580399998</v>
      </c>
      <c r="S66" s="355">
        <v>70626105459.800003</v>
      </c>
    </row>
    <row r="67" spans="1:19">
      <c r="A67" s="284" t="s">
        <v>354</v>
      </c>
      <c r="B67" s="353"/>
      <c r="C67" s="353"/>
      <c r="D67" s="354">
        <v>0</v>
      </c>
      <c r="E67" s="353"/>
      <c r="F67" s="353"/>
      <c r="G67" s="353"/>
      <c r="H67" s="354">
        <v>0</v>
      </c>
      <c r="I67" s="353"/>
      <c r="J67" s="354">
        <v>0</v>
      </c>
      <c r="K67" s="353"/>
      <c r="L67" s="353"/>
      <c r="M67" s="353"/>
      <c r="N67" s="353"/>
      <c r="O67" s="287">
        <v>0</v>
      </c>
      <c r="P67" s="287">
        <v>0</v>
      </c>
      <c r="Q67" s="287">
        <v>0</v>
      </c>
      <c r="R67" s="353"/>
      <c r="S67" s="355"/>
    </row>
    <row r="68" spans="1:19">
      <c r="A68" s="284" t="s">
        <v>224</v>
      </c>
      <c r="B68" s="353"/>
      <c r="C68" s="353"/>
      <c r="D68" s="354">
        <v>0</v>
      </c>
      <c r="E68" s="353"/>
      <c r="F68" s="353"/>
      <c r="G68" s="353"/>
      <c r="H68" s="354">
        <v>0</v>
      </c>
      <c r="I68" s="353"/>
      <c r="J68" s="354">
        <v>0</v>
      </c>
      <c r="K68" s="353"/>
      <c r="L68" s="353"/>
      <c r="M68" s="353"/>
      <c r="N68" s="353"/>
      <c r="O68" s="287">
        <v>0</v>
      </c>
      <c r="P68" s="287">
        <v>0</v>
      </c>
      <c r="Q68" s="287">
        <v>0</v>
      </c>
      <c r="R68" s="353"/>
      <c r="S68" s="355"/>
    </row>
    <row r="69" spans="1:19">
      <c r="A69" s="284" t="s">
        <v>225</v>
      </c>
      <c r="B69" s="353">
        <v>42500202.766000003</v>
      </c>
      <c r="C69" s="353">
        <v>42500202.766000003</v>
      </c>
      <c r="D69" s="354">
        <v>11993082.8794</v>
      </c>
      <c r="E69" s="353">
        <v>70626105.459800005</v>
      </c>
      <c r="F69" s="353"/>
      <c r="G69" s="353"/>
      <c r="H69" s="354">
        <v>0</v>
      </c>
      <c r="I69" s="353"/>
      <c r="J69" s="354">
        <v>0</v>
      </c>
      <c r="K69" s="353"/>
      <c r="L69" s="353"/>
      <c r="M69" s="353"/>
      <c r="N69" s="353"/>
      <c r="O69" s="287">
        <v>0</v>
      </c>
      <c r="P69" s="287">
        <v>0</v>
      </c>
      <c r="Q69" s="287">
        <v>0</v>
      </c>
      <c r="R69" s="353">
        <v>58633022.580399998</v>
      </c>
      <c r="S69" s="355">
        <v>70626105459.800003</v>
      </c>
    </row>
    <row r="70" spans="1:19">
      <c r="A70" s="284" t="s">
        <v>226</v>
      </c>
      <c r="B70" s="353"/>
      <c r="C70" s="353"/>
      <c r="D70" s="354">
        <v>0</v>
      </c>
      <c r="E70" s="353"/>
      <c r="F70" s="353"/>
      <c r="G70" s="353"/>
      <c r="H70" s="354">
        <v>0</v>
      </c>
      <c r="I70" s="353"/>
      <c r="J70" s="354">
        <v>0</v>
      </c>
      <c r="K70" s="353"/>
      <c r="L70" s="353"/>
      <c r="M70" s="353"/>
      <c r="N70" s="353"/>
      <c r="O70" s="287">
        <v>0</v>
      </c>
      <c r="P70" s="287">
        <v>0</v>
      </c>
      <c r="Q70" s="287">
        <v>0</v>
      </c>
      <c r="R70" s="353"/>
      <c r="S70" s="355"/>
    </row>
    <row r="71" spans="1:19">
      <c r="A71" s="284" t="s">
        <v>227</v>
      </c>
      <c r="B71" s="353"/>
      <c r="C71" s="353"/>
      <c r="D71" s="354">
        <v>0</v>
      </c>
      <c r="E71" s="353"/>
      <c r="F71" s="353"/>
      <c r="G71" s="353"/>
      <c r="H71" s="354">
        <v>0</v>
      </c>
      <c r="I71" s="353"/>
      <c r="J71" s="354">
        <v>0</v>
      </c>
      <c r="K71" s="353"/>
      <c r="L71" s="353"/>
      <c r="M71" s="353"/>
      <c r="N71" s="353"/>
      <c r="O71" s="287">
        <v>0</v>
      </c>
      <c r="P71" s="287">
        <v>0</v>
      </c>
      <c r="Q71" s="287">
        <v>0</v>
      </c>
      <c r="R71" s="353"/>
      <c r="S71" s="355"/>
    </row>
    <row r="72" spans="1:19">
      <c r="A72" s="284" t="s">
        <v>228</v>
      </c>
      <c r="B72" s="353"/>
      <c r="C72" s="353"/>
      <c r="D72" s="354">
        <v>0</v>
      </c>
      <c r="E72" s="353"/>
      <c r="F72" s="353"/>
      <c r="G72" s="353"/>
      <c r="H72" s="354">
        <v>0</v>
      </c>
      <c r="I72" s="353"/>
      <c r="J72" s="354">
        <v>0</v>
      </c>
      <c r="K72" s="353"/>
      <c r="L72" s="353"/>
      <c r="M72" s="353"/>
      <c r="N72" s="353"/>
      <c r="O72" s="287">
        <v>0</v>
      </c>
      <c r="P72" s="287">
        <v>0</v>
      </c>
      <c r="Q72" s="287">
        <v>0</v>
      </c>
      <c r="R72" s="353"/>
      <c r="S72" s="355"/>
    </row>
    <row r="73" spans="1:19">
      <c r="A73" s="284" t="s">
        <v>85</v>
      </c>
      <c r="B73" s="353">
        <v>31381828.489999998</v>
      </c>
      <c r="C73" s="353">
        <v>31381828.489999998</v>
      </c>
      <c r="D73" s="354">
        <v>2447633.8376000002</v>
      </c>
      <c r="E73" s="353">
        <v>19458587.969620001</v>
      </c>
      <c r="F73" s="353"/>
      <c r="G73" s="353"/>
      <c r="H73" s="354">
        <v>0</v>
      </c>
      <c r="I73" s="353"/>
      <c r="J73" s="354">
        <v>0</v>
      </c>
      <c r="K73" s="353"/>
      <c r="L73" s="353"/>
      <c r="M73" s="353"/>
      <c r="N73" s="353"/>
      <c r="O73" s="287">
        <v>0</v>
      </c>
      <c r="P73" s="287">
        <v>0</v>
      </c>
      <c r="Q73" s="287">
        <v>0</v>
      </c>
      <c r="R73" s="353">
        <v>17010954.13202</v>
      </c>
      <c r="S73" s="355">
        <v>19458587969.619999</v>
      </c>
    </row>
    <row r="74" spans="1:19">
      <c r="A74" s="284" t="s">
        <v>229</v>
      </c>
      <c r="B74" s="353">
        <v>31381828.489999998</v>
      </c>
      <c r="C74" s="353">
        <v>31381828.489999998</v>
      </c>
      <c r="D74" s="354">
        <v>2447633.8376000002</v>
      </c>
      <c r="E74" s="353">
        <v>19458587.969620001</v>
      </c>
      <c r="F74" s="353"/>
      <c r="G74" s="353"/>
      <c r="H74" s="354">
        <v>0</v>
      </c>
      <c r="I74" s="353"/>
      <c r="J74" s="354">
        <v>0</v>
      </c>
      <c r="K74" s="353"/>
      <c r="L74" s="353"/>
      <c r="M74" s="353"/>
      <c r="N74" s="353"/>
      <c r="O74" s="287">
        <v>0</v>
      </c>
      <c r="P74" s="287">
        <v>0</v>
      </c>
      <c r="Q74" s="287">
        <v>0</v>
      </c>
      <c r="R74" s="353">
        <v>17010954.13202</v>
      </c>
      <c r="S74" s="355">
        <v>19458587969.619999</v>
      </c>
    </row>
    <row r="75" spans="1:19">
      <c r="A75" s="284" t="s">
        <v>230</v>
      </c>
      <c r="B75" s="353">
        <v>990.745</v>
      </c>
      <c r="C75" s="353">
        <v>990.745</v>
      </c>
      <c r="D75" s="354">
        <v>133.27869999999999</v>
      </c>
      <c r="E75" s="353">
        <v>3235.0556900000001</v>
      </c>
      <c r="F75" s="353"/>
      <c r="G75" s="353"/>
      <c r="H75" s="354">
        <v>0</v>
      </c>
      <c r="I75" s="353"/>
      <c r="J75" s="354">
        <v>0</v>
      </c>
      <c r="K75" s="353"/>
      <c r="L75" s="353"/>
      <c r="M75" s="353"/>
      <c r="N75" s="353"/>
      <c r="O75" s="287">
        <v>0</v>
      </c>
      <c r="P75" s="287">
        <v>0</v>
      </c>
      <c r="Q75" s="287">
        <v>0</v>
      </c>
      <c r="R75" s="353">
        <v>3101.7769899999998</v>
      </c>
      <c r="S75" s="355">
        <v>3235055.69</v>
      </c>
    </row>
    <row r="76" spans="1:19">
      <c r="A76" s="284" t="s">
        <v>231</v>
      </c>
      <c r="B76" s="353"/>
      <c r="C76" s="353"/>
      <c r="D76" s="354">
        <v>74.568280000000101</v>
      </c>
      <c r="E76" s="353">
        <v>1086.62076</v>
      </c>
      <c r="F76" s="353"/>
      <c r="G76" s="353"/>
      <c r="H76" s="354">
        <v>0</v>
      </c>
      <c r="I76" s="353"/>
      <c r="J76" s="354">
        <v>0</v>
      </c>
      <c r="K76" s="353"/>
      <c r="L76" s="353"/>
      <c r="M76" s="353"/>
      <c r="N76" s="353"/>
      <c r="O76" s="287">
        <v>0</v>
      </c>
      <c r="P76" s="287">
        <v>0</v>
      </c>
      <c r="Q76" s="287">
        <v>0</v>
      </c>
      <c r="R76" s="353">
        <v>1012.0524799999999</v>
      </c>
      <c r="S76" s="355">
        <v>1086620.76</v>
      </c>
    </row>
    <row r="77" spans="1:19">
      <c r="A77" s="284" t="s">
        <v>232</v>
      </c>
      <c r="B77" s="353">
        <v>990.745</v>
      </c>
      <c r="C77" s="353">
        <v>990.745</v>
      </c>
      <c r="D77" s="354">
        <v>58.7104199999999</v>
      </c>
      <c r="E77" s="353">
        <v>2148.4349299999999</v>
      </c>
      <c r="F77" s="353"/>
      <c r="G77" s="353"/>
      <c r="H77" s="354">
        <v>0</v>
      </c>
      <c r="I77" s="353"/>
      <c r="J77" s="354">
        <v>0</v>
      </c>
      <c r="K77" s="353"/>
      <c r="L77" s="353"/>
      <c r="M77" s="353"/>
      <c r="N77" s="353"/>
      <c r="O77" s="287">
        <v>-4.65661287307739E-10</v>
      </c>
      <c r="P77" s="287">
        <v>0</v>
      </c>
      <c r="Q77" s="287">
        <v>0</v>
      </c>
      <c r="R77" s="353">
        <v>2089.72451</v>
      </c>
      <c r="S77" s="355">
        <v>2148434.9300000002</v>
      </c>
    </row>
    <row r="78" spans="1:19">
      <c r="A78" s="284" t="s">
        <v>233</v>
      </c>
      <c r="B78" s="353">
        <v>22787197.274999999</v>
      </c>
      <c r="C78" s="353">
        <v>22787197.274999999</v>
      </c>
      <c r="D78" s="354">
        <v>1929566.62078</v>
      </c>
      <c r="E78" s="353">
        <v>14107797.60266</v>
      </c>
      <c r="F78" s="353"/>
      <c r="G78" s="353"/>
      <c r="H78" s="354">
        <v>0</v>
      </c>
      <c r="I78" s="353"/>
      <c r="J78" s="354">
        <v>0</v>
      </c>
      <c r="K78" s="353"/>
      <c r="L78" s="353"/>
      <c r="M78" s="353"/>
      <c r="N78" s="353"/>
      <c r="O78" s="287">
        <v>0</v>
      </c>
      <c r="P78" s="287">
        <v>0</v>
      </c>
      <c r="Q78" s="287">
        <v>0</v>
      </c>
      <c r="R78" s="353">
        <v>12178230.98188</v>
      </c>
      <c r="S78" s="355">
        <v>14107797602.66</v>
      </c>
    </row>
    <row r="79" spans="1:19">
      <c r="A79" s="284" t="s">
        <v>234</v>
      </c>
      <c r="B79" s="353">
        <v>22787134.318</v>
      </c>
      <c r="C79" s="353">
        <v>22787134.318</v>
      </c>
      <c r="D79" s="354">
        <v>1929403.8792300001</v>
      </c>
      <c r="E79" s="353">
        <v>14106135.485959999</v>
      </c>
      <c r="F79" s="353"/>
      <c r="G79" s="353"/>
      <c r="H79" s="354">
        <v>0</v>
      </c>
      <c r="I79" s="353"/>
      <c r="J79" s="354">
        <v>0</v>
      </c>
      <c r="K79" s="353"/>
      <c r="L79" s="353"/>
      <c r="M79" s="353"/>
      <c r="N79" s="353"/>
      <c r="O79" s="287">
        <v>0</v>
      </c>
      <c r="P79" s="287">
        <v>0</v>
      </c>
      <c r="Q79" s="287">
        <v>0</v>
      </c>
      <c r="R79" s="353">
        <v>12176731.606729999</v>
      </c>
      <c r="S79" s="355">
        <v>14106135485.959999</v>
      </c>
    </row>
    <row r="80" spans="1:19">
      <c r="A80" s="284" t="s">
        <v>235</v>
      </c>
      <c r="B80" s="353">
        <v>62.957000000000001</v>
      </c>
      <c r="C80" s="353">
        <v>62.957000000000001</v>
      </c>
      <c r="D80" s="354">
        <v>162.74154999999999</v>
      </c>
      <c r="E80" s="353">
        <v>1662.1167</v>
      </c>
      <c r="F80" s="353"/>
      <c r="G80" s="353"/>
      <c r="H80" s="354">
        <v>0</v>
      </c>
      <c r="I80" s="353"/>
      <c r="J80" s="354">
        <v>0</v>
      </c>
      <c r="K80" s="353"/>
      <c r="L80" s="353"/>
      <c r="M80" s="353"/>
      <c r="N80" s="353"/>
      <c r="O80" s="287">
        <v>0</v>
      </c>
      <c r="P80" s="287">
        <v>0</v>
      </c>
      <c r="Q80" s="287">
        <v>0</v>
      </c>
      <c r="R80" s="353">
        <v>1499.3751500000001</v>
      </c>
      <c r="S80" s="355">
        <v>1662116.7</v>
      </c>
    </row>
    <row r="81" spans="1:19" ht="21">
      <c r="A81" s="284" t="s">
        <v>236</v>
      </c>
      <c r="B81" s="353"/>
      <c r="C81" s="353"/>
      <c r="D81" s="354">
        <v>0</v>
      </c>
      <c r="E81" s="353"/>
      <c r="F81" s="353"/>
      <c r="G81" s="353"/>
      <c r="H81" s="354">
        <v>0</v>
      </c>
      <c r="I81" s="353"/>
      <c r="J81" s="354">
        <v>0</v>
      </c>
      <c r="K81" s="353"/>
      <c r="L81" s="353"/>
      <c r="M81" s="353"/>
      <c r="N81" s="353"/>
      <c r="O81" s="287">
        <v>0</v>
      </c>
      <c r="P81" s="287">
        <v>0</v>
      </c>
      <c r="Q81" s="287">
        <v>0</v>
      </c>
      <c r="R81" s="353"/>
      <c r="S81" s="355"/>
    </row>
    <row r="82" spans="1:19">
      <c r="A82" s="284" t="s">
        <v>237</v>
      </c>
      <c r="B82" s="353">
        <v>754.00199999999995</v>
      </c>
      <c r="C82" s="353">
        <v>754.00199999999995</v>
      </c>
      <c r="D82" s="354">
        <v>464.78922999999998</v>
      </c>
      <c r="E82" s="353">
        <v>2817.6970099999999</v>
      </c>
      <c r="F82" s="353"/>
      <c r="G82" s="353"/>
      <c r="H82" s="354">
        <v>0</v>
      </c>
      <c r="I82" s="353"/>
      <c r="J82" s="354">
        <v>0</v>
      </c>
      <c r="K82" s="353"/>
      <c r="L82" s="353"/>
      <c r="M82" s="353"/>
      <c r="N82" s="353"/>
      <c r="O82" s="287">
        <v>0</v>
      </c>
      <c r="P82" s="287">
        <v>0</v>
      </c>
      <c r="Q82" s="287">
        <v>0</v>
      </c>
      <c r="R82" s="353">
        <v>2352.90778</v>
      </c>
      <c r="S82" s="355">
        <v>2817697.01</v>
      </c>
    </row>
    <row r="83" spans="1:19">
      <c r="A83" s="284" t="s">
        <v>238</v>
      </c>
      <c r="B83" s="353">
        <v>754.00199999999995</v>
      </c>
      <c r="C83" s="353">
        <v>754.00199999999995</v>
      </c>
      <c r="D83" s="354">
        <v>464.54369000000003</v>
      </c>
      <c r="E83" s="353">
        <v>2801.3115600000001</v>
      </c>
      <c r="F83" s="353"/>
      <c r="G83" s="353"/>
      <c r="H83" s="354">
        <v>0</v>
      </c>
      <c r="I83" s="353"/>
      <c r="J83" s="354">
        <v>0</v>
      </c>
      <c r="K83" s="353"/>
      <c r="L83" s="353"/>
      <c r="M83" s="353"/>
      <c r="N83" s="353"/>
      <c r="O83" s="287">
        <v>0</v>
      </c>
      <c r="P83" s="287">
        <v>0</v>
      </c>
      <c r="Q83" s="287">
        <v>0</v>
      </c>
      <c r="R83" s="353">
        <v>2336.7678700000001</v>
      </c>
      <c r="S83" s="355">
        <v>2801311.56</v>
      </c>
    </row>
    <row r="84" spans="1:19">
      <c r="A84" s="284" t="s">
        <v>239</v>
      </c>
      <c r="B84" s="353"/>
      <c r="C84" s="353"/>
      <c r="D84" s="354">
        <v>0</v>
      </c>
      <c r="E84" s="353"/>
      <c r="F84" s="353"/>
      <c r="G84" s="353"/>
      <c r="H84" s="354">
        <v>0</v>
      </c>
      <c r="I84" s="353"/>
      <c r="J84" s="354">
        <v>0</v>
      </c>
      <c r="K84" s="353"/>
      <c r="L84" s="353"/>
      <c r="M84" s="353"/>
      <c r="N84" s="353"/>
      <c r="O84" s="287">
        <v>0</v>
      </c>
      <c r="P84" s="287">
        <v>0</v>
      </c>
      <c r="Q84" s="287">
        <v>0</v>
      </c>
      <c r="R84" s="353"/>
      <c r="S84" s="355"/>
    </row>
    <row r="85" spans="1:19" ht="21">
      <c r="A85" s="284" t="s">
        <v>240</v>
      </c>
      <c r="B85" s="353"/>
      <c r="C85" s="353"/>
      <c r="D85" s="354">
        <v>0.24553999999999801</v>
      </c>
      <c r="E85" s="353">
        <v>16.385449999999999</v>
      </c>
      <c r="F85" s="353"/>
      <c r="G85" s="353"/>
      <c r="H85" s="354">
        <v>0</v>
      </c>
      <c r="I85" s="353"/>
      <c r="J85" s="354">
        <v>0</v>
      </c>
      <c r="K85" s="353"/>
      <c r="L85" s="353"/>
      <c r="M85" s="353"/>
      <c r="N85" s="353"/>
      <c r="O85" s="287">
        <v>-3.6379788070917101E-12</v>
      </c>
      <c r="P85" s="287">
        <v>0</v>
      </c>
      <c r="Q85" s="287">
        <v>0</v>
      </c>
      <c r="R85" s="353">
        <v>16.13991</v>
      </c>
      <c r="S85" s="355">
        <v>16385.45</v>
      </c>
    </row>
    <row r="86" spans="1:19">
      <c r="A86" s="284" t="s">
        <v>355</v>
      </c>
      <c r="B86" s="353"/>
      <c r="C86" s="353"/>
      <c r="D86" s="354">
        <v>0</v>
      </c>
      <c r="E86" s="353"/>
      <c r="F86" s="353"/>
      <c r="G86" s="353"/>
      <c r="H86" s="354">
        <v>0</v>
      </c>
      <c r="I86" s="353"/>
      <c r="J86" s="354">
        <v>0</v>
      </c>
      <c r="K86" s="353"/>
      <c r="L86" s="353"/>
      <c r="M86" s="353"/>
      <c r="N86" s="353"/>
      <c r="O86" s="287">
        <v>0</v>
      </c>
      <c r="P86" s="287">
        <v>0</v>
      </c>
      <c r="Q86" s="287">
        <v>0</v>
      </c>
      <c r="R86" s="353"/>
      <c r="S86" s="355"/>
    </row>
    <row r="87" spans="1:19">
      <c r="A87" s="284" t="s">
        <v>356</v>
      </c>
      <c r="B87" s="353"/>
      <c r="C87" s="353"/>
      <c r="D87" s="354">
        <v>0</v>
      </c>
      <c r="E87" s="353"/>
      <c r="F87" s="353"/>
      <c r="G87" s="353"/>
      <c r="H87" s="354">
        <v>0</v>
      </c>
      <c r="I87" s="353"/>
      <c r="J87" s="354">
        <v>0</v>
      </c>
      <c r="K87" s="353"/>
      <c r="L87" s="353"/>
      <c r="M87" s="353"/>
      <c r="N87" s="353"/>
      <c r="O87" s="287">
        <v>0</v>
      </c>
      <c r="P87" s="287">
        <v>0</v>
      </c>
      <c r="Q87" s="287">
        <v>0</v>
      </c>
      <c r="R87" s="353"/>
      <c r="S87" s="355"/>
    </row>
    <row r="88" spans="1:19">
      <c r="A88" s="284" t="s">
        <v>357</v>
      </c>
      <c r="B88" s="353"/>
      <c r="C88" s="353"/>
      <c r="D88" s="354">
        <v>0</v>
      </c>
      <c r="E88" s="353"/>
      <c r="F88" s="353"/>
      <c r="G88" s="353"/>
      <c r="H88" s="354">
        <v>0</v>
      </c>
      <c r="I88" s="353"/>
      <c r="J88" s="354">
        <v>0</v>
      </c>
      <c r="K88" s="353"/>
      <c r="L88" s="353"/>
      <c r="M88" s="353"/>
      <c r="N88" s="353"/>
      <c r="O88" s="287">
        <v>0</v>
      </c>
      <c r="P88" s="287">
        <v>0</v>
      </c>
      <c r="Q88" s="287">
        <v>0</v>
      </c>
      <c r="R88" s="353"/>
      <c r="S88" s="355"/>
    </row>
    <row r="89" spans="1:19">
      <c r="A89" s="284" t="s">
        <v>358</v>
      </c>
      <c r="B89" s="353"/>
      <c r="C89" s="353"/>
      <c r="D89" s="354">
        <v>0</v>
      </c>
      <c r="E89" s="353"/>
      <c r="F89" s="353"/>
      <c r="G89" s="353"/>
      <c r="H89" s="354">
        <v>0</v>
      </c>
      <c r="I89" s="353"/>
      <c r="J89" s="354">
        <v>0</v>
      </c>
      <c r="K89" s="353"/>
      <c r="L89" s="353"/>
      <c r="M89" s="353"/>
      <c r="N89" s="353"/>
      <c r="O89" s="287">
        <v>0</v>
      </c>
      <c r="P89" s="287">
        <v>0</v>
      </c>
      <c r="Q89" s="287">
        <v>0</v>
      </c>
      <c r="R89" s="353"/>
      <c r="S89" s="355"/>
    </row>
    <row r="90" spans="1:19">
      <c r="A90" s="284" t="s">
        <v>241</v>
      </c>
      <c r="B90" s="353"/>
      <c r="C90" s="353"/>
      <c r="D90" s="354">
        <v>0</v>
      </c>
      <c r="E90" s="353"/>
      <c r="F90" s="353"/>
      <c r="G90" s="353"/>
      <c r="H90" s="354">
        <v>0</v>
      </c>
      <c r="I90" s="353"/>
      <c r="J90" s="354">
        <v>0</v>
      </c>
      <c r="K90" s="353"/>
      <c r="L90" s="353"/>
      <c r="M90" s="353"/>
      <c r="N90" s="353"/>
      <c r="O90" s="287">
        <v>0</v>
      </c>
      <c r="P90" s="287">
        <v>0</v>
      </c>
      <c r="Q90" s="287">
        <v>0</v>
      </c>
      <c r="R90" s="353"/>
      <c r="S90" s="355"/>
    </row>
    <row r="91" spans="1:19">
      <c r="A91" s="284" t="s">
        <v>242</v>
      </c>
      <c r="B91" s="353">
        <v>49534.180999999997</v>
      </c>
      <c r="C91" s="353">
        <v>49534.180999999997</v>
      </c>
      <c r="D91" s="354">
        <v>1320.50379</v>
      </c>
      <c r="E91" s="353">
        <v>18028.269339999999</v>
      </c>
      <c r="F91" s="353"/>
      <c r="G91" s="353"/>
      <c r="H91" s="354">
        <v>0</v>
      </c>
      <c r="I91" s="353"/>
      <c r="J91" s="354">
        <v>0</v>
      </c>
      <c r="K91" s="353"/>
      <c r="L91" s="353"/>
      <c r="M91" s="353"/>
      <c r="N91" s="353"/>
      <c r="O91" s="287">
        <v>0</v>
      </c>
      <c r="P91" s="287">
        <v>0</v>
      </c>
      <c r="Q91" s="287">
        <v>0</v>
      </c>
      <c r="R91" s="353">
        <v>16707.76555</v>
      </c>
      <c r="S91" s="355">
        <v>18028269.34</v>
      </c>
    </row>
    <row r="92" spans="1:19">
      <c r="A92" s="284" t="s">
        <v>243</v>
      </c>
      <c r="B92" s="353">
        <v>396733.45</v>
      </c>
      <c r="C92" s="353">
        <v>396733.45</v>
      </c>
      <c r="D92" s="354">
        <v>16931.32805</v>
      </c>
      <c r="E92" s="353">
        <v>97365.055200000003</v>
      </c>
      <c r="F92" s="353"/>
      <c r="G92" s="353"/>
      <c r="H92" s="354">
        <v>0</v>
      </c>
      <c r="I92" s="353"/>
      <c r="J92" s="354">
        <v>0</v>
      </c>
      <c r="K92" s="353"/>
      <c r="L92" s="353"/>
      <c r="M92" s="353"/>
      <c r="N92" s="353"/>
      <c r="O92" s="287">
        <v>0</v>
      </c>
      <c r="P92" s="287">
        <v>0</v>
      </c>
      <c r="Q92" s="287">
        <v>0</v>
      </c>
      <c r="R92" s="353">
        <v>80433.727150000006</v>
      </c>
      <c r="S92" s="355">
        <v>97365055.200000003</v>
      </c>
    </row>
    <row r="93" spans="1:19">
      <c r="A93" s="284" t="s">
        <v>244</v>
      </c>
      <c r="B93" s="353">
        <v>333386.89899999998</v>
      </c>
      <c r="C93" s="353">
        <v>333386.89899999998</v>
      </c>
      <c r="D93" s="354">
        <v>10902.2556</v>
      </c>
      <c r="E93" s="353">
        <v>60419.402450000001</v>
      </c>
      <c r="F93" s="353"/>
      <c r="G93" s="353"/>
      <c r="H93" s="354">
        <v>0</v>
      </c>
      <c r="I93" s="353"/>
      <c r="J93" s="354">
        <v>0</v>
      </c>
      <c r="K93" s="353"/>
      <c r="L93" s="353"/>
      <c r="M93" s="353"/>
      <c r="N93" s="353"/>
      <c r="O93" s="287">
        <v>0</v>
      </c>
      <c r="P93" s="287">
        <v>0</v>
      </c>
      <c r="Q93" s="287">
        <v>0</v>
      </c>
      <c r="R93" s="353">
        <v>49517.146849999997</v>
      </c>
      <c r="S93" s="355">
        <v>60419402.450000003</v>
      </c>
    </row>
    <row r="94" spans="1:19">
      <c r="A94" s="284" t="s">
        <v>245</v>
      </c>
      <c r="B94" s="353"/>
      <c r="C94" s="353"/>
      <c r="D94" s="354">
        <v>0</v>
      </c>
      <c r="E94" s="353"/>
      <c r="F94" s="353"/>
      <c r="G94" s="353"/>
      <c r="H94" s="354">
        <v>0</v>
      </c>
      <c r="I94" s="353"/>
      <c r="J94" s="354">
        <v>0</v>
      </c>
      <c r="K94" s="353"/>
      <c r="L94" s="353"/>
      <c r="M94" s="353"/>
      <c r="N94" s="353"/>
      <c r="O94" s="287">
        <v>0</v>
      </c>
      <c r="P94" s="287">
        <v>0</v>
      </c>
      <c r="Q94" s="287">
        <v>0</v>
      </c>
      <c r="R94" s="353"/>
      <c r="S94" s="355"/>
    </row>
    <row r="95" spans="1:19">
      <c r="A95" s="284" t="s">
        <v>359</v>
      </c>
      <c r="B95" s="353">
        <v>63346.550999999999</v>
      </c>
      <c r="C95" s="353">
        <v>63346.550999999999</v>
      </c>
      <c r="D95" s="354">
        <v>6002.0885500000004</v>
      </c>
      <c r="E95" s="353">
        <v>36692.740290000002</v>
      </c>
      <c r="F95" s="353"/>
      <c r="G95" s="353"/>
      <c r="H95" s="354">
        <v>0</v>
      </c>
      <c r="I95" s="353"/>
      <c r="J95" s="354">
        <v>0</v>
      </c>
      <c r="K95" s="353"/>
      <c r="L95" s="353"/>
      <c r="M95" s="353"/>
      <c r="N95" s="353"/>
      <c r="O95" s="287">
        <v>0</v>
      </c>
      <c r="P95" s="287">
        <v>0</v>
      </c>
      <c r="Q95" s="287">
        <v>0</v>
      </c>
      <c r="R95" s="353">
        <v>30690.651740000001</v>
      </c>
      <c r="S95" s="355">
        <v>36692740.289999999</v>
      </c>
    </row>
    <row r="96" spans="1:19">
      <c r="A96" s="284" t="s">
        <v>247</v>
      </c>
      <c r="B96" s="353"/>
      <c r="C96" s="353"/>
      <c r="D96" s="354">
        <v>0</v>
      </c>
      <c r="E96" s="353"/>
      <c r="F96" s="353"/>
      <c r="G96" s="353"/>
      <c r="H96" s="354">
        <v>0</v>
      </c>
      <c r="I96" s="353"/>
      <c r="J96" s="354">
        <v>0</v>
      </c>
      <c r="K96" s="353"/>
      <c r="L96" s="353"/>
      <c r="M96" s="353"/>
      <c r="N96" s="353"/>
      <c r="O96" s="287">
        <v>0</v>
      </c>
      <c r="P96" s="287">
        <v>0</v>
      </c>
      <c r="Q96" s="287">
        <v>0</v>
      </c>
      <c r="R96" s="353"/>
      <c r="S96" s="355"/>
    </row>
    <row r="97" spans="1:19">
      <c r="A97" s="284" t="s">
        <v>248</v>
      </c>
      <c r="B97" s="353"/>
      <c r="C97" s="353"/>
      <c r="D97" s="354">
        <v>26.983899999999998</v>
      </c>
      <c r="E97" s="353">
        <v>252.91246000000001</v>
      </c>
      <c r="F97" s="353"/>
      <c r="G97" s="353"/>
      <c r="H97" s="354">
        <v>0</v>
      </c>
      <c r="I97" s="353"/>
      <c r="J97" s="354">
        <v>0</v>
      </c>
      <c r="K97" s="353"/>
      <c r="L97" s="353"/>
      <c r="M97" s="353"/>
      <c r="N97" s="353"/>
      <c r="O97" s="287">
        <v>2.91038304567337E-11</v>
      </c>
      <c r="P97" s="287">
        <v>0</v>
      </c>
      <c r="Q97" s="287">
        <v>0</v>
      </c>
      <c r="R97" s="353">
        <v>225.92856</v>
      </c>
      <c r="S97" s="355">
        <v>252912.46</v>
      </c>
    </row>
    <row r="98" spans="1:19">
      <c r="A98" s="284" t="s">
        <v>249</v>
      </c>
      <c r="B98" s="353"/>
      <c r="C98" s="353"/>
      <c r="D98" s="354">
        <v>0</v>
      </c>
      <c r="E98" s="353"/>
      <c r="F98" s="353"/>
      <c r="G98" s="353"/>
      <c r="H98" s="354">
        <v>0</v>
      </c>
      <c r="I98" s="353"/>
      <c r="J98" s="354">
        <v>0</v>
      </c>
      <c r="K98" s="353"/>
      <c r="L98" s="353"/>
      <c r="M98" s="353"/>
      <c r="N98" s="353"/>
      <c r="O98" s="287">
        <v>0</v>
      </c>
      <c r="P98" s="287">
        <v>0</v>
      </c>
      <c r="Q98" s="287">
        <v>0</v>
      </c>
      <c r="R98" s="353"/>
      <c r="S98" s="355"/>
    </row>
    <row r="99" spans="1:19">
      <c r="A99" s="284" t="s">
        <v>360</v>
      </c>
      <c r="B99" s="353"/>
      <c r="C99" s="353"/>
      <c r="D99" s="354">
        <v>0</v>
      </c>
      <c r="E99" s="353"/>
      <c r="F99" s="353"/>
      <c r="G99" s="353"/>
      <c r="H99" s="354">
        <v>0</v>
      </c>
      <c r="I99" s="353"/>
      <c r="J99" s="354">
        <v>0</v>
      </c>
      <c r="K99" s="353"/>
      <c r="L99" s="353"/>
      <c r="M99" s="353"/>
      <c r="N99" s="353"/>
      <c r="O99" s="287">
        <v>0</v>
      </c>
      <c r="P99" s="287">
        <v>0</v>
      </c>
      <c r="Q99" s="287">
        <v>0</v>
      </c>
      <c r="R99" s="353"/>
      <c r="S99" s="355"/>
    </row>
    <row r="100" spans="1:19">
      <c r="A100" s="284" t="s">
        <v>361</v>
      </c>
      <c r="B100" s="353"/>
      <c r="C100" s="353"/>
      <c r="D100" s="354">
        <v>0</v>
      </c>
      <c r="E100" s="353"/>
      <c r="F100" s="353"/>
      <c r="G100" s="353"/>
      <c r="H100" s="354">
        <v>0</v>
      </c>
      <c r="I100" s="353"/>
      <c r="J100" s="354">
        <v>0</v>
      </c>
      <c r="K100" s="353"/>
      <c r="L100" s="353"/>
      <c r="M100" s="353"/>
      <c r="N100" s="353"/>
      <c r="O100" s="287">
        <v>0</v>
      </c>
      <c r="P100" s="287">
        <v>0</v>
      </c>
      <c r="Q100" s="287">
        <v>0</v>
      </c>
      <c r="R100" s="353"/>
      <c r="S100" s="355"/>
    </row>
    <row r="101" spans="1:19">
      <c r="A101" s="284" t="s">
        <v>362</v>
      </c>
      <c r="B101" s="353"/>
      <c r="C101" s="353"/>
      <c r="D101" s="354">
        <v>0</v>
      </c>
      <c r="E101" s="353"/>
      <c r="F101" s="353"/>
      <c r="G101" s="353"/>
      <c r="H101" s="354">
        <v>0</v>
      </c>
      <c r="I101" s="353"/>
      <c r="J101" s="354">
        <v>0</v>
      </c>
      <c r="K101" s="353"/>
      <c r="L101" s="353"/>
      <c r="M101" s="353"/>
      <c r="N101" s="353"/>
      <c r="O101" s="287">
        <v>0</v>
      </c>
      <c r="P101" s="287">
        <v>0</v>
      </c>
      <c r="Q101" s="287">
        <v>0</v>
      </c>
      <c r="R101" s="353"/>
      <c r="S101" s="355"/>
    </row>
    <row r="102" spans="1:19">
      <c r="A102" s="284" t="s">
        <v>363</v>
      </c>
      <c r="B102" s="353"/>
      <c r="C102" s="353"/>
      <c r="D102" s="354">
        <v>0</v>
      </c>
      <c r="E102" s="353"/>
      <c r="F102" s="353"/>
      <c r="G102" s="353"/>
      <c r="H102" s="354">
        <v>0</v>
      </c>
      <c r="I102" s="353"/>
      <c r="J102" s="354">
        <v>0</v>
      </c>
      <c r="K102" s="353"/>
      <c r="L102" s="353"/>
      <c r="M102" s="353"/>
      <c r="N102" s="353"/>
      <c r="O102" s="287">
        <v>0</v>
      </c>
      <c r="P102" s="287">
        <v>0</v>
      </c>
      <c r="Q102" s="287">
        <v>0</v>
      </c>
      <c r="R102" s="353"/>
      <c r="S102" s="355"/>
    </row>
    <row r="103" spans="1:19">
      <c r="A103" s="284" t="s">
        <v>364</v>
      </c>
      <c r="B103" s="353"/>
      <c r="C103" s="353"/>
      <c r="D103" s="354">
        <v>0</v>
      </c>
      <c r="E103" s="353"/>
      <c r="F103" s="353"/>
      <c r="G103" s="353"/>
      <c r="H103" s="354">
        <v>0</v>
      </c>
      <c r="I103" s="353"/>
      <c r="J103" s="354">
        <v>0</v>
      </c>
      <c r="K103" s="353"/>
      <c r="L103" s="353"/>
      <c r="M103" s="353"/>
      <c r="N103" s="353"/>
      <c r="O103" s="287">
        <v>0</v>
      </c>
      <c r="P103" s="287">
        <v>0</v>
      </c>
      <c r="Q103" s="287">
        <v>0</v>
      </c>
      <c r="R103" s="353"/>
      <c r="S103" s="355"/>
    </row>
    <row r="104" spans="1:19">
      <c r="A104" s="284" t="s">
        <v>365</v>
      </c>
      <c r="B104" s="353"/>
      <c r="C104" s="353"/>
      <c r="D104" s="354">
        <v>0</v>
      </c>
      <c r="E104" s="353"/>
      <c r="F104" s="353"/>
      <c r="G104" s="353"/>
      <c r="H104" s="354">
        <v>0</v>
      </c>
      <c r="I104" s="353"/>
      <c r="J104" s="354">
        <v>0</v>
      </c>
      <c r="K104" s="353"/>
      <c r="L104" s="353"/>
      <c r="M104" s="353"/>
      <c r="N104" s="353"/>
      <c r="O104" s="287">
        <v>0</v>
      </c>
      <c r="P104" s="287">
        <v>0</v>
      </c>
      <c r="Q104" s="287">
        <v>0</v>
      </c>
      <c r="R104" s="353"/>
      <c r="S104" s="355"/>
    </row>
    <row r="105" spans="1:19">
      <c r="A105" s="284" t="s">
        <v>366</v>
      </c>
      <c r="B105" s="353"/>
      <c r="C105" s="353"/>
      <c r="D105" s="354">
        <v>0</v>
      </c>
      <c r="E105" s="353"/>
      <c r="F105" s="353"/>
      <c r="G105" s="353"/>
      <c r="H105" s="354">
        <v>0</v>
      </c>
      <c r="I105" s="353"/>
      <c r="J105" s="354">
        <v>0</v>
      </c>
      <c r="K105" s="353"/>
      <c r="L105" s="353"/>
      <c r="M105" s="353"/>
      <c r="N105" s="353"/>
      <c r="O105" s="287">
        <v>0</v>
      </c>
      <c r="P105" s="287">
        <v>0</v>
      </c>
      <c r="Q105" s="287">
        <v>0</v>
      </c>
      <c r="R105" s="353"/>
      <c r="S105" s="355"/>
    </row>
    <row r="106" spans="1:19">
      <c r="A106" s="284" t="s">
        <v>367</v>
      </c>
      <c r="B106" s="353"/>
      <c r="C106" s="353"/>
      <c r="D106" s="354">
        <v>0</v>
      </c>
      <c r="E106" s="353"/>
      <c r="F106" s="353"/>
      <c r="G106" s="353"/>
      <c r="H106" s="354">
        <v>0</v>
      </c>
      <c r="I106" s="353"/>
      <c r="J106" s="354">
        <v>0</v>
      </c>
      <c r="K106" s="353"/>
      <c r="L106" s="353"/>
      <c r="M106" s="353"/>
      <c r="N106" s="353"/>
      <c r="O106" s="287">
        <v>0</v>
      </c>
      <c r="P106" s="287">
        <v>0</v>
      </c>
      <c r="Q106" s="287">
        <v>0</v>
      </c>
      <c r="R106" s="353"/>
      <c r="S106" s="355"/>
    </row>
    <row r="107" spans="1:19">
      <c r="A107" s="284" t="s">
        <v>250</v>
      </c>
      <c r="B107" s="353">
        <v>8146618.8370000003</v>
      </c>
      <c r="C107" s="353">
        <v>8146618.8370000003</v>
      </c>
      <c r="D107" s="354">
        <v>499217.31705000001</v>
      </c>
      <c r="E107" s="353">
        <v>5229344.2897199998</v>
      </c>
      <c r="F107" s="353"/>
      <c r="G107" s="353"/>
      <c r="H107" s="354">
        <v>0</v>
      </c>
      <c r="I107" s="353"/>
      <c r="J107" s="354">
        <v>0</v>
      </c>
      <c r="K107" s="353"/>
      <c r="L107" s="353"/>
      <c r="M107" s="353"/>
      <c r="N107" s="353"/>
      <c r="O107" s="287">
        <v>-9.5367431640625E-7</v>
      </c>
      <c r="P107" s="287">
        <v>0</v>
      </c>
      <c r="Q107" s="287">
        <v>0</v>
      </c>
      <c r="R107" s="353">
        <v>4730126.97267</v>
      </c>
      <c r="S107" s="355">
        <v>5229344289.7200003</v>
      </c>
    </row>
    <row r="108" spans="1:19">
      <c r="A108" s="284" t="s">
        <v>251</v>
      </c>
      <c r="B108" s="353"/>
      <c r="C108" s="353"/>
      <c r="D108" s="354">
        <v>10.7781</v>
      </c>
      <c r="E108" s="353">
        <v>-4.2100299999999997</v>
      </c>
      <c r="F108" s="353"/>
      <c r="G108" s="353"/>
      <c r="H108" s="354">
        <v>0</v>
      </c>
      <c r="I108" s="353"/>
      <c r="J108" s="354">
        <v>0</v>
      </c>
      <c r="K108" s="353"/>
      <c r="L108" s="353"/>
      <c r="M108" s="353"/>
      <c r="N108" s="353"/>
      <c r="O108" s="287">
        <v>0</v>
      </c>
      <c r="P108" s="287">
        <v>0</v>
      </c>
      <c r="Q108" s="287">
        <v>0</v>
      </c>
      <c r="R108" s="353">
        <v>-14.98813</v>
      </c>
      <c r="S108" s="355">
        <v>-4210.03</v>
      </c>
    </row>
    <row r="109" spans="1:19">
      <c r="A109" s="284" t="s">
        <v>252</v>
      </c>
      <c r="B109" s="353">
        <v>716.34699999999998</v>
      </c>
      <c r="C109" s="353">
        <v>716.34699999999998</v>
      </c>
      <c r="D109" s="354">
        <v>14.483750000000001</v>
      </c>
      <c r="E109" s="353">
        <v>132.08136999999999</v>
      </c>
      <c r="F109" s="353"/>
      <c r="G109" s="353"/>
      <c r="H109" s="354">
        <v>0</v>
      </c>
      <c r="I109" s="353"/>
      <c r="J109" s="354">
        <v>0</v>
      </c>
      <c r="K109" s="353"/>
      <c r="L109" s="353"/>
      <c r="M109" s="353"/>
      <c r="N109" s="353"/>
      <c r="O109" s="287">
        <v>0</v>
      </c>
      <c r="P109" s="287">
        <v>0</v>
      </c>
      <c r="Q109" s="287">
        <v>0</v>
      </c>
      <c r="R109" s="353">
        <v>117.59762000000001</v>
      </c>
      <c r="S109" s="355">
        <v>132081.37</v>
      </c>
    </row>
    <row r="110" spans="1:19">
      <c r="A110" s="284" t="s">
        <v>253</v>
      </c>
      <c r="B110" s="353"/>
      <c r="C110" s="353"/>
      <c r="D110" s="354">
        <v>0</v>
      </c>
      <c r="E110" s="353"/>
      <c r="F110" s="353"/>
      <c r="G110" s="353"/>
      <c r="H110" s="354">
        <v>0</v>
      </c>
      <c r="I110" s="353"/>
      <c r="J110" s="354">
        <v>0</v>
      </c>
      <c r="K110" s="353"/>
      <c r="L110" s="353"/>
      <c r="M110" s="353"/>
      <c r="N110" s="353"/>
      <c r="O110" s="287">
        <v>0</v>
      </c>
      <c r="P110" s="287">
        <v>0</v>
      </c>
      <c r="Q110" s="287">
        <v>0</v>
      </c>
      <c r="R110" s="353"/>
      <c r="S110" s="355"/>
    </row>
    <row r="111" spans="1:19">
      <c r="A111" s="284" t="s">
        <v>254</v>
      </c>
      <c r="B111" s="353">
        <v>8145902.4900000002</v>
      </c>
      <c r="C111" s="353">
        <v>8145902.4900000002</v>
      </c>
      <c r="D111" s="354">
        <v>499192.05519999901</v>
      </c>
      <c r="E111" s="353">
        <v>5229216.4183799997</v>
      </c>
      <c r="F111" s="353"/>
      <c r="G111" s="353"/>
      <c r="H111" s="354">
        <v>0</v>
      </c>
      <c r="I111" s="353"/>
      <c r="J111" s="354">
        <v>0</v>
      </c>
      <c r="K111" s="353"/>
      <c r="L111" s="353"/>
      <c r="M111" s="353"/>
      <c r="N111" s="353"/>
      <c r="O111" s="287">
        <v>0</v>
      </c>
      <c r="P111" s="287">
        <v>0</v>
      </c>
      <c r="Q111" s="287">
        <v>0</v>
      </c>
      <c r="R111" s="353">
        <v>4730024.3631800003</v>
      </c>
      <c r="S111" s="355">
        <v>5229216418.3800001</v>
      </c>
    </row>
    <row r="112" spans="1:19">
      <c r="A112" s="284" t="s">
        <v>255</v>
      </c>
      <c r="B112" s="353"/>
      <c r="C112" s="353"/>
      <c r="D112" s="354">
        <v>0</v>
      </c>
      <c r="E112" s="353"/>
      <c r="F112" s="353"/>
      <c r="G112" s="353"/>
      <c r="H112" s="354">
        <v>0</v>
      </c>
      <c r="I112" s="353"/>
      <c r="J112" s="354">
        <v>0</v>
      </c>
      <c r="K112" s="353"/>
      <c r="L112" s="353"/>
      <c r="M112" s="353"/>
      <c r="N112" s="353"/>
      <c r="O112" s="287">
        <v>0</v>
      </c>
      <c r="P112" s="287">
        <v>0</v>
      </c>
      <c r="Q112" s="287">
        <v>0</v>
      </c>
      <c r="R112" s="353"/>
      <c r="S112" s="355"/>
    </row>
    <row r="113" spans="1:19">
      <c r="A113" s="284" t="s">
        <v>256</v>
      </c>
      <c r="B113" s="353"/>
      <c r="C113" s="353"/>
      <c r="D113" s="354">
        <v>0</v>
      </c>
      <c r="E113" s="353"/>
      <c r="F113" s="353"/>
      <c r="G113" s="353"/>
      <c r="H113" s="354">
        <v>0</v>
      </c>
      <c r="I113" s="353"/>
      <c r="J113" s="354">
        <v>0</v>
      </c>
      <c r="K113" s="353"/>
      <c r="L113" s="353"/>
      <c r="M113" s="353"/>
      <c r="N113" s="353"/>
      <c r="O113" s="287">
        <v>0</v>
      </c>
      <c r="P113" s="287">
        <v>0</v>
      </c>
      <c r="Q113" s="287">
        <v>0</v>
      </c>
      <c r="R113" s="353"/>
      <c r="S113" s="355"/>
    </row>
    <row r="114" spans="1:19">
      <c r="A114" s="284" t="s">
        <v>257</v>
      </c>
      <c r="B114" s="353"/>
      <c r="C114" s="353"/>
      <c r="D114" s="354">
        <v>0</v>
      </c>
      <c r="E114" s="353"/>
      <c r="F114" s="353"/>
      <c r="G114" s="353"/>
      <c r="H114" s="354">
        <v>0</v>
      </c>
      <c r="I114" s="353"/>
      <c r="J114" s="354">
        <v>0</v>
      </c>
      <c r="K114" s="353"/>
      <c r="L114" s="353"/>
      <c r="M114" s="353"/>
      <c r="N114" s="353"/>
      <c r="O114" s="287">
        <v>0</v>
      </c>
      <c r="P114" s="287">
        <v>0</v>
      </c>
      <c r="Q114" s="287">
        <v>0</v>
      </c>
      <c r="R114" s="353"/>
      <c r="S114" s="355"/>
    </row>
    <row r="115" spans="1:19">
      <c r="A115" s="284" t="s">
        <v>258</v>
      </c>
      <c r="B115" s="353"/>
      <c r="C115" s="353"/>
      <c r="D115" s="354">
        <v>0</v>
      </c>
      <c r="E115" s="353"/>
      <c r="F115" s="353"/>
      <c r="G115" s="353"/>
      <c r="H115" s="354">
        <v>0</v>
      </c>
      <c r="I115" s="353"/>
      <c r="J115" s="354">
        <v>0</v>
      </c>
      <c r="K115" s="353"/>
      <c r="L115" s="353"/>
      <c r="M115" s="353"/>
      <c r="N115" s="353"/>
      <c r="O115" s="287">
        <v>0</v>
      </c>
      <c r="P115" s="287">
        <v>0</v>
      </c>
      <c r="Q115" s="287">
        <v>0</v>
      </c>
      <c r="R115" s="353"/>
      <c r="S115" s="355"/>
    </row>
    <row r="116" spans="1:19">
      <c r="A116" s="284" t="s">
        <v>259</v>
      </c>
      <c r="B116" s="353"/>
      <c r="C116" s="353"/>
      <c r="D116" s="354">
        <v>0</v>
      </c>
      <c r="E116" s="353"/>
      <c r="F116" s="353"/>
      <c r="G116" s="353"/>
      <c r="H116" s="354">
        <v>0</v>
      </c>
      <c r="I116" s="353"/>
      <c r="J116" s="354">
        <v>0</v>
      </c>
      <c r="K116" s="353"/>
      <c r="L116" s="353"/>
      <c r="M116" s="353"/>
      <c r="N116" s="353"/>
      <c r="O116" s="287">
        <v>0</v>
      </c>
      <c r="P116" s="287">
        <v>0</v>
      </c>
      <c r="Q116" s="287">
        <v>0</v>
      </c>
      <c r="R116" s="353"/>
      <c r="S116" s="355"/>
    </row>
    <row r="117" spans="1:19">
      <c r="A117" s="284" t="s">
        <v>260</v>
      </c>
      <c r="B117" s="353"/>
      <c r="C117" s="353"/>
      <c r="D117" s="354">
        <v>0</v>
      </c>
      <c r="E117" s="353"/>
      <c r="F117" s="353"/>
      <c r="G117" s="353"/>
      <c r="H117" s="354">
        <v>0</v>
      </c>
      <c r="I117" s="353"/>
      <c r="J117" s="354">
        <v>0</v>
      </c>
      <c r="K117" s="353"/>
      <c r="L117" s="353"/>
      <c r="M117" s="353"/>
      <c r="N117" s="353"/>
      <c r="O117" s="287">
        <v>0</v>
      </c>
      <c r="P117" s="287">
        <v>0</v>
      </c>
      <c r="Q117" s="287">
        <v>0</v>
      </c>
      <c r="R117" s="353"/>
      <c r="S117" s="355"/>
    </row>
    <row r="118" spans="1:19">
      <c r="A118" s="284" t="s">
        <v>368</v>
      </c>
      <c r="B118" s="353"/>
      <c r="C118" s="353"/>
      <c r="D118" s="354">
        <v>0</v>
      </c>
      <c r="E118" s="353"/>
      <c r="F118" s="353"/>
      <c r="G118" s="353"/>
      <c r="H118" s="354">
        <v>0</v>
      </c>
      <c r="I118" s="353"/>
      <c r="J118" s="354">
        <v>0</v>
      </c>
      <c r="K118" s="353"/>
      <c r="L118" s="353"/>
      <c r="M118" s="353"/>
      <c r="N118" s="353"/>
      <c r="O118" s="287">
        <v>0</v>
      </c>
      <c r="P118" s="287">
        <v>0</v>
      </c>
      <c r="Q118" s="287">
        <v>0</v>
      </c>
      <c r="R118" s="353"/>
      <c r="S118" s="355"/>
    </row>
    <row r="119" spans="1:19">
      <c r="A119" s="284" t="s">
        <v>262</v>
      </c>
      <c r="B119" s="353"/>
      <c r="C119" s="353"/>
      <c r="D119" s="354">
        <v>0</v>
      </c>
      <c r="E119" s="353"/>
      <c r="F119" s="353"/>
      <c r="G119" s="353"/>
      <c r="H119" s="354">
        <v>0</v>
      </c>
      <c r="I119" s="353"/>
      <c r="J119" s="354">
        <v>0</v>
      </c>
      <c r="K119" s="353"/>
      <c r="L119" s="353"/>
      <c r="M119" s="353"/>
      <c r="N119" s="353"/>
      <c r="O119" s="287">
        <v>0</v>
      </c>
      <c r="P119" s="287">
        <v>0</v>
      </c>
      <c r="Q119" s="287">
        <v>0</v>
      </c>
      <c r="R119" s="353"/>
      <c r="S119" s="355"/>
    </row>
    <row r="120" spans="1:19">
      <c r="A120" s="284" t="s">
        <v>263</v>
      </c>
      <c r="B120" s="353"/>
      <c r="C120" s="353"/>
      <c r="D120" s="354">
        <v>0</v>
      </c>
      <c r="E120" s="353"/>
      <c r="F120" s="353"/>
      <c r="G120" s="353"/>
      <c r="H120" s="354">
        <v>0</v>
      </c>
      <c r="I120" s="353"/>
      <c r="J120" s="354">
        <v>0</v>
      </c>
      <c r="K120" s="353"/>
      <c r="L120" s="353"/>
      <c r="M120" s="353"/>
      <c r="N120" s="353"/>
      <c r="O120" s="287">
        <v>0</v>
      </c>
      <c r="P120" s="287">
        <v>0</v>
      </c>
      <c r="Q120" s="287">
        <v>0</v>
      </c>
      <c r="R120" s="353"/>
      <c r="S120" s="355"/>
    </row>
    <row r="121" spans="1:19">
      <c r="A121" s="284" t="s">
        <v>265</v>
      </c>
      <c r="B121" s="353"/>
      <c r="C121" s="353"/>
      <c r="D121" s="354">
        <v>0</v>
      </c>
      <c r="E121" s="353"/>
      <c r="F121" s="353"/>
      <c r="G121" s="353"/>
      <c r="H121" s="354">
        <v>0</v>
      </c>
      <c r="I121" s="353"/>
      <c r="J121" s="354">
        <v>0</v>
      </c>
      <c r="K121" s="353"/>
      <c r="L121" s="353"/>
      <c r="M121" s="353"/>
      <c r="N121" s="353"/>
      <c r="O121" s="287">
        <v>0</v>
      </c>
      <c r="P121" s="287">
        <v>0</v>
      </c>
      <c r="Q121" s="287">
        <v>0</v>
      </c>
      <c r="R121" s="353"/>
      <c r="S121" s="355"/>
    </row>
    <row r="122" spans="1:19">
      <c r="A122" s="284" t="s">
        <v>369</v>
      </c>
      <c r="B122" s="353"/>
      <c r="C122" s="353"/>
      <c r="D122" s="354">
        <v>0</v>
      </c>
      <c r="E122" s="353"/>
      <c r="F122" s="353"/>
      <c r="G122" s="353"/>
      <c r="H122" s="354">
        <v>0</v>
      </c>
      <c r="I122" s="353"/>
      <c r="J122" s="354">
        <v>0</v>
      </c>
      <c r="K122" s="353"/>
      <c r="L122" s="353"/>
      <c r="M122" s="353"/>
      <c r="N122" s="353"/>
      <c r="O122" s="287">
        <v>0</v>
      </c>
      <c r="P122" s="287">
        <v>0</v>
      </c>
      <c r="Q122" s="287">
        <v>0</v>
      </c>
      <c r="R122" s="353"/>
      <c r="S122" s="355"/>
    </row>
    <row r="123" spans="1:19" ht="21">
      <c r="A123" s="284" t="s">
        <v>370</v>
      </c>
      <c r="B123" s="353"/>
      <c r="C123" s="353"/>
      <c r="D123" s="354">
        <v>0</v>
      </c>
      <c r="E123" s="353"/>
      <c r="F123" s="353"/>
      <c r="G123" s="353"/>
      <c r="H123" s="354">
        <v>0</v>
      </c>
      <c r="I123" s="353"/>
      <c r="J123" s="354">
        <v>0</v>
      </c>
      <c r="K123" s="353"/>
      <c r="L123" s="353"/>
      <c r="M123" s="353"/>
      <c r="N123" s="353"/>
      <c r="O123" s="287">
        <v>0</v>
      </c>
      <c r="P123" s="287">
        <v>0</v>
      </c>
      <c r="Q123" s="287">
        <v>0</v>
      </c>
      <c r="R123" s="353"/>
      <c r="S123" s="355"/>
    </row>
    <row r="124" spans="1:19">
      <c r="A124" s="284" t="s">
        <v>371</v>
      </c>
      <c r="B124" s="353"/>
      <c r="C124" s="353"/>
      <c r="D124" s="354">
        <v>0</v>
      </c>
      <c r="E124" s="353"/>
      <c r="F124" s="353"/>
      <c r="G124" s="353"/>
      <c r="H124" s="354">
        <v>0</v>
      </c>
      <c r="I124" s="353"/>
      <c r="J124" s="354">
        <v>0</v>
      </c>
      <c r="K124" s="353"/>
      <c r="L124" s="353"/>
      <c r="M124" s="353"/>
      <c r="N124" s="353"/>
      <c r="O124" s="287">
        <v>0</v>
      </c>
      <c r="P124" s="287">
        <v>0</v>
      </c>
      <c r="Q124" s="287">
        <v>0</v>
      </c>
      <c r="R124" s="353"/>
      <c r="S124" s="355"/>
    </row>
    <row r="125" spans="1:19">
      <c r="A125" s="284" t="s">
        <v>372</v>
      </c>
      <c r="B125" s="353"/>
      <c r="C125" s="353"/>
      <c r="D125" s="354">
        <v>0</v>
      </c>
      <c r="E125" s="353"/>
      <c r="F125" s="353"/>
      <c r="G125" s="353"/>
      <c r="H125" s="354">
        <v>0</v>
      </c>
      <c r="I125" s="353"/>
      <c r="J125" s="354">
        <v>0</v>
      </c>
      <c r="K125" s="353"/>
      <c r="L125" s="353"/>
      <c r="M125" s="353"/>
      <c r="N125" s="353"/>
      <c r="O125" s="287">
        <v>0</v>
      </c>
      <c r="P125" s="287">
        <v>0</v>
      </c>
      <c r="Q125" s="287">
        <v>0</v>
      </c>
      <c r="R125" s="353"/>
      <c r="S125" s="355"/>
    </row>
    <row r="126" spans="1:19">
      <c r="A126" s="284" t="s">
        <v>373</v>
      </c>
      <c r="B126" s="353"/>
      <c r="C126" s="353"/>
      <c r="D126" s="354">
        <v>0</v>
      </c>
      <c r="E126" s="353"/>
      <c r="F126" s="353"/>
      <c r="G126" s="353"/>
      <c r="H126" s="354">
        <v>0</v>
      </c>
      <c r="I126" s="353"/>
      <c r="J126" s="354">
        <v>0</v>
      </c>
      <c r="K126" s="353"/>
      <c r="L126" s="353"/>
      <c r="M126" s="353"/>
      <c r="N126" s="353"/>
      <c r="O126" s="287">
        <v>0</v>
      </c>
      <c r="P126" s="287">
        <v>0</v>
      </c>
      <c r="Q126" s="287">
        <v>0</v>
      </c>
      <c r="R126" s="353"/>
      <c r="S126" s="355"/>
    </row>
    <row r="127" spans="1:19">
      <c r="A127" s="284" t="s">
        <v>374</v>
      </c>
      <c r="B127" s="353"/>
      <c r="C127" s="353"/>
      <c r="D127" s="354">
        <v>0</v>
      </c>
      <c r="E127" s="353"/>
      <c r="F127" s="353"/>
      <c r="G127" s="353"/>
      <c r="H127" s="354">
        <v>0</v>
      </c>
      <c r="I127" s="353"/>
      <c r="J127" s="354">
        <v>0</v>
      </c>
      <c r="K127" s="353"/>
      <c r="L127" s="353"/>
      <c r="M127" s="353"/>
      <c r="N127" s="353"/>
      <c r="O127" s="287">
        <v>0</v>
      </c>
      <c r="P127" s="287">
        <v>0</v>
      </c>
      <c r="Q127" s="287">
        <v>0</v>
      </c>
      <c r="R127" s="353"/>
      <c r="S127" s="355"/>
    </row>
    <row r="128" spans="1:19">
      <c r="A128" s="284" t="s">
        <v>375</v>
      </c>
      <c r="B128" s="353"/>
      <c r="C128" s="353"/>
      <c r="D128" s="354">
        <v>0</v>
      </c>
      <c r="E128" s="353"/>
      <c r="F128" s="353"/>
      <c r="G128" s="353"/>
      <c r="H128" s="354">
        <v>0</v>
      </c>
      <c r="I128" s="353"/>
      <c r="J128" s="354">
        <v>0</v>
      </c>
      <c r="K128" s="353"/>
      <c r="L128" s="353"/>
      <c r="M128" s="353"/>
      <c r="N128" s="353"/>
      <c r="O128" s="287">
        <v>0</v>
      </c>
      <c r="P128" s="287">
        <v>0</v>
      </c>
      <c r="Q128" s="287">
        <v>0</v>
      </c>
      <c r="R128" s="353"/>
      <c r="S128" s="355"/>
    </row>
    <row r="129" spans="1:19">
      <c r="A129" s="284" t="s">
        <v>376</v>
      </c>
      <c r="B129" s="353"/>
      <c r="C129" s="353"/>
      <c r="D129" s="354">
        <v>0</v>
      </c>
      <c r="E129" s="353"/>
      <c r="F129" s="353"/>
      <c r="G129" s="353"/>
      <c r="H129" s="354">
        <v>0</v>
      </c>
      <c r="I129" s="353"/>
      <c r="J129" s="354">
        <v>0</v>
      </c>
      <c r="K129" s="353"/>
      <c r="L129" s="353"/>
      <c r="M129" s="353"/>
      <c r="N129" s="353"/>
      <c r="O129" s="287">
        <v>0</v>
      </c>
      <c r="P129" s="287">
        <v>0</v>
      </c>
      <c r="Q129" s="287">
        <v>0</v>
      </c>
      <c r="R129" s="353"/>
      <c r="S129" s="355"/>
    </row>
    <row r="130" spans="1:19">
      <c r="A130" s="284" t="s">
        <v>266</v>
      </c>
      <c r="B130" s="353"/>
      <c r="C130" s="353"/>
      <c r="D130" s="354">
        <v>0</v>
      </c>
      <c r="E130" s="353"/>
      <c r="F130" s="353"/>
      <c r="G130" s="353"/>
      <c r="H130" s="354">
        <v>0</v>
      </c>
      <c r="I130" s="353"/>
      <c r="J130" s="354">
        <v>0</v>
      </c>
      <c r="K130" s="353"/>
      <c r="L130" s="353"/>
      <c r="M130" s="353"/>
      <c r="N130" s="353"/>
      <c r="O130" s="287">
        <v>0</v>
      </c>
      <c r="P130" s="287">
        <v>0</v>
      </c>
      <c r="Q130" s="287">
        <v>0</v>
      </c>
      <c r="R130" s="353"/>
      <c r="S130" s="355"/>
    </row>
    <row r="131" spans="1:19">
      <c r="A131" s="284" t="s">
        <v>267</v>
      </c>
      <c r="B131" s="353"/>
      <c r="C131" s="353"/>
      <c r="D131" s="354">
        <v>0</v>
      </c>
      <c r="E131" s="353"/>
      <c r="F131" s="353"/>
      <c r="G131" s="353"/>
      <c r="H131" s="354">
        <v>0</v>
      </c>
      <c r="I131" s="353"/>
      <c r="J131" s="354">
        <v>0</v>
      </c>
      <c r="K131" s="353"/>
      <c r="L131" s="353"/>
      <c r="M131" s="353"/>
      <c r="N131" s="353"/>
      <c r="O131" s="287">
        <v>0</v>
      </c>
      <c r="P131" s="287">
        <v>0</v>
      </c>
      <c r="Q131" s="287">
        <v>0</v>
      </c>
      <c r="R131" s="353"/>
      <c r="S131" s="355"/>
    </row>
    <row r="132" spans="1:19">
      <c r="A132" s="284" t="s">
        <v>268</v>
      </c>
      <c r="B132" s="353"/>
      <c r="C132" s="353"/>
      <c r="D132" s="354">
        <v>0</v>
      </c>
      <c r="E132" s="353"/>
      <c r="F132" s="353"/>
      <c r="G132" s="353"/>
      <c r="H132" s="354">
        <v>0</v>
      </c>
      <c r="I132" s="353"/>
      <c r="J132" s="354">
        <v>0</v>
      </c>
      <c r="K132" s="353"/>
      <c r="L132" s="353"/>
      <c r="M132" s="353"/>
      <c r="N132" s="353"/>
      <c r="O132" s="287">
        <v>0</v>
      </c>
      <c r="P132" s="287">
        <v>0</v>
      </c>
      <c r="Q132" s="287">
        <v>0</v>
      </c>
      <c r="R132" s="353"/>
      <c r="S132" s="355"/>
    </row>
    <row r="133" spans="1:19">
      <c r="A133" s="284" t="s">
        <v>377</v>
      </c>
      <c r="B133" s="353"/>
      <c r="C133" s="353"/>
      <c r="D133" s="354">
        <v>0</v>
      </c>
      <c r="E133" s="353"/>
      <c r="F133" s="353"/>
      <c r="G133" s="353"/>
      <c r="H133" s="354">
        <v>0</v>
      </c>
      <c r="I133" s="353"/>
      <c r="J133" s="354">
        <v>0</v>
      </c>
      <c r="K133" s="353"/>
      <c r="L133" s="353"/>
      <c r="M133" s="353"/>
      <c r="N133" s="353"/>
      <c r="O133" s="287">
        <v>0</v>
      </c>
      <c r="P133" s="287">
        <v>0</v>
      </c>
      <c r="Q133" s="287">
        <v>0</v>
      </c>
      <c r="R133" s="353"/>
      <c r="S133" s="355"/>
    </row>
    <row r="134" spans="1:19">
      <c r="A134" s="284" t="s">
        <v>270</v>
      </c>
      <c r="B134" s="353"/>
      <c r="C134" s="353"/>
      <c r="D134" s="354">
        <v>0</v>
      </c>
      <c r="E134" s="353"/>
      <c r="F134" s="353"/>
      <c r="G134" s="353"/>
      <c r="H134" s="354">
        <v>0</v>
      </c>
      <c r="I134" s="353"/>
      <c r="J134" s="354">
        <v>0</v>
      </c>
      <c r="K134" s="353"/>
      <c r="L134" s="353"/>
      <c r="M134" s="353"/>
      <c r="N134" s="353"/>
      <c r="O134" s="287">
        <v>0</v>
      </c>
      <c r="P134" s="287">
        <v>0</v>
      </c>
      <c r="Q134" s="287">
        <v>0</v>
      </c>
      <c r="R134" s="353"/>
      <c r="S134" s="355"/>
    </row>
    <row r="135" spans="1:19">
      <c r="A135" s="284" t="s">
        <v>271</v>
      </c>
      <c r="B135" s="353"/>
      <c r="C135" s="353"/>
      <c r="D135" s="354">
        <v>0</v>
      </c>
      <c r="E135" s="353"/>
      <c r="F135" s="353"/>
      <c r="G135" s="353"/>
      <c r="H135" s="354">
        <v>0</v>
      </c>
      <c r="I135" s="353"/>
      <c r="J135" s="354">
        <v>0</v>
      </c>
      <c r="K135" s="353"/>
      <c r="L135" s="353"/>
      <c r="M135" s="353"/>
      <c r="N135" s="353"/>
      <c r="O135" s="287">
        <v>0</v>
      </c>
      <c r="P135" s="287">
        <v>0</v>
      </c>
      <c r="Q135" s="287">
        <v>0</v>
      </c>
      <c r="R135" s="353"/>
      <c r="S135" s="355"/>
    </row>
    <row r="136" spans="1:19">
      <c r="A136" s="284" t="s">
        <v>89</v>
      </c>
      <c r="B136" s="353">
        <v>2577482457.7919998</v>
      </c>
      <c r="C136" s="353">
        <v>2577482457.7919998</v>
      </c>
      <c r="D136" s="354">
        <v>174726746.01387</v>
      </c>
      <c r="E136" s="353">
        <v>1580341775.7723401</v>
      </c>
      <c r="F136" s="353"/>
      <c r="G136" s="353"/>
      <c r="H136" s="354">
        <v>0</v>
      </c>
      <c r="I136" s="353"/>
      <c r="J136" s="354">
        <v>0</v>
      </c>
      <c r="K136" s="353"/>
      <c r="L136" s="353"/>
      <c r="M136" s="353"/>
      <c r="N136" s="353"/>
      <c r="O136" s="287">
        <v>0</v>
      </c>
      <c r="P136" s="287">
        <v>0</v>
      </c>
      <c r="Q136" s="287">
        <v>0</v>
      </c>
      <c r="R136" s="353">
        <v>1405615029.7584701</v>
      </c>
      <c r="S136" s="355">
        <v>1580341775772.3401</v>
      </c>
    </row>
    <row r="137" spans="1:19">
      <c r="A137" s="284" t="s">
        <v>90</v>
      </c>
      <c r="B137" s="353">
        <v>1603521711.2079999</v>
      </c>
      <c r="C137" s="353">
        <v>1603521711.2079999</v>
      </c>
      <c r="D137" s="354">
        <v>70659604.479029894</v>
      </c>
      <c r="E137" s="353">
        <v>1240257429.30018</v>
      </c>
      <c r="F137" s="353"/>
      <c r="G137" s="353"/>
      <c r="H137" s="354">
        <v>0</v>
      </c>
      <c r="I137" s="353"/>
      <c r="J137" s="354">
        <v>0</v>
      </c>
      <c r="K137" s="353"/>
      <c r="L137" s="353"/>
      <c r="M137" s="353"/>
      <c r="N137" s="353"/>
      <c r="O137" s="287">
        <v>0</v>
      </c>
      <c r="P137" s="287">
        <v>0</v>
      </c>
      <c r="Q137" s="287">
        <v>0</v>
      </c>
      <c r="R137" s="353">
        <v>1169597824.8211501</v>
      </c>
      <c r="S137" s="355">
        <v>1240257429300.1799</v>
      </c>
    </row>
    <row r="138" spans="1:19">
      <c r="A138" s="284" t="s">
        <v>378</v>
      </c>
      <c r="B138" s="353">
        <v>1603521711.2079999</v>
      </c>
      <c r="C138" s="353">
        <v>1603521711.2079999</v>
      </c>
      <c r="D138" s="354">
        <v>70659604.479029894</v>
      </c>
      <c r="E138" s="353">
        <v>1237108583.2829599</v>
      </c>
      <c r="F138" s="353"/>
      <c r="G138" s="353"/>
      <c r="H138" s="354">
        <v>0</v>
      </c>
      <c r="I138" s="353"/>
      <c r="J138" s="354">
        <v>0</v>
      </c>
      <c r="K138" s="353"/>
      <c r="L138" s="353"/>
      <c r="M138" s="353"/>
      <c r="N138" s="353"/>
      <c r="O138" s="287">
        <v>0</v>
      </c>
      <c r="P138" s="287">
        <v>0</v>
      </c>
      <c r="Q138" s="287">
        <v>0</v>
      </c>
      <c r="R138" s="353">
        <v>1166448978.80393</v>
      </c>
      <c r="S138" s="355">
        <v>1237108583282.96</v>
      </c>
    </row>
    <row r="139" spans="1:19">
      <c r="A139" s="284" t="s">
        <v>273</v>
      </c>
      <c r="B139" s="353">
        <v>1603521711.2079999</v>
      </c>
      <c r="C139" s="353">
        <v>1603521711.2079999</v>
      </c>
      <c r="D139" s="354">
        <v>70659604.479029894</v>
      </c>
      <c r="E139" s="353">
        <v>1237108583.2829599</v>
      </c>
      <c r="F139" s="353"/>
      <c r="G139" s="353"/>
      <c r="H139" s="354">
        <v>0</v>
      </c>
      <c r="I139" s="353"/>
      <c r="J139" s="354">
        <v>0</v>
      </c>
      <c r="K139" s="353"/>
      <c r="L139" s="353"/>
      <c r="M139" s="353"/>
      <c r="N139" s="353"/>
      <c r="O139" s="287">
        <v>0</v>
      </c>
      <c r="P139" s="287">
        <v>0</v>
      </c>
      <c r="Q139" s="287">
        <v>0</v>
      </c>
      <c r="R139" s="353">
        <v>1166448978.80393</v>
      </c>
      <c r="S139" s="355">
        <v>1237108583282.96</v>
      </c>
    </row>
    <row r="140" spans="1:19">
      <c r="A140" s="284" t="s">
        <v>274</v>
      </c>
      <c r="B140" s="353"/>
      <c r="C140" s="353"/>
      <c r="D140" s="354">
        <v>0</v>
      </c>
      <c r="E140" s="353">
        <v>3148846.0172199998</v>
      </c>
      <c r="F140" s="353"/>
      <c r="G140" s="353"/>
      <c r="H140" s="354">
        <v>0</v>
      </c>
      <c r="I140" s="353"/>
      <c r="J140" s="354">
        <v>0</v>
      </c>
      <c r="K140" s="353"/>
      <c r="L140" s="353"/>
      <c r="M140" s="353"/>
      <c r="N140" s="353"/>
      <c r="O140" s="287">
        <v>0</v>
      </c>
      <c r="P140" s="287">
        <v>0</v>
      </c>
      <c r="Q140" s="287">
        <v>0</v>
      </c>
      <c r="R140" s="353">
        <v>3148846.0172199998</v>
      </c>
      <c r="S140" s="355">
        <v>3148846017.2199998</v>
      </c>
    </row>
    <row r="141" spans="1:19">
      <c r="A141" s="284" t="s">
        <v>275</v>
      </c>
      <c r="B141" s="353"/>
      <c r="C141" s="353"/>
      <c r="D141" s="354">
        <v>0</v>
      </c>
      <c r="E141" s="353">
        <v>3148846.0172199998</v>
      </c>
      <c r="F141" s="353"/>
      <c r="G141" s="353"/>
      <c r="H141" s="354">
        <v>0</v>
      </c>
      <c r="I141" s="353"/>
      <c r="J141" s="354">
        <v>0</v>
      </c>
      <c r="K141" s="353"/>
      <c r="L141" s="353"/>
      <c r="M141" s="353"/>
      <c r="N141" s="353"/>
      <c r="O141" s="287">
        <v>0</v>
      </c>
      <c r="P141" s="287">
        <v>0</v>
      </c>
      <c r="Q141" s="287">
        <v>0</v>
      </c>
      <c r="R141" s="353">
        <v>3148846.0172199998</v>
      </c>
      <c r="S141" s="355">
        <v>3148846017.2199998</v>
      </c>
    </row>
    <row r="142" spans="1:19">
      <c r="A142" s="284" t="s">
        <v>177</v>
      </c>
      <c r="B142" s="353">
        <v>4181004169</v>
      </c>
      <c r="C142" s="353">
        <v>4181004169</v>
      </c>
      <c r="D142" s="354">
        <v>245386350.49290001</v>
      </c>
      <c r="E142" s="353">
        <v>2820599205.0725198</v>
      </c>
      <c r="F142" s="353"/>
      <c r="G142" s="353"/>
      <c r="H142" s="354">
        <v>0</v>
      </c>
      <c r="I142" s="353"/>
      <c r="J142" s="354">
        <v>0</v>
      </c>
      <c r="K142" s="353"/>
      <c r="L142" s="353"/>
      <c r="M142" s="353"/>
      <c r="N142" s="353"/>
      <c r="O142" s="287">
        <v>0</v>
      </c>
      <c r="P142" s="287">
        <v>0</v>
      </c>
      <c r="Q142" s="287">
        <v>0</v>
      </c>
      <c r="R142" s="353">
        <v>2575212854.5796199</v>
      </c>
      <c r="S142" s="355">
        <v>2820599205072.52</v>
      </c>
    </row>
    <row r="143" spans="1:19">
      <c r="A143" s="284" t="s">
        <v>277</v>
      </c>
      <c r="B143" s="353"/>
      <c r="C143" s="353"/>
      <c r="D143" s="354">
        <v>0</v>
      </c>
      <c r="E143" s="353"/>
      <c r="F143" s="353"/>
      <c r="G143" s="353"/>
      <c r="H143" s="354">
        <v>0</v>
      </c>
      <c r="I143" s="353"/>
      <c r="J143" s="354">
        <v>0</v>
      </c>
      <c r="K143" s="353"/>
      <c r="L143" s="353"/>
      <c r="M143" s="353"/>
      <c r="N143" s="353">
        <v>40111200.802000001</v>
      </c>
      <c r="O143" s="287">
        <v>0</v>
      </c>
      <c r="P143" s="287">
        <v>0</v>
      </c>
      <c r="Q143" s="287">
        <v>0</v>
      </c>
      <c r="R143" s="353"/>
      <c r="S143" s="355"/>
    </row>
    <row r="144" spans="1:19">
      <c r="A144" s="284" t="s">
        <v>278</v>
      </c>
      <c r="B144" s="353"/>
      <c r="C144" s="353"/>
      <c r="D144" s="354">
        <v>0</v>
      </c>
      <c r="E144" s="353"/>
      <c r="F144" s="353"/>
      <c r="G144" s="353"/>
      <c r="H144" s="354">
        <v>0</v>
      </c>
      <c r="I144" s="353"/>
      <c r="J144" s="354">
        <v>0</v>
      </c>
      <c r="K144" s="353"/>
      <c r="L144" s="353"/>
      <c r="M144" s="353"/>
      <c r="N144" s="353">
        <v>109015121.80500001</v>
      </c>
      <c r="O144" s="287">
        <v>0</v>
      </c>
      <c r="P144" s="287">
        <v>0</v>
      </c>
      <c r="Q144" s="287">
        <v>0</v>
      </c>
      <c r="R144" s="353"/>
      <c r="S144" s="355"/>
    </row>
    <row r="145" spans="1:19">
      <c r="A145" s="284" t="s">
        <v>279</v>
      </c>
      <c r="B145" s="353"/>
      <c r="C145" s="353"/>
      <c r="D145" s="354">
        <v>0</v>
      </c>
      <c r="E145" s="353"/>
      <c r="F145" s="353"/>
      <c r="G145" s="353">
        <v>-388907434</v>
      </c>
      <c r="H145" s="354">
        <v>0</v>
      </c>
      <c r="I145" s="353"/>
      <c r="J145" s="354">
        <v>0</v>
      </c>
      <c r="K145" s="353"/>
      <c r="L145" s="353"/>
      <c r="M145" s="353"/>
      <c r="N145" s="353">
        <v>-826065.022</v>
      </c>
      <c r="O145" s="287">
        <v>0</v>
      </c>
      <c r="P145" s="287">
        <v>0</v>
      </c>
      <c r="Q145" s="287">
        <v>0</v>
      </c>
      <c r="R145" s="353"/>
      <c r="S145" s="355"/>
    </row>
    <row r="146" spans="1:19">
      <c r="A146" s="284" t="s">
        <v>120</v>
      </c>
      <c r="B146" s="353"/>
      <c r="C146" s="353"/>
      <c r="D146" s="354">
        <v>0</v>
      </c>
      <c r="E146" s="353"/>
      <c r="F146" s="353">
        <v>2628331921.8870902</v>
      </c>
      <c r="G146" s="353">
        <v>2771813754.1370902</v>
      </c>
      <c r="H146" s="354">
        <v>246350927.398552</v>
      </c>
      <c r="I146" s="353">
        <v>2119019488.33569</v>
      </c>
      <c r="J146" s="354">
        <v>193378148.89263099</v>
      </c>
      <c r="K146" s="353">
        <v>1736030973.2772901</v>
      </c>
      <c r="L146" s="353">
        <v>1666924692.0775399</v>
      </c>
      <c r="M146" s="353"/>
      <c r="N146" s="353">
        <v>143481832.25</v>
      </c>
      <c r="O146" s="287">
        <v>0</v>
      </c>
      <c r="P146" s="287">
        <v>0</v>
      </c>
      <c r="Q146" s="287">
        <v>0</v>
      </c>
      <c r="R146" s="353"/>
      <c r="S146" s="355"/>
    </row>
    <row r="147" spans="1:19">
      <c r="A147" s="284" t="s">
        <v>297</v>
      </c>
      <c r="B147" s="353"/>
      <c r="C147" s="353"/>
      <c r="D147" s="354">
        <v>0</v>
      </c>
      <c r="E147" s="353"/>
      <c r="F147" s="353">
        <v>2093313641.85111</v>
      </c>
      <c r="G147" s="353">
        <v>2228934812.40411</v>
      </c>
      <c r="H147" s="354">
        <v>214570253.74142799</v>
      </c>
      <c r="I147" s="353">
        <v>1738158773.2513299</v>
      </c>
      <c r="J147" s="354">
        <v>188183641.244261</v>
      </c>
      <c r="K147" s="353">
        <v>1416697552.19118</v>
      </c>
      <c r="L147" s="353">
        <v>1348297816.3689699</v>
      </c>
      <c r="M147" s="353"/>
      <c r="N147" s="353">
        <v>135621170.553</v>
      </c>
      <c r="O147" s="287">
        <v>0</v>
      </c>
      <c r="P147" s="287">
        <v>0</v>
      </c>
      <c r="Q147" s="287">
        <v>0</v>
      </c>
      <c r="R147" s="353"/>
      <c r="S147" s="355"/>
    </row>
    <row r="148" spans="1:19">
      <c r="A148" s="284" t="s">
        <v>298</v>
      </c>
      <c r="B148" s="353"/>
      <c r="C148" s="353"/>
      <c r="D148" s="354">
        <v>0</v>
      </c>
      <c r="E148" s="353"/>
      <c r="F148" s="353">
        <v>335155980.07800001</v>
      </c>
      <c r="G148" s="353">
        <v>334301929.03500003</v>
      </c>
      <c r="H148" s="354">
        <v>11699502.818112699</v>
      </c>
      <c r="I148" s="353">
        <v>263299114.77611101</v>
      </c>
      <c r="J148" s="354">
        <v>24654325.861395702</v>
      </c>
      <c r="K148" s="353">
        <v>211032740.20160201</v>
      </c>
      <c r="L148" s="353">
        <v>194872639.605142</v>
      </c>
      <c r="M148" s="353"/>
      <c r="N148" s="353">
        <v>-854051.04299999995</v>
      </c>
      <c r="O148" s="287">
        <v>0</v>
      </c>
      <c r="P148" s="287">
        <v>0</v>
      </c>
      <c r="Q148" s="287">
        <v>0</v>
      </c>
      <c r="R148" s="353"/>
      <c r="S148" s="355"/>
    </row>
    <row r="149" spans="1:19">
      <c r="A149" s="284" t="s">
        <v>299</v>
      </c>
      <c r="B149" s="353"/>
      <c r="C149" s="353"/>
      <c r="D149" s="354">
        <v>0</v>
      </c>
      <c r="E149" s="353"/>
      <c r="F149" s="353">
        <v>362618215.09200001</v>
      </c>
      <c r="G149" s="353">
        <v>362617890.09200001</v>
      </c>
      <c r="H149" s="354">
        <v>64475125.458099999</v>
      </c>
      <c r="I149" s="353">
        <v>232391038.2279</v>
      </c>
      <c r="J149" s="354">
        <v>32230125.660549998</v>
      </c>
      <c r="K149" s="353">
        <v>194806232.38405001</v>
      </c>
      <c r="L149" s="353">
        <v>194806002.88339999</v>
      </c>
      <c r="M149" s="353"/>
      <c r="N149" s="353">
        <v>-325</v>
      </c>
      <c r="O149" s="287">
        <v>0</v>
      </c>
      <c r="P149" s="287">
        <v>0</v>
      </c>
      <c r="Q149" s="287">
        <v>0</v>
      </c>
      <c r="R149" s="353"/>
      <c r="S149" s="355"/>
    </row>
    <row r="150" spans="1:19">
      <c r="A150" s="284" t="s">
        <v>300</v>
      </c>
      <c r="B150" s="353"/>
      <c r="C150" s="353"/>
      <c r="D150" s="354">
        <v>0</v>
      </c>
      <c r="E150" s="353"/>
      <c r="F150" s="353">
        <v>1395539446.6811099</v>
      </c>
      <c r="G150" s="353">
        <v>1532014993.2771101</v>
      </c>
      <c r="H150" s="354">
        <v>138395625.465215</v>
      </c>
      <c r="I150" s="353">
        <v>1242468620.2473199</v>
      </c>
      <c r="J150" s="354">
        <v>131299189.722315</v>
      </c>
      <c r="K150" s="353">
        <v>1010858579.60552</v>
      </c>
      <c r="L150" s="353">
        <v>958619173.880427</v>
      </c>
      <c r="M150" s="353"/>
      <c r="N150" s="353">
        <v>136475546.59599999</v>
      </c>
      <c r="O150" s="287">
        <v>0</v>
      </c>
      <c r="P150" s="287">
        <v>0</v>
      </c>
      <c r="Q150" s="287">
        <v>0</v>
      </c>
      <c r="R150" s="353"/>
      <c r="S150" s="355"/>
    </row>
    <row r="151" spans="1:19">
      <c r="A151" s="284" t="s">
        <v>301</v>
      </c>
      <c r="B151" s="353"/>
      <c r="C151" s="353"/>
      <c r="D151" s="354">
        <v>0</v>
      </c>
      <c r="E151" s="353"/>
      <c r="F151" s="353">
        <v>410689204.33104998</v>
      </c>
      <c r="G151" s="353">
        <v>423757050.83705002</v>
      </c>
      <c r="H151" s="354">
        <v>19332044.22735</v>
      </c>
      <c r="I151" s="353">
        <v>378720072.17439997</v>
      </c>
      <c r="J151" s="354">
        <v>45848610.367490001</v>
      </c>
      <c r="K151" s="353">
        <v>288662167.80936998</v>
      </c>
      <c r="L151" s="353">
        <v>284364822.95578998</v>
      </c>
      <c r="M151" s="353"/>
      <c r="N151" s="353">
        <v>13067846.505999999</v>
      </c>
      <c r="O151" s="287">
        <v>0</v>
      </c>
      <c r="P151" s="287">
        <v>0</v>
      </c>
      <c r="Q151" s="287">
        <v>0</v>
      </c>
      <c r="R151" s="353"/>
      <c r="S151" s="355"/>
    </row>
    <row r="152" spans="1:19">
      <c r="A152" s="284" t="s">
        <v>302</v>
      </c>
      <c r="B152" s="353"/>
      <c r="C152" s="353"/>
      <c r="D152" s="354">
        <v>0</v>
      </c>
      <c r="E152" s="353"/>
      <c r="F152" s="353">
        <v>439859601.24800003</v>
      </c>
      <c r="G152" s="353">
        <v>571654429.86600006</v>
      </c>
      <c r="H152" s="354">
        <v>99116488.783160001</v>
      </c>
      <c r="I152" s="353">
        <v>555217161.68147004</v>
      </c>
      <c r="J152" s="354">
        <v>53622610.33907</v>
      </c>
      <c r="K152" s="353">
        <v>492408530.27891999</v>
      </c>
      <c r="L152" s="353">
        <v>450776961.49814999</v>
      </c>
      <c r="M152" s="353"/>
      <c r="N152" s="353">
        <v>131794828.618</v>
      </c>
      <c r="O152" s="287">
        <v>0</v>
      </c>
      <c r="P152" s="287">
        <v>0</v>
      </c>
      <c r="Q152" s="287">
        <v>0</v>
      </c>
      <c r="R152" s="353"/>
      <c r="S152" s="355"/>
    </row>
    <row r="153" spans="1:19">
      <c r="A153" s="284" t="s">
        <v>303</v>
      </c>
      <c r="B153" s="353"/>
      <c r="C153" s="353"/>
      <c r="D153" s="354">
        <v>0</v>
      </c>
      <c r="E153" s="353"/>
      <c r="F153" s="353">
        <v>544990641.10205996</v>
      </c>
      <c r="G153" s="353">
        <v>536603512.57406002</v>
      </c>
      <c r="H153" s="354">
        <v>19947092.454705</v>
      </c>
      <c r="I153" s="353">
        <v>308531386.39144498</v>
      </c>
      <c r="J153" s="354">
        <v>31827969.015755299</v>
      </c>
      <c r="K153" s="353">
        <v>229787881.517234</v>
      </c>
      <c r="L153" s="353">
        <v>223477389.42648599</v>
      </c>
      <c r="M153" s="353"/>
      <c r="N153" s="353">
        <v>-8387128.5279999999</v>
      </c>
      <c r="O153" s="287">
        <v>0</v>
      </c>
      <c r="P153" s="287">
        <v>0</v>
      </c>
      <c r="Q153" s="287">
        <v>0</v>
      </c>
      <c r="R153" s="353"/>
      <c r="S153" s="355"/>
    </row>
    <row r="154" spans="1:19">
      <c r="A154" s="284" t="s">
        <v>304</v>
      </c>
      <c r="B154" s="353"/>
      <c r="C154" s="353"/>
      <c r="D154" s="354">
        <v>0</v>
      </c>
      <c r="E154" s="353"/>
      <c r="F154" s="353">
        <v>493797603.05798</v>
      </c>
      <c r="G154" s="353">
        <v>503961459.34998</v>
      </c>
      <c r="H154" s="354">
        <v>31780673.657124899</v>
      </c>
      <c r="I154" s="353">
        <v>380860715.08436</v>
      </c>
      <c r="J154" s="354">
        <v>5194507.6483701495</v>
      </c>
      <c r="K154" s="353">
        <v>319333421.08611703</v>
      </c>
      <c r="L154" s="353">
        <v>318626875.70856798</v>
      </c>
      <c r="M154" s="353"/>
      <c r="N154" s="353">
        <v>10163856.291999999</v>
      </c>
      <c r="O154" s="287">
        <v>0</v>
      </c>
      <c r="P154" s="287">
        <v>0</v>
      </c>
      <c r="Q154" s="287">
        <v>0</v>
      </c>
      <c r="R154" s="353"/>
      <c r="S154" s="355"/>
    </row>
    <row r="155" spans="1:19">
      <c r="A155" s="284" t="s">
        <v>306</v>
      </c>
      <c r="B155" s="353"/>
      <c r="C155" s="353"/>
      <c r="D155" s="354">
        <v>0</v>
      </c>
      <c r="E155" s="353"/>
      <c r="F155" s="353">
        <v>38103056.11603</v>
      </c>
      <c r="G155" s="353">
        <v>40630958.139030002</v>
      </c>
      <c r="H155" s="354">
        <v>5052162.7179749003</v>
      </c>
      <c r="I155" s="353">
        <v>20135703.989779901</v>
      </c>
      <c r="J155" s="354">
        <v>1479743.9926201601</v>
      </c>
      <c r="K155" s="353">
        <v>6421135.4234868595</v>
      </c>
      <c r="L155" s="353">
        <v>5720106.0127681699</v>
      </c>
      <c r="M155" s="353"/>
      <c r="N155" s="353">
        <v>2527902.023</v>
      </c>
      <c r="O155" s="287">
        <v>0</v>
      </c>
      <c r="P155" s="287">
        <v>0</v>
      </c>
      <c r="Q155" s="287">
        <v>0</v>
      </c>
      <c r="R155" s="353"/>
      <c r="S155" s="355"/>
    </row>
    <row r="156" spans="1:19">
      <c r="A156" s="284" t="s">
        <v>307</v>
      </c>
      <c r="B156" s="353"/>
      <c r="C156" s="353"/>
      <c r="D156" s="354">
        <v>0</v>
      </c>
      <c r="E156" s="353"/>
      <c r="F156" s="353">
        <v>80600705.427000001</v>
      </c>
      <c r="G156" s="353">
        <v>88236334.695999995</v>
      </c>
      <c r="H156" s="354">
        <v>-1122758.1384900101</v>
      </c>
      <c r="I156" s="353">
        <v>55534673.823019996</v>
      </c>
      <c r="J156" s="354">
        <v>3701362.0962299998</v>
      </c>
      <c r="K156" s="353">
        <v>35874214.191490002</v>
      </c>
      <c r="L156" s="353">
        <v>35869994.106339999</v>
      </c>
      <c r="M156" s="353"/>
      <c r="N156" s="353">
        <v>7635629.2690000003</v>
      </c>
      <c r="O156" s="287">
        <v>0</v>
      </c>
      <c r="P156" s="287">
        <v>0</v>
      </c>
      <c r="Q156" s="287">
        <v>0</v>
      </c>
      <c r="R156" s="353"/>
      <c r="S156" s="355"/>
    </row>
    <row r="157" spans="1:19">
      <c r="A157" s="284" t="s">
        <v>308</v>
      </c>
      <c r="B157" s="353"/>
      <c r="C157" s="353"/>
      <c r="D157" s="354">
        <v>0</v>
      </c>
      <c r="E157" s="353"/>
      <c r="F157" s="353">
        <v>375093841.51494998</v>
      </c>
      <c r="G157" s="353">
        <v>375094166.51494998</v>
      </c>
      <c r="H157" s="354">
        <v>27851269.077640001</v>
      </c>
      <c r="I157" s="353">
        <v>305190337.27156001</v>
      </c>
      <c r="J157" s="354">
        <v>13401.5595200062</v>
      </c>
      <c r="K157" s="353">
        <v>277038071.47114003</v>
      </c>
      <c r="L157" s="353">
        <v>277036775.58946002</v>
      </c>
      <c r="M157" s="353"/>
      <c r="N157" s="353">
        <v>325</v>
      </c>
      <c r="O157" s="287">
        <v>0</v>
      </c>
      <c r="P157" s="287">
        <v>0</v>
      </c>
      <c r="Q157" s="287">
        <v>0</v>
      </c>
      <c r="R157" s="353"/>
      <c r="S157" s="355"/>
    </row>
    <row r="158" spans="1:19">
      <c r="A158" s="284" t="s">
        <v>309</v>
      </c>
      <c r="B158" s="353"/>
      <c r="C158" s="353"/>
      <c r="D158" s="354">
        <v>0</v>
      </c>
      <c r="E158" s="353"/>
      <c r="F158" s="353">
        <v>41220676.978</v>
      </c>
      <c r="G158" s="353">
        <v>38917482.383000001</v>
      </c>
      <c r="H158" s="354">
        <v>0</v>
      </c>
      <c r="I158" s="353"/>
      <c r="J158" s="354">
        <v>0</v>
      </c>
      <c r="K158" s="353"/>
      <c r="L158" s="353"/>
      <c r="M158" s="353"/>
      <c r="N158" s="353">
        <v>-2303194.5950000002</v>
      </c>
      <c r="O158" s="287">
        <v>0</v>
      </c>
      <c r="P158" s="287">
        <v>0</v>
      </c>
      <c r="Q158" s="287">
        <v>0</v>
      </c>
      <c r="R158" s="353"/>
      <c r="S158" s="355"/>
    </row>
    <row r="159" spans="1:19">
      <c r="A159" s="284" t="s">
        <v>133</v>
      </c>
      <c r="B159" s="353"/>
      <c r="C159" s="353"/>
      <c r="D159" s="354">
        <v>0</v>
      </c>
      <c r="E159" s="353"/>
      <c r="F159" s="353">
        <v>34213658.639920004</v>
      </c>
      <c r="G159" s="353">
        <v>39032083.974919997</v>
      </c>
      <c r="H159" s="354">
        <v>957825.72632973304</v>
      </c>
      <c r="I159" s="353">
        <v>33544135.262413699</v>
      </c>
      <c r="J159" s="354">
        <v>2833972.8815538799</v>
      </c>
      <c r="K159" s="353">
        <v>22488036.5111892</v>
      </c>
      <c r="L159" s="353">
        <v>22260569.654459201</v>
      </c>
      <c r="M159" s="353"/>
      <c r="N159" s="353">
        <v>4818425.335</v>
      </c>
      <c r="O159" s="287">
        <v>0</v>
      </c>
      <c r="P159" s="287">
        <v>0</v>
      </c>
      <c r="Q159" s="287">
        <v>0</v>
      </c>
      <c r="R159" s="353"/>
      <c r="S159" s="355"/>
    </row>
    <row r="160" spans="1:19">
      <c r="A160" s="284" t="s">
        <v>310</v>
      </c>
      <c r="B160" s="353"/>
      <c r="C160" s="353"/>
      <c r="D160" s="354">
        <v>0</v>
      </c>
      <c r="E160" s="353"/>
      <c r="F160" s="353">
        <v>33631902.62895</v>
      </c>
      <c r="G160" s="353">
        <v>38450354.474950001</v>
      </c>
      <c r="H160" s="354">
        <v>960587.31701973104</v>
      </c>
      <c r="I160" s="353">
        <v>32965547.2871137</v>
      </c>
      <c r="J160" s="354">
        <v>2809196.0438138801</v>
      </c>
      <c r="K160" s="353">
        <v>22316449.922059201</v>
      </c>
      <c r="L160" s="353">
        <v>22088986.0496592</v>
      </c>
      <c r="M160" s="353"/>
      <c r="N160" s="353">
        <v>4818451.8459999999</v>
      </c>
      <c r="O160" s="287">
        <v>0</v>
      </c>
      <c r="P160" s="287">
        <v>0</v>
      </c>
      <c r="Q160" s="287">
        <v>0</v>
      </c>
      <c r="R160" s="353"/>
      <c r="S160" s="355"/>
    </row>
    <row r="161" spans="1:19">
      <c r="A161" s="284" t="s">
        <v>311</v>
      </c>
      <c r="B161" s="353"/>
      <c r="C161" s="353"/>
      <c r="D161" s="354">
        <v>0</v>
      </c>
      <c r="E161" s="353"/>
      <c r="F161" s="353">
        <v>28495609.995999999</v>
      </c>
      <c r="G161" s="353">
        <v>28454296.666999999</v>
      </c>
      <c r="H161" s="354">
        <v>738473.56723973504</v>
      </c>
      <c r="I161" s="353">
        <v>23185252.522283699</v>
      </c>
      <c r="J161" s="354">
        <v>2177683.6905038902</v>
      </c>
      <c r="K161" s="353">
        <v>16276231.499169201</v>
      </c>
      <c r="L161" s="353">
        <v>16056125.348329199</v>
      </c>
      <c r="M161" s="353"/>
      <c r="N161" s="353">
        <v>-41313.328999999998</v>
      </c>
      <c r="O161" s="287">
        <v>0</v>
      </c>
      <c r="P161" s="287">
        <v>0</v>
      </c>
      <c r="Q161" s="287">
        <v>0</v>
      </c>
      <c r="R161" s="353"/>
      <c r="S161" s="355"/>
    </row>
    <row r="162" spans="1:19">
      <c r="A162" s="284" t="s">
        <v>312</v>
      </c>
      <c r="B162" s="353"/>
      <c r="C162" s="353"/>
      <c r="D162" s="354">
        <v>0</v>
      </c>
      <c r="E162" s="353"/>
      <c r="F162" s="353"/>
      <c r="G162" s="353"/>
      <c r="H162" s="354">
        <v>0</v>
      </c>
      <c r="I162" s="353"/>
      <c r="J162" s="354">
        <v>0</v>
      </c>
      <c r="K162" s="353"/>
      <c r="L162" s="353"/>
      <c r="M162" s="353"/>
      <c r="N162" s="353"/>
      <c r="O162" s="287">
        <v>0</v>
      </c>
      <c r="P162" s="287">
        <v>0</v>
      </c>
      <c r="Q162" s="287">
        <v>0</v>
      </c>
      <c r="R162" s="353"/>
      <c r="S162" s="355"/>
    </row>
    <row r="163" spans="1:19">
      <c r="A163" s="284" t="s">
        <v>314</v>
      </c>
      <c r="B163" s="353"/>
      <c r="C163" s="353"/>
      <c r="D163" s="354">
        <v>0</v>
      </c>
      <c r="E163" s="353"/>
      <c r="F163" s="353">
        <v>5136292.6329500005</v>
      </c>
      <c r="G163" s="353">
        <v>9996057.8079499993</v>
      </c>
      <c r="H163" s="354">
        <v>222113.749780001</v>
      </c>
      <c r="I163" s="353">
        <v>9780294.7648300007</v>
      </c>
      <c r="J163" s="354">
        <v>631512.35331000003</v>
      </c>
      <c r="K163" s="353">
        <v>6040218.42289</v>
      </c>
      <c r="L163" s="353">
        <v>6032860.7013299996</v>
      </c>
      <c r="M163" s="353"/>
      <c r="N163" s="353">
        <v>4859765.1749999998</v>
      </c>
      <c r="O163" s="287">
        <v>0</v>
      </c>
      <c r="P163" s="287">
        <v>0</v>
      </c>
      <c r="Q163" s="287">
        <v>0</v>
      </c>
      <c r="R163" s="353"/>
      <c r="S163" s="355"/>
    </row>
    <row r="164" spans="1:19">
      <c r="A164" s="284" t="s">
        <v>315</v>
      </c>
      <c r="B164" s="353"/>
      <c r="C164" s="353"/>
      <c r="D164" s="354">
        <v>0</v>
      </c>
      <c r="E164" s="353"/>
      <c r="F164" s="353">
        <v>581756.01096999994</v>
      </c>
      <c r="G164" s="353">
        <v>581729.49997</v>
      </c>
      <c r="H164" s="354">
        <v>-2761.59068999998</v>
      </c>
      <c r="I164" s="353">
        <v>578587.97530000005</v>
      </c>
      <c r="J164" s="354">
        <v>24776.837739999999</v>
      </c>
      <c r="K164" s="353">
        <v>171586.58913000001</v>
      </c>
      <c r="L164" s="353">
        <v>171583.6048</v>
      </c>
      <c r="M164" s="353"/>
      <c r="N164" s="353">
        <v>-26.510999999999999</v>
      </c>
      <c r="O164" s="287">
        <v>0</v>
      </c>
      <c r="P164" s="287">
        <v>0</v>
      </c>
      <c r="Q164" s="287">
        <v>0</v>
      </c>
      <c r="R164" s="353"/>
      <c r="S164" s="355"/>
    </row>
    <row r="165" spans="1:19">
      <c r="A165" s="284" t="s">
        <v>316</v>
      </c>
      <c r="B165" s="353"/>
      <c r="C165" s="353"/>
      <c r="D165" s="354">
        <v>0</v>
      </c>
      <c r="E165" s="353"/>
      <c r="F165" s="353">
        <v>25823.830969999999</v>
      </c>
      <c r="G165" s="353">
        <v>25797.31997</v>
      </c>
      <c r="H165" s="354">
        <v>-2761.59069</v>
      </c>
      <c r="I165" s="353">
        <v>22655.795300000002</v>
      </c>
      <c r="J165" s="354">
        <v>3006.67481</v>
      </c>
      <c r="K165" s="353">
        <v>8421.4600900000005</v>
      </c>
      <c r="L165" s="353">
        <v>8418.4757599999994</v>
      </c>
      <c r="M165" s="353"/>
      <c r="N165" s="353">
        <v>-26.510999999999999</v>
      </c>
      <c r="O165" s="287">
        <v>0</v>
      </c>
      <c r="P165" s="287">
        <v>0</v>
      </c>
      <c r="Q165" s="287">
        <v>0</v>
      </c>
      <c r="R165" s="353"/>
      <c r="S165" s="355"/>
    </row>
    <row r="166" spans="1:19">
      <c r="A166" s="284" t="s">
        <v>317</v>
      </c>
      <c r="B166" s="353"/>
      <c r="C166" s="353"/>
      <c r="D166" s="354">
        <v>0</v>
      </c>
      <c r="E166" s="353"/>
      <c r="F166" s="353">
        <v>555932.18000000005</v>
      </c>
      <c r="G166" s="353">
        <v>555932.18000000005</v>
      </c>
      <c r="H166" s="354">
        <v>0</v>
      </c>
      <c r="I166" s="353">
        <v>555932.18000000005</v>
      </c>
      <c r="J166" s="354">
        <v>21770.162929999999</v>
      </c>
      <c r="K166" s="353">
        <v>163165.12904</v>
      </c>
      <c r="L166" s="353">
        <v>163165.12904</v>
      </c>
      <c r="M166" s="353"/>
      <c r="N166" s="353"/>
      <c r="O166" s="287">
        <v>0</v>
      </c>
      <c r="P166" s="287">
        <v>0</v>
      </c>
      <c r="Q166" s="287">
        <v>0</v>
      </c>
      <c r="R166" s="353"/>
      <c r="S166" s="355"/>
    </row>
    <row r="167" spans="1:19">
      <c r="A167" s="284" t="s">
        <v>319</v>
      </c>
      <c r="B167" s="353"/>
      <c r="C167" s="353"/>
      <c r="D167" s="354">
        <v>0</v>
      </c>
      <c r="E167" s="353"/>
      <c r="F167" s="353"/>
      <c r="G167" s="353"/>
      <c r="H167" s="354">
        <v>0</v>
      </c>
      <c r="I167" s="353"/>
      <c r="J167" s="354">
        <v>0</v>
      </c>
      <c r="K167" s="353"/>
      <c r="L167" s="353"/>
      <c r="M167" s="353"/>
      <c r="N167" s="353"/>
      <c r="O167" s="287">
        <v>0</v>
      </c>
      <c r="P167" s="287">
        <v>0</v>
      </c>
      <c r="Q167" s="287">
        <v>0</v>
      </c>
      <c r="R167" s="353"/>
      <c r="S167" s="355"/>
    </row>
    <row r="168" spans="1:19">
      <c r="A168" s="284" t="s">
        <v>320</v>
      </c>
      <c r="B168" s="353"/>
      <c r="C168" s="353"/>
      <c r="D168" s="354">
        <v>0</v>
      </c>
      <c r="E168" s="353"/>
      <c r="F168" s="353"/>
      <c r="G168" s="353"/>
      <c r="H168" s="354">
        <v>0</v>
      </c>
      <c r="I168" s="353"/>
      <c r="J168" s="354">
        <v>0</v>
      </c>
      <c r="K168" s="353"/>
      <c r="L168" s="353"/>
      <c r="M168" s="353"/>
      <c r="N168" s="353"/>
      <c r="O168" s="287">
        <v>0</v>
      </c>
      <c r="P168" s="287">
        <v>0</v>
      </c>
      <c r="Q168" s="287">
        <v>0</v>
      </c>
      <c r="R168" s="353"/>
      <c r="S168" s="355"/>
    </row>
    <row r="169" spans="1:19">
      <c r="A169" s="284" t="s">
        <v>305</v>
      </c>
      <c r="B169" s="353"/>
      <c r="C169" s="353"/>
      <c r="D169" s="354">
        <v>0</v>
      </c>
      <c r="E169" s="353"/>
      <c r="F169" s="353">
        <v>2662545580.52701</v>
      </c>
      <c r="G169" s="353">
        <v>2810845838.11201</v>
      </c>
      <c r="H169" s="354">
        <v>247308753.12488201</v>
      </c>
      <c r="I169" s="353">
        <v>2152563623.5981002</v>
      </c>
      <c r="J169" s="354">
        <v>196212121.774185</v>
      </c>
      <c r="K169" s="353">
        <v>1758519009.78848</v>
      </c>
      <c r="L169" s="353">
        <v>1689185261.7320001</v>
      </c>
      <c r="M169" s="353"/>
      <c r="N169" s="353">
        <v>148300257.58500001</v>
      </c>
      <c r="O169" s="287">
        <v>0</v>
      </c>
      <c r="P169" s="287">
        <v>0</v>
      </c>
      <c r="Q169" s="287">
        <v>0</v>
      </c>
      <c r="R169" s="353"/>
      <c r="S169" s="355"/>
    </row>
    <row r="170" spans="1:19">
      <c r="A170" s="284" t="s">
        <v>135</v>
      </c>
      <c r="B170" s="353"/>
      <c r="C170" s="353"/>
      <c r="D170" s="354">
        <v>0</v>
      </c>
      <c r="E170" s="353"/>
      <c r="F170" s="353">
        <v>1498690968.6270499</v>
      </c>
      <c r="G170" s="353">
        <v>1498690968.6270499</v>
      </c>
      <c r="H170" s="354">
        <v>233286304.27397001</v>
      </c>
      <c r="I170" s="353">
        <v>1070073735.21951</v>
      </c>
      <c r="J170" s="354">
        <v>2599720.7446800498</v>
      </c>
      <c r="K170" s="353">
        <v>749803100.75516999</v>
      </c>
      <c r="L170" s="353">
        <v>749803100.75516999</v>
      </c>
      <c r="M170" s="353"/>
      <c r="N170" s="353"/>
      <c r="O170" s="287">
        <v>0</v>
      </c>
      <c r="P170" s="287">
        <v>0</v>
      </c>
      <c r="Q170" s="287">
        <v>0</v>
      </c>
      <c r="R170" s="353"/>
      <c r="S170" s="355"/>
    </row>
    <row r="171" spans="1:19">
      <c r="A171" s="284" t="s">
        <v>322</v>
      </c>
      <c r="B171" s="353"/>
      <c r="C171" s="353"/>
      <c r="D171" s="354">
        <v>0</v>
      </c>
      <c r="E171" s="353"/>
      <c r="F171" s="353">
        <v>1434393049.3970001</v>
      </c>
      <c r="G171" s="353">
        <v>1434393049.3970001</v>
      </c>
      <c r="H171" s="354">
        <v>233197350.83570999</v>
      </c>
      <c r="I171" s="353">
        <v>1045452809.78731</v>
      </c>
      <c r="J171" s="354">
        <v>2510767.3064200901</v>
      </c>
      <c r="K171" s="353">
        <v>725232175.32297003</v>
      </c>
      <c r="L171" s="353">
        <v>725232175.32297003</v>
      </c>
      <c r="M171" s="353"/>
      <c r="N171" s="353"/>
      <c r="O171" s="287">
        <v>0</v>
      </c>
      <c r="P171" s="287">
        <v>0</v>
      </c>
      <c r="Q171" s="287">
        <v>0</v>
      </c>
      <c r="R171" s="353"/>
      <c r="S171" s="355"/>
    </row>
    <row r="172" spans="1:19">
      <c r="A172" s="284" t="s">
        <v>324</v>
      </c>
      <c r="B172" s="353"/>
      <c r="C172" s="353"/>
      <c r="D172" s="354">
        <v>0</v>
      </c>
      <c r="E172" s="353"/>
      <c r="F172" s="353">
        <v>1399235985.553</v>
      </c>
      <c r="G172" s="353">
        <v>1399235985.553</v>
      </c>
      <c r="H172" s="354">
        <v>232540576.31711999</v>
      </c>
      <c r="I172" s="353">
        <v>1037469840.49674</v>
      </c>
      <c r="J172" s="354">
        <v>2269392.7878299998</v>
      </c>
      <c r="K172" s="353">
        <v>722727686.03240001</v>
      </c>
      <c r="L172" s="353">
        <v>722727686.03240001</v>
      </c>
      <c r="M172" s="353"/>
      <c r="N172" s="353"/>
      <c r="O172" s="287">
        <v>0</v>
      </c>
      <c r="P172" s="287">
        <v>0</v>
      </c>
      <c r="Q172" s="287">
        <v>0</v>
      </c>
      <c r="R172" s="353"/>
      <c r="S172" s="355"/>
    </row>
    <row r="173" spans="1:19">
      <c r="A173" s="284" t="s">
        <v>325</v>
      </c>
      <c r="B173" s="353"/>
      <c r="C173" s="353"/>
      <c r="D173" s="354">
        <v>0</v>
      </c>
      <c r="E173" s="353"/>
      <c r="F173" s="353">
        <v>35157063.843999997</v>
      </c>
      <c r="G173" s="353">
        <v>35157063.843999997</v>
      </c>
      <c r="H173" s="354">
        <v>656774.51858999999</v>
      </c>
      <c r="I173" s="353">
        <v>7982969.2905700002</v>
      </c>
      <c r="J173" s="354">
        <v>241374.51858999999</v>
      </c>
      <c r="K173" s="353">
        <v>2504489.2905700002</v>
      </c>
      <c r="L173" s="353">
        <v>2504489.2905700002</v>
      </c>
      <c r="M173" s="353"/>
      <c r="N173" s="353"/>
      <c r="O173" s="287">
        <v>0</v>
      </c>
      <c r="P173" s="287">
        <v>0</v>
      </c>
      <c r="Q173" s="287">
        <v>0</v>
      </c>
      <c r="R173" s="353"/>
      <c r="S173" s="355"/>
    </row>
    <row r="174" spans="1:19">
      <c r="A174" s="284" t="s">
        <v>327</v>
      </c>
      <c r="B174" s="353"/>
      <c r="C174" s="353"/>
      <c r="D174" s="354">
        <v>0</v>
      </c>
      <c r="E174" s="353"/>
      <c r="F174" s="353">
        <v>64297919.230049998</v>
      </c>
      <c r="G174" s="353">
        <v>64297919.230049998</v>
      </c>
      <c r="H174" s="354">
        <v>88953.438260000199</v>
      </c>
      <c r="I174" s="353">
        <v>24620925.4322</v>
      </c>
      <c r="J174" s="354">
        <v>88953.438260000199</v>
      </c>
      <c r="K174" s="353">
        <v>24570925.4322</v>
      </c>
      <c r="L174" s="353">
        <v>24570925.4322</v>
      </c>
      <c r="M174" s="353"/>
      <c r="N174" s="353"/>
      <c r="O174" s="287">
        <v>0</v>
      </c>
      <c r="P174" s="287">
        <v>0</v>
      </c>
      <c r="Q174" s="287">
        <v>0</v>
      </c>
      <c r="R174" s="353"/>
      <c r="S174" s="355"/>
    </row>
    <row r="175" spans="1:19">
      <c r="A175" s="284" t="s">
        <v>329</v>
      </c>
      <c r="B175" s="353"/>
      <c r="C175" s="353"/>
      <c r="D175" s="354">
        <v>0</v>
      </c>
      <c r="E175" s="353"/>
      <c r="F175" s="353">
        <v>57037053.651000001</v>
      </c>
      <c r="G175" s="353">
        <v>57037053.651000001</v>
      </c>
      <c r="H175" s="354">
        <v>0</v>
      </c>
      <c r="I175" s="353">
        <v>21476304.8792</v>
      </c>
      <c r="J175" s="354">
        <v>0</v>
      </c>
      <c r="K175" s="353">
        <v>21426304.8792</v>
      </c>
      <c r="L175" s="353">
        <v>21426304.8792</v>
      </c>
      <c r="M175" s="353"/>
      <c r="N175" s="353"/>
      <c r="O175" s="287">
        <v>0</v>
      </c>
      <c r="P175" s="287">
        <v>0</v>
      </c>
      <c r="Q175" s="287">
        <v>0</v>
      </c>
      <c r="R175" s="353"/>
      <c r="S175" s="355"/>
    </row>
    <row r="176" spans="1:19">
      <c r="A176" s="284" t="s">
        <v>330</v>
      </c>
      <c r="B176" s="353"/>
      <c r="C176" s="353"/>
      <c r="D176" s="354">
        <v>0</v>
      </c>
      <c r="E176" s="353"/>
      <c r="F176" s="353">
        <v>7260865.5790499998</v>
      </c>
      <c r="G176" s="353">
        <v>7260865.5790499998</v>
      </c>
      <c r="H176" s="354">
        <v>88953.438259999704</v>
      </c>
      <c r="I176" s="353">
        <v>3144620.5529999998</v>
      </c>
      <c r="J176" s="354">
        <v>88953.438259999704</v>
      </c>
      <c r="K176" s="353">
        <v>3144620.5529999998</v>
      </c>
      <c r="L176" s="353">
        <v>3144620.5529999998</v>
      </c>
      <c r="M176" s="353"/>
      <c r="N176" s="353"/>
      <c r="O176" s="287">
        <v>0</v>
      </c>
      <c r="P176" s="287">
        <v>0</v>
      </c>
      <c r="Q176" s="287">
        <v>0</v>
      </c>
      <c r="R176" s="353"/>
      <c r="S176" s="355"/>
    </row>
    <row r="177" spans="1:19">
      <c r="A177" s="285" t="s">
        <v>313</v>
      </c>
      <c r="B177" s="353"/>
      <c r="C177" s="353"/>
      <c r="D177" s="354">
        <v>0</v>
      </c>
      <c r="E177" s="353"/>
      <c r="F177" s="353">
        <v>4161236549.1540599</v>
      </c>
      <c r="G177" s="353">
        <v>4309536806.7390604</v>
      </c>
      <c r="H177" s="354">
        <v>480595057.39885199</v>
      </c>
      <c r="I177" s="353">
        <v>3222637358.8176098</v>
      </c>
      <c r="J177" s="354">
        <v>198811842.51886499</v>
      </c>
      <c r="K177" s="353">
        <v>2508322110.5436502</v>
      </c>
      <c r="L177" s="353">
        <v>2438988362.4871702</v>
      </c>
      <c r="M177" s="353"/>
      <c r="N177" s="353">
        <v>148300257.58500001</v>
      </c>
      <c r="O177" s="287">
        <v>0</v>
      </c>
      <c r="P177" s="287">
        <v>0</v>
      </c>
      <c r="Q177" s="287">
        <v>0</v>
      </c>
      <c r="R177" s="353"/>
      <c r="S177" s="355"/>
    </row>
    <row r="178" spans="1:19">
      <c r="A178" s="316" t="s">
        <v>379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</row>
  </sheetData>
  <mergeCells count="1">
    <mergeCell ref="A178:S17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>
    <tabColor rgb="FFFF0000"/>
  </sheetPr>
  <dimension ref="A1:A124"/>
  <sheetViews>
    <sheetView showGridLines="0" topLeftCell="A73" workbookViewId="0">
      <selection activeCell="A9" sqref="A9"/>
    </sheetView>
  </sheetViews>
  <sheetFormatPr defaultColWidth="8.85546875" defaultRowHeight="12.75"/>
  <cols>
    <col min="1" max="1" width="91.42578125" customWidth="1"/>
  </cols>
  <sheetData>
    <row r="1" spans="1:1" ht="13.5" thickTop="1">
      <c r="A1" s="152" t="s">
        <v>380</v>
      </c>
    </row>
    <row r="2" spans="1:1">
      <c r="A2" s="153" t="s">
        <v>381</v>
      </c>
    </row>
    <row r="3" spans="1:1">
      <c r="A3" s="153"/>
    </row>
    <row r="4" spans="1:1">
      <c r="A4" s="153" t="s">
        <v>382</v>
      </c>
    </row>
    <row r="5" spans="1:1">
      <c r="A5" s="153" t="s">
        <v>383</v>
      </c>
    </row>
    <row r="6" spans="1:1">
      <c r="A6" s="153" t="s">
        <v>384</v>
      </c>
    </row>
    <row r="7" spans="1:1">
      <c r="A7" s="153" t="s">
        <v>385</v>
      </c>
    </row>
    <row r="8" spans="1:1">
      <c r="A8" s="153" t="s">
        <v>386</v>
      </c>
    </row>
    <row r="9" spans="1:1">
      <c r="A9" s="153" t="s">
        <v>387</v>
      </c>
    </row>
    <row r="10" spans="1:1">
      <c r="A10" s="153" t="s">
        <v>388</v>
      </c>
    </row>
    <row r="11" spans="1:1">
      <c r="A11" s="153" t="s">
        <v>389</v>
      </c>
    </row>
    <row r="12" spans="1:1">
      <c r="A12" s="153" t="s">
        <v>390</v>
      </c>
    </row>
    <row r="13" spans="1:1">
      <c r="A13" s="153" t="s">
        <v>391</v>
      </c>
    </row>
    <row r="14" spans="1:1">
      <c r="A14" s="153" t="s">
        <v>392</v>
      </c>
    </row>
    <row r="15" spans="1:1">
      <c r="A15" s="153" t="s">
        <v>393</v>
      </c>
    </row>
    <row r="16" spans="1:1">
      <c r="A16" s="153" t="s">
        <v>394</v>
      </c>
    </row>
    <row r="17" spans="1:1">
      <c r="A17" s="153" t="s">
        <v>395</v>
      </c>
    </row>
    <row r="18" spans="1:1">
      <c r="A18" s="153" t="s">
        <v>396</v>
      </c>
    </row>
    <row r="19" spans="1:1">
      <c r="A19" s="153" t="s">
        <v>397</v>
      </c>
    </row>
    <row r="20" spans="1:1">
      <c r="A20" s="153" t="s">
        <v>398</v>
      </c>
    </row>
    <row r="21" spans="1:1">
      <c r="A21" s="153" t="s">
        <v>399</v>
      </c>
    </row>
    <row r="22" spans="1:1">
      <c r="A22" s="153"/>
    </row>
    <row r="23" spans="1:1" ht="13.5" thickBot="1">
      <c r="A23" s="154" t="s">
        <v>400</v>
      </c>
    </row>
    <row r="24" spans="1:1" ht="13.5" thickTop="1">
      <c r="A24" s="12"/>
    </row>
    <row r="25" spans="1:1" ht="13.5" thickBot="1">
      <c r="A25" s="12"/>
    </row>
    <row r="26" spans="1:1" ht="13.5" thickTop="1">
      <c r="A26" s="155" t="s">
        <v>401</v>
      </c>
    </row>
    <row r="27" spans="1:1">
      <c r="A27" s="156" t="s">
        <v>402</v>
      </c>
    </row>
    <row r="28" spans="1:1">
      <c r="A28" s="156"/>
    </row>
    <row r="29" spans="1:1">
      <c r="A29" s="156" t="s">
        <v>382</v>
      </c>
    </row>
    <row r="30" spans="1:1">
      <c r="A30" s="156" t="s">
        <v>403</v>
      </c>
    </row>
    <row r="31" spans="1:1">
      <c r="A31" s="156" t="s">
        <v>384</v>
      </c>
    </row>
    <row r="32" spans="1:1">
      <c r="A32" s="156" t="s">
        <v>385</v>
      </c>
    </row>
    <row r="33" spans="1:1">
      <c r="A33" s="156" t="s">
        <v>386</v>
      </c>
    </row>
    <row r="34" spans="1:1">
      <c r="A34" s="156" t="s">
        <v>387</v>
      </c>
    </row>
    <row r="35" spans="1:1">
      <c r="A35" s="156" t="s">
        <v>404</v>
      </c>
    </row>
    <row r="36" spans="1:1">
      <c r="A36" s="156" t="s">
        <v>405</v>
      </c>
    </row>
    <row r="37" spans="1:1">
      <c r="A37" s="156" t="s">
        <v>390</v>
      </c>
    </row>
    <row r="38" spans="1:1">
      <c r="A38" s="156" t="s">
        <v>391</v>
      </c>
    </row>
    <row r="39" spans="1:1">
      <c r="A39" s="156" t="s">
        <v>392</v>
      </c>
    </row>
    <row r="40" spans="1:1">
      <c r="A40" s="156" t="s">
        <v>393</v>
      </c>
    </row>
    <row r="41" spans="1:1">
      <c r="A41" s="156" t="s">
        <v>394</v>
      </c>
    </row>
    <row r="42" spans="1:1">
      <c r="A42" s="156" t="s">
        <v>395</v>
      </c>
    </row>
    <row r="43" spans="1:1">
      <c r="A43" s="156" t="s">
        <v>396</v>
      </c>
    </row>
    <row r="44" spans="1:1">
      <c r="A44" s="156" t="s">
        <v>406</v>
      </c>
    </row>
    <row r="45" spans="1:1">
      <c r="A45" s="156" t="s">
        <v>398</v>
      </c>
    </row>
    <row r="46" spans="1:1">
      <c r="A46" s="156" t="s">
        <v>407</v>
      </c>
    </row>
    <row r="47" spans="1:1">
      <c r="A47" s="156"/>
    </row>
    <row r="48" spans="1:1" ht="13.5" thickBot="1">
      <c r="A48" s="157" t="s">
        <v>400</v>
      </c>
    </row>
    <row r="49" spans="1:1" ht="14.25" thickTop="1" thickBot="1">
      <c r="A49" s="12"/>
    </row>
    <row r="50" spans="1:1" ht="13.5" thickTop="1">
      <c r="A50" s="158" t="s">
        <v>401</v>
      </c>
    </row>
    <row r="51" spans="1:1">
      <c r="A51" s="159" t="s">
        <v>402</v>
      </c>
    </row>
    <row r="52" spans="1:1">
      <c r="A52" s="159"/>
    </row>
    <row r="53" spans="1:1">
      <c r="A53" s="159" t="s">
        <v>382</v>
      </c>
    </row>
    <row r="54" spans="1:1">
      <c r="A54" s="159" t="s">
        <v>403</v>
      </c>
    </row>
    <row r="55" spans="1:1">
      <c r="A55" s="159" t="s">
        <v>384</v>
      </c>
    </row>
    <row r="56" spans="1:1">
      <c r="A56" s="159" t="s">
        <v>385</v>
      </c>
    </row>
    <row r="57" spans="1:1">
      <c r="A57" s="159" t="s">
        <v>386</v>
      </c>
    </row>
    <row r="58" spans="1:1">
      <c r="A58" s="159" t="s">
        <v>387</v>
      </c>
    </row>
    <row r="59" spans="1:1">
      <c r="A59" s="159" t="s">
        <v>408</v>
      </c>
    </row>
    <row r="60" spans="1:1">
      <c r="A60" s="159" t="s">
        <v>405</v>
      </c>
    </row>
    <row r="61" spans="1:1">
      <c r="A61" s="159" t="s">
        <v>390</v>
      </c>
    </row>
    <row r="62" spans="1:1">
      <c r="A62" s="159" t="s">
        <v>391</v>
      </c>
    </row>
    <row r="63" spans="1:1">
      <c r="A63" s="159" t="s">
        <v>392</v>
      </c>
    </row>
    <row r="64" spans="1:1">
      <c r="A64" s="159" t="s">
        <v>393</v>
      </c>
    </row>
    <row r="65" spans="1:1">
      <c r="A65" s="159" t="s">
        <v>394</v>
      </c>
    </row>
    <row r="66" spans="1:1">
      <c r="A66" s="159" t="s">
        <v>395</v>
      </c>
    </row>
    <row r="67" spans="1:1">
      <c r="A67" s="159" t="s">
        <v>396</v>
      </c>
    </row>
    <row r="68" spans="1:1">
      <c r="A68" s="159" t="s">
        <v>406</v>
      </c>
    </row>
    <row r="69" spans="1:1">
      <c r="A69" s="159" t="s">
        <v>398</v>
      </c>
    </row>
    <row r="70" spans="1:1">
      <c r="A70" s="159" t="s">
        <v>407</v>
      </c>
    </row>
    <row r="71" spans="1:1">
      <c r="A71" s="159"/>
    </row>
    <row r="72" spans="1:1" ht="13.5" thickBot="1">
      <c r="A72" s="160" t="s">
        <v>400</v>
      </c>
    </row>
    <row r="73" spans="1:1" ht="13.5" thickTop="1">
      <c r="A73" s="12"/>
    </row>
    <row r="74" spans="1:1">
      <c r="A74" s="12"/>
    </row>
    <row r="75" spans="1:1" ht="13.5" thickBot="1">
      <c r="A75" s="12"/>
    </row>
    <row r="76" spans="1:1" ht="13.5" thickTop="1">
      <c r="A76" s="161" t="s">
        <v>409</v>
      </c>
    </row>
    <row r="77" spans="1:1">
      <c r="A77" s="162" t="s">
        <v>410</v>
      </c>
    </row>
    <row r="78" spans="1:1">
      <c r="A78" s="162" t="s">
        <v>411</v>
      </c>
    </row>
    <row r="79" spans="1:1">
      <c r="A79" s="162" t="s">
        <v>412</v>
      </c>
    </row>
    <row r="80" spans="1:1">
      <c r="A80" s="162"/>
    </row>
    <row r="81" spans="1:1">
      <c r="A81" s="162" t="s">
        <v>413</v>
      </c>
    </row>
    <row r="82" spans="1:1">
      <c r="A82" s="162"/>
    </row>
    <row r="83" spans="1:1">
      <c r="A83" s="162" t="s">
        <v>414</v>
      </c>
    </row>
    <row r="84" spans="1:1">
      <c r="A84" s="162" t="s">
        <v>415</v>
      </c>
    </row>
    <row r="85" spans="1:1">
      <c r="A85" s="162" t="s">
        <v>416</v>
      </c>
    </row>
    <row r="86" spans="1:1">
      <c r="A86" s="162" t="s">
        <v>417</v>
      </c>
    </row>
    <row r="87" spans="1:1">
      <c r="A87" s="162" t="s">
        <v>418</v>
      </c>
    </row>
    <row r="88" spans="1:1">
      <c r="A88" s="162"/>
    </row>
    <row r="89" spans="1:1">
      <c r="A89" s="162" t="s">
        <v>419</v>
      </c>
    </row>
    <row r="90" spans="1:1">
      <c r="A90" s="162"/>
    </row>
    <row r="91" spans="1:1">
      <c r="A91" s="162" t="s">
        <v>420</v>
      </c>
    </row>
    <row r="92" spans="1:1">
      <c r="A92" s="163" t="s">
        <v>421</v>
      </c>
    </row>
    <row r="93" spans="1:1">
      <c r="A93" s="162" t="s">
        <v>422</v>
      </c>
    </row>
    <row r="94" spans="1:1">
      <c r="A94" s="162" t="s">
        <v>422</v>
      </c>
    </row>
    <row r="95" spans="1:1">
      <c r="A95" s="162" t="s">
        <v>422</v>
      </c>
    </row>
    <row r="96" spans="1:1">
      <c r="A96" s="162" t="s">
        <v>422</v>
      </c>
    </row>
    <row r="97" spans="1:1">
      <c r="A97" s="162"/>
    </row>
    <row r="98" spans="1:1" ht="13.5" thickBot="1">
      <c r="A98" s="164" t="s">
        <v>423</v>
      </c>
    </row>
    <row r="99" spans="1:1" ht="13.5" thickTop="1"/>
    <row r="100" spans="1:1" ht="13.5" thickBot="1"/>
    <row r="101" spans="1:1" ht="13.5" thickTop="1">
      <c r="A101" s="161" t="s">
        <v>409</v>
      </c>
    </row>
    <row r="102" spans="1:1">
      <c r="A102" s="162" t="s">
        <v>410</v>
      </c>
    </row>
    <row r="103" spans="1:1">
      <c r="A103" s="162" t="s">
        <v>424</v>
      </c>
    </row>
    <row r="104" spans="1:1">
      <c r="A104" s="162" t="s">
        <v>412</v>
      </c>
    </row>
    <row r="105" spans="1:1">
      <c r="A105" s="162"/>
    </row>
    <row r="106" spans="1:1">
      <c r="A106" s="162" t="s">
        <v>413</v>
      </c>
    </row>
    <row r="107" spans="1:1">
      <c r="A107" s="162"/>
    </row>
    <row r="108" spans="1:1">
      <c r="A108" s="162" t="s">
        <v>414</v>
      </c>
    </row>
    <row r="109" spans="1:1">
      <c r="A109" s="162" t="s">
        <v>415</v>
      </c>
    </row>
    <row r="110" spans="1:1">
      <c r="A110" s="162" t="s">
        <v>416</v>
      </c>
    </row>
    <row r="111" spans="1:1">
      <c r="A111" s="162" t="s">
        <v>417</v>
      </c>
    </row>
    <row r="112" spans="1:1">
      <c r="A112" s="162" t="s">
        <v>418</v>
      </c>
    </row>
    <row r="113" spans="1:1">
      <c r="A113" s="162"/>
    </row>
    <row r="114" spans="1:1">
      <c r="A114" s="162" t="s">
        <v>419</v>
      </c>
    </row>
    <row r="115" spans="1:1">
      <c r="A115" s="162"/>
    </row>
    <row r="116" spans="1:1">
      <c r="A116" s="162" t="s">
        <v>420</v>
      </c>
    </row>
    <row r="117" spans="1:1">
      <c r="A117" s="163" t="s">
        <v>421</v>
      </c>
    </row>
    <row r="118" spans="1:1">
      <c r="A118" s="162" t="s">
        <v>422</v>
      </c>
    </row>
    <row r="119" spans="1:1">
      <c r="A119" s="162" t="s">
        <v>422</v>
      </c>
    </row>
    <row r="120" spans="1:1">
      <c r="A120" s="162" t="s">
        <v>422</v>
      </c>
    </row>
    <row r="121" spans="1:1">
      <c r="A121" s="162" t="s">
        <v>422</v>
      </c>
    </row>
    <row r="122" spans="1:1">
      <c r="A122" s="162"/>
    </row>
    <row r="123" spans="1:1" ht="13.5" thickBot="1">
      <c r="A123" s="164" t="s">
        <v>423</v>
      </c>
    </row>
    <row r="124" spans="1:1" ht="13.5" thickTop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0"/>
  <dimension ref="A1:M124"/>
  <sheetViews>
    <sheetView zoomScaleNormal="100" workbookViewId="0">
      <selection activeCell="A101" sqref="A101:A124"/>
    </sheetView>
  </sheetViews>
  <sheetFormatPr defaultColWidth="9.140625" defaultRowHeight="11.25"/>
  <cols>
    <col min="1" max="1" width="71.5703125" style="1" customWidth="1"/>
    <col min="2" max="2" width="2.5703125" style="1" customWidth="1"/>
    <col min="3" max="3" width="19.42578125" style="1" bestFit="1" customWidth="1"/>
    <col min="4" max="4" width="18" style="16" bestFit="1" customWidth="1"/>
    <col min="5" max="5" width="3.42578125" style="1" customWidth="1"/>
    <col min="6" max="6" width="2.42578125" style="1" customWidth="1"/>
    <col min="7" max="7" width="24.85546875" style="1" bestFit="1" customWidth="1"/>
    <col min="8" max="8" width="14.85546875" style="1" bestFit="1" customWidth="1"/>
    <col min="9" max="9" width="13.42578125" style="1" customWidth="1"/>
    <col min="10" max="10" width="15.140625" style="1" bestFit="1" customWidth="1"/>
    <col min="11" max="11" width="12" style="1" bestFit="1" customWidth="1"/>
    <col min="12" max="12" width="15.140625" style="1" bestFit="1" customWidth="1"/>
    <col min="13" max="13" width="12" style="1" bestFit="1" customWidth="1"/>
    <col min="14" max="16384" width="9.140625" style="1"/>
  </cols>
  <sheetData>
    <row r="1" spans="1:13">
      <c r="A1" s="1" t="s">
        <v>425</v>
      </c>
    </row>
    <row r="2" spans="1:13">
      <c r="A2" s="1" t="s">
        <v>426</v>
      </c>
    </row>
    <row r="3" spans="1:13">
      <c r="A3" s="1" t="s">
        <v>427</v>
      </c>
    </row>
    <row r="4" spans="1:13">
      <c r="A4" s="1" t="s">
        <v>428</v>
      </c>
    </row>
    <row r="5" spans="1:13">
      <c r="A5" s="1" t="s">
        <v>429</v>
      </c>
    </row>
    <row r="6" spans="1:13">
      <c r="A6" s="1" t="s">
        <v>430</v>
      </c>
      <c r="H6" s="317" t="s">
        <v>13</v>
      </c>
      <c r="I6" s="317"/>
      <c r="J6" s="317" t="s">
        <v>15</v>
      </c>
      <c r="K6" s="317"/>
      <c r="L6" s="317" t="s">
        <v>431</v>
      </c>
      <c r="M6" s="317"/>
    </row>
    <row r="7" spans="1:13">
      <c r="A7" s="1" t="s">
        <v>432</v>
      </c>
      <c r="C7" s="237"/>
      <c r="G7" s="252" t="s">
        <v>433</v>
      </c>
      <c r="H7" s="36" t="s">
        <v>434</v>
      </c>
      <c r="I7" s="252" t="s">
        <v>5</v>
      </c>
      <c r="J7" s="36" t="s">
        <v>434</v>
      </c>
      <c r="K7" s="252" t="s">
        <v>5</v>
      </c>
      <c r="L7" s="36" t="s">
        <v>434</v>
      </c>
      <c r="M7" s="252" t="s">
        <v>5</v>
      </c>
    </row>
    <row r="8" spans="1:13">
      <c r="A8" s="1" t="s">
        <v>435</v>
      </c>
      <c r="C8" s="1" t="str">
        <f>SUBSTITUTE(MID(A8,5,15),".","")</f>
        <v>621000000</v>
      </c>
      <c r="D8" s="16">
        <f t="shared" ref="D8:D13" si="0">IFERROR(IF(TRIM(RIGHT(A8,2))="d",MID(A8,59,20)/1,-1*MID(A8,59,20)/1),"")</f>
        <v>-4181004169000</v>
      </c>
      <c r="G8" s="37" t="s">
        <v>436</v>
      </c>
      <c r="H8" s="55">
        <f>J8-(SUMIF(C32:C38,"621200000",D32:D38)+SUMIF(C32:C38,"6213*****",D32:D38))*-1</f>
        <v>245386350492.8999</v>
      </c>
      <c r="I8" s="55">
        <f>H8/1000</f>
        <v>245386350.49289989</v>
      </c>
      <c r="J8" s="356">
        <f>(SUMIF(C8:C22,"621200000",D8:D22)+SUMIF(C8:C22,"6213*****",D8:D22))*-1</f>
        <v>2820599205072.52</v>
      </c>
      <c r="K8" s="356">
        <f>J8/1000</f>
        <v>2820599205.0725203</v>
      </c>
      <c r="L8" s="357">
        <f>J8-(SUMIF(C42:C63,"621200000",D42:D63)+SUMIF(C42:C63,"6213*****",D42:D63))*-1</f>
        <v>622784195534.33008</v>
      </c>
      <c r="M8" s="358">
        <f>L8/1000</f>
        <v>622784195.53433013</v>
      </c>
    </row>
    <row r="9" spans="1:13">
      <c r="A9" s="1" t="s">
        <v>437</v>
      </c>
      <c r="C9" s="1" t="str">
        <f t="shared" ref="C9:C20" si="1">SUBSTITUTE(MID(A9,5,15),".","")</f>
        <v>621100000</v>
      </c>
      <c r="D9" s="16">
        <f t="shared" si="0"/>
        <v>-1360404963927.48</v>
      </c>
      <c r="G9" s="38" t="s">
        <v>281</v>
      </c>
      <c r="H9" s="238"/>
      <c r="I9" s="55"/>
      <c r="J9" s="39">
        <f>D84*1</f>
        <v>4161236549154.0601</v>
      </c>
      <c r="K9" s="39">
        <f>J9/1000</f>
        <v>4161236549.1540599</v>
      </c>
      <c r="L9" s="39"/>
      <c r="M9" s="39"/>
    </row>
    <row r="10" spans="1:13">
      <c r="A10" s="1" t="s">
        <v>438</v>
      </c>
      <c r="C10" s="1" t="str">
        <f t="shared" si="1"/>
        <v>621200000</v>
      </c>
      <c r="D10" s="16">
        <f t="shared" si="0"/>
        <v>-2882064509476.8398</v>
      </c>
      <c r="G10" s="38" t="s">
        <v>282</v>
      </c>
      <c r="H10" s="238"/>
      <c r="I10" s="55"/>
      <c r="J10" s="39">
        <f t="shared" ref="J10:J14" si="2">D85*1</f>
        <v>4309536806739.0601</v>
      </c>
      <c r="K10" s="39">
        <f t="shared" ref="K10:K14" si="3">J10/1000</f>
        <v>4309536806.7390604</v>
      </c>
      <c r="L10" s="39"/>
      <c r="M10" s="39"/>
    </row>
    <row r="11" spans="1:13" ht="11.25" customHeight="1">
      <c r="A11" s="1" t="s">
        <v>439</v>
      </c>
      <c r="C11" s="1" t="str">
        <f t="shared" si="1"/>
        <v>621300000</v>
      </c>
      <c r="D11" s="16">
        <f t="shared" si="0"/>
        <v>61465304404.32</v>
      </c>
      <c r="G11" s="38" t="s">
        <v>440</v>
      </c>
      <c r="H11" s="238">
        <f>C86*1</f>
        <v>480595057399.04999</v>
      </c>
      <c r="I11" s="55">
        <f>H11/1000</f>
        <v>480595057.39905</v>
      </c>
      <c r="J11" s="39">
        <f>D86*1</f>
        <v>3222637358818.02</v>
      </c>
      <c r="K11" s="39">
        <f t="shared" si="3"/>
        <v>3222637358.8180199</v>
      </c>
      <c r="L11" s="39">
        <f>SUM(H11*1,IF(RIGHT(TRIM(C110),1)="-",SUBSTITUTE(C110,"-","")*(-1),C110)*1)</f>
        <v>778811877165.96997</v>
      </c>
      <c r="M11" s="39">
        <f>L11/1000</f>
        <v>778811877.16596997</v>
      </c>
    </row>
    <row r="12" spans="1:13" ht="11.25" customHeight="1">
      <c r="A12" s="1" t="s">
        <v>441</v>
      </c>
      <c r="C12" s="1" t="str">
        <f t="shared" si="1"/>
        <v>621800000</v>
      </c>
      <c r="D12" s="16">
        <f t="shared" si="0"/>
        <v>0</v>
      </c>
      <c r="G12" s="38" t="s">
        <v>442</v>
      </c>
      <c r="H12" s="238">
        <f>C87*1</f>
        <v>198811842519.10999</v>
      </c>
      <c r="I12" s="55">
        <f>C87/1000</f>
        <v>198811842.51910999</v>
      </c>
      <c r="J12" s="39">
        <f t="shared" si="2"/>
        <v>2508322110543.8799</v>
      </c>
      <c r="K12" s="39">
        <f t="shared" si="3"/>
        <v>2508322110.54388</v>
      </c>
      <c r="L12" s="39">
        <f>SUM(H12*1,IF(RIGHT(TRIM(C111),1)="-",SUBSTITUTE(C111,"-","")*(-1),C111)*1)</f>
        <v>543863792195.57996</v>
      </c>
      <c r="M12" s="39">
        <f>L12/1000</f>
        <v>543863792.19558001</v>
      </c>
    </row>
    <row r="13" spans="1:13" ht="11.25" customHeight="1">
      <c r="A13" s="1" t="s">
        <v>443</v>
      </c>
      <c r="C13" s="1" t="str">
        <f t="shared" si="1"/>
        <v>621900000</v>
      </c>
      <c r="D13" s="16">
        <f t="shared" si="0"/>
        <v>0</v>
      </c>
      <c r="G13" s="38" t="s">
        <v>287</v>
      </c>
      <c r="H13" s="238">
        <f>C88*1</f>
        <v>198511801568.60001</v>
      </c>
      <c r="I13" s="55">
        <f>H13/1000</f>
        <v>198511801.5686</v>
      </c>
      <c r="J13" s="39">
        <f t="shared" si="2"/>
        <v>2438988362487.4302</v>
      </c>
      <c r="K13" s="39">
        <f t="shared" si="3"/>
        <v>2438988362.4874301</v>
      </c>
      <c r="L13" s="39"/>
      <c r="M13" s="39"/>
    </row>
    <row r="14" spans="1:13">
      <c r="A14" s="1" t="s">
        <v>444</v>
      </c>
      <c r="C14" s="1" t="str">
        <f t="shared" si="1"/>
        <v xml:space="preserve">               </v>
      </c>
      <c r="D14" s="16" t="str">
        <f t="shared" ref="D14:D21" si="4">IFERROR(IF(TRIM(RIGHT(A14,2))="d",MID(A14,59,20)/1,-1*MID(A14,59,20)/1),"")</f>
        <v/>
      </c>
      <c r="G14" s="38" t="s">
        <v>445</v>
      </c>
      <c r="H14" s="238" t="str">
        <f>C89</f>
        <v>0,00</v>
      </c>
      <c r="I14" s="55">
        <f>H14/1000</f>
        <v>0</v>
      </c>
      <c r="J14" s="39">
        <f t="shared" si="2"/>
        <v>0</v>
      </c>
      <c r="K14" s="39">
        <f t="shared" si="3"/>
        <v>0</v>
      </c>
      <c r="L14" s="39"/>
      <c r="M14" s="39"/>
    </row>
    <row r="15" spans="1:13">
      <c r="A15" s="1" t="s">
        <v>444</v>
      </c>
      <c r="C15" s="1" t="str">
        <f t="shared" si="1"/>
        <v xml:space="preserve">               </v>
      </c>
      <c r="D15" s="16" t="str">
        <f t="shared" si="4"/>
        <v/>
      </c>
      <c r="G15" s="38"/>
      <c r="H15" s="56"/>
      <c r="I15" s="56"/>
      <c r="J15" s="39"/>
      <c r="K15" s="40"/>
      <c r="L15" s="39"/>
      <c r="M15" s="39"/>
    </row>
    <row r="16" spans="1:13">
      <c r="A16" s="1" t="s">
        <v>444</v>
      </c>
      <c r="C16" s="1" t="str">
        <f t="shared" si="1"/>
        <v xml:space="preserve">               </v>
      </c>
      <c r="G16" s="38"/>
      <c r="H16" s="56"/>
      <c r="I16" s="56"/>
      <c r="J16" s="39"/>
      <c r="K16" s="40"/>
      <c r="L16" s="39"/>
      <c r="M16" s="39"/>
    </row>
    <row r="17" spans="1:13">
      <c r="A17" s="1" t="s">
        <v>444</v>
      </c>
      <c r="C17" s="1" t="str">
        <f t="shared" si="1"/>
        <v xml:space="preserve">               </v>
      </c>
      <c r="D17" s="16" t="str">
        <f t="shared" si="4"/>
        <v/>
      </c>
      <c r="G17" s="38"/>
      <c r="H17" s="56"/>
      <c r="I17" s="56"/>
      <c r="J17" s="39"/>
      <c r="K17" s="40"/>
      <c r="L17" s="39"/>
      <c r="M17" s="39"/>
    </row>
    <row r="18" spans="1:13">
      <c r="A18" s="1" t="s">
        <v>444</v>
      </c>
      <c r="C18" s="1" t="str">
        <f t="shared" si="1"/>
        <v xml:space="preserve">               </v>
      </c>
      <c r="D18" s="16" t="str">
        <f t="shared" si="4"/>
        <v/>
      </c>
      <c r="E18" s="168"/>
      <c r="G18" s="41"/>
      <c r="H18" s="57"/>
      <c r="I18" s="57"/>
      <c r="J18" s="42"/>
      <c r="K18" s="43"/>
      <c r="L18" s="42"/>
      <c r="M18" s="42"/>
    </row>
    <row r="19" spans="1:13">
      <c r="A19" s="1" t="s">
        <v>444</v>
      </c>
      <c r="C19" s="1" t="str">
        <f t="shared" si="1"/>
        <v xml:space="preserve">               </v>
      </c>
      <c r="D19" s="16" t="str">
        <f t="shared" si="4"/>
        <v/>
      </c>
    </row>
    <row r="20" spans="1:13">
      <c r="A20" s="1" t="s">
        <v>444</v>
      </c>
      <c r="C20" s="1" t="str">
        <f t="shared" si="1"/>
        <v xml:space="preserve">               </v>
      </c>
      <c r="D20" s="16" t="str">
        <f t="shared" si="4"/>
        <v/>
      </c>
      <c r="H20" s="9"/>
    </row>
    <row r="21" spans="1:13">
      <c r="A21" s="1" t="s">
        <v>444</v>
      </c>
      <c r="C21" s="1" t="str">
        <f>SUBSTITUTE(MID(A21,5,15),".","")</f>
        <v xml:space="preserve">               </v>
      </c>
      <c r="D21" s="16" t="str">
        <f t="shared" si="4"/>
        <v/>
      </c>
    </row>
    <row r="22" spans="1:13">
      <c r="A22" s="1" t="s">
        <v>444</v>
      </c>
    </row>
    <row r="23" spans="1:13">
      <c r="A23" s="1" t="s">
        <v>446</v>
      </c>
    </row>
    <row r="24" spans="1:13">
      <c r="A24" s="1" t="s">
        <v>444</v>
      </c>
    </row>
    <row r="25" spans="1:13">
      <c r="A25" s="1" t="s">
        <v>425</v>
      </c>
    </row>
    <row r="26" spans="1:13">
      <c r="A26" s="1" t="s">
        <v>426</v>
      </c>
    </row>
    <row r="27" spans="1:13">
      <c r="A27" s="1" t="s">
        <v>427</v>
      </c>
    </row>
    <row r="28" spans="1:13">
      <c r="A28" s="1" t="s">
        <v>428</v>
      </c>
    </row>
    <row r="29" spans="1:13">
      <c r="A29" s="1" t="s">
        <v>447</v>
      </c>
    </row>
    <row r="30" spans="1:13">
      <c r="A30" s="1" t="s">
        <v>430</v>
      </c>
    </row>
    <row r="31" spans="1:13">
      <c r="A31" s="1" t="s">
        <v>432</v>
      </c>
      <c r="C31" s="237"/>
    </row>
    <row r="32" spans="1:13">
      <c r="A32" s="1" t="s">
        <v>435</v>
      </c>
      <c r="C32" s="1" t="str">
        <f>SUBSTITUTE(MID(A32,5,15),".","")</f>
        <v>621000000</v>
      </c>
      <c r="D32" s="16">
        <f>IFERROR(IF(TRIM(RIGHT(A32,2))="d",MID(A32,59,20)/1,-1*MID(A32,59,20)/1),"")</f>
        <v>-4181004169000</v>
      </c>
    </row>
    <row r="33" spans="1:4">
      <c r="A33" s="1" t="s">
        <v>448</v>
      </c>
      <c r="C33" s="1" t="str">
        <f t="shared" ref="C33:C38" si="5">SUBSTITUTE(MID(A33,5,15),".","")</f>
        <v>621100000</v>
      </c>
      <c r="D33" s="16">
        <f t="shared" ref="D33:D38" si="6">IFERROR(IF(TRIM(RIGHT(A33,2))="d",MID(A33,59,20)/1,-1*MID(A33,59,20)/1),"")</f>
        <v>-1605791314420.3799</v>
      </c>
    </row>
    <row r="34" spans="1:4">
      <c r="A34" s="1" t="s">
        <v>449</v>
      </c>
      <c r="C34" s="1" t="str">
        <f t="shared" si="5"/>
        <v>621200000</v>
      </c>
      <c r="D34" s="16">
        <f t="shared" si="6"/>
        <v>-2621878618931.5</v>
      </c>
    </row>
    <row r="35" spans="1:4">
      <c r="A35" s="1" t="s">
        <v>450</v>
      </c>
      <c r="C35" s="1" t="str">
        <f t="shared" si="5"/>
        <v>621300000</v>
      </c>
      <c r="D35" s="16">
        <f t="shared" si="6"/>
        <v>46665764351.879997</v>
      </c>
    </row>
    <row r="36" spans="1:4">
      <c r="A36" s="1" t="s">
        <v>441</v>
      </c>
      <c r="C36" s="1" t="str">
        <f t="shared" si="5"/>
        <v>621800000</v>
      </c>
      <c r="D36" s="16">
        <f t="shared" si="6"/>
        <v>0</v>
      </c>
    </row>
    <row r="37" spans="1:4">
      <c r="A37" s="1" t="s">
        <v>443</v>
      </c>
      <c r="C37" s="1" t="str">
        <f t="shared" si="5"/>
        <v>621900000</v>
      </c>
      <c r="D37" s="16">
        <f t="shared" si="6"/>
        <v>0</v>
      </c>
    </row>
    <row r="38" spans="1:4">
      <c r="A38" s="1" t="s">
        <v>444</v>
      </c>
      <c r="C38" s="1" t="str">
        <f t="shared" si="5"/>
        <v xml:space="preserve">               </v>
      </c>
      <c r="D38" s="16" t="str">
        <f t="shared" si="6"/>
        <v/>
      </c>
    </row>
    <row r="39" spans="1:4">
      <c r="A39" s="1" t="s">
        <v>444</v>
      </c>
    </row>
    <row r="40" spans="1:4">
      <c r="A40" s="1" t="s">
        <v>444</v>
      </c>
    </row>
    <row r="41" spans="1:4">
      <c r="A41" s="1" t="s">
        <v>444</v>
      </c>
    </row>
    <row r="42" spans="1:4">
      <c r="A42" s="1" t="s">
        <v>444</v>
      </c>
    </row>
    <row r="43" spans="1:4">
      <c r="A43" s="1" t="s">
        <v>444</v>
      </c>
    </row>
    <row r="44" spans="1:4">
      <c r="A44" s="1" t="s">
        <v>444</v>
      </c>
    </row>
    <row r="45" spans="1:4">
      <c r="A45" s="1" t="s">
        <v>444</v>
      </c>
    </row>
    <row r="46" spans="1:4">
      <c r="A46" s="1" t="s">
        <v>444</v>
      </c>
    </row>
    <row r="47" spans="1:4">
      <c r="A47" s="1" t="s">
        <v>446</v>
      </c>
    </row>
    <row r="48" spans="1:4">
      <c r="A48" s="1" t="s">
        <v>444</v>
      </c>
    </row>
    <row r="50" spans="1:4">
      <c r="A50" s="1" t="s">
        <v>425</v>
      </c>
    </row>
    <row r="51" spans="1:4">
      <c r="A51" s="1" t="s">
        <v>426</v>
      </c>
    </row>
    <row r="52" spans="1:4">
      <c r="A52" s="1" t="s">
        <v>427</v>
      </c>
    </row>
    <row r="53" spans="1:4">
      <c r="A53" s="1" t="s">
        <v>428</v>
      </c>
    </row>
    <row r="54" spans="1:4">
      <c r="A54" s="1" t="s">
        <v>451</v>
      </c>
    </row>
    <row r="55" spans="1:4">
      <c r="A55" s="1" t="s">
        <v>430</v>
      </c>
    </row>
    <row r="56" spans="1:4">
      <c r="A56" s="1" t="s">
        <v>432</v>
      </c>
    </row>
    <row r="57" spans="1:4">
      <c r="A57" s="1" t="s">
        <v>435</v>
      </c>
      <c r="C57" s="1" t="str">
        <f>SUBSTITUTE(MID(A57,5,15),".","")</f>
        <v>621000000</v>
      </c>
      <c r="D57" s="16">
        <f>IFERROR(IF(TRIM(RIGHT(A57,2))="d",MID(A57,59,20)/1,-1*MID(A57,59,20)/1),"")</f>
        <v>-4181004169000</v>
      </c>
    </row>
    <row r="58" spans="1:4">
      <c r="A58" s="1" t="s">
        <v>452</v>
      </c>
      <c r="C58" s="1" t="str">
        <f t="shared" ref="C58:C61" si="7">SUBSTITUTE(MID(A58,5,15),".","")</f>
        <v>621100000</v>
      </c>
      <c r="D58" s="16">
        <f t="shared" ref="D58:D61" si="8">IFERROR(IF(TRIM(RIGHT(A58,2))="d",MID(A58,59,20)/1,-1*MID(A58,59,20)/1),"")</f>
        <v>-1983189159461.8101</v>
      </c>
    </row>
    <row r="59" spans="1:4">
      <c r="A59" s="1" t="s">
        <v>453</v>
      </c>
      <c r="C59" s="1" t="str">
        <f t="shared" si="7"/>
        <v>621200000</v>
      </c>
      <c r="D59" s="16">
        <f t="shared" si="8"/>
        <v>-2234209600868.3198</v>
      </c>
    </row>
    <row r="60" spans="1:4">
      <c r="A60" s="1" t="s">
        <v>454</v>
      </c>
      <c r="C60" s="1" t="str">
        <f t="shared" si="7"/>
        <v>621300000</v>
      </c>
      <c r="D60" s="16">
        <f t="shared" si="8"/>
        <v>36394591330.129997</v>
      </c>
    </row>
    <row r="61" spans="1:4">
      <c r="A61" s="1" t="s">
        <v>441</v>
      </c>
      <c r="C61" s="1" t="str">
        <f t="shared" si="7"/>
        <v>621800000</v>
      </c>
      <c r="D61" s="16">
        <f t="shared" si="8"/>
        <v>0</v>
      </c>
    </row>
    <row r="62" spans="1:4">
      <c r="A62" s="1" t="s">
        <v>443</v>
      </c>
    </row>
    <row r="63" spans="1:4">
      <c r="A63" s="1" t="s">
        <v>444</v>
      </c>
    </row>
    <row r="64" spans="1:4">
      <c r="A64" s="1" t="s">
        <v>444</v>
      </c>
    </row>
    <row r="65" spans="1:1">
      <c r="A65" s="1" t="s">
        <v>444</v>
      </c>
    </row>
    <row r="66" spans="1:1">
      <c r="A66" s="1" t="s">
        <v>444</v>
      </c>
    </row>
    <row r="67" spans="1:1">
      <c r="A67" s="1" t="s">
        <v>444</v>
      </c>
    </row>
    <row r="68" spans="1:1">
      <c r="A68" s="1" t="s">
        <v>444</v>
      </c>
    </row>
    <row r="69" spans="1:1">
      <c r="A69" s="1" t="s">
        <v>444</v>
      </c>
    </row>
    <row r="70" spans="1:1">
      <c r="A70" s="1" t="s">
        <v>444</v>
      </c>
    </row>
    <row r="71" spans="1:1">
      <c r="A71" s="1" t="s">
        <v>444</v>
      </c>
    </row>
    <row r="72" spans="1:1">
      <c r="A72" s="1" t="s">
        <v>446</v>
      </c>
    </row>
    <row r="73" spans="1:1">
      <c r="A73" s="1" t="s">
        <v>444</v>
      </c>
    </row>
    <row r="77" spans="1:1">
      <c r="A77" s="1" t="s">
        <v>455</v>
      </c>
    </row>
    <row r="78" spans="1:1">
      <c r="A78" s="1" t="s">
        <v>456</v>
      </c>
    </row>
    <row r="79" spans="1:1">
      <c r="A79" s="1" t="s">
        <v>457</v>
      </c>
    </row>
    <row r="80" spans="1:1">
      <c r="A80" s="1" t="s">
        <v>458</v>
      </c>
    </row>
    <row r="81" spans="1:5">
      <c r="A81" s="1" t="s">
        <v>444</v>
      </c>
    </row>
    <row r="82" spans="1:5">
      <c r="A82" s="1" t="s">
        <v>459</v>
      </c>
      <c r="C82" s="165" t="str">
        <f t="shared" ref="C82" si="9">MID(A82,30,28)</f>
        <v>----------------------------</v>
      </c>
      <c r="D82" s="166" t="str">
        <f t="shared" ref="D82:D83" si="10">MID(A82,59,28)</f>
        <v xml:space="preserve">--------------------- </v>
      </c>
    </row>
    <row r="83" spans="1:5">
      <c r="A83" s="1" t="s">
        <v>460</v>
      </c>
      <c r="C83" s="165" t="str">
        <f>MID(A83,30,28)</f>
        <v xml:space="preserve">        MOVIMENTO LIQUIDO   </v>
      </c>
      <c r="D83" s="166" t="str">
        <f t="shared" si="10"/>
        <v xml:space="preserve">          SALDO ATUAL </v>
      </c>
      <c r="E83" s="51"/>
    </row>
    <row r="84" spans="1:5">
      <c r="A84" s="1" t="s">
        <v>461</v>
      </c>
      <c r="C84" s="165" t="str">
        <f>TRIM(MID(A84,30,28))</f>
        <v>0,60-</v>
      </c>
      <c r="D84" s="166" t="str">
        <f>TRIM(MID(A84,59,28))</f>
        <v>4.161.236.549.154,06</v>
      </c>
      <c r="E84" s="51"/>
    </row>
    <row r="85" spans="1:5">
      <c r="A85" s="1" t="s">
        <v>462</v>
      </c>
      <c r="C85" s="165" t="str">
        <f t="shared" ref="C85:C89" si="11">TRIM(MID(A85,30,28))</f>
        <v>11.421.900.731,40</v>
      </c>
      <c r="D85" s="166" t="str">
        <f t="shared" ref="D85:D89" si="12">TRIM(MID(A85,59,28))</f>
        <v>4.309.536.806.739,06</v>
      </c>
      <c r="E85" s="51"/>
    </row>
    <row r="86" spans="1:5">
      <c r="A86" s="1" t="s">
        <v>463</v>
      </c>
      <c r="C86" s="165" t="str">
        <f t="shared" si="11"/>
        <v>480.595.057.399,05</v>
      </c>
      <c r="D86" s="166" t="str">
        <f t="shared" si="12"/>
        <v>3.222.637.358.818,02</v>
      </c>
      <c r="E86" s="51"/>
    </row>
    <row r="87" spans="1:5">
      <c r="A87" s="1" t="s">
        <v>464</v>
      </c>
      <c r="C87" s="165" t="str">
        <f t="shared" si="11"/>
        <v>198.811.842.519,11</v>
      </c>
      <c r="D87" s="166" t="str">
        <f t="shared" si="12"/>
        <v>2.508.322.110.543,88</v>
      </c>
      <c r="E87" s="51"/>
    </row>
    <row r="88" spans="1:5">
      <c r="A88" s="1" t="s">
        <v>465</v>
      </c>
      <c r="C88" s="165" t="str">
        <f t="shared" si="11"/>
        <v>198.511.801.568,60</v>
      </c>
      <c r="D88" s="166" t="str">
        <f t="shared" si="12"/>
        <v>2.438.988.362.487,43</v>
      </c>
      <c r="E88" s="51"/>
    </row>
    <row r="89" spans="1:5">
      <c r="A89" s="1" t="s">
        <v>466</v>
      </c>
      <c r="C89" s="165" t="str">
        <f t="shared" si="11"/>
        <v>0,00</v>
      </c>
      <c r="D89" s="166" t="str">
        <f t="shared" si="12"/>
        <v>0,00</v>
      </c>
    </row>
    <row r="90" spans="1:5">
      <c r="A90" s="1" t="s">
        <v>444</v>
      </c>
    </row>
    <row r="91" spans="1:5">
      <c r="A91" s="1" t="s">
        <v>444</v>
      </c>
    </row>
    <row r="92" spans="1:5">
      <c r="A92" s="1" t="s">
        <v>444</v>
      </c>
    </row>
    <row r="93" spans="1:5">
      <c r="A93" s="1" t="s">
        <v>444</v>
      </c>
    </row>
    <row r="94" spans="1:5">
      <c r="A94" s="1" t="s">
        <v>444</v>
      </c>
    </row>
    <row r="95" spans="1:5">
      <c r="A95" s="1" t="s">
        <v>444</v>
      </c>
    </row>
    <row r="96" spans="1:5">
      <c r="A96" s="1" t="s">
        <v>444</v>
      </c>
    </row>
    <row r="97" spans="1:4">
      <c r="A97" s="1" t="s">
        <v>444</v>
      </c>
    </row>
    <row r="98" spans="1:4">
      <c r="A98" s="1" t="s">
        <v>444</v>
      </c>
    </row>
    <row r="99" spans="1:4">
      <c r="A99" s="1" t="s">
        <v>467</v>
      </c>
    </row>
    <row r="100" spans="1:4">
      <c r="A100" s="1" t="s">
        <v>444</v>
      </c>
    </row>
    <row r="101" spans="1:4">
      <c r="A101" s="1" t="s">
        <v>455</v>
      </c>
    </row>
    <row r="102" spans="1:4">
      <c r="A102" s="1" t="s">
        <v>468</v>
      </c>
    </row>
    <row r="103" spans="1:4">
      <c r="A103" s="1" t="s">
        <v>469</v>
      </c>
    </row>
    <row r="104" spans="1:4">
      <c r="A104" s="1" t="s">
        <v>458</v>
      </c>
    </row>
    <row r="105" spans="1:4">
      <c r="A105" s="1" t="s">
        <v>444</v>
      </c>
    </row>
    <row r="106" spans="1:4">
      <c r="A106" s="1" t="s">
        <v>459</v>
      </c>
    </row>
    <row r="107" spans="1:4">
      <c r="A107" s="1" t="s">
        <v>460</v>
      </c>
    </row>
    <row r="108" spans="1:4">
      <c r="A108" s="1" t="s">
        <v>470</v>
      </c>
      <c r="C108" s="165" t="str">
        <f t="shared" ref="C108" si="13">MID(A108,30,28)</f>
        <v xml:space="preserve">                    0,87-   </v>
      </c>
      <c r="D108" s="166" t="str">
        <f t="shared" ref="D108:D113" si="14">MID(A108,59,28)</f>
        <v xml:space="preserve">4.161.236.549.154,66  </v>
      </c>
    </row>
    <row r="109" spans="1:4">
      <c r="A109" s="1" t="s">
        <v>471</v>
      </c>
      <c r="C109" s="165" t="str">
        <f>MID(A109,30,28)</f>
        <v xml:space="preserve">       20.317.445.484,13    </v>
      </c>
      <c r="D109" s="166" t="str">
        <f t="shared" si="14"/>
        <v xml:space="preserve">4.298.114.906.007,66  </v>
      </c>
    </row>
    <row r="110" spans="1:4">
      <c r="A110" s="1" t="s">
        <v>472</v>
      </c>
      <c r="C110" s="165" t="str">
        <f t="shared" ref="C110:C113" si="15">MID(A110,30,28)</f>
        <v xml:space="preserve">      298.216.819.766,92    </v>
      </c>
      <c r="D110" s="166" t="str">
        <f t="shared" si="14"/>
        <v xml:space="preserve">2.742.042.301.418,97  </v>
      </c>
    </row>
    <row r="111" spans="1:4">
      <c r="A111" s="1" t="s">
        <v>473</v>
      </c>
      <c r="C111" s="165" t="str">
        <f t="shared" si="15"/>
        <v xml:space="preserve">      345.051.949.676,47    </v>
      </c>
      <c r="D111" s="166" t="str">
        <f t="shared" si="14"/>
        <v xml:space="preserve">2.309.510.268.024,77  </v>
      </c>
    </row>
    <row r="112" spans="1:4">
      <c r="A112" s="1" t="s">
        <v>474</v>
      </c>
      <c r="C112" s="165" t="str">
        <f t="shared" si="15"/>
        <v xml:space="preserve">      366.599.888.440,33    </v>
      </c>
      <c r="D112" s="166" t="str">
        <f t="shared" si="14"/>
        <v xml:space="preserve">2.240.476.560.918,83  </v>
      </c>
    </row>
    <row r="113" spans="1:4">
      <c r="A113" s="1" t="s">
        <v>466</v>
      </c>
      <c r="C113" s="165" t="str">
        <f t="shared" si="15"/>
        <v xml:space="preserve">                    0,00    </v>
      </c>
      <c r="D113" s="166" t="str">
        <f t="shared" si="14"/>
        <v xml:space="preserve">                0,00  </v>
      </c>
    </row>
    <row r="114" spans="1:4">
      <c r="A114" s="1" t="s">
        <v>444</v>
      </c>
    </row>
    <row r="115" spans="1:4">
      <c r="A115" s="1" t="s">
        <v>444</v>
      </c>
    </row>
    <row r="116" spans="1:4">
      <c r="A116" s="1" t="s">
        <v>444</v>
      </c>
    </row>
    <row r="117" spans="1:4">
      <c r="A117" s="1" t="s">
        <v>444</v>
      </c>
    </row>
    <row r="118" spans="1:4">
      <c r="A118" s="1" t="s">
        <v>444</v>
      </c>
    </row>
    <row r="119" spans="1:4">
      <c r="A119" s="1" t="s">
        <v>444</v>
      </c>
    </row>
    <row r="120" spans="1:4">
      <c r="A120" s="1" t="s">
        <v>444</v>
      </c>
    </row>
    <row r="121" spans="1:4">
      <c r="A121" s="1" t="s">
        <v>444</v>
      </c>
    </row>
    <row r="122" spans="1:4">
      <c r="A122" s="1" t="s">
        <v>444</v>
      </c>
    </row>
    <row r="123" spans="1:4">
      <c r="A123" s="1" t="s">
        <v>467</v>
      </c>
    </row>
    <row r="124" spans="1:4">
      <c r="A124" s="1" t="s">
        <v>444</v>
      </c>
    </row>
  </sheetData>
  <mergeCells count="3">
    <mergeCell ref="J6:K6"/>
    <mergeCell ref="H6:I6"/>
    <mergeCell ref="L6:M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L11:L12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1">
    <tabColor rgb="FFFF0000"/>
  </sheetPr>
  <dimension ref="A2:J168"/>
  <sheetViews>
    <sheetView workbookViewId="0">
      <selection activeCell="D3" sqref="D3"/>
    </sheetView>
  </sheetViews>
  <sheetFormatPr defaultColWidth="8.85546875" defaultRowHeight="12.75"/>
  <cols>
    <col min="1" max="1" width="9.140625"/>
    <col min="2" max="2" width="52.5703125" style="234" customWidth="1"/>
    <col min="3" max="3" width="43.140625" style="222" customWidth="1"/>
    <col min="4" max="4" width="36" bestFit="1" customWidth="1"/>
    <col min="5" max="5" width="28.140625" bestFit="1" customWidth="1"/>
    <col min="6" max="6" width="25.85546875" customWidth="1"/>
    <col min="7" max="7" width="27.42578125" customWidth="1"/>
  </cols>
  <sheetData>
    <row r="2" spans="1:6">
      <c r="C2" s="219" t="s">
        <v>10</v>
      </c>
      <c r="D2" s="219" t="s">
        <v>475</v>
      </c>
      <c r="E2" s="223"/>
    </row>
    <row r="3" spans="1:6">
      <c r="A3" s="319" t="s">
        <v>476</v>
      </c>
      <c r="B3" s="235" t="s">
        <v>24</v>
      </c>
      <c r="C3" s="229" t="s">
        <v>24</v>
      </c>
      <c r="D3" s="224">
        <f>IFERROR(TRUNC(VLOOKUP($C3,'Para SICONFI'!$A$1:$E$370,2,FALSE),2),0)</f>
        <v>0</v>
      </c>
      <c r="E3" s="16"/>
      <c r="F3" s="69"/>
    </row>
    <row r="4" spans="1:6">
      <c r="A4" s="319"/>
      <c r="B4" s="234" t="s">
        <v>25</v>
      </c>
      <c r="C4" s="27" t="s">
        <v>159</v>
      </c>
      <c r="D4" s="225">
        <f>IFERROR(TRUNC(VLOOKUP($C4,'Para SICONFI'!$A$1:$E$370,2,FALSE),2),0)</f>
        <v>0</v>
      </c>
      <c r="E4" s="16"/>
    </row>
    <row r="5" spans="1:6">
      <c r="A5" s="319"/>
      <c r="B5" s="234" t="s">
        <v>26</v>
      </c>
      <c r="C5" s="27" t="s">
        <v>161</v>
      </c>
      <c r="D5" s="225">
        <f>IFERROR(TRUNC(VLOOKUP($C5,'Para SICONFI'!$A$1:$E$370,2,FALSE),2),0)</f>
        <v>0</v>
      </c>
      <c r="E5" s="16"/>
    </row>
    <row r="6" spans="1:6">
      <c r="A6" s="319"/>
      <c r="B6" s="234" t="s">
        <v>27</v>
      </c>
      <c r="C6" s="27" t="s">
        <v>163</v>
      </c>
      <c r="D6" s="225">
        <f>IFERROR(TRUNC(VLOOKUP($C6,'Para SICONFI'!$A$1:$E$370,2,FALSE),2),0)</f>
        <v>0</v>
      </c>
      <c r="E6" s="16"/>
    </row>
    <row r="7" spans="1:6">
      <c r="A7" s="319"/>
      <c r="B7" s="234" t="s">
        <v>28</v>
      </c>
      <c r="C7" s="27" t="s">
        <v>164</v>
      </c>
      <c r="D7" s="225">
        <f>IFERROR(TRUNC(VLOOKUP($C7,'Para SICONFI'!$A$1:$E$370,2,FALSE),2),0)</f>
        <v>0</v>
      </c>
      <c r="E7" s="16"/>
    </row>
    <row r="8" spans="1:6">
      <c r="A8" s="319"/>
      <c r="C8" s="27"/>
      <c r="D8" s="225"/>
      <c r="E8" s="16"/>
    </row>
    <row r="9" spans="1:6">
      <c r="A9" s="319"/>
      <c r="B9" s="234" t="s">
        <v>29</v>
      </c>
      <c r="C9" s="27" t="s">
        <v>166</v>
      </c>
      <c r="D9" s="225">
        <f>IFERROR(TRUNC(VLOOKUP($C9,'Para SICONFI'!$A$1:$E$370,2,FALSE),2),0)</f>
        <v>0</v>
      </c>
      <c r="E9" s="16"/>
    </row>
    <row r="10" spans="1:6">
      <c r="A10" s="319"/>
      <c r="B10" s="234" t="s">
        <v>30</v>
      </c>
      <c r="C10" s="27" t="s">
        <v>167</v>
      </c>
      <c r="D10" s="225">
        <f>IFERROR(TRUNC(VLOOKUP($C10,'Para SICONFI'!$A$1:$E$370,2,FALSE),2),0)</f>
        <v>0</v>
      </c>
      <c r="E10" s="16"/>
    </row>
    <row r="11" spans="1:6">
      <c r="A11" s="319"/>
      <c r="B11" s="234" t="s">
        <v>31</v>
      </c>
      <c r="C11" s="27" t="s">
        <v>168</v>
      </c>
      <c r="D11" s="225">
        <f>IFERROR(TRUNC(VLOOKUP($C11,'Para SICONFI'!$A$1:$E$370,2,FALSE),2),0)</f>
        <v>0</v>
      </c>
      <c r="E11" s="16"/>
    </row>
    <row r="12" spans="1:6" ht="25.5" customHeight="1">
      <c r="A12" s="319"/>
      <c r="B12" s="234" t="s">
        <v>32</v>
      </c>
      <c r="C12" s="27"/>
      <c r="D12" s="225"/>
      <c r="E12" s="16"/>
    </row>
    <row r="13" spans="1:6">
      <c r="A13" s="319"/>
      <c r="B13" s="234" t="s">
        <v>33</v>
      </c>
      <c r="C13" s="27" t="s">
        <v>170</v>
      </c>
      <c r="D13" s="225">
        <f>IFERROR(TRUNC(VLOOKUP($C13,'Para SICONFI'!$A$1:$E$370,2,FALSE),2),0)</f>
        <v>0</v>
      </c>
      <c r="E13" s="16"/>
    </row>
    <row r="14" spans="1:6">
      <c r="A14" s="319"/>
      <c r="B14" s="234" t="s">
        <v>34</v>
      </c>
      <c r="C14" s="27" t="s">
        <v>171</v>
      </c>
      <c r="D14" s="225">
        <f>IFERROR(TRUNC(VLOOKUP($C14,'Para SICONFI'!$A$1:$E$370,2,FALSE),2),0)</f>
        <v>0</v>
      </c>
      <c r="E14" s="16"/>
    </row>
    <row r="15" spans="1:6">
      <c r="A15" s="319"/>
      <c r="B15" s="234" t="s">
        <v>35</v>
      </c>
      <c r="C15" s="27" t="s">
        <v>172</v>
      </c>
      <c r="D15" s="225">
        <f>IFERROR(TRUNC(VLOOKUP($C15,'Para SICONFI'!$A$1:$E$370,2,FALSE),2),0)</f>
        <v>0</v>
      </c>
      <c r="E15" s="16"/>
    </row>
    <row r="16" spans="1:6" ht="22.5">
      <c r="A16" s="319"/>
      <c r="B16" s="234" t="s">
        <v>36</v>
      </c>
      <c r="C16" s="27" t="s">
        <v>173</v>
      </c>
      <c r="D16" s="225">
        <f>IFERROR(TRUNC(VLOOKUP($C16,'Para SICONFI'!$A$1:$E$370,2,FALSE),2),0)</f>
        <v>0</v>
      </c>
      <c r="E16" s="16"/>
    </row>
    <row r="17" spans="1:5">
      <c r="A17" s="319"/>
      <c r="B17" s="234" t="s">
        <v>37</v>
      </c>
      <c r="C17" s="27" t="s">
        <v>174</v>
      </c>
      <c r="D17" s="225">
        <f>IFERROR(TRUNC(VLOOKUP($C17,'Para SICONFI'!$A$1:$E$370,2,FALSE),2),0)</f>
        <v>0</v>
      </c>
      <c r="E17" s="16"/>
    </row>
    <row r="18" spans="1:5">
      <c r="A18" s="319"/>
      <c r="B18" s="234" t="s">
        <v>38</v>
      </c>
      <c r="C18" s="27" t="s">
        <v>175</v>
      </c>
      <c r="D18" s="225">
        <f>IFERROR(TRUNC(VLOOKUP($C18,'Para SICONFI'!$A$1:$E$370,2,FALSE),2),0)</f>
        <v>0</v>
      </c>
      <c r="E18" s="16"/>
    </row>
    <row r="19" spans="1:5">
      <c r="A19" s="319"/>
      <c r="B19" s="234" t="s">
        <v>39</v>
      </c>
      <c r="C19" s="27" t="s">
        <v>176</v>
      </c>
      <c r="D19" s="225">
        <f>IFERROR(TRUNC(VLOOKUP($C19,'Para SICONFI'!$A$1:$E$370,2,FALSE),2),0)</f>
        <v>0</v>
      </c>
      <c r="E19" s="16"/>
    </row>
    <row r="20" spans="1:5">
      <c r="A20" s="319"/>
      <c r="B20" s="234" t="s">
        <v>40</v>
      </c>
      <c r="C20" s="27" t="s">
        <v>178</v>
      </c>
      <c r="D20" s="225">
        <f>IFERROR(TRUNC(VLOOKUP($C20,'Para SICONFI'!$A$1:$E$370,2,FALSE),2),0)</f>
        <v>0</v>
      </c>
      <c r="E20" s="16"/>
    </row>
    <row r="21" spans="1:5">
      <c r="A21" s="319"/>
      <c r="B21" s="234" t="s">
        <v>41</v>
      </c>
      <c r="C21" s="27" t="s">
        <v>179</v>
      </c>
      <c r="D21" s="225">
        <f>IFERROR(TRUNC(VLOOKUP($C21,'Para SICONFI'!$A$1:$E$370,2,FALSE),2),0)</f>
        <v>0</v>
      </c>
      <c r="E21" s="16"/>
    </row>
    <row r="22" spans="1:5">
      <c r="A22" s="319"/>
      <c r="B22" s="234" t="s">
        <v>42</v>
      </c>
      <c r="C22" s="27" t="s">
        <v>180</v>
      </c>
      <c r="D22" s="225">
        <f>IFERROR(TRUNC(VLOOKUP($C22,'Para SICONFI'!$A$1:$E$370,2,FALSE),2),0)</f>
        <v>0</v>
      </c>
      <c r="E22" s="16"/>
    </row>
    <row r="23" spans="1:5">
      <c r="A23" s="319"/>
      <c r="B23" s="234" t="s">
        <v>43</v>
      </c>
      <c r="C23" s="27" t="s">
        <v>183</v>
      </c>
      <c r="D23" s="225">
        <f>IFERROR(TRUNC(VLOOKUP($C23,'Para SICONFI'!$A$1:$E$370,2,FALSE),2),0)</f>
        <v>0</v>
      </c>
      <c r="E23" s="16"/>
    </row>
    <row r="24" spans="1:5">
      <c r="A24" s="319"/>
      <c r="B24" s="234" t="s">
        <v>44</v>
      </c>
      <c r="C24" s="27" t="s">
        <v>184</v>
      </c>
      <c r="D24" s="225">
        <f>IFERROR(TRUNC(VLOOKUP($C24,'Para SICONFI'!$A$1:$E$370,2,FALSE),2),0)</f>
        <v>0</v>
      </c>
      <c r="E24" s="16"/>
    </row>
    <row r="25" spans="1:5" ht="22.5">
      <c r="A25" s="319"/>
      <c r="B25" s="234" t="s">
        <v>45</v>
      </c>
      <c r="C25" s="27" t="s">
        <v>185</v>
      </c>
      <c r="D25" s="225">
        <f>IFERROR(TRUNC(VLOOKUP($C25,'Para SICONFI'!$A$1:$E$370,2,FALSE),2),0)</f>
        <v>0</v>
      </c>
      <c r="E25" s="16"/>
    </row>
    <row r="26" spans="1:5">
      <c r="A26" s="319"/>
      <c r="B26" s="234" t="s">
        <v>46</v>
      </c>
      <c r="C26" s="27" t="s">
        <v>186</v>
      </c>
      <c r="D26" s="225">
        <f>IFERROR(TRUNC(VLOOKUP($C26,'Para SICONFI'!$A$1:$E$370,2,FALSE),2),0)</f>
        <v>0</v>
      </c>
      <c r="E26" s="16"/>
    </row>
    <row r="27" spans="1:5">
      <c r="A27" s="319"/>
      <c r="B27" s="234" t="s">
        <v>47</v>
      </c>
      <c r="C27" s="27" t="s">
        <v>187</v>
      </c>
      <c r="D27" s="225">
        <f>IFERROR(TRUNC(VLOOKUP($C27,'Para SICONFI'!$A$1:$E$370,2,FALSE),2),0)</f>
        <v>0</v>
      </c>
      <c r="E27" s="16"/>
    </row>
    <row r="28" spans="1:5">
      <c r="A28" s="319"/>
      <c r="B28" s="234" t="s">
        <v>48</v>
      </c>
      <c r="C28" s="27" t="s">
        <v>188</v>
      </c>
      <c r="D28" s="225">
        <f>IFERROR(TRUNC(VLOOKUP($C28,'Para SICONFI'!$A$1:$E$370,2,FALSE),2),0)</f>
        <v>0</v>
      </c>
      <c r="E28" s="16"/>
    </row>
    <row r="29" spans="1:5">
      <c r="A29" s="319"/>
      <c r="B29" s="234" t="s">
        <v>49</v>
      </c>
      <c r="C29" s="27" t="s">
        <v>189</v>
      </c>
      <c r="D29" s="225">
        <f>IFERROR(TRUNC(VLOOKUP($C29,'Para SICONFI'!$A$1:$E$370,2,FALSE),2),0)</f>
        <v>0</v>
      </c>
      <c r="E29" s="16"/>
    </row>
    <row r="30" spans="1:5">
      <c r="A30" s="319"/>
      <c r="B30" s="234" t="s">
        <v>50</v>
      </c>
      <c r="C30" s="27" t="s">
        <v>190</v>
      </c>
      <c r="D30" s="225">
        <f>IFERROR(TRUNC(VLOOKUP($C30,'Para SICONFI'!$A$1:$E$370,2,FALSE),2),0)</f>
        <v>0</v>
      </c>
      <c r="E30" s="16"/>
    </row>
    <row r="31" spans="1:5" ht="22.5">
      <c r="A31" s="319"/>
      <c r="B31" s="234" t="s">
        <v>51</v>
      </c>
      <c r="C31" s="27" t="s">
        <v>191</v>
      </c>
      <c r="D31" s="225">
        <f>IFERROR(TRUNC(VLOOKUP($C31,'Para SICONFI'!$A$1:$E$370,2,FALSE),2),0)</f>
        <v>0</v>
      </c>
      <c r="E31" s="16"/>
    </row>
    <row r="32" spans="1:5">
      <c r="A32" s="319"/>
      <c r="B32" s="234" t="s">
        <v>52</v>
      </c>
      <c r="C32" s="27" t="s">
        <v>192</v>
      </c>
      <c r="D32" s="225">
        <f>IFERROR(TRUNC(VLOOKUP($C32,'Para SICONFI'!$A$1:$E$370,2,FALSE),2),0)</f>
        <v>0</v>
      </c>
      <c r="E32" s="16"/>
    </row>
    <row r="33" spans="1:6">
      <c r="A33" s="319"/>
      <c r="B33" s="234" t="s">
        <v>53</v>
      </c>
      <c r="C33" s="27" t="s">
        <v>193</v>
      </c>
      <c r="D33" s="225">
        <f>IFERROR(TRUNC(VLOOKUP($C33,'Para SICONFI'!$A$1:$E$370,2,FALSE),2),0)</f>
        <v>0</v>
      </c>
      <c r="E33" s="16"/>
    </row>
    <row r="34" spans="1:6">
      <c r="A34" s="319"/>
      <c r="B34" s="234" t="s">
        <v>54</v>
      </c>
      <c r="C34" s="27" t="s">
        <v>194</v>
      </c>
      <c r="D34" s="225">
        <f>IFERROR(TRUNC(VLOOKUP($C34,'Para SICONFI'!$A$1:$E$370,2,FALSE),2),0)</f>
        <v>0</v>
      </c>
      <c r="E34" s="16"/>
    </row>
    <row r="35" spans="1:6">
      <c r="A35" s="319"/>
      <c r="B35" s="234" t="s">
        <v>55</v>
      </c>
      <c r="C35" s="27" t="s">
        <v>195</v>
      </c>
      <c r="D35" s="225">
        <f>IFERROR(TRUNC(VLOOKUP($C35,'Para SICONFI'!$A$1:$E$370,2,FALSE),2),0)</f>
        <v>0</v>
      </c>
      <c r="E35" s="16"/>
    </row>
    <row r="36" spans="1:6">
      <c r="A36" s="319"/>
      <c r="B36" s="234" t="s">
        <v>56</v>
      </c>
      <c r="C36" s="27" t="s">
        <v>196</v>
      </c>
      <c r="D36" s="225">
        <f>IFERROR(TRUNC(VLOOKUP($C36,'Para SICONFI'!$A$1:$E$370,2,FALSE),2),0)</f>
        <v>0</v>
      </c>
      <c r="E36" s="16"/>
    </row>
    <row r="37" spans="1:6" ht="22.5">
      <c r="A37" s="319"/>
      <c r="B37" s="234" t="s">
        <v>57</v>
      </c>
      <c r="C37" s="27" t="s">
        <v>197</v>
      </c>
      <c r="D37" s="225">
        <f>IFERROR(TRUNC(VLOOKUP($C37,'Para SICONFI'!$A$1:$E$370,2,FALSE),2),0)</f>
        <v>0</v>
      </c>
      <c r="E37" s="16"/>
    </row>
    <row r="38" spans="1:6">
      <c r="A38" s="319"/>
      <c r="B38" s="234" t="s">
        <v>58</v>
      </c>
      <c r="C38" s="27" t="s">
        <v>199</v>
      </c>
      <c r="D38" s="225">
        <f>IFERROR(TRUNC(VLOOKUP($C38,'Para SICONFI'!$A$1:$E$370,2,FALSE),2),0)</f>
        <v>0</v>
      </c>
      <c r="E38" s="16"/>
    </row>
    <row r="39" spans="1:6">
      <c r="A39" s="319"/>
      <c r="B39" s="234" t="s">
        <v>59</v>
      </c>
      <c r="C39" s="27" t="s">
        <v>200</v>
      </c>
      <c r="D39" s="225">
        <f>IFERROR(TRUNC(VLOOKUP($C39,'Para SICONFI'!$A$1:$E$370,2,FALSE),2),0)</f>
        <v>0</v>
      </c>
      <c r="E39" s="16"/>
    </row>
    <row r="40" spans="1:6">
      <c r="A40" s="319"/>
      <c r="B40" s="234" t="s">
        <v>60</v>
      </c>
      <c r="C40" s="27" t="s">
        <v>201</v>
      </c>
      <c r="D40" s="225">
        <f>IFERROR(TRUNC(VLOOKUP($C40,'Para SICONFI'!$A$1:$E$370,2,FALSE),2),0)</f>
        <v>0</v>
      </c>
      <c r="E40" s="16"/>
    </row>
    <row r="41" spans="1:6" ht="22.5">
      <c r="A41" s="319"/>
      <c r="B41" s="234" t="s">
        <v>61</v>
      </c>
      <c r="C41" s="27" t="s">
        <v>202</v>
      </c>
      <c r="D41" s="225">
        <f>IFERROR(TRUNC(VLOOKUP($C41,'Para SICONFI'!$A$1:$E$370,2,FALSE),2),0)</f>
        <v>0</v>
      </c>
      <c r="E41" s="16"/>
    </row>
    <row r="42" spans="1:6">
      <c r="A42" s="319"/>
      <c r="B42" s="234" t="s">
        <v>62</v>
      </c>
      <c r="C42" s="27" t="s">
        <v>203</v>
      </c>
      <c r="D42" s="225">
        <f>IFERROR(TRUNC(VLOOKUP($C42,'Para SICONFI'!$A$1:$E$370,2,FALSE),2),0)</f>
        <v>0</v>
      </c>
      <c r="E42" s="16"/>
    </row>
    <row r="43" spans="1:6">
      <c r="A43" s="319"/>
      <c r="B43" s="236" t="s">
        <v>63</v>
      </c>
      <c r="C43" s="230" t="s">
        <v>198</v>
      </c>
      <c r="D43" s="46">
        <f>IFERROR(TRUNC(VLOOKUP($C43,'Para SICONFI'!$A$1:$E$370,2,FALSE),2),0)</f>
        <v>0</v>
      </c>
      <c r="E43" s="16"/>
    </row>
    <row r="44" spans="1:6">
      <c r="C44" s="27"/>
      <c r="D44" s="225"/>
      <c r="E44" s="16"/>
    </row>
    <row r="45" spans="1:6">
      <c r="A45" s="320" t="s">
        <v>477</v>
      </c>
      <c r="B45" s="235" t="s">
        <v>66</v>
      </c>
      <c r="C45" s="229" t="s">
        <v>204</v>
      </c>
      <c r="D45" s="224">
        <f>IFERROR(TRUNC(VLOOKUP($C45,'Para SICONFI'!$A$1:$E$370,2,FALSE),2),0)</f>
        <v>0</v>
      </c>
      <c r="E45" s="16"/>
      <c r="F45" s="69"/>
    </row>
    <row r="46" spans="1:6">
      <c r="A46" s="320"/>
      <c r="B46" s="234" t="s">
        <v>67</v>
      </c>
      <c r="C46" s="27" t="s">
        <v>205</v>
      </c>
      <c r="D46" s="226">
        <f>IFERROR(TRUNC(VLOOKUP($C46,'Para SICONFI'!$A$1:$E$370,2,FALSE),2),0)</f>
        <v>0</v>
      </c>
      <c r="E46" s="16"/>
    </row>
    <row r="47" spans="1:6">
      <c r="A47" s="320"/>
      <c r="B47" s="234" t="s">
        <v>68</v>
      </c>
      <c r="C47" s="27" t="s">
        <v>206</v>
      </c>
      <c r="D47" s="225">
        <f>IFERROR(TRUNC(VLOOKUP($C47,'Para SICONFI'!$A$1:$E$370,2,FALSE),2),0)</f>
        <v>0</v>
      </c>
      <c r="E47" s="16"/>
    </row>
    <row r="48" spans="1:6">
      <c r="A48" s="320"/>
      <c r="B48" s="234" t="s">
        <v>69</v>
      </c>
      <c r="C48" s="27" t="s">
        <v>207</v>
      </c>
      <c r="D48" s="225">
        <f>IFERROR(TRUNC(VLOOKUP($C48,'Para SICONFI'!$A$1:$E$370,2,FALSE),2),0)</f>
        <v>0</v>
      </c>
      <c r="E48" s="16"/>
    </row>
    <row r="49" spans="1:5">
      <c r="A49" s="320"/>
      <c r="B49" s="234" t="s">
        <v>70</v>
      </c>
      <c r="C49" s="27" t="s">
        <v>208</v>
      </c>
      <c r="D49" s="226">
        <f>IFERROR(TRUNC(VLOOKUP($C49,'Para SICONFI'!$A$1:$E$370,2,FALSE),2),0)</f>
        <v>0</v>
      </c>
      <c r="E49" s="16"/>
    </row>
    <row r="50" spans="1:5">
      <c r="A50" s="320"/>
      <c r="B50" s="234" t="s">
        <v>71</v>
      </c>
      <c r="C50" s="27" t="s">
        <v>209</v>
      </c>
      <c r="D50" s="225">
        <f>IFERROR(TRUNC(VLOOKUP($C50,'Para SICONFI'!$A$1:$E$370,2,FALSE),2),0)</f>
        <v>0</v>
      </c>
      <c r="E50" s="16"/>
    </row>
    <row r="51" spans="1:5">
      <c r="A51" s="320"/>
      <c r="B51" s="234" t="s">
        <v>72</v>
      </c>
      <c r="C51" s="27" t="s">
        <v>210</v>
      </c>
      <c r="D51" s="225">
        <f>IFERROR(TRUNC(VLOOKUP($C51,'Para SICONFI'!$A$1:$E$370,2,FALSE),2),0)</f>
        <v>0</v>
      </c>
      <c r="E51" s="16"/>
    </row>
    <row r="52" spans="1:5">
      <c r="A52" s="320"/>
      <c r="B52" s="234" t="s">
        <v>73</v>
      </c>
      <c r="C52" s="27" t="s">
        <v>211</v>
      </c>
      <c r="D52" s="225">
        <f>IFERROR(TRUNC(VLOOKUP($C52,'Para SICONFI'!$A$1:$E$370,2,FALSE),2),0)</f>
        <v>0</v>
      </c>
      <c r="E52" s="16"/>
    </row>
    <row r="53" spans="1:5">
      <c r="A53" s="320"/>
      <c r="B53" s="234" t="s">
        <v>74</v>
      </c>
      <c r="C53" s="27" t="s">
        <v>212</v>
      </c>
      <c r="D53" s="225">
        <f>IFERROR(TRUNC(VLOOKUP($C53,'Para SICONFI'!$A$1:$E$370,2,FALSE),2),0)</f>
        <v>0</v>
      </c>
      <c r="E53" s="16"/>
    </row>
    <row r="54" spans="1:5">
      <c r="A54" s="320"/>
      <c r="B54" s="234" t="s">
        <v>75</v>
      </c>
      <c r="C54" s="27" t="s">
        <v>213</v>
      </c>
      <c r="D54" s="225">
        <f>IFERROR(TRUNC(VLOOKUP($C54,'Para SICONFI'!$A$1:$E$370,2,FALSE),2),0)</f>
        <v>0</v>
      </c>
      <c r="E54" s="16"/>
    </row>
    <row r="55" spans="1:5">
      <c r="A55" s="320"/>
      <c r="B55" s="234" t="s">
        <v>50</v>
      </c>
      <c r="C55" s="27" t="s">
        <v>214</v>
      </c>
      <c r="D55" s="225">
        <f>IFERROR(TRUNC(VLOOKUP($C55,'Para SICONFI'!$A$1:$E$370,2,FALSE),2),0)</f>
        <v>0</v>
      </c>
      <c r="E55" s="16"/>
    </row>
    <row r="56" spans="1:5" ht="22.5">
      <c r="A56" s="320"/>
      <c r="B56" s="234" t="s">
        <v>51</v>
      </c>
      <c r="C56" s="27" t="s">
        <v>353</v>
      </c>
      <c r="D56" s="225">
        <f>IFERROR(TRUNC(VLOOKUP($C56,'Para SICONFI'!$A$1:$E$370,2,FALSE),2),0)</f>
        <v>0</v>
      </c>
      <c r="E56" s="16"/>
    </row>
    <row r="57" spans="1:5" ht="22.5">
      <c r="A57" s="320"/>
      <c r="B57" s="234" t="s">
        <v>52</v>
      </c>
      <c r="C57" s="27" t="s">
        <v>216</v>
      </c>
      <c r="D57" s="225">
        <f>IFERROR(TRUNC(VLOOKUP($C57,'Para SICONFI'!$A$1:$E$370,2,FALSE),2),0)</f>
        <v>0</v>
      </c>
      <c r="E57" s="16"/>
    </row>
    <row r="58" spans="1:5">
      <c r="A58" s="320"/>
      <c r="B58" s="234" t="s">
        <v>53</v>
      </c>
      <c r="C58" s="27" t="s">
        <v>217</v>
      </c>
      <c r="D58" s="225">
        <f>IFERROR(TRUNC(VLOOKUP($C58,'Para SICONFI'!$A$1:$E$370,2,FALSE),2),0)</f>
        <v>0</v>
      </c>
      <c r="E58" s="16"/>
    </row>
    <row r="59" spans="1:5">
      <c r="A59" s="320"/>
      <c r="B59" s="234" t="s">
        <v>54</v>
      </c>
      <c r="C59" s="27" t="s">
        <v>218</v>
      </c>
      <c r="D59" s="225">
        <f>IFERROR(TRUNC(VLOOKUP($C59,'Para SICONFI'!$A$1:$E$370,2,FALSE),2),0)</f>
        <v>0</v>
      </c>
      <c r="E59" s="16"/>
    </row>
    <row r="60" spans="1:5">
      <c r="A60" s="320"/>
      <c r="B60" s="234" t="s">
        <v>55</v>
      </c>
      <c r="C60" s="27" t="s">
        <v>219</v>
      </c>
      <c r="D60" s="225">
        <f>IFERROR(TRUNC(VLOOKUP($C60,'Para SICONFI'!$A$1:$E$370,2,FALSE),2),0)</f>
        <v>0</v>
      </c>
      <c r="E60" s="16"/>
    </row>
    <row r="61" spans="1:5">
      <c r="A61" s="320"/>
      <c r="B61" s="234" t="s">
        <v>56</v>
      </c>
      <c r="C61" s="27"/>
      <c r="D61" s="225"/>
      <c r="E61" s="16"/>
    </row>
    <row r="62" spans="1:5">
      <c r="A62" s="320"/>
      <c r="B62" s="234" t="s">
        <v>57</v>
      </c>
      <c r="C62" s="27"/>
      <c r="D62" s="225"/>
      <c r="E62" s="16"/>
    </row>
    <row r="63" spans="1:5">
      <c r="A63" s="320"/>
      <c r="B63" s="234" t="s">
        <v>82</v>
      </c>
      <c r="C63" s="27" t="s">
        <v>228</v>
      </c>
      <c r="D63" s="225"/>
      <c r="E63" s="16"/>
    </row>
    <row r="64" spans="1:5">
      <c r="A64" s="320"/>
      <c r="B64" s="234" t="s">
        <v>76</v>
      </c>
      <c r="C64" s="27" t="s">
        <v>222</v>
      </c>
      <c r="D64" s="225">
        <f>IFERROR(TRUNC(VLOOKUP($C64,'Para SICONFI'!$A$1:$E$370,2,FALSE),2),0)</f>
        <v>0</v>
      </c>
      <c r="E64" s="16"/>
    </row>
    <row r="65" spans="1:5">
      <c r="A65" s="320"/>
      <c r="B65" s="234" t="s">
        <v>77</v>
      </c>
      <c r="C65" s="27"/>
      <c r="D65" s="225"/>
      <c r="E65" s="16"/>
    </row>
    <row r="66" spans="1:5">
      <c r="A66" s="320"/>
      <c r="B66" s="234" t="s">
        <v>78</v>
      </c>
      <c r="C66" s="27" t="s">
        <v>224</v>
      </c>
      <c r="D66" s="225">
        <f>IFERROR(TRUNC(VLOOKUP($C66,'Para SICONFI'!$A$1:$E$370,2,FALSE),2),0)</f>
        <v>0</v>
      </c>
      <c r="E66" s="16"/>
    </row>
    <row r="67" spans="1:5">
      <c r="A67" s="320"/>
      <c r="B67" s="234" t="s">
        <v>79</v>
      </c>
      <c r="C67" s="27" t="s">
        <v>225</v>
      </c>
      <c r="D67" s="225">
        <f>IFERROR(TRUNC(VLOOKUP($C67,'Para SICONFI'!$A$1:$E$370,2,FALSE),2),0)</f>
        <v>0</v>
      </c>
      <c r="E67" s="16"/>
    </row>
    <row r="68" spans="1:5">
      <c r="A68" s="320"/>
      <c r="B68" s="234" t="s">
        <v>80</v>
      </c>
      <c r="C68" s="27" t="s">
        <v>226</v>
      </c>
      <c r="D68" s="225">
        <f>IFERROR(TRUNC(VLOOKUP($C68,'Para SICONFI'!$A$1:$E$370,2,FALSE),2),0)</f>
        <v>0</v>
      </c>
      <c r="E68" s="16"/>
    </row>
    <row r="69" spans="1:5">
      <c r="A69" s="320"/>
      <c r="B69" s="236" t="s">
        <v>81</v>
      </c>
      <c r="C69" s="227"/>
      <c r="D69" s="228"/>
      <c r="E69" s="16"/>
    </row>
    <row r="70" spans="1:5">
      <c r="C70" s="27"/>
      <c r="D70" s="225"/>
      <c r="E70" s="16"/>
    </row>
    <row r="71" spans="1:5">
      <c r="A71" s="319" t="s">
        <v>478</v>
      </c>
      <c r="B71" s="235" t="s">
        <v>85</v>
      </c>
      <c r="C71" s="229" t="s">
        <v>85</v>
      </c>
      <c r="D71" s="224">
        <f>IFERROR(TRUNC(VLOOKUP($C71,'Para SICONFI'!$A$1:$E$370,2,FALSE),2),0)</f>
        <v>0</v>
      </c>
      <c r="E71" s="16"/>
    </row>
    <row r="72" spans="1:5">
      <c r="A72" s="319"/>
      <c r="B72" s="234" t="s">
        <v>25</v>
      </c>
      <c r="C72" s="27" t="s">
        <v>229</v>
      </c>
      <c r="D72" s="225">
        <f>IFERROR(TRUNC(VLOOKUP($C72,'Para SICONFI'!$A$1:$E$370,2,FALSE),2),0)</f>
        <v>0</v>
      </c>
      <c r="E72" s="16"/>
    </row>
    <row r="73" spans="1:5" ht="22.5">
      <c r="A73" s="319"/>
      <c r="B73" s="234" t="s">
        <v>26</v>
      </c>
      <c r="C73" s="27" t="s">
        <v>230</v>
      </c>
      <c r="D73" s="225">
        <f>IFERROR(TRUNC(VLOOKUP($C73,'Para SICONFI'!$A$1:$E$370,2,FALSE),2),0)</f>
        <v>0</v>
      </c>
      <c r="E73" s="16"/>
    </row>
    <row r="74" spans="1:5">
      <c r="A74" s="319"/>
      <c r="B74" s="234" t="s">
        <v>27</v>
      </c>
      <c r="C74" s="27" t="s">
        <v>231</v>
      </c>
      <c r="D74" s="225">
        <f>IFERROR(TRUNC(VLOOKUP($C74,'Para SICONFI'!$A$1:$E$370,2,FALSE),2),0)</f>
        <v>0</v>
      </c>
      <c r="E74" s="16"/>
    </row>
    <row r="75" spans="1:5">
      <c r="A75" s="319"/>
      <c r="B75" s="234" t="s">
        <v>28</v>
      </c>
      <c r="C75" s="27" t="s">
        <v>232</v>
      </c>
      <c r="D75" s="225">
        <f>IFERROR(TRUNC(VLOOKUP($C75,'Para SICONFI'!$A$1:$E$370,2,FALSE),2),0)</f>
        <v>0</v>
      </c>
      <c r="E75" s="16"/>
    </row>
    <row r="76" spans="1:5">
      <c r="A76" s="319"/>
      <c r="C76" s="27"/>
      <c r="D76" s="225"/>
      <c r="E76" s="16"/>
    </row>
    <row r="77" spans="1:5">
      <c r="A77" s="319"/>
      <c r="B77" s="234" t="s">
        <v>479</v>
      </c>
      <c r="C77" s="27" t="s">
        <v>233</v>
      </c>
      <c r="D77" s="225">
        <f>IFERROR(TRUNC(VLOOKUP($C77,'Para SICONFI'!$A$1:$E$370,2,FALSE),2),0)</f>
        <v>0</v>
      </c>
      <c r="E77" s="16"/>
    </row>
    <row r="78" spans="1:5">
      <c r="A78" s="319"/>
      <c r="B78" s="234" t="s">
        <v>30</v>
      </c>
      <c r="C78" s="27" t="s">
        <v>234</v>
      </c>
      <c r="D78" s="225">
        <f>IFERROR(TRUNC(VLOOKUP($C78,'Para SICONFI'!$A$1:$E$370,2,FALSE),2),0)</f>
        <v>0</v>
      </c>
      <c r="E78" s="16"/>
    </row>
    <row r="79" spans="1:5">
      <c r="A79" s="319"/>
      <c r="B79" s="234" t="s">
        <v>31</v>
      </c>
      <c r="C79" s="27" t="s">
        <v>235</v>
      </c>
      <c r="D79" s="225">
        <f>IFERROR(TRUNC(VLOOKUP($C79,'Para SICONFI'!$A$1:$E$370,2,FALSE),2),0)</f>
        <v>0</v>
      </c>
      <c r="E79" s="16"/>
    </row>
    <row r="80" spans="1:5">
      <c r="A80" s="319"/>
      <c r="B80" s="234" t="s">
        <v>32</v>
      </c>
      <c r="C80" s="27"/>
      <c r="D80" s="225"/>
      <c r="E80" s="16"/>
    </row>
    <row r="81" spans="1:5">
      <c r="A81" s="319"/>
      <c r="B81" s="234" t="s">
        <v>33</v>
      </c>
      <c r="C81" s="27" t="s">
        <v>237</v>
      </c>
      <c r="D81" s="225">
        <f>IFERROR(TRUNC(VLOOKUP($C81,'Para SICONFI'!$A$1:$E$370,2,FALSE),2),0)</f>
        <v>0</v>
      </c>
      <c r="E81" s="16"/>
    </row>
    <row r="82" spans="1:5">
      <c r="A82" s="319"/>
      <c r="B82" s="234" t="s">
        <v>34</v>
      </c>
      <c r="C82" s="27" t="s">
        <v>238</v>
      </c>
      <c r="D82" s="225">
        <f>IFERROR(TRUNC(VLOOKUP($C82,'Para SICONFI'!$A$1:$E$370,2,FALSE),2),0)</f>
        <v>0</v>
      </c>
      <c r="E82" s="16"/>
    </row>
    <row r="83" spans="1:5">
      <c r="A83" s="319"/>
      <c r="B83" s="234" t="s">
        <v>35</v>
      </c>
      <c r="C83" s="27" t="s">
        <v>239</v>
      </c>
      <c r="D83" s="225">
        <f>IFERROR(TRUNC(VLOOKUP($C83,'Para SICONFI'!$A$1:$E$370,2,FALSE),2),0)</f>
        <v>0</v>
      </c>
      <c r="E83" s="16"/>
    </row>
    <row r="84" spans="1:5" ht="22.5">
      <c r="A84" s="319"/>
      <c r="B84" s="234" t="s">
        <v>36</v>
      </c>
      <c r="C84" s="27" t="s">
        <v>240</v>
      </c>
      <c r="D84" s="225">
        <f>IFERROR(TRUNC(VLOOKUP($C84,'Para SICONFI'!$A$1:$E$370,2,FALSE),2),0)</f>
        <v>0</v>
      </c>
      <c r="E84" s="16"/>
    </row>
    <row r="85" spans="1:5">
      <c r="A85" s="319"/>
      <c r="B85" s="234" t="s">
        <v>37</v>
      </c>
      <c r="C85" s="27"/>
      <c r="D85" s="225"/>
      <c r="E85" s="16"/>
    </row>
    <row r="86" spans="1:5">
      <c r="A86" s="319"/>
      <c r="B86" s="234" t="s">
        <v>38</v>
      </c>
      <c r="C86" s="27"/>
      <c r="D86" s="225"/>
      <c r="E86" s="16"/>
    </row>
    <row r="87" spans="1:5">
      <c r="A87" s="319"/>
      <c r="B87" s="234" t="s">
        <v>39</v>
      </c>
      <c r="C87" s="27"/>
      <c r="D87" s="225"/>
      <c r="E87" s="16"/>
    </row>
    <row r="88" spans="1:5">
      <c r="A88" s="319"/>
      <c r="B88" s="234" t="s">
        <v>40</v>
      </c>
      <c r="C88" s="27"/>
      <c r="D88" s="225"/>
      <c r="E88" s="16"/>
    </row>
    <row r="89" spans="1:5">
      <c r="A89" s="319"/>
      <c r="B89" s="234" t="s">
        <v>41</v>
      </c>
      <c r="C89" s="27" t="s">
        <v>241</v>
      </c>
      <c r="D89" s="225"/>
      <c r="E89" s="16"/>
    </row>
    <row r="90" spans="1:5">
      <c r="A90" s="319"/>
      <c r="B90" s="234" t="s">
        <v>42</v>
      </c>
      <c r="C90" s="27" t="s">
        <v>242</v>
      </c>
      <c r="D90" s="225">
        <f>IFERROR(TRUNC(VLOOKUP($C90,'Para SICONFI'!$A$1:$E$370,2,FALSE),2),0)</f>
        <v>0</v>
      </c>
      <c r="E90" s="16"/>
    </row>
    <row r="91" spans="1:5">
      <c r="A91" s="319"/>
      <c r="B91" s="234" t="s">
        <v>43</v>
      </c>
      <c r="C91" s="27" t="s">
        <v>243</v>
      </c>
      <c r="D91" s="225">
        <f>IFERROR(TRUNC(VLOOKUP($C91,'Para SICONFI'!$A$1:$E$370,2,FALSE),2),0)</f>
        <v>0</v>
      </c>
      <c r="E91" s="16"/>
    </row>
    <row r="92" spans="1:5">
      <c r="A92" s="319"/>
      <c r="B92" s="234" t="s">
        <v>44</v>
      </c>
      <c r="C92" s="27" t="s">
        <v>244</v>
      </c>
      <c r="D92" s="225">
        <f>IFERROR(TRUNC(VLOOKUP($C92,'Para SICONFI'!$A$1:$E$370,2,FALSE),2),0)</f>
        <v>0</v>
      </c>
      <c r="E92" s="16"/>
    </row>
    <row r="93" spans="1:5">
      <c r="A93" s="319"/>
      <c r="B93" s="234" t="s">
        <v>45</v>
      </c>
      <c r="C93" s="27"/>
      <c r="D93" s="225"/>
      <c r="E93" s="16"/>
    </row>
    <row r="94" spans="1:5">
      <c r="A94" s="319"/>
      <c r="B94" s="234" t="s">
        <v>46</v>
      </c>
      <c r="C94" s="27" t="s">
        <v>359</v>
      </c>
      <c r="D94" s="225">
        <f>IFERROR(TRUNC(VLOOKUP($C94,'Para SICONFI'!$A$1:$E$370,2,FALSE),2),0)</f>
        <v>0</v>
      </c>
      <c r="E94" s="16"/>
    </row>
    <row r="95" spans="1:5">
      <c r="A95" s="319"/>
      <c r="B95" s="234" t="s">
        <v>47</v>
      </c>
      <c r="C95" s="27"/>
      <c r="D95" s="225"/>
      <c r="E95" s="16"/>
    </row>
    <row r="96" spans="1:5">
      <c r="A96" s="319"/>
      <c r="B96" s="234" t="s">
        <v>48</v>
      </c>
      <c r="C96" s="27" t="s">
        <v>248</v>
      </c>
      <c r="D96" s="225">
        <f>IFERROR(TRUNC(VLOOKUP($C96,'Para SICONFI'!$A$1:$E$370,2,FALSE),2),0)</f>
        <v>0</v>
      </c>
      <c r="E96" s="16"/>
    </row>
    <row r="97" spans="1:5">
      <c r="A97" s="319"/>
      <c r="B97" s="234" t="s">
        <v>49</v>
      </c>
      <c r="C97" s="27"/>
      <c r="D97" s="225"/>
      <c r="E97" s="16"/>
    </row>
    <row r="98" spans="1:5">
      <c r="A98" s="319"/>
      <c r="B98" s="234" t="s">
        <v>50</v>
      </c>
      <c r="C98" s="27"/>
      <c r="D98" s="225"/>
      <c r="E98" s="16"/>
    </row>
    <row r="99" spans="1:5">
      <c r="A99" s="319"/>
      <c r="B99" s="234" t="s">
        <v>51</v>
      </c>
      <c r="C99" s="27"/>
      <c r="D99" s="225"/>
      <c r="E99" s="16"/>
    </row>
    <row r="100" spans="1:5">
      <c r="A100" s="319"/>
      <c r="B100" s="234" t="s">
        <v>52</v>
      </c>
      <c r="C100" s="27"/>
      <c r="D100" s="225"/>
      <c r="E100" s="16"/>
    </row>
    <row r="101" spans="1:5">
      <c r="A101" s="319"/>
      <c r="B101" s="234" t="s">
        <v>53</v>
      </c>
      <c r="C101" s="27"/>
      <c r="D101" s="225"/>
      <c r="E101" s="16"/>
    </row>
    <row r="102" spans="1:5">
      <c r="A102" s="319"/>
      <c r="B102" s="234" t="s">
        <v>54</v>
      </c>
      <c r="C102" s="27"/>
      <c r="D102" s="225"/>
      <c r="E102" s="16"/>
    </row>
    <row r="103" spans="1:5">
      <c r="A103" s="319"/>
      <c r="B103" s="234" t="s">
        <v>55</v>
      </c>
      <c r="C103" s="27"/>
      <c r="D103" s="225"/>
      <c r="E103" s="16"/>
    </row>
    <row r="104" spans="1:5">
      <c r="A104" s="319"/>
      <c r="B104" s="234" t="s">
        <v>56</v>
      </c>
      <c r="C104" s="27"/>
      <c r="D104" s="225"/>
      <c r="E104" s="16"/>
    </row>
    <row r="105" spans="1:5">
      <c r="A105" s="319"/>
      <c r="B105" s="234" t="s">
        <v>57</v>
      </c>
      <c r="C105" s="27"/>
      <c r="D105" s="225"/>
      <c r="E105" s="16"/>
    </row>
    <row r="106" spans="1:5">
      <c r="A106" s="319"/>
      <c r="B106" s="234" t="s">
        <v>58</v>
      </c>
      <c r="C106" s="27" t="s">
        <v>250</v>
      </c>
      <c r="D106" s="225">
        <f>IFERROR(TRUNC(VLOOKUP($C106,'Para SICONFI'!$A$1:$E$370,2,FALSE),2),0)</f>
        <v>0</v>
      </c>
      <c r="E106" s="16"/>
    </row>
    <row r="107" spans="1:5">
      <c r="A107" s="319"/>
      <c r="B107" s="234" t="s">
        <v>59</v>
      </c>
      <c r="C107" s="27" t="s">
        <v>251</v>
      </c>
      <c r="D107" s="225">
        <f>IFERROR(TRUNC(VLOOKUP($C107,'Para SICONFI'!$A$1:$E$370,2,FALSE),2),0)</f>
        <v>0</v>
      </c>
      <c r="E107" s="16"/>
    </row>
    <row r="108" spans="1:5">
      <c r="A108" s="319"/>
      <c r="B108" s="234" t="s">
        <v>60</v>
      </c>
      <c r="C108" s="27" t="s">
        <v>252</v>
      </c>
      <c r="D108" s="225">
        <f>IFERROR(TRUNC(VLOOKUP($C108,'Para SICONFI'!$A$1:$E$370,2,FALSE),2),0)</f>
        <v>0</v>
      </c>
      <c r="E108" s="16"/>
    </row>
    <row r="109" spans="1:5">
      <c r="A109" s="319"/>
      <c r="B109" s="234" t="s">
        <v>61</v>
      </c>
      <c r="C109" s="27"/>
      <c r="D109" s="225"/>
      <c r="E109" s="16"/>
    </row>
    <row r="110" spans="1:5">
      <c r="A110" s="319"/>
      <c r="B110" s="234" t="s">
        <v>62</v>
      </c>
      <c r="C110" s="27" t="s">
        <v>254</v>
      </c>
      <c r="D110" s="225">
        <f>IFERROR(TRUNC(VLOOKUP($C110,'Para SICONFI'!$A$1:$E$370,2,FALSE),2),0)</f>
        <v>0</v>
      </c>
      <c r="E110" s="16"/>
    </row>
    <row r="111" spans="1:5">
      <c r="A111" s="319"/>
      <c r="B111" s="234" t="s">
        <v>63</v>
      </c>
      <c r="C111" s="27"/>
      <c r="D111" s="225"/>
      <c r="E111" s="16"/>
    </row>
    <row r="112" spans="1:5">
      <c r="A112" s="319"/>
      <c r="B112" s="234" t="s">
        <v>66</v>
      </c>
      <c r="C112" s="27" t="s">
        <v>255</v>
      </c>
      <c r="D112" s="225">
        <f>IFERROR(TRUNC(VLOOKUP($C112,'Para SICONFI'!$A$1:$E$370,2,FALSE),2),0)</f>
        <v>0</v>
      </c>
      <c r="E112" s="16"/>
    </row>
    <row r="113" spans="1:5">
      <c r="A113" s="319"/>
      <c r="B113" s="234" t="s">
        <v>71</v>
      </c>
      <c r="C113" s="27" t="s">
        <v>259</v>
      </c>
      <c r="D113" s="225">
        <f>IFERROR(TRUNC(VLOOKUP($C113,'Para SICONFI'!$A$1:$E$370,2,FALSE),2),0)</f>
        <v>0</v>
      </c>
      <c r="E113" s="16"/>
    </row>
    <row r="114" spans="1:5">
      <c r="A114" s="319"/>
      <c r="B114" s="234" t="s">
        <v>72</v>
      </c>
      <c r="C114" s="27" t="s">
        <v>261</v>
      </c>
      <c r="D114" s="225">
        <f>IFERROR(TRUNC(VLOOKUP($C114,'Para SICONFI'!$A$1:$E$370,2,FALSE),2),0)</f>
        <v>0</v>
      </c>
      <c r="E114" s="16"/>
    </row>
    <row r="115" spans="1:5">
      <c r="A115" s="319"/>
      <c r="B115" s="236" t="s">
        <v>89</v>
      </c>
      <c r="C115" s="230" t="s">
        <v>89</v>
      </c>
      <c r="D115" s="46">
        <f>IFERROR(TRUNC(VLOOKUP($C115,'Para SICONFI'!$A$1:$E$370,2,FALSE),2),0)</f>
        <v>0</v>
      </c>
      <c r="E115" s="16"/>
    </row>
    <row r="116" spans="1:5">
      <c r="C116" s="27"/>
      <c r="D116" s="225"/>
      <c r="E116" s="16"/>
    </row>
    <row r="117" spans="1:5">
      <c r="A117" s="321" t="s">
        <v>480</v>
      </c>
      <c r="B117" s="235" t="s">
        <v>90</v>
      </c>
      <c r="C117" s="229" t="s">
        <v>90</v>
      </c>
      <c r="D117" s="224">
        <f>IFERROR(TRUNC(VLOOKUP($C117,'Para SICONFI'!$A$1:$E$370,2,FALSE),2),0)</f>
        <v>0</v>
      </c>
      <c r="E117" s="16"/>
    </row>
    <row r="118" spans="1:5">
      <c r="A118" s="321"/>
      <c r="B118" s="234" t="s">
        <v>91</v>
      </c>
      <c r="C118" s="27" t="s">
        <v>378</v>
      </c>
      <c r="D118" s="225">
        <f>IFERROR(TRUNC(VLOOKUP($C118,'Para SICONFI'!$A$1:$E$370,2,FALSE),2),0)</f>
        <v>0</v>
      </c>
      <c r="E118" s="16"/>
    </row>
    <row r="119" spans="1:5">
      <c r="A119" s="321"/>
      <c r="B119" s="234" t="s">
        <v>92</v>
      </c>
      <c r="C119" s="27" t="s">
        <v>273</v>
      </c>
      <c r="D119" s="225">
        <f>IFERROR(TRUNC(VLOOKUP($C119,'Para SICONFI'!$A$1:$E$370,2,FALSE),2),0)</f>
        <v>0</v>
      </c>
      <c r="E119" s="16"/>
    </row>
    <row r="120" spans="1:5">
      <c r="A120" s="321"/>
      <c r="B120" s="234" t="s">
        <v>481</v>
      </c>
      <c r="E120" s="16"/>
    </row>
    <row r="121" spans="1:5" ht="67.5" customHeight="1">
      <c r="A121" s="321"/>
      <c r="B121" s="236"/>
      <c r="C121" s="227"/>
      <c r="D121" s="228"/>
      <c r="E121" s="16"/>
    </row>
    <row r="122" spans="1:5">
      <c r="C122" s="27"/>
      <c r="D122" s="225"/>
      <c r="E122" s="16"/>
    </row>
    <row r="123" spans="1:5">
      <c r="A123" s="321" t="s">
        <v>482</v>
      </c>
      <c r="B123" s="235" t="str">
        <f>'SICONFI vinculada'!C110</f>
        <v xml:space="preserve">    Operações de Crédito - Mercado Externo </v>
      </c>
      <c r="C123" s="229" t="s">
        <v>274</v>
      </c>
      <c r="D123" s="224">
        <f>IFERROR(TRUNC(VLOOKUP($C123,'Para SICONFI'!$A$1:$E$370,2,FALSE),2),0)</f>
        <v>0</v>
      </c>
      <c r="E123" s="16"/>
    </row>
    <row r="124" spans="1:5">
      <c r="A124" s="321"/>
      <c r="B124" s="234" t="str">
        <f>'SICONFI vinculada'!C111</f>
        <v xml:space="preserve">        Mobiliária</v>
      </c>
      <c r="C124" s="27" t="s">
        <v>275</v>
      </c>
      <c r="D124" s="225">
        <f>IFERROR(TRUNC(VLOOKUP($C124,'Para SICONFI'!$A$1:$E$370,2,FALSE),2),0)</f>
        <v>0</v>
      </c>
      <c r="E124" s="16"/>
    </row>
    <row r="125" spans="1:5">
      <c r="A125" s="321"/>
      <c r="B125" s="234" t="s">
        <v>481</v>
      </c>
      <c r="E125" s="16"/>
    </row>
    <row r="126" spans="1:5">
      <c r="A126" s="321"/>
      <c r="B126" s="234" t="s">
        <v>177</v>
      </c>
      <c r="C126" s="27" t="s">
        <v>177</v>
      </c>
      <c r="D126" s="225">
        <f>IFERROR(TRUNC(VLOOKUP($C126,'Para SICONFI'!$A$1:$E$370,2,FALSE),2),0)</f>
        <v>0</v>
      </c>
      <c r="E126" s="16"/>
    </row>
    <row r="127" spans="1:5" ht="69.75" customHeight="1">
      <c r="A127" s="321"/>
      <c r="B127" s="236"/>
      <c r="C127" s="227"/>
      <c r="D127" s="228"/>
      <c r="E127" s="16"/>
    </row>
    <row r="128" spans="1:5">
      <c r="C128" s="58"/>
      <c r="D128" s="225"/>
      <c r="E128" s="16"/>
    </row>
    <row r="131" spans="1:10">
      <c r="A131" s="231"/>
      <c r="C131" s="219" t="s">
        <v>111</v>
      </c>
      <c r="D131" s="219" t="s">
        <v>483</v>
      </c>
      <c r="E131" s="219" t="s">
        <v>484</v>
      </c>
      <c r="H131" s="19"/>
      <c r="I131" s="19"/>
      <c r="J131" s="19"/>
    </row>
    <row r="132" spans="1:10">
      <c r="A132" s="318" t="s">
        <v>485</v>
      </c>
      <c r="B132" s="235" t="s">
        <v>120</v>
      </c>
      <c r="C132" s="220" t="s">
        <v>120</v>
      </c>
      <c r="D132" s="232">
        <f>IFERROR(TRUNC(VLOOKUP($C132,'Para SICONFI'!$A$1:$E$370,3,FALSE),2),0)</f>
        <v>0</v>
      </c>
      <c r="E132" s="232">
        <f>IFERROR(TRUNC(VLOOKUP($C132,'Para SICONFI'!$A$1:$E$370,4,FALSE),2),0)</f>
        <v>0</v>
      </c>
      <c r="H132" s="24"/>
      <c r="I132" s="24"/>
      <c r="J132" s="24"/>
    </row>
    <row r="133" spans="1:10">
      <c r="A133" s="318"/>
      <c r="B133" s="234" t="s">
        <v>121</v>
      </c>
      <c r="C133" s="58" t="s">
        <v>297</v>
      </c>
      <c r="D133" s="226">
        <f>IFERROR(TRUNC(VLOOKUP($C133,'Para SICONFI'!$A$1:$E$370,3,FALSE),2),0)</f>
        <v>0</v>
      </c>
      <c r="E133" s="226">
        <f>IFERROR(TRUNC(VLOOKUP($C133,'Para SICONFI'!$A$1:$E$370,4,FALSE),2),0)</f>
        <v>0</v>
      </c>
      <c r="H133" s="24"/>
      <c r="I133" s="24"/>
      <c r="J133" s="24"/>
    </row>
    <row r="134" spans="1:10">
      <c r="A134" s="318"/>
      <c r="B134" s="234" t="s">
        <v>122</v>
      </c>
      <c r="C134" s="58" t="s">
        <v>298</v>
      </c>
      <c r="D134" s="226">
        <f>IFERROR(TRUNC(VLOOKUP($C134,'Para SICONFI'!$A$1:$E$370,3,FALSE),2),0)</f>
        <v>0</v>
      </c>
      <c r="E134" s="226">
        <f>IFERROR(TRUNC(VLOOKUP($C134,'Para SICONFI'!$A$1:$E$370,4,FALSE),2),0)</f>
        <v>0</v>
      </c>
      <c r="H134" s="24"/>
      <c r="I134" s="24"/>
      <c r="J134" s="24"/>
    </row>
    <row r="135" spans="1:10">
      <c r="A135" s="318"/>
      <c r="B135" s="234" t="s">
        <v>123</v>
      </c>
      <c r="C135" s="58" t="s">
        <v>299</v>
      </c>
      <c r="D135" s="226">
        <f>IFERROR(TRUNC(VLOOKUP($C135,'Para SICONFI'!$A$1:$E$370,3,FALSE),2),0)</f>
        <v>0</v>
      </c>
      <c r="E135" s="226">
        <f>IFERROR(TRUNC(VLOOKUP($C135,'Para SICONFI'!$A$1:$E$370,4,FALSE),2),0)</f>
        <v>0</v>
      </c>
      <c r="H135" s="24"/>
      <c r="I135" s="24"/>
      <c r="J135" s="24"/>
    </row>
    <row r="136" spans="1:10">
      <c r="A136" s="318"/>
      <c r="B136" s="234" t="s">
        <v>124</v>
      </c>
      <c r="C136" s="58" t="s">
        <v>300</v>
      </c>
      <c r="D136" s="226">
        <f>IFERROR(TRUNC(VLOOKUP($C136,'Para SICONFI'!$A$1:$E$370,3,FALSE),2),0)</f>
        <v>0</v>
      </c>
      <c r="E136" s="226">
        <f>IFERROR(TRUNC(VLOOKUP($C136,'Para SICONFI'!$A$1:$E$370,4,FALSE),2),0)</f>
        <v>0</v>
      </c>
      <c r="H136" s="24"/>
      <c r="I136" s="24"/>
      <c r="J136" s="24"/>
    </row>
    <row r="137" spans="1:10">
      <c r="A137" s="318"/>
      <c r="B137" s="234" t="s">
        <v>125</v>
      </c>
      <c r="C137" s="58" t="s">
        <v>301</v>
      </c>
      <c r="D137" s="226">
        <f>IFERROR(TRUNC(VLOOKUP($C137,'Para SICONFI'!$A$1:$E$370,3,FALSE),2),0)</f>
        <v>0</v>
      </c>
      <c r="E137" s="226">
        <f>IFERROR(TRUNC(VLOOKUP($C137,'Para SICONFI'!$A$1:$E$370,4,FALSE),2),0)</f>
        <v>0</v>
      </c>
      <c r="H137" s="24"/>
      <c r="I137" s="24"/>
      <c r="J137" s="24"/>
    </row>
    <row r="138" spans="1:10">
      <c r="A138" s="318"/>
      <c r="B138" s="234" t="s">
        <v>126</v>
      </c>
      <c r="C138" s="58" t="s">
        <v>302</v>
      </c>
      <c r="D138" s="226">
        <f>IFERROR(TRUNC(VLOOKUP($C138,'Para SICONFI'!$A$1:$E$370,3,FALSE),2),0)</f>
        <v>0</v>
      </c>
      <c r="E138" s="226">
        <f>IFERROR(TRUNC(VLOOKUP($C138,'Para SICONFI'!$A$1:$E$370,4,FALSE),2),0)</f>
        <v>0</v>
      </c>
      <c r="H138" s="24"/>
      <c r="I138" s="24"/>
      <c r="J138" s="24"/>
    </row>
    <row r="139" spans="1:10">
      <c r="A139" s="318"/>
      <c r="B139" s="234" t="s">
        <v>127</v>
      </c>
      <c r="C139" s="58" t="s">
        <v>303</v>
      </c>
      <c r="D139" s="226">
        <f>IFERROR(TRUNC(VLOOKUP($C139,'Para SICONFI'!$A$1:$E$370,3,FALSE),2),0)</f>
        <v>0</v>
      </c>
      <c r="E139" s="226">
        <f>IFERROR(TRUNC(VLOOKUP($C139,'Para SICONFI'!$A$1:$E$370,4,FALSE),2),0)</f>
        <v>0</v>
      </c>
      <c r="H139" s="24"/>
      <c r="I139" s="24"/>
      <c r="J139" s="24"/>
    </row>
    <row r="140" spans="1:10">
      <c r="A140" s="318"/>
      <c r="B140" s="234" t="s">
        <v>128</v>
      </c>
      <c r="C140" s="58" t="s">
        <v>304</v>
      </c>
      <c r="D140" s="226">
        <f>IFERROR(TRUNC(VLOOKUP($C140,'Para SICONFI'!$A$1:$E$370,3,FALSE),2),0)</f>
        <v>0</v>
      </c>
      <c r="E140" s="226">
        <f>IFERROR(TRUNC(VLOOKUP($C140,'Para SICONFI'!$A$1:$E$370,4,FALSE),2),0)</f>
        <v>0</v>
      </c>
      <c r="H140" s="24"/>
      <c r="I140" s="24"/>
      <c r="J140" s="24"/>
    </row>
    <row r="141" spans="1:10">
      <c r="A141" s="318"/>
      <c r="B141" s="234" t="s">
        <v>129</v>
      </c>
      <c r="C141" s="58" t="s">
        <v>306</v>
      </c>
      <c r="D141" s="226">
        <f>IFERROR(TRUNC(VLOOKUP($C141,'Para SICONFI'!$A$1:$E$370,3,FALSE),2),0)</f>
        <v>0</v>
      </c>
      <c r="E141" s="226">
        <f>IFERROR(TRUNC(VLOOKUP($C141,'Para SICONFI'!$A$1:$E$370,4,FALSE),2),0)</f>
        <v>0</v>
      </c>
      <c r="H141" s="24"/>
      <c r="I141" s="24"/>
      <c r="J141" s="24"/>
    </row>
    <row r="142" spans="1:10">
      <c r="A142" s="318"/>
      <c r="B142" s="234" t="s">
        <v>130</v>
      </c>
      <c r="C142" s="58" t="s">
        <v>307</v>
      </c>
      <c r="D142" s="226">
        <f>IFERROR(TRUNC(VLOOKUP($C142,'Para SICONFI'!$A$1:$E$370,3,FALSE),2),0)</f>
        <v>0</v>
      </c>
      <c r="E142" s="226">
        <f>IFERROR(TRUNC(VLOOKUP($C142,'Para SICONFI'!$A$1:$E$370,4,FALSE),2),0)</f>
        <v>0</v>
      </c>
      <c r="H142" s="24"/>
      <c r="I142" s="24"/>
      <c r="J142" s="24"/>
    </row>
    <row r="143" spans="1:10">
      <c r="A143" s="318"/>
      <c r="B143" s="234" t="s">
        <v>131</v>
      </c>
      <c r="C143" s="58" t="s">
        <v>308</v>
      </c>
      <c r="D143" s="226">
        <f>IFERROR(TRUNC(VLOOKUP($C143,'Para SICONFI'!$A$1:$E$370,3,FALSE),2),0)</f>
        <v>0</v>
      </c>
      <c r="E143" s="226">
        <f>IFERROR(TRUNC(VLOOKUP($C143,'Para SICONFI'!$A$1:$E$370,4,FALSE),2),0)</f>
        <v>0</v>
      </c>
      <c r="H143" s="24"/>
      <c r="I143" s="24"/>
      <c r="J143" s="24"/>
    </row>
    <row r="144" spans="1:10">
      <c r="A144" s="318"/>
      <c r="B144" s="236" t="s">
        <v>132</v>
      </c>
      <c r="C144" s="221" t="s">
        <v>309</v>
      </c>
      <c r="D144" s="45">
        <f>IFERROR(TRUNC(VLOOKUP($C144,'Para SICONFI'!$A$1:$E$370,3,FALSE),2),0)</f>
        <v>0</v>
      </c>
      <c r="E144" s="45">
        <f>IFERROR(TRUNC(VLOOKUP($C144,'Para SICONFI'!$A$1:$E$370,4,FALSE),2),0)</f>
        <v>0</v>
      </c>
      <c r="H144" s="24"/>
      <c r="I144" s="24"/>
      <c r="J144" s="24"/>
    </row>
    <row r="145" spans="1:10">
      <c r="A145" s="231"/>
      <c r="C145" s="58"/>
      <c r="D145" s="226"/>
      <c r="E145" s="16"/>
      <c r="H145" s="24"/>
      <c r="I145" s="24"/>
      <c r="J145" s="24"/>
    </row>
    <row r="146" spans="1:10">
      <c r="A146" s="318" t="s">
        <v>486</v>
      </c>
      <c r="B146" s="235" t="s">
        <v>133</v>
      </c>
      <c r="C146" s="220" t="s">
        <v>133</v>
      </c>
      <c r="D146" s="232">
        <f>IFERROR(TRUNC(VLOOKUP($C146,'Para SICONFI'!$A$1:$E$370,3,FALSE),2),0)</f>
        <v>0</v>
      </c>
      <c r="E146" s="232">
        <f>IFERROR(TRUNC(VLOOKUP($C146,'Para SICONFI'!$A$1:$E$370,4,FALSE),2),0)</f>
        <v>0</v>
      </c>
      <c r="H146" s="24"/>
      <c r="I146" s="24"/>
      <c r="J146" s="24"/>
    </row>
    <row r="147" spans="1:10">
      <c r="A147" s="318"/>
      <c r="C147" s="58" t="s">
        <v>310</v>
      </c>
      <c r="D147" s="226">
        <f>IFERROR(TRUNC(VLOOKUP($C147,'Para SICONFI'!$A$1:$E$370,3,FALSE),2),0)</f>
        <v>0</v>
      </c>
      <c r="E147" s="226">
        <f>IFERROR(TRUNC(VLOOKUP($C147,'Para SICONFI'!$A$1:$E$370,4,FALSE),2),0)</f>
        <v>0</v>
      </c>
      <c r="H147" s="24"/>
      <c r="I147" s="24"/>
      <c r="J147" s="24"/>
    </row>
    <row r="148" spans="1:10">
      <c r="A148" s="318"/>
      <c r="B148" s="234" t="s">
        <v>122</v>
      </c>
      <c r="C148" s="58" t="s">
        <v>311</v>
      </c>
      <c r="D148" s="226">
        <f>IFERROR(TRUNC(VLOOKUP($C148,'Para SICONFI'!$A$1:$E$370,3,FALSE),2),0)</f>
        <v>0</v>
      </c>
      <c r="E148" s="226">
        <f>IFERROR(TRUNC(VLOOKUP($C148,'Para SICONFI'!$A$1:$E$370,4,FALSE),2),0)</f>
        <v>0</v>
      </c>
      <c r="H148" s="24"/>
      <c r="I148" s="24"/>
      <c r="J148" s="24"/>
    </row>
    <row r="149" spans="1:10">
      <c r="A149" s="318"/>
      <c r="B149" s="234" t="s">
        <v>123</v>
      </c>
      <c r="C149" s="58" t="s">
        <v>312</v>
      </c>
      <c r="D149" s="226">
        <f>IFERROR(TRUNC(VLOOKUP($C149,'Para SICONFI'!$A$1:$E$370,3,FALSE),2),0)</f>
        <v>0</v>
      </c>
      <c r="E149" s="226">
        <f>IFERROR(TRUNC(VLOOKUP($C149,'Para SICONFI'!$A$1:$E$370,4,FALSE),2),0)</f>
        <v>0</v>
      </c>
      <c r="H149" s="24"/>
      <c r="I149" s="24"/>
      <c r="J149" s="24"/>
    </row>
    <row r="150" spans="1:10">
      <c r="A150" s="318"/>
      <c r="B150" s="234" t="s">
        <v>124</v>
      </c>
      <c r="C150" s="58" t="s">
        <v>314</v>
      </c>
      <c r="D150" s="226">
        <f>IFERROR(TRUNC(VLOOKUP($C150,'Para SICONFI'!$A$1:$E$370,3,FALSE),2),0)</f>
        <v>0</v>
      </c>
      <c r="E150" s="226">
        <f>IFERROR(TRUNC(VLOOKUP($C150,'Para SICONFI'!$A$1:$E$370,4,FALSE),2),0)</f>
        <v>0</v>
      </c>
      <c r="H150" s="24"/>
      <c r="I150" s="24"/>
      <c r="J150" s="24"/>
    </row>
    <row r="151" spans="1:10">
      <c r="A151" s="318"/>
      <c r="B151" s="234" t="s">
        <v>128</v>
      </c>
      <c r="C151" s="58" t="s">
        <v>315</v>
      </c>
      <c r="D151" s="226">
        <f>IFERROR(TRUNC(VLOOKUP($C151,'Para SICONFI'!$A$1:$E$370,3,FALSE),2),0)</f>
        <v>0</v>
      </c>
      <c r="E151" s="226">
        <f>IFERROR(TRUNC(VLOOKUP($C151,'Para SICONFI'!$A$1:$E$370,4,FALSE),2),0)</f>
        <v>0</v>
      </c>
      <c r="H151" s="24"/>
      <c r="I151" s="24"/>
      <c r="J151" s="24"/>
    </row>
    <row r="152" spans="1:10">
      <c r="A152" s="318"/>
      <c r="B152" s="234" t="s">
        <v>129</v>
      </c>
      <c r="C152" s="58" t="s">
        <v>316</v>
      </c>
      <c r="D152" s="226">
        <f>IFERROR(TRUNC(VLOOKUP($C152,'Para SICONFI'!$A$1:$E$370,3,FALSE),2),0)</f>
        <v>0</v>
      </c>
      <c r="E152" s="226">
        <f>IFERROR(TRUNC(VLOOKUP($C152,'Para SICONFI'!$A$1:$E$370,4,FALSE),2),0)</f>
        <v>0</v>
      </c>
      <c r="H152" s="24"/>
      <c r="I152" s="24"/>
      <c r="J152" s="24"/>
    </row>
    <row r="153" spans="1:10">
      <c r="A153" s="318"/>
      <c r="B153" s="234" t="s">
        <v>130</v>
      </c>
      <c r="C153" s="58" t="s">
        <v>317</v>
      </c>
      <c r="D153" s="226">
        <f>IFERROR(TRUNC(VLOOKUP($C153,'Para SICONFI'!$A$1:$E$370,3,FALSE),2),0)</f>
        <v>0</v>
      </c>
      <c r="E153" s="226">
        <f>IFERROR(TRUNC(VLOOKUP($C153,'Para SICONFI'!$A$1:$E$370,4,FALSE),2),0)</f>
        <v>0</v>
      </c>
      <c r="H153" s="24"/>
      <c r="I153" s="24"/>
      <c r="J153" s="24"/>
    </row>
    <row r="154" spans="1:10">
      <c r="A154" s="318"/>
      <c r="B154" s="234" t="s">
        <v>131</v>
      </c>
      <c r="C154" s="58" t="s">
        <v>319</v>
      </c>
      <c r="D154" s="226">
        <f>IFERROR(TRUNC(VLOOKUP($C154,'Para SICONFI'!$A$1:$E$370,3,FALSE),2),0)</f>
        <v>0</v>
      </c>
      <c r="E154" s="226">
        <f>IFERROR(TRUNC(VLOOKUP($C154,'Para SICONFI'!$A$1:$E$370,4,FALSE),2),0)</f>
        <v>0</v>
      </c>
      <c r="H154" s="24"/>
      <c r="I154" s="24"/>
      <c r="J154" s="24"/>
    </row>
    <row r="155" spans="1:10">
      <c r="A155" s="318"/>
      <c r="B155" s="234" t="s">
        <v>132</v>
      </c>
      <c r="C155" s="58" t="s">
        <v>320</v>
      </c>
      <c r="D155" s="226">
        <f>IFERROR(TRUNC(VLOOKUP($C155,'Para SICONFI'!$A$1:$E$370,3,FALSE),2),0)</f>
        <v>0</v>
      </c>
      <c r="E155" s="226">
        <f>IFERROR(TRUNC(VLOOKUP($C155,'Para SICONFI'!$A$1:$E$370,4,FALSE),2),0)</f>
        <v>0</v>
      </c>
      <c r="H155" s="24"/>
      <c r="I155" s="24"/>
      <c r="J155" s="24"/>
    </row>
    <row r="156" spans="1:10">
      <c r="A156" s="318"/>
      <c r="B156" s="236" t="s">
        <v>134</v>
      </c>
      <c r="C156" s="221" t="s">
        <v>305</v>
      </c>
      <c r="D156" s="45">
        <f>IFERROR(TRUNC(VLOOKUP($C156,'Para SICONFI'!$A$1:$E$370,3,FALSE),2),0)</f>
        <v>0</v>
      </c>
      <c r="E156" s="45">
        <f>IFERROR(TRUNC(VLOOKUP($C156,'Para SICONFI'!$A$1:$E$370,4,FALSE),2),0)</f>
        <v>0</v>
      </c>
      <c r="H156" s="24"/>
      <c r="I156" s="24"/>
      <c r="J156" s="24"/>
    </row>
    <row r="157" spans="1:10">
      <c r="A157" s="231"/>
      <c r="C157" s="58"/>
      <c r="D157" s="226"/>
      <c r="E157" s="226"/>
      <c r="H157" s="24"/>
      <c r="I157" s="24"/>
      <c r="J157" s="24"/>
    </row>
    <row r="158" spans="1:10" ht="12.75" customHeight="1">
      <c r="A158" s="318" t="s">
        <v>487</v>
      </c>
      <c r="B158" s="235" t="s">
        <v>135</v>
      </c>
      <c r="C158" s="220" t="s">
        <v>135</v>
      </c>
      <c r="D158" s="232">
        <f>IFERROR(TRUNC(VLOOKUP($C158,'Para SICONFI'!$A$1:$E$370,3,FALSE),2),0)</f>
        <v>0</v>
      </c>
      <c r="E158" s="232">
        <f>IFERROR(TRUNC(VLOOKUP($C158,'Para SICONFI'!$A$1:$E$370,4,FALSE),2),0)</f>
        <v>0</v>
      </c>
      <c r="H158" s="24"/>
      <c r="I158" s="24"/>
      <c r="J158" s="24"/>
    </row>
    <row r="159" spans="1:10">
      <c r="A159" s="318"/>
      <c r="B159" s="234" t="s">
        <v>136</v>
      </c>
      <c r="C159" s="58" t="s">
        <v>322</v>
      </c>
      <c r="D159" s="226">
        <f>IFERROR(TRUNC(VLOOKUP($C159,'Para SICONFI'!$A$1:$E$370,3,FALSE),2),0)</f>
        <v>0</v>
      </c>
      <c r="E159" s="226">
        <f>IFERROR(TRUNC(VLOOKUP($C159,'Para SICONFI'!$A$1:$E$370,4,FALSE),2),0)</f>
        <v>0</v>
      </c>
      <c r="H159" s="24"/>
      <c r="I159" s="24"/>
      <c r="J159" s="24"/>
    </row>
    <row r="160" spans="1:10">
      <c r="A160" s="318"/>
      <c r="B160" s="234" t="s">
        <v>137</v>
      </c>
      <c r="C160" s="58" t="s">
        <v>324</v>
      </c>
      <c r="D160" s="226">
        <f>IFERROR(TRUNC(VLOOKUP($C160,'Para SICONFI'!$A$1:$E$370,3,FALSE),2),0)</f>
        <v>0</v>
      </c>
      <c r="E160" s="226">
        <f>IFERROR(TRUNC(VLOOKUP($C160,'Para SICONFI'!$A$1:$E$370,4,FALSE),2),0)</f>
        <v>0</v>
      </c>
      <c r="H160" s="24"/>
      <c r="I160" s="24"/>
      <c r="J160" s="24"/>
    </row>
    <row r="161" spans="1:10">
      <c r="A161" s="318"/>
      <c r="B161" s="234" t="s">
        <v>138</v>
      </c>
      <c r="C161" s="58" t="s">
        <v>325</v>
      </c>
      <c r="D161" s="226">
        <f>IFERROR(TRUNC(VLOOKUP($C161,'Para SICONFI'!$A$1:$E$370,3,FALSE),2),0)</f>
        <v>0</v>
      </c>
      <c r="E161" s="226">
        <f>IFERROR(TRUNC(VLOOKUP($C161,'Para SICONFI'!$A$1:$E$370,4,FALSE),2),0)</f>
        <v>0</v>
      </c>
      <c r="H161" s="24"/>
      <c r="I161" s="24"/>
      <c r="J161" s="24"/>
    </row>
    <row r="162" spans="1:10" ht="91.5" customHeight="1">
      <c r="A162" s="318"/>
      <c r="B162" s="236"/>
      <c r="C162" s="227"/>
      <c r="D162" s="228"/>
      <c r="E162" s="228"/>
      <c r="H162" s="24"/>
      <c r="I162" s="24"/>
      <c r="J162" s="24"/>
    </row>
    <row r="163" spans="1:10">
      <c r="A163" s="233"/>
      <c r="C163" s="58"/>
      <c r="D163" s="226"/>
      <c r="E163" s="226"/>
      <c r="H163" s="24"/>
      <c r="I163" s="24"/>
      <c r="J163" s="24"/>
    </row>
    <row r="164" spans="1:10">
      <c r="A164" s="318" t="s">
        <v>488</v>
      </c>
      <c r="B164" s="235" t="s">
        <v>139</v>
      </c>
      <c r="C164" s="220" t="s">
        <v>327</v>
      </c>
      <c r="D164" s="232">
        <f>IFERROR(TRUNC(VLOOKUP($C164,'Para SICONFI'!$A$1:$E$370,3,FALSE),2),0)</f>
        <v>0</v>
      </c>
      <c r="E164" s="232">
        <f>IFERROR(TRUNC(VLOOKUP($C164,'Para SICONFI'!$A$1:$E$370,4,FALSE),2),0)</f>
        <v>0</v>
      </c>
      <c r="H164" s="24"/>
      <c r="I164" s="24"/>
      <c r="J164" s="24"/>
    </row>
    <row r="165" spans="1:10">
      <c r="A165" s="318"/>
      <c r="B165" s="234" t="s">
        <v>137</v>
      </c>
      <c r="C165" s="58" t="s">
        <v>329</v>
      </c>
      <c r="D165" s="226">
        <f>IFERROR(TRUNC(VLOOKUP($C165,'Para SICONFI'!$A$1:$E$370,3,FALSE),2),0)</f>
        <v>0</v>
      </c>
      <c r="E165" s="226">
        <f>IFERROR(TRUNC(VLOOKUP($C165,'Para SICONFI'!$A$1:$E$370,4,FALSE),2),0)</f>
        <v>0</v>
      </c>
      <c r="H165" s="24"/>
      <c r="I165" s="24"/>
      <c r="J165" s="24"/>
    </row>
    <row r="166" spans="1:10">
      <c r="A166" s="318"/>
      <c r="B166" s="234" t="s">
        <v>138</v>
      </c>
      <c r="C166" s="58" t="s">
        <v>330</v>
      </c>
      <c r="D166" s="226">
        <f>IFERROR(TRUNC(VLOOKUP($C166,'Para SICONFI'!$A$1:$E$370,3,FALSE),2),0)</f>
        <v>0</v>
      </c>
      <c r="E166" s="226">
        <f>IFERROR(TRUNC(VLOOKUP($C166,'Para SICONFI'!$A$1:$E$370,4,FALSE),2),0)</f>
        <v>0</v>
      </c>
      <c r="H166" s="24"/>
      <c r="I166" s="24"/>
      <c r="J166" s="24"/>
    </row>
    <row r="167" spans="1:10">
      <c r="A167" s="318"/>
      <c r="C167" s="58" t="s">
        <v>313</v>
      </c>
      <c r="D167" s="226">
        <f>IFERROR(TRUNC(VLOOKUP($C167,'Para SICONFI'!$A$1:$E$370,3,FALSE),2),0)</f>
        <v>0</v>
      </c>
      <c r="E167" s="226">
        <f>IFERROR(TRUNC(VLOOKUP($C167,'Para SICONFI'!$A$1:$E$370,4,FALSE),2),0)</f>
        <v>0</v>
      </c>
      <c r="H167" s="24"/>
      <c r="I167" s="24"/>
      <c r="J167" s="24"/>
    </row>
    <row r="168" spans="1:10" ht="110.25" customHeight="1">
      <c r="A168" s="318"/>
      <c r="B168" s="236"/>
      <c r="C168" s="227"/>
      <c r="D168" s="228"/>
      <c r="E168" s="228"/>
      <c r="H168" s="24"/>
      <c r="I168" s="24"/>
      <c r="J168" s="24"/>
    </row>
  </sheetData>
  <mergeCells count="9">
    <mergeCell ref="A132:A144"/>
    <mergeCell ref="A146:A156"/>
    <mergeCell ref="A158:A162"/>
    <mergeCell ref="A164:A168"/>
    <mergeCell ref="A3:A43"/>
    <mergeCell ref="A45:A69"/>
    <mergeCell ref="A71:A115"/>
    <mergeCell ref="A117:A121"/>
    <mergeCell ref="A123:A12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8 8 3 d d 2 - 1 4 9 2 - 4 9 2 7 - b f f 8 - f 0 d b 1 4 c e e 7 9 a "   x m l n s = " h t t p : / / s c h e m a s . m i c r o s o f t . c o m / D a t a M a s h u p " > A A A A A B Y D A A B Q S w M E F A A C A A g A q H o 4 T 8 z Z p g S m A A A A + A A A A B I A H A B D b 2 5 m a W c v U G F j a 2 F n Z S 5 4 b W w g o h g A K K A U A A A A A A A A A A A A A A A A A A A A A A A A A A A A h Y / N C o J A G E V f R W b v / C i G y O c I t U 2 I g m g 7 j J M O 6 S j O m L 5 b i x 6 p V 0 g o q 1 3 L e z i L c x + 3 O 2 R T U 3 t X 1 V v d m h Q x T J G n j G w L b c o U D e 7 s x y j j s B P y I k r l z b K x y W S L F F X O d Q k h 4 z j i M c R t X 5 K A U k Z O + f Y g K 9 U I 9 J H 1 f 9 n X x j p h p E I c j q 8 Y H u B V h K O Q h Z j F D M i C I d f m q w R z M a Z A f i B s h t o N v e K d 8 9 d 7 I M s E 8 n 7 B n 1 B L A w Q U A A I A C A C o e j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o 4 T y i K R 7 g O A A A A E Q A A A B M A H A B G b 3 J t d W x h c y 9 T Z W N 0 a W 9 u M S 5 t I K I Y A C i g F A A A A A A A A A A A A A A A A A A A A A A A A A A A A C t O T S 7 J z M 9 T C I b Q h t Y A U E s B A i 0 A F A A C A A g A q H o 4 T 8 z Z p g S m A A A A + A A A A B I A A A A A A A A A A A A A A A A A A A A A A E N v b m Z p Z y 9 Q Y W N r Y W d l L n h t b F B L A Q I t A B Q A A g A I A K h 6 O E 8 P y u m r p A A A A O k A A A A T A A A A A A A A A A A A A A A A A P I A A A B b Q 2 9 u d G V u d F 9 U e X B l c 1 0 u e G 1 s U E s B A i 0 A F A A C A A g A q H o 4 T y i K R 7 g O A A A A E Q A A A B M A A A A A A A A A A A A A A A A A 4 w E A A E Z v c m 1 1 b G F z L 1 N l Y 3 R p b 2 4 x L m 1 Q S w U G A A A A A A M A A w D C A A A A P g I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7 B I v w 1 0 O A R p 2 u E g s j 6 t E D A A A A A A I A A A A A A A N m A A D A A A A A E A A A A E n K h Z M 2 R J z k Q H I / m 2 I 2 Z c E A A A A A B I A A A K A A A A A Q A A A A e h z d x y f b l q o 5 Q y r z g D T Y U F A A A A D q G D 6 w K + W 5 R O y G E e l B q O H h R i 7 j K 6 u L P E N I 5 5 K j K A l H r 2 f t e A 5 Q r 6 T J O M d m s S t v q 3 9 9 1 w T k m c k w r P w P z d X v V r Q H o B s N r n k L F s 6 I o Q y W a O W n O h Q A A A C S n A 5 T f b h H + W 9 N 3 2 I O O Q 7 P W 0 9 l H g = = < / D a t a M a s h u p > 
</file>

<file path=customXml/itemProps1.xml><?xml version="1.0" encoding="utf-8"?>
<ds:datastoreItem xmlns:ds="http://schemas.openxmlformats.org/officeDocument/2006/customXml" ds:itemID="{6D13D6A9-F9B2-4160-BD80-9B90586AB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Ministério da Fazenda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I e Tabela 9</dc:title>
  <dc:subject/>
  <dc:creator>GEINC</dc:creator>
  <cp:keywords/>
  <dc:description/>
  <cp:lastModifiedBy>X</cp:lastModifiedBy>
  <cp:revision/>
  <dcterms:created xsi:type="dcterms:W3CDTF">2002-02-05T11:19:14Z</dcterms:created>
  <dcterms:modified xsi:type="dcterms:W3CDTF">2021-10-25T20:19:06Z</dcterms:modified>
  <cp:category/>
  <cp:contentStatus/>
</cp:coreProperties>
</file>